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yaniv/private/MapleStoryIdleOptimizer/FP-Mage/"/>
    </mc:Choice>
  </mc:AlternateContent>
  <xr:revisionPtr revIDLastSave="0" documentId="13_ncr:1_{D1459387-A3CF-9F40-B44C-E89A820BFBF3}" xr6:coauthVersionLast="47" xr6:coauthVersionMax="47" xr10:uidLastSave="{00000000-0000-0000-0000-000000000000}"/>
  <bookViews>
    <workbookView xWindow="0" yWindow="660" windowWidth="34560" windowHeight="20420" activeTab="11" xr2:uid="{00000000-000D-0000-FFFF-FFFF00000000}"/>
  </bookViews>
  <sheets>
    <sheet name="README" sheetId="1" r:id="rId1"/>
    <sheet name="Inputs" sheetId="2" r:id="rId2"/>
    <sheet name="FactorTable" sheetId="3" r:id="rId3"/>
    <sheet name="Skills" sheetId="4" r:id="rId4"/>
    <sheet name="Artifacts" sheetId="5" r:id="rId5"/>
    <sheet name="Calc" sheetId="6" r:id="rId6"/>
    <sheet name="Summary" sheetId="7" r:id="rId7"/>
    <sheet name="Sensitivity" sheetId="8" r:id="rId8"/>
    <sheet name="Equipment Compare" sheetId="9" r:id="rId9"/>
    <sheet name="CubeData" sheetId="10" r:id="rId10"/>
    <sheet name="ArtifactsInput" sheetId="11" r:id="rId11"/>
    <sheet name="PotentialCubes"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2" i="11" l="1"/>
  <c r="K42" i="11"/>
  <c r="H42" i="11"/>
  <c r="N41" i="11"/>
  <c r="K41" i="11"/>
  <c r="H41" i="11"/>
  <c r="N40" i="11"/>
  <c r="K40" i="11"/>
  <c r="H40" i="11"/>
  <c r="N39" i="11"/>
  <c r="K39" i="11"/>
  <c r="H39" i="11"/>
  <c r="E39" i="11"/>
  <c r="N38" i="11"/>
  <c r="K38" i="11"/>
  <c r="H38" i="11"/>
  <c r="E38" i="11"/>
  <c r="N37" i="11"/>
  <c r="K37" i="11"/>
  <c r="H37" i="11"/>
  <c r="E37" i="11"/>
  <c r="N36" i="11"/>
  <c r="K36" i="11"/>
  <c r="H36" i="11"/>
  <c r="E36" i="11"/>
  <c r="N35" i="11"/>
  <c r="K35" i="11"/>
  <c r="H35" i="11"/>
  <c r="N34" i="11"/>
  <c r="K34" i="11"/>
  <c r="H34" i="11"/>
  <c r="E34" i="11"/>
  <c r="N33" i="11"/>
  <c r="K33" i="11"/>
  <c r="H33" i="11"/>
  <c r="E33" i="11"/>
  <c r="N32" i="11"/>
  <c r="K32" i="11"/>
  <c r="H32" i="11"/>
  <c r="N31" i="11"/>
  <c r="K31" i="11"/>
  <c r="H31" i="11"/>
  <c r="N30" i="11"/>
  <c r="K30" i="11"/>
  <c r="H30" i="11"/>
  <c r="N29" i="11"/>
  <c r="K29" i="11"/>
  <c r="H29" i="11"/>
  <c r="N28" i="11"/>
  <c r="K28" i="11"/>
  <c r="N27" i="11"/>
  <c r="K27" i="11"/>
  <c r="H27" i="11"/>
  <c r="E27" i="11"/>
  <c r="N26" i="11"/>
  <c r="K26" i="11"/>
  <c r="H26" i="11"/>
  <c r="E26" i="11"/>
  <c r="N25" i="11"/>
  <c r="K25" i="11"/>
  <c r="H25" i="11"/>
  <c r="E25" i="11"/>
  <c r="N24" i="11"/>
  <c r="K24" i="11"/>
  <c r="H24" i="11"/>
  <c r="N23" i="11"/>
  <c r="K23" i="11"/>
  <c r="H23" i="11"/>
  <c r="E23" i="11"/>
  <c r="N22" i="11"/>
  <c r="N21" i="11"/>
  <c r="K21" i="11"/>
  <c r="H21" i="11"/>
  <c r="N20" i="11"/>
  <c r="H20" i="11"/>
  <c r="N18" i="11"/>
  <c r="E18" i="11" s="1"/>
  <c r="H18" i="11"/>
  <c r="N17" i="11"/>
  <c r="H17" i="11"/>
  <c r="N16" i="11"/>
  <c r="N15" i="11"/>
  <c r="N14" i="11"/>
  <c r="N13" i="11"/>
  <c r="H13" i="11"/>
  <c r="N12" i="11"/>
  <c r="N11" i="11"/>
  <c r="N10" i="11"/>
  <c r="N8" i="11"/>
  <c r="N7" i="11"/>
  <c r="H7" i="11"/>
  <c r="N6" i="11"/>
  <c r="E6" i="11"/>
  <c r="N5" i="11"/>
  <c r="N10" i="9"/>
  <c r="M10" i="9"/>
  <c r="K10" i="9"/>
  <c r="L10" i="9" s="1"/>
  <c r="F10" i="9"/>
  <c r="G10" i="9" s="1"/>
  <c r="D10" i="9"/>
  <c r="E10" i="9" s="1"/>
  <c r="M9" i="9"/>
  <c r="F9" i="9"/>
  <c r="M8" i="9"/>
  <c r="F8" i="9"/>
  <c r="M7" i="9"/>
  <c r="F7" i="9"/>
  <c r="M6" i="9"/>
  <c r="F6" i="9"/>
  <c r="M5" i="9"/>
  <c r="F5" i="9"/>
  <c r="U3192" i="8"/>
  <c r="S3192" i="8"/>
  <c r="I3192" i="8"/>
  <c r="C3192" i="8"/>
  <c r="B3192" i="8"/>
  <c r="A3192" i="8"/>
  <c r="I3191" i="8"/>
  <c r="C3191" i="8"/>
  <c r="B3191" i="8"/>
  <c r="A3191" i="8"/>
  <c r="I3190" i="8"/>
  <c r="C3190" i="8"/>
  <c r="B3190" i="8"/>
  <c r="A3190" i="8"/>
  <c r="I3189" i="8"/>
  <c r="C3189" i="8"/>
  <c r="B3189" i="8"/>
  <c r="A3189" i="8"/>
  <c r="I3188" i="8"/>
  <c r="C3188" i="8"/>
  <c r="B3188" i="8"/>
  <c r="A3188" i="8"/>
  <c r="I3187" i="8"/>
  <c r="C3187" i="8"/>
  <c r="B3187" i="8"/>
  <c r="A3187" i="8"/>
  <c r="I3186" i="8"/>
  <c r="C3186" i="8"/>
  <c r="B3186" i="8"/>
  <c r="A3186" i="8"/>
  <c r="I3185" i="8"/>
  <c r="C3185" i="8"/>
  <c r="B3185" i="8"/>
  <c r="A3185" i="8"/>
  <c r="I3184" i="8"/>
  <c r="C3184" i="8"/>
  <c r="B3184" i="8"/>
  <c r="A3184" i="8"/>
  <c r="I3183" i="8"/>
  <c r="C3183" i="8"/>
  <c r="B3183" i="8"/>
  <c r="A3183" i="8"/>
  <c r="I3182" i="8"/>
  <c r="F3182" i="8"/>
  <c r="C3182" i="8"/>
  <c r="B3182" i="8"/>
  <c r="A3182" i="8"/>
  <c r="I3181" i="8"/>
  <c r="C3181" i="8"/>
  <c r="B3181" i="8"/>
  <c r="A3181" i="8"/>
  <c r="I3180" i="8"/>
  <c r="C3180" i="8"/>
  <c r="B3180" i="8"/>
  <c r="A3180" i="8"/>
  <c r="I3179" i="8"/>
  <c r="C3179" i="8"/>
  <c r="B3179" i="8"/>
  <c r="A3179" i="8"/>
  <c r="I3178" i="8"/>
  <c r="C3178" i="8"/>
  <c r="B3178" i="8"/>
  <c r="A3178" i="8"/>
  <c r="I3177" i="8"/>
  <c r="C3177" i="8"/>
  <c r="B3177" i="8"/>
  <c r="A3177" i="8"/>
  <c r="I3176" i="8"/>
  <c r="C3176" i="8"/>
  <c r="B3176" i="8"/>
  <c r="A3176" i="8"/>
  <c r="I3175" i="8"/>
  <c r="F3175" i="8"/>
  <c r="B3194" i="8" s="1"/>
  <c r="C3175" i="8"/>
  <c r="B3175" i="8"/>
  <c r="A3175" i="8"/>
  <c r="C3174" i="8"/>
  <c r="B3174" i="8"/>
  <c r="A3174" i="8"/>
  <c r="I3173" i="8"/>
  <c r="C3173" i="8"/>
  <c r="B3173" i="8"/>
  <c r="A3173" i="8"/>
  <c r="C3172" i="8"/>
  <c r="B3172" i="8"/>
  <c r="A3172" i="8"/>
  <c r="C3171" i="8"/>
  <c r="B3171" i="8"/>
  <c r="A3171" i="8"/>
  <c r="I3170" i="8"/>
  <c r="C3170" i="8"/>
  <c r="B3170" i="8"/>
  <c r="A3170" i="8"/>
  <c r="C3169" i="8"/>
  <c r="B3169" i="8"/>
  <c r="A3169" i="8"/>
  <c r="C3168" i="8"/>
  <c r="B3168" i="8"/>
  <c r="A3168" i="8"/>
  <c r="C3167" i="8"/>
  <c r="B3167" i="8"/>
  <c r="A3167" i="8"/>
  <c r="I3166" i="8"/>
  <c r="C3166" i="8"/>
  <c r="B3166" i="8"/>
  <c r="A3166" i="8"/>
  <c r="I3148" i="8"/>
  <c r="C3148" i="8"/>
  <c r="B3148" i="8"/>
  <c r="A3148" i="8"/>
  <c r="I3147" i="8"/>
  <c r="C3147" i="8"/>
  <c r="B3147" i="8"/>
  <c r="A3147" i="8"/>
  <c r="I3146" i="8"/>
  <c r="C3146" i="8"/>
  <c r="B3146" i="8"/>
  <c r="A3146" i="8"/>
  <c r="I3145" i="8"/>
  <c r="C3145" i="8"/>
  <c r="B3145" i="8"/>
  <c r="A3145" i="8"/>
  <c r="I3144" i="8"/>
  <c r="C3144" i="8"/>
  <c r="B3144" i="8"/>
  <c r="A3144" i="8"/>
  <c r="I3143" i="8"/>
  <c r="C3143" i="8"/>
  <c r="B3143" i="8"/>
  <c r="A3143" i="8"/>
  <c r="I3142" i="8"/>
  <c r="C3142" i="8"/>
  <c r="B3142" i="8"/>
  <c r="A3142" i="8"/>
  <c r="I3141" i="8"/>
  <c r="C3141" i="8"/>
  <c r="B3141" i="8"/>
  <c r="A3141" i="8"/>
  <c r="I3140" i="8"/>
  <c r="C3140" i="8"/>
  <c r="B3140" i="8"/>
  <c r="A3140" i="8"/>
  <c r="I3139" i="8"/>
  <c r="C3139" i="8"/>
  <c r="B3139" i="8"/>
  <c r="A3139" i="8"/>
  <c r="I3138" i="8"/>
  <c r="F3138" i="8"/>
  <c r="C3138" i="8"/>
  <c r="B3138" i="8"/>
  <c r="A3138" i="8"/>
  <c r="I3137" i="8"/>
  <c r="C3137" i="8"/>
  <c r="B3137" i="8"/>
  <c r="A3137" i="8"/>
  <c r="I3136" i="8"/>
  <c r="C3136" i="8"/>
  <c r="B3136" i="8"/>
  <c r="A3136" i="8"/>
  <c r="I3135" i="8"/>
  <c r="C3135" i="8"/>
  <c r="B3135" i="8"/>
  <c r="A3135" i="8"/>
  <c r="I3134" i="8"/>
  <c r="C3134" i="8"/>
  <c r="B3134" i="8"/>
  <c r="A3134" i="8"/>
  <c r="I3133" i="8"/>
  <c r="C3133" i="8"/>
  <c r="B3133" i="8"/>
  <c r="A3133" i="8"/>
  <c r="I3132" i="8"/>
  <c r="C3132" i="8"/>
  <c r="B3132" i="8"/>
  <c r="A3132" i="8"/>
  <c r="I3131" i="8"/>
  <c r="F3131" i="8"/>
  <c r="B3150" i="8" s="1"/>
  <c r="C3131" i="8"/>
  <c r="B3131" i="8"/>
  <c r="A3131" i="8"/>
  <c r="C3130" i="8"/>
  <c r="B3130" i="8"/>
  <c r="A3130" i="8"/>
  <c r="I3129" i="8"/>
  <c r="C3129" i="8"/>
  <c r="B3129" i="8"/>
  <c r="A3129" i="8"/>
  <c r="C3128" i="8"/>
  <c r="B3128" i="8"/>
  <c r="A3128" i="8"/>
  <c r="C3127" i="8"/>
  <c r="B3127" i="8"/>
  <c r="A3127" i="8"/>
  <c r="I3126" i="8"/>
  <c r="C3126" i="8"/>
  <c r="B3126" i="8"/>
  <c r="A3126" i="8"/>
  <c r="C3125" i="8"/>
  <c r="B3125" i="8"/>
  <c r="A3125" i="8"/>
  <c r="C3124" i="8"/>
  <c r="B3124" i="8"/>
  <c r="A3124" i="8"/>
  <c r="C3123" i="8"/>
  <c r="B3123" i="8"/>
  <c r="A3123" i="8"/>
  <c r="I3122" i="8"/>
  <c r="C3122" i="8"/>
  <c r="B3122" i="8"/>
  <c r="A3122" i="8"/>
  <c r="U3104" i="8"/>
  <c r="S3104" i="8"/>
  <c r="I3104" i="8"/>
  <c r="C3104" i="8"/>
  <c r="B3104" i="8"/>
  <c r="A3104" i="8"/>
  <c r="I3103" i="8"/>
  <c r="C3103" i="8"/>
  <c r="B3103" i="8"/>
  <c r="A3103" i="8"/>
  <c r="I3102" i="8"/>
  <c r="C3102" i="8"/>
  <c r="B3102" i="8"/>
  <c r="A3102" i="8"/>
  <c r="I3101" i="8"/>
  <c r="C3101" i="8"/>
  <c r="B3101" i="8"/>
  <c r="A3101" i="8"/>
  <c r="I3100" i="8"/>
  <c r="C3100" i="8"/>
  <c r="B3100" i="8"/>
  <c r="A3100" i="8"/>
  <c r="I3099" i="8"/>
  <c r="C3099" i="8"/>
  <c r="B3099" i="8"/>
  <c r="A3099" i="8"/>
  <c r="I3098" i="8"/>
  <c r="C3098" i="8"/>
  <c r="B3098" i="8"/>
  <c r="A3098" i="8"/>
  <c r="I3097" i="8"/>
  <c r="C3097" i="8"/>
  <c r="B3097" i="8"/>
  <c r="A3097" i="8"/>
  <c r="I3096" i="8"/>
  <c r="C3096" i="8"/>
  <c r="B3096" i="8"/>
  <c r="A3096" i="8"/>
  <c r="I3095" i="8"/>
  <c r="C3095" i="8"/>
  <c r="B3095" i="8"/>
  <c r="A3095" i="8"/>
  <c r="I3094" i="8"/>
  <c r="F3094" i="8"/>
  <c r="C3094" i="8"/>
  <c r="B3094" i="8"/>
  <c r="A3094" i="8"/>
  <c r="I3093" i="8"/>
  <c r="C3093" i="8"/>
  <c r="B3093" i="8"/>
  <c r="A3093" i="8"/>
  <c r="I3092" i="8"/>
  <c r="C3092" i="8"/>
  <c r="B3092" i="8"/>
  <c r="A3092" i="8"/>
  <c r="I3091" i="8"/>
  <c r="C3091" i="8"/>
  <c r="B3091" i="8"/>
  <c r="A3091" i="8"/>
  <c r="I3090" i="8"/>
  <c r="C3090" i="8"/>
  <c r="B3090" i="8"/>
  <c r="A3090" i="8"/>
  <c r="I3089" i="8"/>
  <c r="C3089" i="8"/>
  <c r="B3089" i="8"/>
  <c r="A3089" i="8"/>
  <c r="I3088" i="8"/>
  <c r="C3088" i="8"/>
  <c r="B3088" i="8"/>
  <c r="A3088" i="8"/>
  <c r="I3087" i="8"/>
  <c r="F3087" i="8"/>
  <c r="B3106" i="8" s="1"/>
  <c r="C3087" i="8"/>
  <c r="B3087" i="8"/>
  <c r="A3087" i="8"/>
  <c r="C3086" i="8"/>
  <c r="B3086" i="8"/>
  <c r="A3086" i="8"/>
  <c r="I3085" i="8"/>
  <c r="C3085" i="8"/>
  <c r="B3085" i="8"/>
  <c r="A3085" i="8"/>
  <c r="C3084" i="8"/>
  <c r="B3084" i="8"/>
  <c r="A3084" i="8"/>
  <c r="C3083" i="8"/>
  <c r="B3083" i="8"/>
  <c r="A3083" i="8"/>
  <c r="I3082" i="8"/>
  <c r="C3082" i="8"/>
  <c r="B3082" i="8"/>
  <c r="A3082" i="8"/>
  <c r="C3081" i="8"/>
  <c r="B3081" i="8"/>
  <c r="A3081" i="8"/>
  <c r="C3080" i="8"/>
  <c r="B3080" i="8"/>
  <c r="A3080" i="8"/>
  <c r="C3079" i="8"/>
  <c r="B3079" i="8"/>
  <c r="A3079" i="8"/>
  <c r="I3078" i="8"/>
  <c r="C3078" i="8"/>
  <c r="B3078" i="8"/>
  <c r="A3078" i="8"/>
  <c r="U3060" i="8"/>
  <c r="S3060" i="8"/>
  <c r="I3060" i="8"/>
  <c r="C3060" i="8"/>
  <c r="B3060" i="8"/>
  <c r="A3060" i="8"/>
  <c r="I3059" i="8"/>
  <c r="C3059" i="8"/>
  <c r="B3059" i="8"/>
  <c r="A3059" i="8"/>
  <c r="I3058" i="8"/>
  <c r="C3058" i="8"/>
  <c r="B3058" i="8"/>
  <c r="A3058" i="8"/>
  <c r="I3057" i="8"/>
  <c r="C3057" i="8"/>
  <c r="B3057" i="8"/>
  <c r="A3057" i="8"/>
  <c r="I3056" i="8"/>
  <c r="C3056" i="8"/>
  <c r="B3056" i="8"/>
  <c r="A3056" i="8"/>
  <c r="I3055" i="8"/>
  <c r="C3055" i="8"/>
  <c r="B3055" i="8"/>
  <c r="A3055" i="8"/>
  <c r="I3054" i="8"/>
  <c r="C3054" i="8"/>
  <c r="B3054" i="8"/>
  <c r="A3054" i="8"/>
  <c r="I3053" i="8"/>
  <c r="C3053" i="8"/>
  <c r="B3053" i="8"/>
  <c r="A3053" i="8"/>
  <c r="I3052" i="8"/>
  <c r="C3052" i="8"/>
  <c r="B3052" i="8"/>
  <c r="A3052" i="8"/>
  <c r="I3051" i="8"/>
  <c r="C3051" i="8"/>
  <c r="B3051" i="8"/>
  <c r="A3051" i="8"/>
  <c r="I3050" i="8"/>
  <c r="F3050" i="8"/>
  <c r="C3050" i="8"/>
  <c r="B3050" i="8"/>
  <c r="A3050" i="8"/>
  <c r="I3049" i="8"/>
  <c r="C3049" i="8"/>
  <c r="B3049" i="8"/>
  <c r="A3049" i="8"/>
  <c r="I3048" i="8"/>
  <c r="C3048" i="8"/>
  <c r="B3048" i="8"/>
  <c r="A3048" i="8"/>
  <c r="I3047" i="8"/>
  <c r="C3047" i="8"/>
  <c r="B3047" i="8"/>
  <c r="A3047" i="8"/>
  <c r="I3046" i="8"/>
  <c r="C3046" i="8"/>
  <c r="B3046" i="8"/>
  <c r="A3046" i="8"/>
  <c r="I3045" i="8"/>
  <c r="C3045" i="8"/>
  <c r="B3045" i="8"/>
  <c r="A3045" i="8"/>
  <c r="I3044" i="8"/>
  <c r="C3044" i="8"/>
  <c r="B3044" i="8"/>
  <c r="A3044" i="8"/>
  <c r="I3043" i="8"/>
  <c r="F3043" i="8"/>
  <c r="B3062" i="8" s="1"/>
  <c r="C3043" i="8"/>
  <c r="B3043" i="8"/>
  <c r="A3043" i="8"/>
  <c r="C3042" i="8"/>
  <c r="B3042" i="8"/>
  <c r="A3042" i="8"/>
  <c r="I3041" i="8"/>
  <c r="C3041" i="8"/>
  <c r="B3041" i="8"/>
  <c r="A3041" i="8"/>
  <c r="C3040" i="8"/>
  <c r="B3040" i="8"/>
  <c r="A3040" i="8"/>
  <c r="C3039" i="8"/>
  <c r="B3039" i="8"/>
  <c r="A3039" i="8"/>
  <c r="I3038" i="8"/>
  <c r="C3038" i="8"/>
  <c r="B3038" i="8"/>
  <c r="A3038" i="8"/>
  <c r="C3037" i="8"/>
  <c r="B3037" i="8"/>
  <c r="A3037" i="8"/>
  <c r="C3036" i="8"/>
  <c r="B3036" i="8"/>
  <c r="A3036" i="8"/>
  <c r="C3035" i="8"/>
  <c r="B3035" i="8"/>
  <c r="A3035" i="8"/>
  <c r="I3034" i="8"/>
  <c r="C3034" i="8"/>
  <c r="B3034" i="8"/>
  <c r="A3034" i="8"/>
  <c r="I3016" i="8"/>
  <c r="C3016" i="8"/>
  <c r="B3016" i="8"/>
  <c r="A3016" i="8"/>
  <c r="I3015" i="8"/>
  <c r="C3015" i="8"/>
  <c r="B3015" i="8"/>
  <c r="A3015" i="8"/>
  <c r="I3014" i="8"/>
  <c r="C3014" i="8"/>
  <c r="B3014" i="8"/>
  <c r="A3014" i="8"/>
  <c r="I3013" i="8"/>
  <c r="C3013" i="8"/>
  <c r="B3013" i="8"/>
  <c r="A3013" i="8"/>
  <c r="I3012" i="8"/>
  <c r="C3012" i="8"/>
  <c r="B3012" i="8"/>
  <c r="A3012" i="8"/>
  <c r="I3011" i="8"/>
  <c r="C3011" i="8"/>
  <c r="B3011" i="8"/>
  <c r="A3011" i="8"/>
  <c r="I3010" i="8"/>
  <c r="C3010" i="8"/>
  <c r="B3010" i="8"/>
  <c r="A3010" i="8"/>
  <c r="I3009" i="8"/>
  <c r="C3009" i="8"/>
  <c r="B3009" i="8"/>
  <c r="A3009" i="8"/>
  <c r="I3008" i="8"/>
  <c r="C3008" i="8"/>
  <c r="B3008" i="8"/>
  <c r="A3008" i="8"/>
  <c r="I3007" i="8"/>
  <c r="C3007" i="8"/>
  <c r="B3007" i="8"/>
  <c r="A3007" i="8"/>
  <c r="I3006" i="8"/>
  <c r="F3006" i="8"/>
  <c r="C3006" i="8"/>
  <c r="B3006" i="8"/>
  <c r="A3006" i="8"/>
  <c r="I3005" i="8"/>
  <c r="C3005" i="8"/>
  <c r="B3005" i="8"/>
  <c r="A3005" i="8"/>
  <c r="I3004" i="8"/>
  <c r="C3004" i="8"/>
  <c r="B3004" i="8"/>
  <c r="A3004" i="8"/>
  <c r="I3003" i="8"/>
  <c r="C3003" i="8"/>
  <c r="B3003" i="8"/>
  <c r="A3003" i="8"/>
  <c r="I3002" i="8"/>
  <c r="C3002" i="8"/>
  <c r="B3002" i="8"/>
  <c r="A3002" i="8"/>
  <c r="I3001" i="8"/>
  <c r="C3001" i="8"/>
  <c r="B3001" i="8"/>
  <c r="A3001" i="8"/>
  <c r="I3000" i="8"/>
  <c r="C3000" i="8"/>
  <c r="B3000" i="8"/>
  <c r="A3000" i="8"/>
  <c r="I2999" i="8"/>
  <c r="F2999" i="8"/>
  <c r="B3018" i="8" s="1"/>
  <c r="C2999" i="8"/>
  <c r="B2999" i="8"/>
  <c r="A2999" i="8"/>
  <c r="C2998" i="8"/>
  <c r="B2998" i="8"/>
  <c r="A2998" i="8"/>
  <c r="I2997" i="8"/>
  <c r="C2997" i="8"/>
  <c r="B2997" i="8"/>
  <c r="A2997" i="8"/>
  <c r="C2996" i="8"/>
  <c r="B2996" i="8"/>
  <c r="A2996" i="8"/>
  <c r="C2995" i="8"/>
  <c r="B2995" i="8"/>
  <c r="A2995" i="8"/>
  <c r="I2994" i="8"/>
  <c r="C2994" i="8"/>
  <c r="B2994" i="8"/>
  <c r="A2994" i="8"/>
  <c r="C2993" i="8"/>
  <c r="B2993" i="8"/>
  <c r="A2993" i="8"/>
  <c r="C2992" i="8"/>
  <c r="B2992" i="8"/>
  <c r="A2992" i="8"/>
  <c r="C2991" i="8"/>
  <c r="B2991" i="8"/>
  <c r="A2991" i="8"/>
  <c r="I2990" i="8"/>
  <c r="C2990" i="8"/>
  <c r="B2990" i="8"/>
  <c r="A2990" i="8"/>
  <c r="U2972" i="8"/>
  <c r="S2972" i="8"/>
  <c r="I2972" i="8"/>
  <c r="C2972" i="8"/>
  <c r="B2972" i="8"/>
  <c r="A2972" i="8"/>
  <c r="I2971" i="8"/>
  <c r="C2971" i="8"/>
  <c r="B2971" i="8"/>
  <c r="A2971" i="8"/>
  <c r="I2970" i="8"/>
  <c r="C2970" i="8"/>
  <c r="B2970" i="8"/>
  <c r="A2970" i="8"/>
  <c r="I2969" i="8"/>
  <c r="C2969" i="8"/>
  <c r="B2969" i="8"/>
  <c r="A2969" i="8"/>
  <c r="I2968" i="8"/>
  <c r="C2968" i="8"/>
  <c r="B2968" i="8"/>
  <c r="A2968" i="8"/>
  <c r="I2967" i="8"/>
  <c r="C2967" i="8"/>
  <c r="B2967" i="8"/>
  <c r="A2967" i="8"/>
  <c r="I2966" i="8"/>
  <c r="C2966" i="8"/>
  <c r="B2966" i="8"/>
  <c r="A2966" i="8"/>
  <c r="I2965" i="8"/>
  <c r="C2965" i="8"/>
  <c r="B2965" i="8"/>
  <c r="A2965" i="8"/>
  <c r="I2964" i="8"/>
  <c r="C2964" i="8"/>
  <c r="B2964" i="8"/>
  <c r="A2964" i="8"/>
  <c r="I2963" i="8"/>
  <c r="C2963" i="8"/>
  <c r="B2963" i="8"/>
  <c r="A2963" i="8"/>
  <c r="I2962" i="8"/>
  <c r="F2962" i="8"/>
  <c r="C2962" i="8"/>
  <c r="B2962" i="8"/>
  <c r="A2962" i="8"/>
  <c r="I2961" i="8"/>
  <c r="C2961" i="8"/>
  <c r="B2961" i="8"/>
  <c r="A2961" i="8"/>
  <c r="I2960" i="8"/>
  <c r="C2960" i="8"/>
  <c r="B2960" i="8"/>
  <c r="A2960" i="8"/>
  <c r="I2959" i="8"/>
  <c r="C2959" i="8"/>
  <c r="B2959" i="8"/>
  <c r="A2959" i="8"/>
  <c r="I2958" i="8"/>
  <c r="C2958" i="8"/>
  <c r="B2958" i="8"/>
  <c r="A2958" i="8"/>
  <c r="I2957" i="8"/>
  <c r="C2957" i="8"/>
  <c r="B2957" i="8"/>
  <c r="A2957" i="8"/>
  <c r="I2956" i="8"/>
  <c r="C2956" i="8"/>
  <c r="B2956" i="8"/>
  <c r="A2956" i="8"/>
  <c r="I2955" i="8"/>
  <c r="F2955" i="8"/>
  <c r="B2974" i="8" s="1"/>
  <c r="C2955" i="8"/>
  <c r="B2955" i="8"/>
  <c r="A2955" i="8"/>
  <c r="C2954" i="8"/>
  <c r="B2954" i="8"/>
  <c r="A2954" i="8"/>
  <c r="I2953" i="8"/>
  <c r="C2953" i="8"/>
  <c r="B2953" i="8"/>
  <c r="A2953" i="8"/>
  <c r="C2952" i="8"/>
  <c r="B2952" i="8"/>
  <c r="A2952" i="8"/>
  <c r="C2951" i="8"/>
  <c r="B2951" i="8"/>
  <c r="A2951" i="8"/>
  <c r="I2950" i="8"/>
  <c r="C2950" i="8"/>
  <c r="B2950" i="8"/>
  <c r="A2950" i="8"/>
  <c r="C2949" i="8"/>
  <c r="B2949" i="8"/>
  <c r="A2949" i="8"/>
  <c r="C2948" i="8"/>
  <c r="B2948" i="8"/>
  <c r="A2948" i="8"/>
  <c r="C2947" i="8"/>
  <c r="B2947" i="8"/>
  <c r="A2947" i="8"/>
  <c r="I2946" i="8"/>
  <c r="C2946" i="8"/>
  <c r="B2946" i="8"/>
  <c r="A2946" i="8"/>
  <c r="U2928" i="8"/>
  <c r="S2928" i="8"/>
  <c r="I2928" i="8"/>
  <c r="C2928" i="8"/>
  <c r="B2928" i="8"/>
  <c r="A2928" i="8"/>
  <c r="I2927" i="8"/>
  <c r="C2927" i="8"/>
  <c r="B2927" i="8"/>
  <c r="A2927" i="8"/>
  <c r="I2926" i="8"/>
  <c r="C2926" i="8"/>
  <c r="B2926" i="8"/>
  <c r="A2926" i="8"/>
  <c r="I2925" i="8"/>
  <c r="C2925" i="8"/>
  <c r="B2925" i="8"/>
  <c r="A2925" i="8"/>
  <c r="I2924" i="8"/>
  <c r="C2924" i="8"/>
  <c r="B2924" i="8"/>
  <c r="A2924" i="8"/>
  <c r="I2923" i="8"/>
  <c r="C2923" i="8"/>
  <c r="B2923" i="8"/>
  <c r="A2923" i="8"/>
  <c r="I2922" i="8"/>
  <c r="C2922" i="8"/>
  <c r="B2922" i="8"/>
  <c r="A2922" i="8"/>
  <c r="I2921" i="8"/>
  <c r="C2921" i="8"/>
  <c r="B2921" i="8"/>
  <c r="A2921" i="8"/>
  <c r="I2920" i="8"/>
  <c r="C2920" i="8"/>
  <c r="B2920" i="8"/>
  <c r="A2920" i="8"/>
  <c r="I2919" i="8"/>
  <c r="C2919" i="8"/>
  <c r="B2919" i="8"/>
  <c r="A2919" i="8"/>
  <c r="I2918" i="8"/>
  <c r="F2918" i="8"/>
  <c r="C2918" i="8"/>
  <c r="B2918" i="8"/>
  <c r="A2918" i="8"/>
  <c r="I2917" i="8"/>
  <c r="C2917" i="8"/>
  <c r="B2917" i="8"/>
  <c r="A2917" i="8"/>
  <c r="I2916" i="8"/>
  <c r="C2916" i="8"/>
  <c r="B2916" i="8"/>
  <c r="A2916" i="8"/>
  <c r="I2915" i="8"/>
  <c r="C2915" i="8"/>
  <c r="B2915" i="8"/>
  <c r="A2915" i="8"/>
  <c r="I2914" i="8"/>
  <c r="C2914" i="8"/>
  <c r="B2914" i="8"/>
  <c r="A2914" i="8"/>
  <c r="I2913" i="8"/>
  <c r="C2913" i="8"/>
  <c r="B2913" i="8"/>
  <c r="A2913" i="8"/>
  <c r="I2912" i="8"/>
  <c r="C2912" i="8"/>
  <c r="B2912" i="8"/>
  <c r="A2912" i="8"/>
  <c r="I2911" i="8"/>
  <c r="F2911" i="8"/>
  <c r="B2930" i="8" s="1"/>
  <c r="C2911" i="8"/>
  <c r="B2911" i="8"/>
  <c r="A2911" i="8"/>
  <c r="C2910" i="8"/>
  <c r="B2910" i="8"/>
  <c r="A2910" i="8"/>
  <c r="I2909" i="8"/>
  <c r="C2909" i="8"/>
  <c r="B2909" i="8"/>
  <c r="A2909" i="8"/>
  <c r="C2908" i="8"/>
  <c r="B2908" i="8"/>
  <c r="A2908" i="8"/>
  <c r="C2907" i="8"/>
  <c r="B2907" i="8"/>
  <c r="A2907" i="8"/>
  <c r="I2906" i="8"/>
  <c r="C2906" i="8"/>
  <c r="B2906" i="8"/>
  <c r="A2906" i="8"/>
  <c r="C2905" i="8"/>
  <c r="B2905" i="8"/>
  <c r="A2905" i="8"/>
  <c r="C2904" i="8"/>
  <c r="B2904" i="8"/>
  <c r="A2904" i="8"/>
  <c r="C2903" i="8"/>
  <c r="B2903" i="8"/>
  <c r="A2903" i="8"/>
  <c r="I2902" i="8"/>
  <c r="C2902" i="8"/>
  <c r="B2902" i="8"/>
  <c r="A2902" i="8"/>
  <c r="I2884" i="8"/>
  <c r="C2884" i="8"/>
  <c r="B2884" i="8"/>
  <c r="A2884" i="8"/>
  <c r="I2883" i="8"/>
  <c r="C2883" i="8"/>
  <c r="B2883" i="8"/>
  <c r="A2883" i="8"/>
  <c r="I2882" i="8"/>
  <c r="C2882" i="8"/>
  <c r="B2882" i="8"/>
  <c r="A2882" i="8"/>
  <c r="I2881" i="8"/>
  <c r="C2881" i="8"/>
  <c r="B2881" i="8"/>
  <c r="A2881" i="8"/>
  <c r="I2880" i="8"/>
  <c r="C2880" i="8"/>
  <c r="B2880" i="8"/>
  <c r="A2880" i="8"/>
  <c r="I2879" i="8"/>
  <c r="C2879" i="8"/>
  <c r="B2879" i="8"/>
  <c r="A2879" i="8"/>
  <c r="I2878" i="8"/>
  <c r="C2878" i="8"/>
  <c r="B2878" i="8"/>
  <c r="A2878" i="8"/>
  <c r="I2877" i="8"/>
  <c r="C2877" i="8"/>
  <c r="B2877" i="8"/>
  <c r="A2877" i="8"/>
  <c r="I2876" i="8"/>
  <c r="C2876" i="8"/>
  <c r="B2876" i="8"/>
  <c r="A2876" i="8"/>
  <c r="I2875" i="8"/>
  <c r="C2875" i="8"/>
  <c r="B2875" i="8"/>
  <c r="A2875" i="8"/>
  <c r="I2874" i="8"/>
  <c r="F2874" i="8"/>
  <c r="C2874" i="8"/>
  <c r="B2874" i="8"/>
  <c r="A2874" i="8"/>
  <c r="I2873" i="8"/>
  <c r="C2873" i="8"/>
  <c r="B2873" i="8"/>
  <c r="A2873" i="8"/>
  <c r="I2872" i="8"/>
  <c r="C2872" i="8"/>
  <c r="B2872" i="8"/>
  <c r="A2872" i="8"/>
  <c r="I2871" i="8"/>
  <c r="C2871" i="8"/>
  <c r="B2871" i="8"/>
  <c r="A2871" i="8"/>
  <c r="I2870" i="8"/>
  <c r="C2870" i="8"/>
  <c r="B2870" i="8"/>
  <c r="A2870" i="8"/>
  <c r="I2869" i="8"/>
  <c r="C2869" i="8"/>
  <c r="B2869" i="8"/>
  <c r="A2869" i="8"/>
  <c r="I2868" i="8"/>
  <c r="C2868" i="8"/>
  <c r="B2868" i="8"/>
  <c r="A2868" i="8"/>
  <c r="I2867" i="8"/>
  <c r="F2867" i="8"/>
  <c r="B2886" i="8" s="1"/>
  <c r="C2867" i="8"/>
  <c r="B2867" i="8"/>
  <c r="A2867" i="8"/>
  <c r="C2866" i="8"/>
  <c r="B2866" i="8"/>
  <c r="A2866" i="8"/>
  <c r="I2865" i="8"/>
  <c r="C2865" i="8"/>
  <c r="B2865" i="8"/>
  <c r="A2865" i="8"/>
  <c r="C2864" i="8"/>
  <c r="B2864" i="8"/>
  <c r="A2864" i="8"/>
  <c r="C2863" i="8"/>
  <c r="B2863" i="8"/>
  <c r="A2863" i="8"/>
  <c r="I2862" i="8"/>
  <c r="C2862" i="8"/>
  <c r="B2862" i="8"/>
  <c r="A2862" i="8"/>
  <c r="C2861" i="8"/>
  <c r="B2861" i="8"/>
  <c r="A2861" i="8"/>
  <c r="C2860" i="8"/>
  <c r="B2860" i="8"/>
  <c r="A2860" i="8"/>
  <c r="C2859" i="8"/>
  <c r="B2859" i="8"/>
  <c r="A2859" i="8"/>
  <c r="I2858" i="8"/>
  <c r="C2858" i="8"/>
  <c r="B2858" i="8"/>
  <c r="A2858" i="8"/>
  <c r="U2840" i="8"/>
  <c r="S2840" i="8"/>
  <c r="I2840" i="8"/>
  <c r="C2840" i="8"/>
  <c r="B2840" i="8"/>
  <c r="A2840" i="8"/>
  <c r="I2839" i="8"/>
  <c r="C2839" i="8"/>
  <c r="B2839" i="8"/>
  <c r="A2839" i="8"/>
  <c r="I2838" i="8"/>
  <c r="C2838" i="8"/>
  <c r="B2838" i="8"/>
  <c r="A2838" i="8"/>
  <c r="I2837" i="8"/>
  <c r="C2837" i="8"/>
  <c r="B2837" i="8"/>
  <c r="A2837" i="8"/>
  <c r="I2836" i="8"/>
  <c r="C2836" i="8"/>
  <c r="B2836" i="8"/>
  <c r="A2836" i="8"/>
  <c r="I2835" i="8"/>
  <c r="C2835" i="8"/>
  <c r="B2835" i="8"/>
  <c r="A2835" i="8"/>
  <c r="I2834" i="8"/>
  <c r="C2834" i="8"/>
  <c r="B2834" i="8"/>
  <c r="A2834" i="8"/>
  <c r="I2833" i="8"/>
  <c r="C2833" i="8"/>
  <c r="B2833" i="8"/>
  <c r="A2833" i="8"/>
  <c r="I2832" i="8"/>
  <c r="C2832" i="8"/>
  <c r="B2832" i="8"/>
  <c r="A2832" i="8"/>
  <c r="I2831" i="8"/>
  <c r="C2831" i="8"/>
  <c r="B2831" i="8"/>
  <c r="A2831" i="8"/>
  <c r="I2830" i="8"/>
  <c r="F2830" i="8"/>
  <c r="C2830" i="8"/>
  <c r="B2830" i="8"/>
  <c r="A2830" i="8"/>
  <c r="I2829" i="8"/>
  <c r="C2829" i="8"/>
  <c r="B2829" i="8"/>
  <c r="A2829" i="8"/>
  <c r="I2828" i="8"/>
  <c r="C2828" i="8"/>
  <c r="B2828" i="8"/>
  <c r="A2828" i="8"/>
  <c r="I2827" i="8"/>
  <c r="C2827" i="8"/>
  <c r="B2827" i="8"/>
  <c r="A2827" i="8"/>
  <c r="I2826" i="8"/>
  <c r="C2826" i="8"/>
  <c r="B2826" i="8"/>
  <c r="A2826" i="8"/>
  <c r="I2825" i="8"/>
  <c r="C2825" i="8"/>
  <c r="B2825" i="8"/>
  <c r="A2825" i="8"/>
  <c r="I2824" i="8"/>
  <c r="C2824" i="8"/>
  <c r="B2824" i="8"/>
  <c r="A2824" i="8"/>
  <c r="I2823" i="8"/>
  <c r="F2823" i="8"/>
  <c r="B2842" i="8" s="1"/>
  <c r="C2823" i="8"/>
  <c r="B2823" i="8"/>
  <c r="A2823" i="8"/>
  <c r="C2822" i="8"/>
  <c r="B2822" i="8"/>
  <c r="A2822" i="8"/>
  <c r="I2821" i="8"/>
  <c r="C2821" i="8"/>
  <c r="B2821" i="8"/>
  <c r="A2821" i="8"/>
  <c r="C2820" i="8"/>
  <c r="B2820" i="8"/>
  <c r="A2820" i="8"/>
  <c r="C2819" i="8"/>
  <c r="B2819" i="8"/>
  <c r="A2819" i="8"/>
  <c r="I2818" i="8"/>
  <c r="C2818" i="8"/>
  <c r="B2818" i="8"/>
  <c r="A2818" i="8"/>
  <c r="C2817" i="8"/>
  <c r="B2817" i="8"/>
  <c r="A2817" i="8"/>
  <c r="C2816" i="8"/>
  <c r="B2816" i="8"/>
  <c r="A2816" i="8"/>
  <c r="C2815" i="8"/>
  <c r="B2815" i="8"/>
  <c r="A2815" i="8"/>
  <c r="I2814" i="8"/>
  <c r="C2814" i="8"/>
  <c r="B2814" i="8"/>
  <c r="A2814" i="8"/>
  <c r="U2796" i="8"/>
  <c r="S2796" i="8"/>
  <c r="I2796" i="8"/>
  <c r="C2796" i="8"/>
  <c r="B2796" i="8"/>
  <c r="A2796" i="8"/>
  <c r="I2795" i="8"/>
  <c r="C2795" i="8"/>
  <c r="B2795" i="8"/>
  <c r="A2795" i="8"/>
  <c r="I2794" i="8"/>
  <c r="C2794" i="8"/>
  <c r="B2794" i="8"/>
  <c r="A2794" i="8"/>
  <c r="I2793" i="8"/>
  <c r="C2793" i="8"/>
  <c r="B2793" i="8"/>
  <c r="A2793" i="8"/>
  <c r="I2792" i="8"/>
  <c r="C2792" i="8"/>
  <c r="B2792" i="8"/>
  <c r="A2792" i="8"/>
  <c r="I2791" i="8"/>
  <c r="C2791" i="8"/>
  <c r="B2791" i="8"/>
  <c r="A2791" i="8"/>
  <c r="I2790" i="8"/>
  <c r="C2790" i="8"/>
  <c r="B2790" i="8"/>
  <c r="A2790" i="8"/>
  <c r="I2789" i="8"/>
  <c r="C2789" i="8"/>
  <c r="B2789" i="8"/>
  <c r="A2789" i="8"/>
  <c r="I2788" i="8"/>
  <c r="C2788" i="8"/>
  <c r="B2788" i="8"/>
  <c r="A2788" i="8"/>
  <c r="I2787" i="8"/>
  <c r="C2787" i="8"/>
  <c r="B2787" i="8"/>
  <c r="A2787" i="8"/>
  <c r="I2786" i="8"/>
  <c r="F2786" i="8"/>
  <c r="C2786" i="8"/>
  <c r="B2786" i="8"/>
  <c r="A2786" i="8"/>
  <c r="I2785" i="8"/>
  <c r="C2785" i="8"/>
  <c r="B2785" i="8"/>
  <c r="A2785" i="8"/>
  <c r="I2784" i="8"/>
  <c r="C2784" i="8"/>
  <c r="B2784" i="8"/>
  <c r="A2784" i="8"/>
  <c r="I2783" i="8"/>
  <c r="C2783" i="8"/>
  <c r="B2783" i="8"/>
  <c r="A2783" i="8"/>
  <c r="I2782" i="8"/>
  <c r="C2782" i="8"/>
  <c r="B2782" i="8"/>
  <c r="A2782" i="8"/>
  <c r="I2781" i="8"/>
  <c r="C2781" i="8"/>
  <c r="B2781" i="8"/>
  <c r="A2781" i="8"/>
  <c r="I2780" i="8"/>
  <c r="C2780" i="8"/>
  <c r="B2780" i="8"/>
  <c r="A2780" i="8"/>
  <c r="I2779" i="8"/>
  <c r="F2779" i="8"/>
  <c r="B2798" i="8" s="1"/>
  <c r="C2779" i="8"/>
  <c r="B2779" i="8"/>
  <c r="A2779" i="8"/>
  <c r="C2778" i="8"/>
  <c r="B2778" i="8"/>
  <c r="A2778" i="8"/>
  <c r="I2777" i="8"/>
  <c r="C2777" i="8"/>
  <c r="B2777" i="8"/>
  <c r="A2777" i="8"/>
  <c r="C2776" i="8"/>
  <c r="B2776" i="8"/>
  <c r="A2776" i="8"/>
  <c r="C2775" i="8"/>
  <c r="B2775" i="8"/>
  <c r="A2775" i="8"/>
  <c r="I2774" i="8"/>
  <c r="C2774" i="8"/>
  <c r="B2774" i="8"/>
  <c r="A2774" i="8"/>
  <c r="C2773" i="8"/>
  <c r="B2773" i="8"/>
  <c r="A2773" i="8"/>
  <c r="C2772" i="8"/>
  <c r="B2772" i="8"/>
  <c r="A2772" i="8"/>
  <c r="C2771" i="8"/>
  <c r="B2771" i="8"/>
  <c r="A2771" i="8"/>
  <c r="I2770" i="8"/>
  <c r="C2770" i="8"/>
  <c r="B2770" i="8"/>
  <c r="A2770" i="8"/>
  <c r="U2738" i="8"/>
  <c r="S2738" i="8"/>
  <c r="I2738" i="8"/>
  <c r="C2738" i="8"/>
  <c r="B2738" i="8"/>
  <c r="A2738" i="8"/>
  <c r="I2737" i="8"/>
  <c r="C2737" i="8"/>
  <c r="B2737" i="8"/>
  <c r="A2737" i="8"/>
  <c r="I2736" i="8"/>
  <c r="C2736" i="8"/>
  <c r="B2736" i="8"/>
  <c r="A2736" i="8"/>
  <c r="I2735" i="8"/>
  <c r="C2735" i="8"/>
  <c r="B2735" i="8"/>
  <c r="A2735" i="8"/>
  <c r="I2734" i="8"/>
  <c r="C2734" i="8"/>
  <c r="B2734" i="8"/>
  <c r="A2734" i="8"/>
  <c r="I2733" i="8"/>
  <c r="C2733" i="8"/>
  <c r="B2733" i="8"/>
  <c r="A2733" i="8"/>
  <c r="I2732" i="8"/>
  <c r="C2732" i="8"/>
  <c r="B2732" i="8"/>
  <c r="A2732" i="8"/>
  <c r="I2731" i="8"/>
  <c r="C2731" i="8"/>
  <c r="B2731" i="8"/>
  <c r="A2731" i="8"/>
  <c r="I2730" i="8"/>
  <c r="C2730" i="8"/>
  <c r="B2730" i="8"/>
  <c r="A2730" i="8"/>
  <c r="I2729" i="8"/>
  <c r="C2729" i="8"/>
  <c r="B2729" i="8"/>
  <c r="A2729" i="8"/>
  <c r="I2728" i="8"/>
  <c r="F2728" i="8"/>
  <c r="C2728" i="8"/>
  <c r="B2728" i="8"/>
  <c r="A2728" i="8"/>
  <c r="I2727" i="8"/>
  <c r="C2727" i="8"/>
  <c r="B2727" i="8"/>
  <c r="A2727" i="8"/>
  <c r="I2726" i="8"/>
  <c r="C2726" i="8"/>
  <c r="B2726" i="8"/>
  <c r="A2726" i="8"/>
  <c r="I2725" i="8"/>
  <c r="C2725" i="8"/>
  <c r="B2725" i="8"/>
  <c r="A2725" i="8"/>
  <c r="I2724" i="8"/>
  <c r="C2724" i="8"/>
  <c r="B2724" i="8"/>
  <c r="A2724" i="8"/>
  <c r="I2723" i="8"/>
  <c r="C2723" i="8"/>
  <c r="B2723" i="8"/>
  <c r="A2723" i="8"/>
  <c r="I2722" i="8"/>
  <c r="C2722" i="8"/>
  <c r="B2722" i="8"/>
  <c r="A2722" i="8"/>
  <c r="I2721" i="8"/>
  <c r="F2721" i="8"/>
  <c r="B2740" i="8" s="1"/>
  <c r="C2721" i="8"/>
  <c r="B2721" i="8"/>
  <c r="A2721" i="8"/>
  <c r="C2720" i="8"/>
  <c r="B2720" i="8"/>
  <c r="A2720" i="8"/>
  <c r="I2719" i="8"/>
  <c r="C2719" i="8"/>
  <c r="B2719" i="8"/>
  <c r="A2719" i="8"/>
  <c r="C2718" i="8"/>
  <c r="B2718" i="8"/>
  <c r="A2718" i="8"/>
  <c r="C2717" i="8"/>
  <c r="B2717" i="8"/>
  <c r="A2717" i="8"/>
  <c r="I2716" i="8"/>
  <c r="C2716" i="8"/>
  <c r="B2716" i="8"/>
  <c r="A2716" i="8"/>
  <c r="C2715" i="8"/>
  <c r="B2715" i="8"/>
  <c r="A2715" i="8"/>
  <c r="C2714" i="8"/>
  <c r="B2714" i="8"/>
  <c r="A2714" i="8"/>
  <c r="C2713" i="8"/>
  <c r="B2713" i="8"/>
  <c r="A2713" i="8"/>
  <c r="I2712" i="8"/>
  <c r="C2712" i="8"/>
  <c r="B2712" i="8"/>
  <c r="A2712" i="8"/>
  <c r="U2694" i="8"/>
  <c r="S2694" i="8"/>
  <c r="I2694" i="8"/>
  <c r="C2694" i="8"/>
  <c r="B2694" i="8"/>
  <c r="A2694" i="8"/>
  <c r="I2693" i="8"/>
  <c r="C2693" i="8"/>
  <c r="B2693" i="8"/>
  <c r="A2693" i="8"/>
  <c r="I2692" i="8"/>
  <c r="C2692" i="8"/>
  <c r="B2692" i="8"/>
  <c r="A2692" i="8"/>
  <c r="I2691" i="8"/>
  <c r="C2691" i="8"/>
  <c r="B2691" i="8"/>
  <c r="A2691" i="8"/>
  <c r="I2690" i="8"/>
  <c r="C2690" i="8"/>
  <c r="B2690" i="8"/>
  <c r="A2690" i="8"/>
  <c r="I2689" i="8"/>
  <c r="C2689" i="8"/>
  <c r="B2689" i="8"/>
  <c r="A2689" i="8"/>
  <c r="I2688" i="8"/>
  <c r="C2688" i="8"/>
  <c r="B2688" i="8"/>
  <c r="A2688" i="8"/>
  <c r="I2687" i="8"/>
  <c r="C2687" i="8"/>
  <c r="B2687" i="8"/>
  <c r="A2687" i="8"/>
  <c r="I2686" i="8"/>
  <c r="C2686" i="8"/>
  <c r="B2686" i="8"/>
  <c r="A2686" i="8"/>
  <c r="I2685" i="8"/>
  <c r="C2685" i="8"/>
  <c r="B2685" i="8"/>
  <c r="A2685" i="8"/>
  <c r="I2684" i="8"/>
  <c r="F2684" i="8"/>
  <c r="C2684" i="8"/>
  <c r="B2684" i="8"/>
  <c r="A2684" i="8"/>
  <c r="I2683" i="8"/>
  <c r="C2683" i="8"/>
  <c r="B2683" i="8"/>
  <c r="A2683" i="8"/>
  <c r="I2682" i="8"/>
  <c r="C2682" i="8"/>
  <c r="B2682" i="8"/>
  <c r="A2682" i="8"/>
  <c r="I2681" i="8"/>
  <c r="C2681" i="8"/>
  <c r="B2681" i="8"/>
  <c r="A2681" i="8"/>
  <c r="I2680" i="8"/>
  <c r="C2680" i="8"/>
  <c r="B2680" i="8"/>
  <c r="A2680" i="8"/>
  <c r="I2679" i="8"/>
  <c r="C2679" i="8"/>
  <c r="B2679" i="8"/>
  <c r="A2679" i="8"/>
  <c r="I2678" i="8"/>
  <c r="C2678" i="8"/>
  <c r="B2678" i="8"/>
  <c r="A2678" i="8"/>
  <c r="I2677" i="8"/>
  <c r="F2677" i="8"/>
  <c r="B2696" i="8" s="1"/>
  <c r="C2677" i="8"/>
  <c r="B2677" i="8"/>
  <c r="A2677" i="8"/>
  <c r="C2676" i="8"/>
  <c r="B2676" i="8"/>
  <c r="A2676" i="8"/>
  <c r="I2675" i="8"/>
  <c r="C2675" i="8"/>
  <c r="B2675" i="8"/>
  <c r="A2675" i="8"/>
  <c r="C2674" i="8"/>
  <c r="B2674" i="8"/>
  <c r="A2674" i="8"/>
  <c r="C2673" i="8"/>
  <c r="B2673" i="8"/>
  <c r="A2673" i="8"/>
  <c r="I2672" i="8"/>
  <c r="C2672" i="8"/>
  <c r="B2672" i="8"/>
  <c r="A2672" i="8"/>
  <c r="C2671" i="8"/>
  <c r="B2671" i="8"/>
  <c r="A2671" i="8"/>
  <c r="C2670" i="8"/>
  <c r="B2670" i="8"/>
  <c r="A2670" i="8"/>
  <c r="C2669" i="8"/>
  <c r="B2669" i="8"/>
  <c r="A2669" i="8"/>
  <c r="I2668" i="8"/>
  <c r="C2668" i="8"/>
  <c r="B2668" i="8"/>
  <c r="A2668" i="8"/>
  <c r="I2650" i="8"/>
  <c r="C2650" i="8"/>
  <c r="B2650" i="8"/>
  <c r="A2650" i="8"/>
  <c r="I2649" i="8"/>
  <c r="C2649" i="8"/>
  <c r="B2649" i="8"/>
  <c r="A2649" i="8"/>
  <c r="I2648" i="8"/>
  <c r="C2648" i="8"/>
  <c r="B2648" i="8"/>
  <c r="A2648" i="8"/>
  <c r="I2647" i="8"/>
  <c r="C2647" i="8"/>
  <c r="B2647" i="8"/>
  <c r="A2647" i="8"/>
  <c r="I2646" i="8"/>
  <c r="C2646" i="8"/>
  <c r="B2646" i="8"/>
  <c r="A2646" i="8"/>
  <c r="I2645" i="8"/>
  <c r="C2645" i="8"/>
  <c r="B2645" i="8"/>
  <c r="A2645" i="8"/>
  <c r="I2644" i="8"/>
  <c r="C2644" i="8"/>
  <c r="B2644" i="8"/>
  <c r="A2644" i="8"/>
  <c r="I2643" i="8"/>
  <c r="C2643" i="8"/>
  <c r="B2643" i="8"/>
  <c r="A2643" i="8"/>
  <c r="I2642" i="8"/>
  <c r="C2642" i="8"/>
  <c r="B2642" i="8"/>
  <c r="A2642" i="8"/>
  <c r="I2641" i="8"/>
  <c r="C2641" i="8"/>
  <c r="B2641" i="8"/>
  <c r="A2641" i="8"/>
  <c r="I2640" i="8"/>
  <c r="F2640" i="8"/>
  <c r="C2640" i="8"/>
  <c r="B2640" i="8"/>
  <c r="A2640" i="8"/>
  <c r="I2639" i="8"/>
  <c r="C2639" i="8"/>
  <c r="B2639" i="8"/>
  <c r="A2639" i="8"/>
  <c r="I2638" i="8"/>
  <c r="C2638" i="8"/>
  <c r="B2638" i="8"/>
  <c r="A2638" i="8"/>
  <c r="I2637" i="8"/>
  <c r="C2637" i="8"/>
  <c r="B2637" i="8"/>
  <c r="A2637" i="8"/>
  <c r="I2636" i="8"/>
  <c r="C2636" i="8"/>
  <c r="B2636" i="8"/>
  <c r="A2636" i="8"/>
  <c r="I2635" i="8"/>
  <c r="C2635" i="8"/>
  <c r="B2635" i="8"/>
  <c r="A2635" i="8"/>
  <c r="I2634" i="8"/>
  <c r="C2634" i="8"/>
  <c r="B2634" i="8"/>
  <c r="A2634" i="8"/>
  <c r="I2633" i="8"/>
  <c r="F2633" i="8"/>
  <c r="B2652" i="8" s="1"/>
  <c r="C2633" i="8"/>
  <c r="B2633" i="8"/>
  <c r="A2633" i="8"/>
  <c r="C2632" i="8"/>
  <c r="B2632" i="8"/>
  <c r="A2632" i="8"/>
  <c r="I2631" i="8"/>
  <c r="C2631" i="8"/>
  <c r="B2631" i="8"/>
  <c r="A2631" i="8"/>
  <c r="C2630" i="8"/>
  <c r="B2630" i="8"/>
  <c r="A2630" i="8"/>
  <c r="C2629" i="8"/>
  <c r="B2629" i="8"/>
  <c r="A2629" i="8"/>
  <c r="I2628" i="8"/>
  <c r="C2628" i="8"/>
  <c r="B2628" i="8"/>
  <c r="A2628" i="8"/>
  <c r="C2627" i="8"/>
  <c r="B2627" i="8"/>
  <c r="A2627" i="8"/>
  <c r="C2626" i="8"/>
  <c r="B2626" i="8"/>
  <c r="A2626" i="8"/>
  <c r="C2625" i="8"/>
  <c r="B2625" i="8"/>
  <c r="A2625" i="8"/>
  <c r="I2624" i="8"/>
  <c r="C2624" i="8"/>
  <c r="B2624" i="8"/>
  <c r="A2624" i="8"/>
  <c r="I2606" i="8"/>
  <c r="C2606" i="8"/>
  <c r="U2606" i="8" s="1"/>
  <c r="B2606" i="8"/>
  <c r="A2606" i="8"/>
  <c r="I2605" i="8"/>
  <c r="C2605" i="8"/>
  <c r="B2605" i="8"/>
  <c r="A2605" i="8"/>
  <c r="I2604" i="8"/>
  <c r="C2604" i="8"/>
  <c r="B2604" i="8"/>
  <c r="A2604" i="8"/>
  <c r="I2603" i="8"/>
  <c r="C2603" i="8"/>
  <c r="B2603" i="8"/>
  <c r="A2603" i="8"/>
  <c r="I2602" i="8"/>
  <c r="C2602" i="8"/>
  <c r="B2602" i="8"/>
  <c r="A2602" i="8"/>
  <c r="I2601" i="8"/>
  <c r="C2601" i="8"/>
  <c r="B2601" i="8"/>
  <c r="A2601" i="8"/>
  <c r="I2600" i="8"/>
  <c r="C2600" i="8"/>
  <c r="B2600" i="8"/>
  <c r="A2600" i="8"/>
  <c r="I2599" i="8"/>
  <c r="C2599" i="8"/>
  <c r="B2599" i="8"/>
  <c r="A2599" i="8"/>
  <c r="I2598" i="8"/>
  <c r="C2598" i="8"/>
  <c r="B2598" i="8"/>
  <c r="A2598" i="8"/>
  <c r="I2597" i="8"/>
  <c r="C2597" i="8"/>
  <c r="B2597" i="8"/>
  <c r="A2597" i="8"/>
  <c r="I2596" i="8"/>
  <c r="F2596" i="8"/>
  <c r="C2596" i="8"/>
  <c r="B2596" i="8"/>
  <c r="A2596" i="8"/>
  <c r="I2595" i="8"/>
  <c r="C2595" i="8"/>
  <c r="B2595" i="8"/>
  <c r="A2595" i="8"/>
  <c r="I2594" i="8"/>
  <c r="C2594" i="8"/>
  <c r="B2594" i="8"/>
  <c r="A2594" i="8"/>
  <c r="I2593" i="8"/>
  <c r="C2593" i="8"/>
  <c r="B2593" i="8"/>
  <c r="A2593" i="8"/>
  <c r="I2592" i="8"/>
  <c r="C2592" i="8"/>
  <c r="B2592" i="8"/>
  <c r="A2592" i="8"/>
  <c r="I2591" i="8"/>
  <c r="C2591" i="8"/>
  <c r="B2591" i="8"/>
  <c r="A2591" i="8"/>
  <c r="I2590" i="8"/>
  <c r="C2590" i="8"/>
  <c r="B2590" i="8"/>
  <c r="A2590" i="8"/>
  <c r="I2589" i="8"/>
  <c r="F2589" i="8"/>
  <c r="B2608" i="8" s="1"/>
  <c r="C2589" i="8"/>
  <c r="B2589" i="8"/>
  <c r="A2589" i="8"/>
  <c r="C2588" i="8"/>
  <c r="B2588" i="8"/>
  <c r="A2588" i="8"/>
  <c r="I2587" i="8"/>
  <c r="C2587" i="8"/>
  <c r="B2587" i="8"/>
  <c r="A2587" i="8"/>
  <c r="C2586" i="8"/>
  <c r="B2586" i="8"/>
  <c r="A2586" i="8"/>
  <c r="C2585" i="8"/>
  <c r="B2585" i="8"/>
  <c r="A2585" i="8"/>
  <c r="I2584" i="8"/>
  <c r="C2584" i="8"/>
  <c r="B2584" i="8"/>
  <c r="A2584" i="8"/>
  <c r="C2583" i="8"/>
  <c r="B2583" i="8"/>
  <c r="A2583" i="8"/>
  <c r="C2582" i="8"/>
  <c r="B2582" i="8"/>
  <c r="A2582" i="8"/>
  <c r="C2581" i="8"/>
  <c r="B2581" i="8"/>
  <c r="A2581" i="8"/>
  <c r="I2580" i="8"/>
  <c r="C2580" i="8"/>
  <c r="B2580" i="8"/>
  <c r="A2580" i="8"/>
  <c r="B2564" i="8"/>
  <c r="I2562" i="8"/>
  <c r="C2562" i="8"/>
  <c r="B2562" i="8"/>
  <c r="A2562" i="8"/>
  <c r="I2561" i="8"/>
  <c r="C2561" i="8"/>
  <c r="B2561" i="8"/>
  <c r="A2561" i="8"/>
  <c r="I2560" i="8"/>
  <c r="C2560" i="8"/>
  <c r="B2560" i="8"/>
  <c r="A2560" i="8"/>
  <c r="I2559" i="8"/>
  <c r="C2559" i="8"/>
  <c r="B2559" i="8"/>
  <c r="A2559" i="8"/>
  <c r="I2558" i="8"/>
  <c r="C2558" i="8"/>
  <c r="B2558" i="8"/>
  <c r="A2558" i="8"/>
  <c r="I2557" i="8"/>
  <c r="C2557" i="8"/>
  <c r="B2557" i="8"/>
  <c r="A2557" i="8"/>
  <c r="I2556" i="8"/>
  <c r="C2556" i="8"/>
  <c r="B2556" i="8"/>
  <c r="A2556" i="8"/>
  <c r="I2555" i="8"/>
  <c r="C2555" i="8"/>
  <c r="B2555" i="8"/>
  <c r="A2555" i="8"/>
  <c r="I2554" i="8"/>
  <c r="C2554" i="8"/>
  <c r="B2554" i="8"/>
  <c r="A2554" i="8"/>
  <c r="I2553" i="8"/>
  <c r="C2553" i="8"/>
  <c r="B2553" i="8"/>
  <c r="A2553" i="8"/>
  <c r="I2552" i="8"/>
  <c r="F2552" i="8"/>
  <c r="C2552" i="8"/>
  <c r="B2552" i="8"/>
  <c r="A2552" i="8"/>
  <c r="I2551" i="8"/>
  <c r="C2551" i="8"/>
  <c r="B2551" i="8"/>
  <c r="A2551" i="8"/>
  <c r="I2550" i="8"/>
  <c r="C2550" i="8"/>
  <c r="B2550" i="8"/>
  <c r="A2550" i="8"/>
  <c r="I2549" i="8"/>
  <c r="C2549" i="8"/>
  <c r="B2549" i="8"/>
  <c r="A2549" i="8"/>
  <c r="I2548" i="8"/>
  <c r="C2548" i="8"/>
  <c r="B2548" i="8"/>
  <c r="A2548" i="8"/>
  <c r="I2547" i="8"/>
  <c r="C2547" i="8"/>
  <c r="B2547" i="8"/>
  <c r="A2547" i="8"/>
  <c r="I2546" i="8"/>
  <c r="C2546" i="8"/>
  <c r="B2546" i="8"/>
  <c r="A2546" i="8"/>
  <c r="I2545" i="8"/>
  <c r="F2545" i="8"/>
  <c r="C2545" i="8"/>
  <c r="B2545" i="8"/>
  <c r="A2545" i="8"/>
  <c r="C2544" i="8"/>
  <c r="B2544" i="8"/>
  <c r="A2544" i="8"/>
  <c r="I2543" i="8"/>
  <c r="C2543" i="8"/>
  <c r="B2543" i="8"/>
  <c r="A2543" i="8"/>
  <c r="C2542" i="8"/>
  <c r="B2542" i="8"/>
  <c r="A2542" i="8"/>
  <c r="C2541" i="8"/>
  <c r="B2541" i="8"/>
  <c r="A2541" i="8"/>
  <c r="I2540" i="8"/>
  <c r="C2540" i="8"/>
  <c r="B2540" i="8"/>
  <c r="A2540" i="8"/>
  <c r="C2539" i="8"/>
  <c r="B2539" i="8"/>
  <c r="A2539" i="8"/>
  <c r="C2538" i="8"/>
  <c r="B2538" i="8"/>
  <c r="A2538" i="8"/>
  <c r="C2537" i="8"/>
  <c r="B2537" i="8"/>
  <c r="A2537" i="8"/>
  <c r="I2536" i="8"/>
  <c r="C2536" i="8"/>
  <c r="B2536" i="8"/>
  <c r="A2536" i="8"/>
  <c r="I2518" i="8"/>
  <c r="C2518" i="8"/>
  <c r="B2518" i="8"/>
  <c r="A2518" i="8"/>
  <c r="I2517" i="8"/>
  <c r="C2517" i="8"/>
  <c r="B2517" i="8"/>
  <c r="A2517" i="8"/>
  <c r="I2516" i="8"/>
  <c r="C2516" i="8"/>
  <c r="B2516" i="8"/>
  <c r="A2516" i="8"/>
  <c r="I2515" i="8"/>
  <c r="C2515" i="8"/>
  <c r="B2515" i="8"/>
  <c r="A2515" i="8"/>
  <c r="I2514" i="8"/>
  <c r="C2514" i="8"/>
  <c r="B2514" i="8"/>
  <c r="A2514" i="8"/>
  <c r="I2513" i="8"/>
  <c r="C2513" i="8"/>
  <c r="B2513" i="8"/>
  <c r="A2513" i="8"/>
  <c r="I2512" i="8"/>
  <c r="C2512" i="8"/>
  <c r="B2512" i="8"/>
  <c r="A2512" i="8"/>
  <c r="I2511" i="8"/>
  <c r="C2511" i="8"/>
  <c r="B2511" i="8"/>
  <c r="A2511" i="8"/>
  <c r="I2510" i="8"/>
  <c r="C2510" i="8"/>
  <c r="B2510" i="8"/>
  <c r="A2510" i="8"/>
  <c r="I2509" i="8"/>
  <c r="C2509" i="8"/>
  <c r="B2509" i="8"/>
  <c r="A2509" i="8"/>
  <c r="I2508" i="8"/>
  <c r="F2508" i="8"/>
  <c r="C2508" i="8"/>
  <c r="B2508" i="8"/>
  <c r="A2508" i="8"/>
  <c r="I2507" i="8"/>
  <c r="C2507" i="8"/>
  <c r="B2507" i="8"/>
  <c r="A2507" i="8"/>
  <c r="I2506" i="8"/>
  <c r="C2506" i="8"/>
  <c r="B2506" i="8"/>
  <c r="A2506" i="8"/>
  <c r="I2505" i="8"/>
  <c r="C2505" i="8"/>
  <c r="B2505" i="8"/>
  <c r="A2505" i="8"/>
  <c r="I2504" i="8"/>
  <c r="C2504" i="8"/>
  <c r="B2504" i="8"/>
  <c r="A2504" i="8"/>
  <c r="I2503" i="8"/>
  <c r="C2503" i="8"/>
  <c r="B2503" i="8"/>
  <c r="A2503" i="8"/>
  <c r="I2502" i="8"/>
  <c r="C2502" i="8"/>
  <c r="B2502" i="8"/>
  <c r="A2502" i="8"/>
  <c r="I2501" i="8"/>
  <c r="F2501" i="8"/>
  <c r="B2520" i="8" s="1"/>
  <c r="C2501" i="8"/>
  <c r="B2501" i="8"/>
  <c r="A2501" i="8"/>
  <c r="C2500" i="8"/>
  <c r="B2500" i="8"/>
  <c r="A2500" i="8"/>
  <c r="I2499" i="8"/>
  <c r="C2499" i="8"/>
  <c r="B2499" i="8"/>
  <c r="A2499" i="8"/>
  <c r="C2498" i="8"/>
  <c r="B2498" i="8"/>
  <c r="A2498" i="8"/>
  <c r="C2497" i="8"/>
  <c r="B2497" i="8"/>
  <c r="A2497" i="8"/>
  <c r="I2496" i="8"/>
  <c r="C2496" i="8"/>
  <c r="B2496" i="8"/>
  <c r="A2496" i="8"/>
  <c r="C2495" i="8"/>
  <c r="B2495" i="8"/>
  <c r="A2495" i="8"/>
  <c r="C2494" i="8"/>
  <c r="B2494" i="8"/>
  <c r="A2494" i="8"/>
  <c r="C2493" i="8"/>
  <c r="B2493" i="8"/>
  <c r="A2493" i="8"/>
  <c r="I2492" i="8"/>
  <c r="C2492" i="8"/>
  <c r="B2492" i="8"/>
  <c r="A2492" i="8"/>
  <c r="U2474" i="8"/>
  <c r="I2474" i="8"/>
  <c r="C2474" i="8"/>
  <c r="S2474" i="8" s="1"/>
  <c r="B2474" i="8"/>
  <c r="A2474" i="8"/>
  <c r="I2473" i="8"/>
  <c r="C2473" i="8"/>
  <c r="B2473" i="8"/>
  <c r="A2473" i="8"/>
  <c r="I2472" i="8"/>
  <c r="C2472" i="8"/>
  <c r="B2472" i="8"/>
  <c r="A2472" i="8"/>
  <c r="I2471" i="8"/>
  <c r="C2471" i="8"/>
  <c r="B2471" i="8"/>
  <c r="A2471" i="8"/>
  <c r="I2470" i="8"/>
  <c r="C2470" i="8"/>
  <c r="B2470" i="8"/>
  <c r="A2470" i="8"/>
  <c r="I2469" i="8"/>
  <c r="C2469" i="8"/>
  <c r="B2469" i="8"/>
  <c r="A2469" i="8"/>
  <c r="I2468" i="8"/>
  <c r="C2468" i="8"/>
  <c r="B2468" i="8"/>
  <c r="A2468" i="8"/>
  <c r="I2467" i="8"/>
  <c r="C2467" i="8"/>
  <c r="B2467" i="8"/>
  <c r="A2467" i="8"/>
  <c r="I2466" i="8"/>
  <c r="C2466" i="8"/>
  <c r="B2466" i="8"/>
  <c r="A2466" i="8"/>
  <c r="I2465" i="8"/>
  <c r="C2465" i="8"/>
  <c r="B2465" i="8"/>
  <c r="A2465" i="8"/>
  <c r="I2464" i="8"/>
  <c r="F2464" i="8"/>
  <c r="C2464" i="8"/>
  <c r="B2464" i="8"/>
  <c r="A2464" i="8"/>
  <c r="I2463" i="8"/>
  <c r="C2463" i="8"/>
  <c r="B2463" i="8"/>
  <c r="A2463" i="8"/>
  <c r="I2462" i="8"/>
  <c r="C2462" i="8"/>
  <c r="B2462" i="8"/>
  <c r="A2462" i="8"/>
  <c r="I2461" i="8"/>
  <c r="C2461" i="8"/>
  <c r="B2461" i="8"/>
  <c r="A2461" i="8"/>
  <c r="I2460" i="8"/>
  <c r="C2460" i="8"/>
  <c r="B2460" i="8"/>
  <c r="A2460" i="8"/>
  <c r="I2459" i="8"/>
  <c r="C2459" i="8"/>
  <c r="B2459" i="8"/>
  <c r="A2459" i="8"/>
  <c r="I2458" i="8"/>
  <c r="C2458" i="8"/>
  <c r="B2458" i="8"/>
  <c r="A2458" i="8"/>
  <c r="I2457" i="8"/>
  <c r="F2457" i="8"/>
  <c r="B2476" i="8" s="1"/>
  <c r="C2457" i="8"/>
  <c r="B2457" i="8"/>
  <c r="A2457" i="8"/>
  <c r="C2456" i="8"/>
  <c r="B2456" i="8"/>
  <c r="A2456" i="8"/>
  <c r="I2455" i="8"/>
  <c r="C2455" i="8"/>
  <c r="B2455" i="8"/>
  <c r="A2455" i="8"/>
  <c r="C2454" i="8"/>
  <c r="B2454" i="8"/>
  <c r="A2454" i="8"/>
  <c r="C2453" i="8"/>
  <c r="B2453" i="8"/>
  <c r="A2453" i="8"/>
  <c r="I2452" i="8"/>
  <c r="C2452" i="8"/>
  <c r="B2452" i="8"/>
  <c r="A2452" i="8"/>
  <c r="C2451" i="8"/>
  <c r="B2451" i="8"/>
  <c r="A2451" i="8"/>
  <c r="C2450" i="8"/>
  <c r="B2450" i="8"/>
  <c r="A2450" i="8"/>
  <c r="C2449" i="8"/>
  <c r="B2449" i="8"/>
  <c r="A2449" i="8"/>
  <c r="I2448" i="8"/>
  <c r="C2448" i="8"/>
  <c r="B2448" i="8"/>
  <c r="A2448" i="8"/>
  <c r="U2430" i="8"/>
  <c r="S2430" i="8"/>
  <c r="I2430" i="8"/>
  <c r="C2430" i="8"/>
  <c r="B2430" i="8"/>
  <c r="A2430" i="8"/>
  <c r="I2429" i="8"/>
  <c r="C2429" i="8"/>
  <c r="B2429" i="8"/>
  <c r="A2429" i="8"/>
  <c r="I2428" i="8"/>
  <c r="C2428" i="8"/>
  <c r="B2428" i="8"/>
  <c r="A2428" i="8"/>
  <c r="I2427" i="8"/>
  <c r="C2427" i="8"/>
  <c r="B2427" i="8"/>
  <c r="A2427" i="8"/>
  <c r="I2426" i="8"/>
  <c r="C2426" i="8"/>
  <c r="B2426" i="8"/>
  <c r="A2426" i="8"/>
  <c r="I2425" i="8"/>
  <c r="C2425" i="8"/>
  <c r="B2425" i="8"/>
  <c r="A2425" i="8"/>
  <c r="I2424" i="8"/>
  <c r="C2424" i="8"/>
  <c r="B2424" i="8"/>
  <c r="A2424" i="8"/>
  <c r="I2423" i="8"/>
  <c r="C2423" i="8"/>
  <c r="B2423" i="8"/>
  <c r="A2423" i="8"/>
  <c r="I2422" i="8"/>
  <c r="C2422" i="8"/>
  <c r="B2422" i="8"/>
  <c r="A2422" i="8"/>
  <c r="I2421" i="8"/>
  <c r="C2421" i="8"/>
  <c r="B2421" i="8"/>
  <c r="A2421" i="8"/>
  <c r="I2420" i="8"/>
  <c r="F2420" i="8"/>
  <c r="C2420" i="8"/>
  <c r="B2420" i="8"/>
  <c r="A2420" i="8"/>
  <c r="I2419" i="8"/>
  <c r="C2419" i="8"/>
  <c r="B2419" i="8"/>
  <c r="A2419" i="8"/>
  <c r="I2418" i="8"/>
  <c r="C2418" i="8"/>
  <c r="B2418" i="8"/>
  <c r="A2418" i="8"/>
  <c r="I2417" i="8"/>
  <c r="C2417" i="8"/>
  <c r="B2417" i="8"/>
  <c r="A2417" i="8"/>
  <c r="I2416" i="8"/>
  <c r="C2416" i="8"/>
  <c r="B2416" i="8"/>
  <c r="A2416" i="8"/>
  <c r="I2415" i="8"/>
  <c r="C2415" i="8"/>
  <c r="B2415" i="8"/>
  <c r="A2415" i="8"/>
  <c r="I2414" i="8"/>
  <c r="C2414" i="8"/>
  <c r="B2414" i="8"/>
  <c r="A2414" i="8"/>
  <c r="I2413" i="8"/>
  <c r="F2413" i="8"/>
  <c r="B2432" i="8" s="1"/>
  <c r="C2413" i="8"/>
  <c r="B2413" i="8"/>
  <c r="A2413" i="8"/>
  <c r="C2412" i="8"/>
  <c r="B2412" i="8"/>
  <c r="A2412" i="8"/>
  <c r="I2411" i="8"/>
  <c r="C2411" i="8"/>
  <c r="B2411" i="8"/>
  <c r="A2411" i="8"/>
  <c r="C2410" i="8"/>
  <c r="B2410" i="8"/>
  <c r="A2410" i="8"/>
  <c r="C2409" i="8"/>
  <c r="B2409" i="8"/>
  <c r="A2409" i="8"/>
  <c r="I2408" i="8"/>
  <c r="C2408" i="8"/>
  <c r="B2408" i="8"/>
  <c r="A2408" i="8"/>
  <c r="C2407" i="8"/>
  <c r="B2407" i="8"/>
  <c r="A2407" i="8"/>
  <c r="C2406" i="8"/>
  <c r="B2406" i="8"/>
  <c r="A2406" i="8"/>
  <c r="C2405" i="8"/>
  <c r="B2405" i="8"/>
  <c r="A2405" i="8"/>
  <c r="I2404" i="8"/>
  <c r="C2404" i="8"/>
  <c r="B2404" i="8"/>
  <c r="A2404" i="8"/>
  <c r="U2386" i="8"/>
  <c r="I2386" i="8"/>
  <c r="C2386" i="8"/>
  <c r="S2386" i="8" s="1"/>
  <c r="B2386" i="8"/>
  <c r="A2386" i="8"/>
  <c r="I2385" i="8"/>
  <c r="C2385" i="8"/>
  <c r="B2385" i="8"/>
  <c r="A2385" i="8"/>
  <c r="I2384" i="8"/>
  <c r="C2384" i="8"/>
  <c r="B2384" i="8"/>
  <c r="A2384" i="8"/>
  <c r="I2383" i="8"/>
  <c r="C2383" i="8"/>
  <c r="B2383" i="8"/>
  <c r="A2383" i="8"/>
  <c r="I2382" i="8"/>
  <c r="C2382" i="8"/>
  <c r="B2382" i="8"/>
  <c r="A2382" i="8"/>
  <c r="I2381" i="8"/>
  <c r="C2381" i="8"/>
  <c r="B2381" i="8"/>
  <c r="A2381" i="8"/>
  <c r="I2380" i="8"/>
  <c r="C2380" i="8"/>
  <c r="B2380" i="8"/>
  <c r="A2380" i="8"/>
  <c r="I2379" i="8"/>
  <c r="C2379" i="8"/>
  <c r="B2379" i="8"/>
  <c r="A2379" i="8"/>
  <c r="I2378" i="8"/>
  <c r="C2378" i="8"/>
  <c r="B2378" i="8"/>
  <c r="A2378" i="8"/>
  <c r="I2377" i="8"/>
  <c r="C2377" i="8"/>
  <c r="B2377" i="8"/>
  <c r="A2377" i="8"/>
  <c r="I2376" i="8"/>
  <c r="F2376" i="8"/>
  <c r="C2376" i="8"/>
  <c r="B2376" i="8"/>
  <c r="A2376" i="8"/>
  <c r="I2375" i="8"/>
  <c r="C2375" i="8"/>
  <c r="B2375" i="8"/>
  <c r="A2375" i="8"/>
  <c r="I2374" i="8"/>
  <c r="C2374" i="8"/>
  <c r="B2374" i="8"/>
  <c r="A2374" i="8"/>
  <c r="I2373" i="8"/>
  <c r="C2373" i="8"/>
  <c r="B2373" i="8"/>
  <c r="A2373" i="8"/>
  <c r="I2372" i="8"/>
  <c r="C2372" i="8"/>
  <c r="B2372" i="8"/>
  <c r="A2372" i="8"/>
  <c r="I2371" i="8"/>
  <c r="C2371" i="8"/>
  <c r="B2371" i="8"/>
  <c r="A2371" i="8"/>
  <c r="I2370" i="8"/>
  <c r="C2370" i="8"/>
  <c r="B2370" i="8"/>
  <c r="A2370" i="8"/>
  <c r="I2369" i="8"/>
  <c r="F2369" i="8"/>
  <c r="B2388" i="8" s="1"/>
  <c r="C2369" i="8"/>
  <c r="B2369" i="8"/>
  <c r="A2369" i="8"/>
  <c r="C2368" i="8"/>
  <c r="B2368" i="8"/>
  <c r="A2368" i="8"/>
  <c r="I2367" i="8"/>
  <c r="C2367" i="8"/>
  <c r="B2367" i="8"/>
  <c r="A2367" i="8"/>
  <c r="C2366" i="8"/>
  <c r="B2366" i="8"/>
  <c r="A2366" i="8"/>
  <c r="C2365" i="8"/>
  <c r="B2365" i="8"/>
  <c r="A2365" i="8"/>
  <c r="I2364" i="8"/>
  <c r="C2364" i="8"/>
  <c r="B2364" i="8"/>
  <c r="A2364" i="8"/>
  <c r="C2363" i="8"/>
  <c r="B2363" i="8"/>
  <c r="A2363" i="8"/>
  <c r="C2362" i="8"/>
  <c r="B2362" i="8"/>
  <c r="A2362" i="8"/>
  <c r="C2361" i="8"/>
  <c r="B2361" i="8"/>
  <c r="A2361" i="8"/>
  <c r="I2360" i="8"/>
  <c r="C2360" i="8"/>
  <c r="B2360" i="8"/>
  <c r="A2360" i="8"/>
  <c r="S2342" i="8"/>
  <c r="I2342" i="8"/>
  <c r="C2342" i="8"/>
  <c r="U2342" i="8" s="1"/>
  <c r="B2342" i="8"/>
  <c r="A2342" i="8"/>
  <c r="I2341" i="8"/>
  <c r="C2341" i="8"/>
  <c r="B2341" i="8"/>
  <c r="A2341" i="8"/>
  <c r="I2340" i="8"/>
  <c r="C2340" i="8"/>
  <c r="B2340" i="8"/>
  <c r="A2340" i="8"/>
  <c r="I2339" i="8"/>
  <c r="C2339" i="8"/>
  <c r="B2339" i="8"/>
  <c r="A2339" i="8"/>
  <c r="I2338" i="8"/>
  <c r="C2338" i="8"/>
  <c r="B2338" i="8"/>
  <c r="A2338" i="8"/>
  <c r="I2337" i="8"/>
  <c r="C2337" i="8"/>
  <c r="B2337" i="8"/>
  <c r="A2337" i="8"/>
  <c r="I2336" i="8"/>
  <c r="C2336" i="8"/>
  <c r="B2336" i="8"/>
  <c r="A2336" i="8"/>
  <c r="I2335" i="8"/>
  <c r="C2335" i="8"/>
  <c r="B2335" i="8"/>
  <c r="A2335" i="8"/>
  <c r="I2334" i="8"/>
  <c r="C2334" i="8"/>
  <c r="B2334" i="8"/>
  <c r="A2334" i="8"/>
  <c r="I2333" i="8"/>
  <c r="C2333" i="8"/>
  <c r="B2333" i="8"/>
  <c r="A2333" i="8"/>
  <c r="I2332" i="8"/>
  <c r="F2332" i="8"/>
  <c r="C2332" i="8"/>
  <c r="B2332" i="8"/>
  <c r="A2332" i="8"/>
  <c r="I2331" i="8"/>
  <c r="C2331" i="8"/>
  <c r="B2331" i="8"/>
  <c r="A2331" i="8"/>
  <c r="I2330" i="8"/>
  <c r="C2330" i="8"/>
  <c r="B2330" i="8"/>
  <c r="A2330" i="8"/>
  <c r="I2329" i="8"/>
  <c r="C2329" i="8"/>
  <c r="B2329" i="8"/>
  <c r="A2329" i="8"/>
  <c r="I2328" i="8"/>
  <c r="C2328" i="8"/>
  <c r="B2328" i="8"/>
  <c r="A2328" i="8"/>
  <c r="I2327" i="8"/>
  <c r="C2327" i="8"/>
  <c r="B2327" i="8"/>
  <c r="A2327" i="8"/>
  <c r="I2326" i="8"/>
  <c r="C2326" i="8"/>
  <c r="B2326" i="8"/>
  <c r="A2326" i="8"/>
  <c r="I2325" i="8"/>
  <c r="F2325" i="8"/>
  <c r="B2344" i="8" s="1"/>
  <c r="C2325" i="8"/>
  <c r="B2325" i="8"/>
  <c r="A2325" i="8"/>
  <c r="C2324" i="8"/>
  <c r="B2324" i="8"/>
  <c r="A2324" i="8"/>
  <c r="I2323" i="8"/>
  <c r="C2323" i="8"/>
  <c r="B2323" i="8"/>
  <c r="A2323" i="8"/>
  <c r="C2322" i="8"/>
  <c r="B2322" i="8"/>
  <c r="A2322" i="8"/>
  <c r="C2321" i="8"/>
  <c r="B2321" i="8"/>
  <c r="A2321" i="8"/>
  <c r="I2320" i="8"/>
  <c r="C2320" i="8"/>
  <c r="B2320" i="8"/>
  <c r="A2320" i="8"/>
  <c r="C2319" i="8"/>
  <c r="B2319" i="8"/>
  <c r="A2319" i="8"/>
  <c r="C2318" i="8"/>
  <c r="B2318" i="8"/>
  <c r="A2318" i="8"/>
  <c r="C2317" i="8"/>
  <c r="B2317" i="8"/>
  <c r="A2317" i="8"/>
  <c r="I2316" i="8"/>
  <c r="C2316" i="8"/>
  <c r="B2316" i="8"/>
  <c r="A2316" i="8"/>
  <c r="U2298" i="8"/>
  <c r="I2298" i="8"/>
  <c r="C2298" i="8"/>
  <c r="S2298" i="8" s="1"/>
  <c r="B2298" i="8"/>
  <c r="A2298" i="8"/>
  <c r="I2297" i="8"/>
  <c r="C2297" i="8"/>
  <c r="B2297" i="8"/>
  <c r="A2297" i="8"/>
  <c r="I2296" i="8"/>
  <c r="C2296" i="8"/>
  <c r="B2296" i="8"/>
  <c r="A2296" i="8"/>
  <c r="I2295" i="8"/>
  <c r="C2295" i="8"/>
  <c r="B2295" i="8"/>
  <c r="A2295" i="8"/>
  <c r="I2294" i="8"/>
  <c r="C2294" i="8"/>
  <c r="B2294" i="8"/>
  <c r="A2294" i="8"/>
  <c r="I2293" i="8"/>
  <c r="C2293" i="8"/>
  <c r="B2293" i="8"/>
  <c r="A2293" i="8"/>
  <c r="I2292" i="8"/>
  <c r="C2292" i="8"/>
  <c r="B2292" i="8"/>
  <c r="A2292" i="8"/>
  <c r="I2291" i="8"/>
  <c r="C2291" i="8"/>
  <c r="B2291" i="8"/>
  <c r="A2291" i="8"/>
  <c r="I2290" i="8"/>
  <c r="C2290" i="8"/>
  <c r="B2290" i="8"/>
  <c r="A2290" i="8"/>
  <c r="I2289" i="8"/>
  <c r="C2289" i="8"/>
  <c r="B2289" i="8"/>
  <c r="A2289" i="8"/>
  <c r="I2288" i="8"/>
  <c r="F2288" i="8"/>
  <c r="C2288" i="8"/>
  <c r="B2288" i="8"/>
  <c r="A2288" i="8"/>
  <c r="I2287" i="8"/>
  <c r="C2287" i="8"/>
  <c r="B2287" i="8"/>
  <c r="A2287" i="8"/>
  <c r="I2286" i="8"/>
  <c r="C2286" i="8"/>
  <c r="B2286" i="8"/>
  <c r="A2286" i="8"/>
  <c r="I2285" i="8"/>
  <c r="C2285" i="8"/>
  <c r="B2285" i="8"/>
  <c r="A2285" i="8"/>
  <c r="I2284" i="8"/>
  <c r="C2284" i="8"/>
  <c r="B2284" i="8"/>
  <c r="A2284" i="8"/>
  <c r="I2283" i="8"/>
  <c r="C2283" i="8"/>
  <c r="B2283" i="8"/>
  <c r="A2283" i="8"/>
  <c r="I2282" i="8"/>
  <c r="C2282" i="8"/>
  <c r="B2282" i="8"/>
  <c r="A2282" i="8"/>
  <c r="I2281" i="8"/>
  <c r="F2281" i="8"/>
  <c r="B2300" i="8" s="1"/>
  <c r="C2281" i="8"/>
  <c r="B2281" i="8"/>
  <c r="A2281" i="8"/>
  <c r="C2280" i="8"/>
  <c r="B2280" i="8"/>
  <c r="A2280" i="8"/>
  <c r="I2279" i="8"/>
  <c r="C2279" i="8"/>
  <c r="B2279" i="8"/>
  <c r="A2279" i="8"/>
  <c r="C2278" i="8"/>
  <c r="B2278" i="8"/>
  <c r="A2278" i="8"/>
  <c r="C2277" i="8"/>
  <c r="B2277" i="8"/>
  <c r="A2277" i="8"/>
  <c r="I2276" i="8"/>
  <c r="C2276" i="8"/>
  <c r="B2276" i="8"/>
  <c r="A2276" i="8"/>
  <c r="C2275" i="8"/>
  <c r="B2275" i="8"/>
  <c r="A2275" i="8"/>
  <c r="C2274" i="8"/>
  <c r="B2274" i="8"/>
  <c r="A2274" i="8"/>
  <c r="C2273" i="8"/>
  <c r="B2273" i="8"/>
  <c r="A2273" i="8"/>
  <c r="I2272" i="8"/>
  <c r="C2272" i="8"/>
  <c r="B2272" i="8"/>
  <c r="A2272" i="8"/>
  <c r="U2254" i="8"/>
  <c r="S2254" i="8"/>
  <c r="I2254" i="8"/>
  <c r="C2254" i="8"/>
  <c r="B2254" i="8"/>
  <c r="A2254" i="8"/>
  <c r="I2253" i="8"/>
  <c r="C2253" i="8"/>
  <c r="B2253" i="8"/>
  <c r="A2253" i="8"/>
  <c r="I2252" i="8"/>
  <c r="C2252" i="8"/>
  <c r="B2252" i="8"/>
  <c r="A2252" i="8"/>
  <c r="I2251" i="8"/>
  <c r="C2251" i="8"/>
  <c r="B2251" i="8"/>
  <c r="A2251" i="8"/>
  <c r="I2250" i="8"/>
  <c r="C2250" i="8"/>
  <c r="B2250" i="8"/>
  <c r="A2250" i="8"/>
  <c r="I2249" i="8"/>
  <c r="C2249" i="8"/>
  <c r="B2249" i="8"/>
  <c r="A2249" i="8"/>
  <c r="I2248" i="8"/>
  <c r="C2248" i="8"/>
  <c r="B2248" i="8"/>
  <c r="A2248" i="8"/>
  <c r="I2247" i="8"/>
  <c r="C2247" i="8"/>
  <c r="B2247" i="8"/>
  <c r="A2247" i="8"/>
  <c r="I2246" i="8"/>
  <c r="C2246" i="8"/>
  <c r="B2246" i="8"/>
  <c r="A2246" i="8"/>
  <c r="I2245" i="8"/>
  <c r="C2245" i="8"/>
  <c r="B2245" i="8"/>
  <c r="A2245" i="8"/>
  <c r="I2244" i="8"/>
  <c r="F2244" i="8"/>
  <c r="C2244" i="8"/>
  <c r="B2244" i="8"/>
  <c r="A2244" i="8"/>
  <c r="I2243" i="8"/>
  <c r="C2243" i="8"/>
  <c r="B2243" i="8"/>
  <c r="A2243" i="8"/>
  <c r="I2242" i="8"/>
  <c r="C2242" i="8"/>
  <c r="B2242" i="8"/>
  <c r="A2242" i="8"/>
  <c r="I2241" i="8"/>
  <c r="C2241" i="8"/>
  <c r="B2241" i="8"/>
  <c r="A2241" i="8"/>
  <c r="I2240" i="8"/>
  <c r="C2240" i="8"/>
  <c r="B2240" i="8"/>
  <c r="A2240" i="8"/>
  <c r="I2239" i="8"/>
  <c r="C2239" i="8"/>
  <c r="B2239" i="8"/>
  <c r="A2239" i="8"/>
  <c r="I2238" i="8"/>
  <c r="C2238" i="8"/>
  <c r="B2238" i="8"/>
  <c r="A2238" i="8"/>
  <c r="I2237" i="8"/>
  <c r="F2237" i="8"/>
  <c r="B2256" i="8" s="1"/>
  <c r="C2237" i="8"/>
  <c r="B2237" i="8"/>
  <c r="A2237" i="8"/>
  <c r="C2236" i="8"/>
  <c r="B2236" i="8"/>
  <c r="A2236" i="8"/>
  <c r="I2235" i="8"/>
  <c r="C2235" i="8"/>
  <c r="B2235" i="8"/>
  <c r="A2235" i="8"/>
  <c r="C2234" i="8"/>
  <c r="B2234" i="8"/>
  <c r="A2234" i="8"/>
  <c r="C2233" i="8"/>
  <c r="B2233" i="8"/>
  <c r="A2233" i="8"/>
  <c r="I2232" i="8"/>
  <c r="C2232" i="8"/>
  <c r="B2232" i="8"/>
  <c r="A2232" i="8"/>
  <c r="C2231" i="8"/>
  <c r="B2231" i="8"/>
  <c r="A2231" i="8"/>
  <c r="C2230" i="8"/>
  <c r="B2230" i="8"/>
  <c r="A2230" i="8"/>
  <c r="C2229" i="8"/>
  <c r="B2229" i="8"/>
  <c r="A2229" i="8"/>
  <c r="I2228" i="8"/>
  <c r="C2228" i="8"/>
  <c r="B2228" i="8"/>
  <c r="A2228" i="8"/>
  <c r="I2210" i="8"/>
  <c r="C2210" i="8"/>
  <c r="B2210" i="8"/>
  <c r="A2210" i="8"/>
  <c r="I2209" i="8"/>
  <c r="C2209" i="8"/>
  <c r="B2209" i="8"/>
  <c r="A2209" i="8"/>
  <c r="I2208" i="8"/>
  <c r="C2208" i="8"/>
  <c r="B2208" i="8"/>
  <c r="A2208" i="8"/>
  <c r="I2207" i="8"/>
  <c r="C2207" i="8"/>
  <c r="B2207" i="8"/>
  <c r="A2207" i="8"/>
  <c r="I2206" i="8"/>
  <c r="C2206" i="8"/>
  <c r="B2206" i="8"/>
  <c r="A2206" i="8"/>
  <c r="I2205" i="8"/>
  <c r="C2205" i="8"/>
  <c r="B2205" i="8"/>
  <c r="A2205" i="8"/>
  <c r="I2204" i="8"/>
  <c r="C2204" i="8"/>
  <c r="B2204" i="8"/>
  <c r="A2204" i="8"/>
  <c r="I2203" i="8"/>
  <c r="C2203" i="8"/>
  <c r="B2203" i="8"/>
  <c r="A2203" i="8"/>
  <c r="I2202" i="8"/>
  <c r="C2202" i="8"/>
  <c r="B2202" i="8"/>
  <c r="A2202" i="8"/>
  <c r="I2201" i="8"/>
  <c r="C2201" i="8"/>
  <c r="B2201" i="8"/>
  <c r="A2201" i="8"/>
  <c r="I2200" i="8"/>
  <c r="F2200" i="8"/>
  <c r="C2200" i="8"/>
  <c r="B2200" i="8"/>
  <c r="A2200" i="8"/>
  <c r="I2199" i="8"/>
  <c r="C2199" i="8"/>
  <c r="B2199" i="8"/>
  <c r="A2199" i="8"/>
  <c r="I2198" i="8"/>
  <c r="C2198" i="8"/>
  <c r="B2198" i="8"/>
  <c r="A2198" i="8"/>
  <c r="I2197" i="8"/>
  <c r="C2197" i="8"/>
  <c r="B2197" i="8"/>
  <c r="A2197" i="8"/>
  <c r="I2196" i="8"/>
  <c r="C2196" i="8"/>
  <c r="B2196" i="8"/>
  <c r="A2196" i="8"/>
  <c r="I2195" i="8"/>
  <c r="C2195" i="8"/>
  <c r="B2195" i="8"/>
  <c r="A2195" i="8"/>
  <c r="I2194" i="8"/>
  <c r="C2194" i="8"/>
  <c r="B2194" i="8"/>
  <c r="A2194" i="8"/>
  <c r="I2193" i="8"/>
  <c r="F2193" i="8"/>
  <c r="B2212" i="8" s="1"/>
  <c r="C2193" i="8"/>
  <c r="B2193" i="8"/>
  <c r="A2193" i="8"/>
  <c r="C2192" i="8"/>
  <c r="B2192" i="8"/>
  <c r="A2192" i="8"/>
  <c r="I2191" i="8"/>
  <c r="C2191" i="8"/>
  <c r="B2191" i="8"/>
  <c r="A2191" i="8"/>
  <c r="C2190" i="8"/>
  <c r="B2190" i="8"/>
  <c r="A2190" i="8"/>
  <c r="C2189" i="8"/>
  <c r="B2189" i="8"/>
  <c r="A2189" i="8"/>
  <c r="I2188" i="8"/>
  <c r="C2188" i="8"/>
  <c r="B2188" i="8"/>
  <c r="A2188" i="8"/>
  <c r="C2187" i="8"/>
  <c r="B2187" i="8"/>
  <c r="A2187" i="8"/>
  <c r="C2186" i="8"/>
  <c r="B2186" i="8"/>
  <c r="A2186" i="8"/>
  <c r="C2185" i="8"/>
  <c r="B2185" i="8"/>
  <c r="A2185" i="8"/>
  <c r="I2184" i="8"/>
  <c r="C2184" i="8"/>
  <c r="B2184" i="8"/>
  <c r="A2184" i="8"/>
  <c r="I2166" i="8"/>
  <c r="C2166" i="8"/>
  <c r="B2166" i="8"/>
  <c r="A2166" i="8"/>
  <c r="I2165" i="8"/>
  <c r="C2165" i="8"/>
  <c r="B2165" i="8"/>
  <c r="A2165" i="8"/>
  <c r="I2164" i="8"/>
  <c r="C2164" i="8"/>
  <c r="B2164" i="8"/>
  <c r="A2164" i="8"/>
  <c r="I2163" i="8"/>
  <c r="C2163" i="8"/>
  <c r="B2163" i="8"/>
  <c r="A2163" i="8"/>
  <c r="I2162" i="8"/>
  <c r="C2162" i="8"/>
  <c r="B2162" i="8"/>
  <c r="A2162" i="8"/>
  <c r="I2161" i="8"/>
  <c r="C2161" i="8"/>
  <c r="B2161" i="8"/>
  <c r="A2161" i="8"/>
  <c r="I2160" i="8"/>
  <c r="C2160" i="8"/>
  <c r="B2160" i="8"/>
  <c r="A2160" i="8"/>
  <c r="I2159" i="8"/>
  <c r="C2159" i="8"/>
  <c r="B2159" i="8"/>
  <c r="A2159" i="8"/>
  <c r="I2158" i="8"/>
  <c r="C2158" i="8"/>
  <c r="B2158" i="8"/>
  <c r="A2158" i="8"/>
  <c r="I2157" i="8"/>
  <c r="C2157" i="8"/>
  <c r="B2157" i="8"/>
  <c r="A2157" i="8"/>
  <c r="I2156" i="8"/>
  <c r="F2156" i="8"/>
  <c r="C2156" i="8"/>
  <c r="B2156" i="8"/>
  <c r="A2156" i="8"/>
  <c r="I2155" i="8"/>
  <c r="C2155" i="8"/>
  <c r="B2155" i="8"/>
  <c r="A2155" i="8"/>
  <c r="I2154" i="8"/>
  <c r="C2154" i="8"/>
  <c r="B2154" i="8"/>
  <c r="A2154" i="8"/>
  <c r="I2153" i="8"/>
  <c r="C2153" i="8"/>
  <c r="B2153" i="8"/>
  <c r="A2153" i="8"/>
  <c r="I2152" i="8"/>
  <c r="C2152" i="8"/>
  <c r="B2152" i="8"/>
  <c r="A2152" i="8"/>
  <c r="I2151" i="8"/>
  <c r="C2151" i="8"/>
  <c r="B2151" i="8"/>
  <c r="A2151" i="8"/>
  <c r="I2150" i="8"/>
  <c r="C2150" i="8"/>
  <c r="B2150" i="8"/>
  <c r="A2150" i="8"/>
  <c r="I2149" i="8"/>
  <c r="F2149" i="8"/>
  <c r="B2168" i="8" s="1"/>
  <c r="C2149" i="8"/>
  <c r="B2149" i="8"/>
  <c r="A2149" i="8"/>
  <c r="C2148" i="8"/>
  <c r="B2148" i="8"/>
  <c r="A2148" i="8"/>
  <c r="I2147" i="8"/>
  <c r="C2147" i="8"/>
  <c r="B2147" i="8"/>
  <c r="A2147" i="8"/>
  <c r="C2146" i="8"/>
  <c r="B2146" i="8"/>
  <c r="A2146" i="8"/>
  <c r="C2145" i="8"/>
  <c r="B2145" i="8"/>
  <c r="A2145" i="8"/>
  <c r="I2144" i="8"/>
  <c r="C2144" i="8"/>
  <c r="B2144" i="8"/>
  <c r="A2144" i="8"/>
  <c r="C2143" i="8"/>
  <c r="B2143" i="8"/>
  <c r="A2143" i="8"/>
  <c r="C2142" i="8"/>
  <c r="B2142" i="8"/>
  <c r="A2142" i="8"/>
  <c r="C2141" i="8"/>
  <c r="B2141" i="8"/>
  <c r="A2141" i="8"/>
  <c r="I2140" i="8"/>
  <c r="C2140" i="8"/>
  <c r="B2140" i="8"/>
  <c r="A2140" i="8"/>
  <c r="I2122" i="8"/>
  <c r="C2122" i="8"/>
  <c r="B2122" i="8"/>
  <c r="A2122" i="8"/>
  <c r="I2121" i="8"/>
  <c r="C2121" i="8"/>
  <c r="B2121" i="8"/>
  <c r="A2121" i="8"/>
  <c r="I2120" i="8"/>
  <c r="C2120" i="8"/>
  <c r="B2120" i="8"/>
  <c r="A2120" i="8"/>
  <c r="I2119" i="8"/>
  <c r="C2119" i="8"/>
  <c r="B2119" i="8"/>
  <c r="A2119" i="8"/>
  <c r="I2118" i="8"/>
  <c r="C2118" i="8"/>
  <c r="B2118" i="8"/>
  <c r="A2118" i="8"/>
  <c r="I2117" i="8"/>
  <c r="C2117" i="8"/>
  <c r="B2117" i="8"/>
  <c r="A2117" i="8"/>
  <c r="I2116" i="8"/>
  <c r="C2116" i="8"/>
  <c r="B2116" i="8"/>
  <c r="A2116" i="8"/>
  <c r="I2115" i="8"/>
  <c r="C2115" i="8"/>
  <c r="B2115" i="8"/>
  <c r="A2115" i="8"/>
  <c r="I2114" i="8"/>
  <c r="C2114" i="8"/>
  <c r="B2114" i="8"/>
  <c r="A2114" i="8"/>
  <c r="I2113" i="8"/>
  <c r="C2113" i="8"/>
  <c r="B2113" i="8"/>
  <c r="A2113" i="8"/>
  <c r="I2112" i="8"/>
  <c r="F2112" i="8"/>
  <c r="C2112" i="8"/>
  <c r="B2112" i="8"/>
  <c r="A2112" i="8"/>
  <c r="I2111" i="8"/>
  <c r="C2111" i="8"/>
  <c r="B2111" i="8"/>
  <c r="A2111" i="8"/>
  <c r="I2110" i="8"/>
  <c r="C2110" i="8"/>
  <c r="B2110" i="8"/>
  <c r="A2110" i="8"/>
  <c r="I2109" i="8"/>
  <c r="C2109" i="8"/>
  <c r="B2109" i="8"/>
  <c r="A2109" i="8"/>
  <c r="I2108" i="8"/>
  <c r="C2108" i="8"/>
  <c r="B2108" i="8"/>
  <c r="A2108" i="8"/>
  <c r="I2107" i="8"/>
  <c r="C2107" i="8"/>
  <c r="B2107" i="8"/>
  <c r="A2107" i="8"/>
  <c r="I2106" i="8"/>
  <c r="C2106" i="8"/>
  <c r="B2106" i="8"/>
  <c r="A2106" i="8"/>
  <c r="I2105" i="8"/>
  <c r="F2105" i="8"/>
  <c r="B2124" i="8" s="1"/>
  <c r="C2105" i="8"/>
  <c r="B2105" i="8"/>
  <c r="A2105" i="8"/>
  <c r="C2104" i="8"/>
  <c r="B2104" i="8"/>
  <c r="A2104" i="8"/>
  <c r="I2103" i="8"/>
  <c r="C2103" i="8"/>
  <c r="B2103" i="8"/>
  <c r="A2103" i="8"/>
  <c r="C2102" i="8"/>
  <c r="B2102" i="8"/>
  <c r="A2102" i="8"/>
  <c r="C2101" i="8"/>
  <c r="B2101" i="8"/>
  <c r="A2101" i="8"/>
  <c r="I2100" i="8"/>
  <c r="C2100" i="8"/>
  <c r="B2100" i="8"/>
  <c r="A2100" i="8"/>
  <c r="C2099" i="8"/>
  <c r="B2099" i="8"/>
  <c r="A2099" i="8"/>
  <c r="C2098" i="8"/>
  <c r="B2098" i="8"/>
  <c r="A2098" i="8"/>
  <c r="C2097" i="8"/>
  <c r="B2097" i="8"/>
  <c r="A2097" i="8"/>
  <c r="I2096" i="8"/>
  <c r="C2096" i="8"/>
  <c r="B2096" i="8"/>
  <c r="A2096" i="8"/>
  <c r="I2078" i="8"/>
  <c r="C2078" i="8"/>
  <c r="B2078" i="8"/>
  <c r="A2078" i="8"/>
  <c r="I2077" i="8"/>
  <c r="C2077" i="8"/>
  <c r="B2077" i="8"/>
  <c r="A2077" i="8"/>
  <c r="I2076" i="8"/>
  <c r="C2076" i="8"/>
  <c r="B2076" i="8"/>
  <c r="A2076" i="8"/>
  <c r="I2075" i="8"/>
  <c r="C2075" i="8"/>
  <c r="B2075" i="8"/>
  <c r="A2075" i="8"/>
  <c r="I2074" i="8"/>
  <c r="C2074" i="8"/>
  <c r="B2074" i="8"/>
  <c r="A2074" i="8"/>
  <c r="I2073" i="8"/>
  <c r="C2073" i="8"/>
  <c r="B2073" i="8"/>
  <c r="A2073" i="8"/>
  <c r="I2072" i="8"/>
  <c r="C2072" i="8"/>
  <c r="B2072" i="8"/>
  <c r="A2072" i="8"/>
  <c r="I2071" i="8"/>
  <c r="C2071" i="8"/>
  <c r="B2071" i="8"/>
  <c r="A2071" i="8"/>
  <c r="I2070" i="8"/>
  <c r="C2070" i="8"/>
  <c r="B2070" i="8"/>
  <c r="A2070" i="8"/>
  <c r="I2069" i="8"/>
  <c r="C2069" i="8"/>
  <c r="B2069" i="8"/>
  <c r="A2069" i="8"/>
  <c r="I2068" i="8"/>
  <c r="F2068" i="8"/>
  <c r="C2068" i="8"/>
  <c r="B2068" i="8"/>
  <c r="A2068" i="8"/>
  <c r="I2067" i="8"/>
  <c r="C2067" i="8"/>
  <c r="B2067" i="8"/>
  <c r="A2067" i="8"/>
  <c r="I2066" i="8"/>
  <c r="C2066" i="8"/>
  <c r="B2066" i="8"/>
  <c r="A2066" i="8"/>
  <c r="I2065" i="8"/>
  <c r="C2065" i="8"/>
  <c r="B2065" i="8"/>
  <c r="A2065" i="8"/>
  <c r="I2064" i="8"/>
  <c r="C2064" i="8"/>
  <c r="B2064" i="8"/>
  <c r="A2064" i="8"/>
  <c r="I2063" i="8"/>
  <c r="C2063" i="8"/>
  <c r="B2063" i="8"/>
  <c r="A2063" i="8"/>
  <c r="I2062" i="8"/>
  <c r="C2062" i="8"/>
  <c r="B2062" i="8"/>
  <c r="A2062" i="8"/>
  <c r="I2061" i="8"/>
  <c r="F2061" i="8"/>
  <c r="B2080" i="8" s="1"/>
  <c r="C2061" i="8"/>
  <c r="B2061" i="8"/>
  <c r="A2061" i="8"/>
  <c r="C2060" i="8"/>
  <c r="B2060" i="8"/>
  <c r="A2060" i="8"/>
  <c r="I2059" i="8"/>
  <c r="C2059" i="8"/>
  <c r="B2059" i="8"/>
  <c r="A2059" i="8"/>
  <c r="C2058" i="8"/>
  <c r="B2058" i="8"/>
  <c r="A2058" i="8"/>
  <c r="C2057" i="8"/>
  <c r="B2057" i="8"/>
  <c r="A2057" i="8"/>
  <c r="I2056" i="8"/>
  <c r="C2056" i="8"/>
  <c r="B2056" i="8"/>
  <c r="A2056" i="8"/>
  <c r="C2055" i="8"/>
  <c r="B2055" i="8"/>
  <c r="A2055" i="8"/>
  <c r="C2054" i="8"/>
  <c r="B2054" i="8"/>
  <c r="A2054" i="8"/>
  <c r="C2053" i="8"/>
  <c r="B2053" i="8"/>
  <c r="A2053" i="8"/>
  <c r="I2052" i="8"/>
  <c r="C2052" i="8"/>
  <c r="B2052" i="8"/>
  <c r="A2052" i="8"/>
  <c r="U2034" i="8"/>
  <c r="S2034" i="8"/>
  <c r="I2034" i="8"/>
  <c r="C2034" i="8"/>
  <c r="B2034" i="8"/>
  <c r="A2034" i="8"/>
  <c r="I2033" i="8"/>
  <c r="C2033" i="8"/>
  <c r="B2033" i="8"/>
  <c r="A2033" i="8"/>
  <c r="I2032" i="8"/>
  <c r="C2032" i="8"/>
  <c r="B2032" i="8"/>
  <c r="A2032" i="8"/>
  <c r="I2031" i="8"/>
  <c r="C2031" i="8"/>
  <c r="B2031" i="8"/>
  <c r="A2031" i="8"/>
  <c r="I2030" i="8"/>
  <c r="C2030" i="8"/>
  <c r="B2030" i="8"/>
  <c r="A2030" i="8"/>
  <c r="I2029" i="8"/>
  <c r="C2029" i="8"/>
  <c r="B2029" i="8"/>
  <c r="A2029" i="8"/>
  <c r="I2028" i="8"/>
  <c r="C2028" i="8"/>
  <c r="B2028" i="8"/>
  <c r="A2028" i="8"/>
  <c r="I2027" i="8"/>
  <c r="C2027" i="8"/>
  <c r="B2027" i="8"/>
  <c r="A2027" i="8"/>
  <c r="I2026" i="8"/>
  <c r="C2026" i="8"/>
  <c r="B2026" i="8"/>
  <c r="A2026" i="8"/>
  <c r="I2025" i="8"/>
  <c r="C2025" i="8"/>
  <c r="B2025" i="8"/>
  <c r="A2025" i="8"/>
  <c r="I2024" i="8"/>
  <c r="F2024" i="8"/>
  <c r="C2024" i="8"/>
  <c r="B2024" i="8"/>
  <c r="A2024" i="8"/>
  <c r="I2023" i="8"/>
  <c r="C2023" i="8"/>
  <c r="B2023" i="8"/>
  <c r="A2023" i="8"/>
  <c r="I2022" i="8"/>
  <c r="C2022" i="8"/>
  <c r="B2022" i="8"/>
  <c r="A2022" i="8"/>
  <c r="I2021" i="8"/>
  <c r="C2021" i="8"/>
  <c r="B2021" i="8"/>
  <c r="A2021" i="8"/>
  <c r="I2020" i="8"/>
  <c r="C2020" i="8"/>
  <c r="B2020" i="8"/>
  <c r="A2020" i="8"/>
  <c r="I2019" i="8"/>
  <c r="C2019" i="8"/>
  <c r="B2019" i="8"/>
  <c r="A2019" i="8"/>
  <c r="I2018" i="8"/>
  <c r="C2018" i="8"/>
  <c r="B2018" i="8"/>
  <c r="A2018" i="8"/>
  <c r="I2017" i="8"/>
  <c r="F2017" i="8"/>
  <c r="B2036" i="8" s="1"/>
  <c r="C2017" i="8"/>
  <c r="B2017" i="8"/>
  <c r="A2017" i="8"/>
  <c r="C2016" i="8"/>
  <c r="B2016" i="8"/>
  <c r="A2016" i="8"/>
  <c r="I2015" i="8"/>
  <c r="C2015" i="8"/>
  <c r="B2015" i="8"/>
  <c r="A2015" i="8"/>
  <c r="C2014" i="8"/>
  <c r="B2014" i="8"/>
  <c r="A2014" i="8"/>
  <c r="C2013" i="8"/>
  <c r="B2013" i="8"/>
  <c r="A2013" i="8"/>
  <c r="I2012" i="8"/>
  <c r="C2012" i="8"/>
  <c r="B2012" i="8"/>
  <c r="A2012" i="8"/>
  <c r="C2011" i="8"/>
  <c r="B2011" i="8"/>
  <c r="A2011" i="8"/>
  <c r="C2010" i="8"/>
  <c r="B2010" i="8"/>
  <c r="A2010" i="8"/>
  <c r="C2009" i="8"/>
  <c r="B2009" i="8"/>
  <c r="A2009" i="8"/>
  <c r="I2008" i="8"/>
  <c r="C2008" i="8"/>
  <c r="B2008" i="8"/>
  <c r="A2008" i="8"/>
  <c r="I1990" i="8"/>
  <c r="C1990" i="8"/>
  <c r="B1990" i="8"/>
  <c r="A1990" i="8"/>
  <c r="I1989" i="8"/>
  <c r="C1989" i="8"/>
  <c r="B1989" i="8"/>
  <c r="A1989" i="8"/>
  <c r="I1988" i="8"/>
  <c r="C1988" i="8"/>
  <c r="B1988" i="8"/>
  <c r="A1988" i="8"/>
  <c r="I1987" i="8"/>
  <c r="C1987" i="8"/>
  <c r="B1987" i="8"/>
  <c r="A1987" i="8"/>
  <c r="I1986" i="8"/>
  <c r="C1986" i="8"/>
  <c r="B1986" i="8"/>
  <c r="A1986" i="8"/>
  <c r="I1985" i="8"/>
  <c r="C1985" i="8"/>
  <c r="B1985" i="8"/>
  <c r="A1985" i="8"/>
  <c r="I1984" i="8"/>
  <c r="C1984" i="8"/>
  <c r="B1984" i="8"/>
  <c r="A1984" i="8"/>
  <c r="I1983" i="8"/>
  <c r="C1983" i="8"/>
  <c r="B1983" i="8"/>
  <c r="A1983" i="8"/>
  <c r="I1982" i="8"/>
  <c r="C1982" i="8"/>
  <c r="B1982" i="8"/>
  <c r="A1982" i="8"/>
  <c r="I1981" i="8"/>
  <c r="C1981" i="8"/>
  <c r="B1981" i="8"/>
  <c r="A1981" i="8"/>
  <c r="I1980" i="8"/>
  <c r="F1980" i="8"/>
  <c r="C1980" i="8"/>
  <c r="B1980" i="8"/>
  <c r="A1980" i="8"/>
  <c r="I1979" i="8"/>
  <c r="C1979" i="8"/>
  <c r="B1979" i="8"/>
  <c r="A1979" i="8"/>
  <c r="I1978" i="8"/>
  <c r="C1978" i="8"/>
  <c r="B1978" i="8"/>
  <c r="A1978" i="8"/>
  <c r="I1977" i="8"/>
  <c r="C1977" i="8"/>
  <c r="B1977" i="8"/>
  <c r="A1977" i="8"/>
  <c r="I1976" i="8"/>
  <c r="C1976" i="8"/>
  <c r="B1976" i="8"/>
  <c r="A1976" i="8"/>
  <c r="I1975" i="8"/>
  <c r="C1975" i="8"/>
  <c r="B1975" i="8"/>
  <c r="A1975" i="8"/>
  <c r="I1974" i="8"/>
  <c r="C1974" i="8"/>
  <c r="B1974" i="8"/>
  <c r="A1974" i="8"/>
  <c r="I1973" i="8"/>
  <c r="F1973" i="8"/>
  <c r="B1992" i="8" s="1"/>
  <c r="C1973" i="8"/>
  <c r="B1973" i="8"/>
  <c r="A1973" i="8"/>
  <c r="C1972" i="8"/>
  <c r="B1972" i="8"/>
  <c r="A1972" i="8"/>
  <c r="I1971" i="8"/>
  <c r="C1971" i="8"/>
  <c r="B1971" i="8"/>
  <c r="A1971" i="8"/>
  <c r="C1970" i="8"/>
  <c r="B1970" i="8"/>
  <c r="A1970" i="8"/>
  <c r="C1969" i="8"/>
  <c r="B1969" i="8"/>
  <c r="A1969" i="8"/>
  <c r="I1968" i="8"/>
  <c r="C1968" i="8"/>
  <c r="B1968" i="8"/>
  <c r="A1968" i="8"/>
  <c r="C1967" i="8"/>
  <c r="B1967" i="8"/>
  <c r="A1967" i="8"/>
  <c r="C1966" i="8"/>
  <c r="B1966" i="8"/>
  <c r="A1966" i="8"/>
  <c r="C1965" i="8"/>
  <c r="B1965" i="8"/>
  <c r="A1965" i="8"/>
  <c r="I1964" i="8"/>
  <c r="C1964" i="8"/>
  <c r="B1964" i="8"/>
  <c r="A1964" i="8"/>
  <c r="U1946" i="8"/>
  <c r="S1946" i="8"/>
  <c r="I1946" i="8"/>
  <c r="C1946" i="8"/>
  <c r="B1946" i="8"/>
  <c r="A1946" i="8"/>
  <c r="I1945" i="8"/>
  <c r="C1945" i="8"/>
  <c r="B1945" i="8"/>
  <c r="A1945" i="8"/>
  <c r="I1944" i="8"/>
  <c r="C1944" i="8"/>
  <c r="B1944" i="8"/>
  <c r="A1944" i="8"/>
  <c r="I1943" i="8"/>
  <c r="C1943" i="8"/>
  <c r="B1943" i="8"/>
  <c r="A1943" i="8"/>
  <c r="I1942" i="8"/>
  <c r="C1942" i="8"/>
  <c r="B1942" i="8"/>
  <c r="A1942" i="8"/>
  <c r="I1941" i="8"/>
  <c r="C1941" i="8"/>
  <c r="B1941" i="8"/>
  <c r="A1941" i="8"/>
  <c r="I1940" i="8"/>
  <c r="C1940" i="8"/>
  <c r="B1940" i="8"/>
  <c r="A1940" i="8"/>
  <c r="I1939" i="8"/>
  <c r="C1939" i="8"/>
  <c r="B1939" i="8"/>
  <c r="A1939" i="8"/>
  <c r="I1938" i="8"/>
  <c r="C1938" i="8"/>
  <c r="B1938" i="8"/>
  <c r="A1938" i="8"/>
  <c r="I1937" i="8"/>
  <c r="C1937" i="8"/>
  <c r="B1937" i="8"/>
  <c r="A1937" i="8"/>
  <c r="I1936" i="8"/>
  <c r="F1936" i="8"/>
  <c r="C1936" i="8"/>
  <c r="B1936" i="8"/>
  <c r="A1936" i="8"/>
  <c r="I1935" i="8"/>
  <c r="C1935" i="8"/>
  <c r="B1935" i="8"/>
  <c r="A1935" i="8"/>
  <c r="I1934" i="8"/>
  <c r="C1934" i="8"/>
  <c r="B1934" i="8"/>
  <c r="A1934" i="8"/>
  <c r="I1933" i="8"/>
  <c r="C1933" i="8"/>
  <c r="B1933" i="8"/>
  <c r="A1933" i="8"/>
  <c r="I1932" i="8"/>
  <c r="C1932" i="8"/>
  <c r="B1932" i="8"/>
  <c r="A1932" i="8"/>
  <c r="I1931" i="8"/>
  <c r="C1931" i="8"/>
  <c r="B1931" i="8"/>
  <c r="A1931" i="8"/>
  <c r="I1930" i="8"/>
  <c r="C1930" i="8"/>
  <c r="B1930" i="8"/>
  <c r="A1930" i="8"/>
  <c r="I1929" i="8"/>
  <c r="F1929" i="8"/>
  <c r="B1948" i="8" s="1"/>
  <c r="C1929" i="8"/>
  <c r="B1929" i="8"/>
  <c r="A1929" i="8"/>
  <c r="C1928" i="8"/>
  <c r="B1928" i="8"/>
  <c r="A1928" i="8"/>
  <c r="I1927" i="8"/>
  <c r="C1927" i="8"/>
  <c r="B1927" i="8"/>
  <c r="A1927" i="8"/>
  <c r="C1926" i="8"/>
  <c r="B1926" i="8"/>
  <c r="A1926" i="8"/>
  <c r="C1925" i="8"/>
  <c r="B1925" i="8"/>
  <c r="A1925" i="8"/>
  <c r="I1924" i="8"/>
  <c r="C1924" i="8"/>
  <c r="B1924" i="8"/>
  <c r="A1924" i="8"/>
  <c r="C1923" i="8"/>
  <c r="B1923" i="8"/>
  <c r="A1923" i="8"/>
  <c r="C1922" i="8"/>
  <c r="B1922" i="8"/>
  <c r="A1922" i="8"/>
  <c r="C1921" i="8"/>
  <c r="B1921" i="8"/>
  <c r="A1921" i="8"/>
  <c r="I1920" i="8"/>
  <c r="C1920" i="8"/>
  <c r="B1920" i="8"/>
  <c r="A1920" i="8"/>
  <c r="I1902" i="8"/>
  <c r="C1902" i="8"/>
  <c r="B1902" i="8"/>
  <c r="A1902" i="8"/>
  <c r="I1901" i="8"/>
  <c r="C1901" i="8"/>
  <c r="B1901" i="8"/>
  <c r="A1901" i="8"/>
  <c r="I1900" i="8"/>
  <c r="C1900" i="8"/>
  <c r="B1900" i="8"/>
  <c r="A1900" i="8"/>
  <c r="I1899" i="8"/>
  <c r="C1899" i="8"/>
  <c r="B1899" i="8"/>
  <c r="A1899" i="8"/>
  <c r="I1898" i="8"/>
  <c r="C1898" i="8"/>
  <c r="B1898" i="8"/>
  <c r="A1898" i="8"/>
  <c r="I1897" i="8"/>
  <c r="C1897" i="8"/>
  <c r="B1897" i="8"/>
  <c r="A1897" i="8"/>
  <c r="I1896" i="8"/>
  <c r="C1896" i="8"/>
  <c r="B1896" i="8"/>
  <c r="A1896" i="8"/>
  <c r="I1895" i="8"/>
  <c r="C1895" i="8"/>
  <c r="B1895" i="8"/>
  <c r="A1895" i="8"/>
  <c r="I1894" i="8"/>
  <c r="C1894" i="8"/>
  <c r="B1894" i="8"/>
  <c r="A1894" i="8"/>
  <c r="I1893" i="8"/>
  <c r="C1893" i="8"/>
  <c r="B1893" i="8"/>
  <c r="A1893" i="8"/>
  <c r="I1892" i="8"/>
  <c r="F1892" i="8"/>
  <c r="C1892" i="8"/>
  <c r="B1892" i="8"/>
  <c r="A1892" i="8"/>
  <c r="I1891" i="8"/>
  <c r="C1891" i="8"/>
  <c r="B1891" i="8"/>
  <c r="A1891" i="8"/>
  <c r="I1890" i="8"/>
  <c r="C1890" i="8"/>
  <c r="B1890" i="8"/>
  <c r="A1890" i="8"/>
  <c r="I1889" i="8"/>
  <c r="C1889" i="8"/>
  <c r="B1889" i="8"/>
  <c r="A1889" i="8"/>
  <c r="I1888" i="8"/>
  <c r="C1888" i="8"/>
  <c r="B1888" i="8"/>
  <c r="A1888" i="8"/>
  <c r="I1887" i="8"/>
  <c r="C1887" i="8"/>
  <c r="B1887" i="8"/>
  <c r="A1887" i="8"/>
  <c r="I1886" i="8"/>
  <c r="C1886" i="8"/>
  <c r="B1886" i="8"/>
  <c r="A1886" i="8"/>
  <c r="I1885" i="8"/>
  <c r="F1885" i="8"/>
  <c r="B1904" i="8" s="1"/>
  <c r="C1885" i="8"/>
  <c r="B1885" i="8"/>
  <c r="A1885" i="8"/>
  <c r="C1884" i="8"/>
  <c r="B1884" i="8"/>
  <c r="A1884" i="8"/>
  <c r="I1883" i="8"/>
  <c r="C1883" i="8"/>
  <c r="B1883" i="8"/>
  <c r="A1883" i="8"/>
  <c r="C1882" i="8"/>
  <c r="B1882" i="8"/>
  <c r="A1882" i="8"/>
  <c r="C1881" i="8"/>
  <c r="B1881" i="8"/>
  <c r="A1881" i="8"/>
  <c r="I1880" i="8"/>
  <c r="C1880" i="8"/>
  <c r="B1880" i="8"/>
  <c r="A1880" i="8"/>
  <c r="C1879" i="8"/>
  <c r="B1879" i="8"/>
  <c r="A1879" i="8"/>
  <c r="C1878" i="8"/>
  <c r="B1878" i="8"/>
  <c r="A1878" i="8"/>
  <c r="C1877" i="8"/>
  <c r="B1877" i="8"/>
  <c r="A1877" i="8"/>
  <c r="I1876" i="8"/>
  <c r="C1876" i="8"/>
  <c r="B1876" i="8"/>
  <c r="A1876" i="8"/>
  <c r="S1858" i="8"/>
  <c r="I1858" i="8"/>
  <c r="C1858" i="8"/>
  <c r="U1858" i="8" s="1"/>
  <c r="B1858" i="8"/>
  <c r="A1858" i="8"/>
  <c r="I1857" i="8"/>
  <c r="C1857" i="8"/>
  <c r="B1857" i="8"/>
  <c r="A1857" i="8"/>
  <c r="I1856" i="8"/>
  <c r="H1856" i="8"/>
  <c r="C1856" i="8"/>
  <c r="B1856" i="8"/>
  <c r="A1856" i="8"/>
  <c r="I1855" i="8"/>
  <c r="C1855" i="8"/>
  <c r="B1855" i="8"/>
  <c r="A1855" i="8"/>
  <c r="I1854" i="8"/>
  <c r="C1854" i="8"/>
  <c r="B1854" i="8"/>
  <c r="A1854" i="8"/>
  <c r="I1853" i="8"/>
  <c r="C1853" i="8"/>
  <c r="B1853" i="8"/>
  <c r="A1853" i="8"/>
  <c r="I1852" i="8"/>
  <c r="C1852" i="8"/>
  <c r="B1852" i="8"/>
  <c r="A1852" i="8"/>
  <c r="I1851" i="8"/>
  <c r="C1851" i="8"/>
  <c r="B1851" i="8"/>
  <c r="A1851" i="8"/>
  <c r="I1850" i="8"/>
  <c r="C1850" i="8"/>
  <c r="B1850" i="8"/>
  <c r="A1850" i="8"/>
  <c r="I1849" i="8"/>
  <c r="C1849" i="8"/>
  <c r="B1849" i="8"/>
  <c r="A1849" i="8"/>
  <c r="I1848" i="8"/>
  <c r="F1848" i="8"/>
  <c r="C1848" i="8"/>
  <c r="B1848" i="8"/>
  <c r="A1848" i="8"/>
  <c r="I1847" i="8"/>
  <c r="C1847" i="8"/>
  <c r="B1847" i="8"/>
  <c r="A1847" i="8"/>
  <c r="I1846" i="8"/>
  <c r="C1846" i="8"/>
  <c r="B1846" i="8"/>
  <c r="A1846" i="8"/>
  <c r="I1845" i="8"/>
  <c r="C1845" i="8"/>
  <c r="B1845" i="8"/>
  <c r="A1845" i="8"/>
  <c r="I1844" i="8"/>
  <c r="C1844" i="8"/>
  <c r="B1844" i="8"/>
  <c r="A1844" i="8"/>
  <c r="I1843" i="8"/>
  <c r="C1843" i="8"/>
  <c r="B1843" i="8"/>
  <c r="A1843" i="8"/>
  <c r="I1842" i="8"/>
  <c r="C1842" i="8"/>
  <c r="B1842" i="8"/>
  <c r="A1842" i="8"/>
  <c r="I1841" i="8"/>
  <c r="F1841" i="8"/>
  <c r="B1860" i="8" s="1"/>
  <c r="C1841" i="8"/>
  <c r="B1841" i="8"/>
  <c r="A1841" i="8"/>
  <c r="C1840" i="8"/>
  <c r="B1840" i="8"/>
  <c r="A1840" i="8"/>
  <c r="I1839" i="8"/>
  <c r="C1839" i="8"/>
  <c r="B1839" i="8"/>
  <c r="A1839" i="8"/>
  <c r="C1838" i="8"/>
  <c r="B1838" i="8"/>
  <c r="A1838" i="8"/>
  <c r="C1837" i="8"/>
  <c r="B1837" i="8"/>
  <c r="A1837" i="8"/>
  <c r="I1836" i="8"/>
  <c r="C1836" i="8"/>
  <c r="B1836" i="8"/>
  <c r="A1836" i="8"/>
  <c r="C1835" i="8"/>
  <c r="B1835" i="8"/>
  <c r="A1835" i="8"/>
  <c r="C1834" i="8"/>
  <c r="B1834" i="8"/>
  <c r="A1834" i="8"/>
  <c r="C1833" i="8"/>
  <c r="B1833" i="8"/>
  <c r="A1833" i="8"/>
  <c r="I1832" i="8"/>
  <c r="C1832" i="8"/>
  <c r="B1832" i="8"/>
  <c r="A1832" i="8"/>
  <c r="U1814" i="8"/>
  <c r="I1814" i="8"/>
  <c r="C1814" i="8"/>
  <c r="S1814" i="8" s="1"/>
  <c r="B1814" i="8"/>
  <c r="A1814" i="8"/>
  <c r="I1813" i="8"/>
  <c r="C1813" i="8"/>
  <c r="B1813" i="8"/>
  <c r="A1813" i="8"/>
  <c r="I1812" i="8"/>
  <c r="C1812" i="8"/>
  <c r="B1812" i="8"/>
  <c r="A1812" i="8"/>
  <c r="I1811" i="8"/>
  <c r="C1811" i="8"/>
  <c r="B1811" i="8"/>
  <c r="A1811" i="8"/>
  <c r="I1810" i="8"/>
  <c r="C1810" i="8"/>
  <c r="B1810" i="8"/>
  <c r="A1810" i="8"/>
  <c r="I1809" i="8"/>
  <c r="C1809" i="8"/>
  <c r="B1809" i="8"/>
  <c r="A1809" i="8"/>
  <c r="I1808" i="8"/>
  <c r="C1808" i="8"/>
  <c r="B1808" i="8"/>
  <c r="A1808" i="8"/>
  <c r="I1807" i="8"/>
  <c r="C1807" i="8"/>
  <c r="B1807" i="8"/>
  <c r="A1807" i="8"/>
  <c r="I1806" i="8"/>
  <c r="C1806" i="8"/>
  <c r="B1806" i="8"/>
  <c r="A1806" i="8"/>
  <c r="I1805" i="8"/>
  <c r="C1805" i="8"/>
  <c r="B1805" i="8"/>
  <c r="A1805" i="8"/>
  <c r="I1804" i="8"/>
  <c r="F1804" i="8"/>
  <c r="C1804" i="8"/>
  <c r="B1804" i="8"/>
  <c r="A1804" i="8"/>
  <c r="I1803" i="8"/>
  <c r="C1803" i="8"/>
  <c r="B1803" i="8"/>
  <c r="A1803" i="8"/>
  <c r="I1802" i="8"/>
  <c r="C1802" i="8"/>
  <c r="B1802" i="8"/>
  <c r="A1802" i="8"/>
  <c r="I1801" i="8"/>
  <c r="C1801" i="8"/>
  <c r="B1801" i="8"/>
  <c r="A1801" i="8"/>
  <c r="I1800" i="8"/>
  <c r="C1800" i="8"/>
  <c r="B1800" i="8"/>
  <c r="A1800" i="8"/>
  <c r="I1799" i="8"/>
  <c r="C1799" i="8"/>
  <c r="B1799" i="8"/>
  <c r="A1799" i="8"/>
  <c r="I1798" i="8"/>
  <c r="C1798" i="8"/>
  <c r="B1798" i="8"/>
  <c r="A1798" i="8"/>
  <c r="I1797" i="8"/>
  <c r="F1797" i="8"/>
  <c r="B1816" i="8" s="1"/>
  <c r="C1797" i="8"/>
  <c r="B1797" i="8"/>
  <c r="A1797" i="8"/>
  <c r="C1796" i="8"/>
  <c r="B1796" i="8"/>
  <c r="A1796" i="8"/>
  <c r="I1795" i="8"/>
  <c r="C1795" i="8"/>
  <c r="B1795" i="8"/>
  <c r="A1795" i="8"/>
  <c r="C1794" i="8"/>
  <c r="B1794" i="8"/>
  <c r="A1794" i="8"/>
  <c r="C1793" i="8"/>
  <c r="B1793" i="8"/>
  <c r="A1793" i="8"/>
  <c r="I1792" i="8"/>
  <c r="C1792" i="8"/>
  <c r="B1792" i="8"/>
  <c r="A1792" i="8"/>
  <c r="C1791" i="8"/>
  <c r="B1791" i="8"/>
  <c r="A1791" i="8"/>
  <c r="C1790" i="8"/>
  <c r="B1790" i="8"/>
  <c r="A1790" i="8"/>
  <c r="C1789" i="8"/>
  <c r="B1789" i="8"/>
  <c r="A1789" i="8"/>
  <c r="I1788" i="8"/>
  <c r="C1788" i="8"/>
  <c r="B1788" i="8"/>
  <c r="A1788" i="8"/>
  <c r="U1770" i="8"/>
  <c r="I1770" i="8"/>
  <c r="C1770" i="8"/>
  <c r="S1770" i="8" s="1"/>
  <c r="B1770" i="8"/>
  <c r="A1770" i="8"/>
  <c r="I1769" i="8"/>
  <c r="C1769" i="8"/>
  <c r="B1769" i="8"/>
  <c r="A1769" i="8"/>
  <c r="I1768" i="8"/>
  <c r="C1768" i="8"/>
  <c r="B1768" i="8"/>
  <c r="A1768" i="8"/>
  <c r="I1767" i="8"/>
  <c r="C1767" i="8"/>
  <c r="B1767" i="8"/>
  <c r="A1767" i="8"/>
  <c r="I1766" i="8"/>
  <c r="C1766" i="8"/>
  <c r="B1766" i="8"/>
  <c r="A1766" i="8"/>
  <c r="I1765" i="8"/>
  <c r="C1765" i="8"/>
  <c r="B1765" i="8"/>
  <c r="A1765" i="8"/>
  <c r="I1764" i="8"/>
  <c r="C1764" i="8"/>
  <c r="B1764" i="8"/>
  <c r="A1764" i="8"/>
  <c r="I1763" i="8"/>
  <c r="C1763" i="8"/>
  <c r="B1763" i="8"/>
  <c r="A1763" i="8"/>
  <c r="I1762" i="8"/>
  <c r="C1762" i="8"/>
  <c r="B1762" i="8"/>
  <c r="A1762" i="8"/>
  <c r="I1761" i="8"/>
  <c r="C1761" i="8"/>
  <c r="B1761" i="8"/>
  <c r="A1761" i="8"/>
  <c r="I1760" i="8"/>
  <c r="F1760" i="8"/>
  <c r="C1760" i="8"/>
  <c r="B1760" i="8"/>
  <c r="A1760" i="8"/>
  <c r="I1759" i="8"/>
  <c r="C1759" i="8"/>
  <c r="B1759" i="8"/>
  <c r="A1759" i="8"/>
  <c r="I1758" i="8"/>
  <c r="C1758" i="8"/>
  <c r="B1758" i="8"/>
  <c r="A1758" i="8"/>
  <c r="I1757" i="8"/>
  <c r="C1757" i="8"/>
  <c r="B1757" i="8"/>
  <c r="A1757" i="8"/>
  <c r="I1756" i="8"/>
  <c r="C1756" i="8"/>
  <c r="B1756" i="8"/>
  <c r="A1756" i="8"/>
  <c r="I1755" i="8"/>
  <c r="C1755" i="8"/>
  <c r="B1755" i="8"/>
  <c r="A1755" i="8"/>
  <c r="I1754" i="8"/>
  <c r="C1754" i="8"/>
  <c r="B1754" i="8"/>
  <c r="A1754" i="8"/>
  <c r="I1753" i="8"/>
  <c r="F1753" i="8"/>
  <c r="B1772" i="8" s="1"/>
  <c r="C1753" i="8"/>
  <c r="B1753" i="8"/>
  <c r="A1753" i="8"/>
  <c r="C1752" i="8"/>
  <c r="B1752" i="8"/>
  <c r="A1752" i="8"/>
  <c r="I1751" i="8"/>
  <c r="C1751" i="8"/>
  <c r="B1751" i="8"/>
  <c r="A1751" i="8"/>
  <c r="C1750" i="8"/>
  <c r="B1750" i="8"/>
  <c r="A1750" i="8"/>
  <c r="C1749" i="8"/>
  <c r="B1749" i="8"/>
  <c r="A1749" i="8"/>
  <c r="I1748" i="8"/>
  <c r="C1748" i="8"/>
  <c r="B1748" i="8"/>
  <c r="A1748" i="8"/>
  <c r="C1747" i="8"/>
  <c r="B1747" i="8"/>
  <c r="A1747" i="8"/>
  <c r="C1746" i="8"/>
  <c r="B1746" i="8"/>
  <c r="A1746" i="8"/>
  <c r="C1745" i="8"/>
  <c r="B1745" i="8"/>
  <c r="A1745" i="8"/>
  <c r="I1744" i="8"/>
  <c r="C1744" i="8"/>
  <c r="B1744" i="8"/>
  <c r="A1744" i="8"/>
  <c r="U1726" i="8"/>
  <c r="S1726" i="8"/>
  <c r="I1726" i="8"/>
  <c r="C1726" i="8"/>
  <c r="B1726" i="8"/>
  <c r="A1726" i="8"/>
  <c r="I1725" i="8"/>
  <c r="C1725" i="8"/>
  <c r="B1725" i="8"/>
  <c r="A1725" i="8"/>
  <c r="I1724" i="8"/>
  <c r="C1724" i="8"/>
  <c r="B1724" i="8"/>
  <c r="A1724" i="8"/>
  <c r="I1723" i="8"/>
  <c r="C1723" i="8"/>
  <c r="B1723" i="8"/>
  <c r="A1723" i="8"/>
  <c r="I1722" i="8"/>
  <c r="C1722" i="8"/>
  <c r="B1722" i="8"/>
  <c r="A1722" i="8"/>
  <c r="I1721" i="8"/>
  <c r="C1721" i="8"/>
  <c r="B1721" i="8"/>
  <c r="A1721" i="8"/>
  <c r="I1720" i="8"/>
  <c r="C1720" i="8"/>
  <c r="B1720" i="8"/>
  <c r="A1720" i="8"/>
  <c r="I1719" i="8"/>
  <c r="C1719" i="8"/>
  <c r="B1719" i="8"/>
  <c r="A1719" i="8"/>
  <c r="I1718" i="8"/>
  <c r="C1718" i="8"/>
  <c r="B1718" i="8"/>
  <c r="A1718" i="8"/>
  <c r="I1717" i="8"/>
  <c r="C1717" i="8"/>
  <c r="B1717" i="8"/>
  <c r="A1717" i="8"/>
  <c r="I1716" i="8"/>
  <c r="F1716" i="8"/>
  <c r="C1716" i="8"/>
  <c r="B1716" i="8"/>
  <c r="A1716" i="8"/>
  <c r="I1715" i="8"/>
  <c r="C1715" i="8"/>
  <c r="B1715" i="8"/>
  <c r="A1715" i="8"/>
  <c r="I1714" i="8"/>
  <c r="C1714" i="8"/>
  <c r="B1714" i="8"/>
  <c r="A1714" i="8"/>
  <c r="I1713" i="8"/>
  <c r="C1713" i="8"/>
  <c r="B1713" i="8"/>
  <c r="A1713" i="8"/>
  <c r="I1712" i="8"/>
  <c r="C1712" i="8"/>
  <c r="B1712" i="8"/>
  <c r="A1712" i="8"/>
  <c r="I1711" i="8"/>
  <c r="C1711" i="8"/>
  <c r="B1711" i="8"/>
  <c r="A1711" i="8"/>
  <c r="I1710" i="8"/>
  <c r="C1710" i="8"/>
  <c r="B1710" i="8"/>
  <c r="A1710" i="8"/>
  <c r="I1709" i="8"/>
  <c r="F1709" i="8"/>
  <c r="B1728" i="8" s="1"/>
  <c r="C1709" i="8"/>
  <c r="B1709" i="8"/>
  <c r="A1709" i="8"/>
  <c r="C1708" i="8"/>
  <c r="B1708" i="8"/>
  <c r="A1708" i="8"/>
  <c r="I1707" i="8"/>
  <c r="C1707" i="8"/>
  <c r="B1707" i="8"/>
  <c r="A1707" i="8"/>
  <c r="C1706" i="8"/>
  <c r="B1706" i="8"/>
  <c r="A1706" i="8"/>
  <c r="C1705" i="8"/>
  <c r="B1705" i="8"/>
  <c r="A1705" i="8"/>
  <c r="I1704" i="8"/>
  <c r="C1704" i="8"/>
  <c r="B1704" i="8"/>
  <c r="A1704" i="8"/>
  <c r="C1703" i="8"/>
  <c r="B1703" i="8"/>
  <c r="A1703" i="8"/>
  <c r="C1702" i="8"/>
  <c r="B1702" i="8"/>
  <c r="A1702" i="8"/>
  <c r="C1701" i="8"/>
  <c r="B1701" i="8"/>
  <c r="A1701" i="8"/>
  <c r="I1700" i="8"/>
  <c r="C1700" i="8"/>
  <c r="B1700" i="8"/>
  <c r="A1700" i="8"/>
  <c r="I1682" i="8"/>
  <c r="C1682" i="8"/>
  <c r="B1682" i="8"/>
  <c r="A1682" i="8"/>
  <c r="I1681" i="8"/>
  <c r="C1681" i="8"/>
  <c r="B1681" i="8"/>
  <c r="A1681" i="8"/>
  <c r="I1680" i="8"/>
  <c r="C1680" i="8"/>
  <c r="B1680" i="8"/>
  <c r="A1680" i="8"/>
  <c r="I1679" i="8"/>
  <c r="C1679" i="8"/>
  <c r="B1679" i="8"/>
  <c r="A1679" i="8"/>
  <c r="I1678" i="8"/>
  <c r="C1678" i="8"/>
  <c r="B1678" i="8"/>
  <c r="A1678" i="8"/>
  <c r="I1677" i="8"/>
  <c r="C1677" i="8"/>
  <c r="B1677" i="8"/>
  <c r="A1677" i="8"/>
  <c r="I1676" i="8"/>
  <c r="C1676" i="8"/>
  <c r="B1676" i="8"/>
  <c r="A1676" i="8"/>
  <c r="I1675" i="8"/>
  <c r="C1675" i="8"/>
  <c r="B1675" i="8"/>
  <c r="A1675" i="8"/>
  <c r="I1674" i="8"/>
  <c r="C1674" i="8"/>
  <c r="B1674" i="8"/>
  <c r="A1674" i="8"/>
  <c r="I1673" i="8"/>
  <c r="H1673" i="8"/>
  <c r="C1673" i="8"/>
  <c r="B1673" i="8"/>
  <c r="A1673" i="8"/>
  <c r="I1672" i="8"/>
  <c r="F1672" i="8"/>
  <c r="C1672" i="8"/>
  <c r="B1672" i="8"/>
  <c r="A1672" i="8"/>
  <c r="I1671" i="8"/>
  <c r="C1671" i="8"/>
  <c r="B1671" i="8"/>
  <c r="A1671" i="8"/>
  <c r="I1670" i="8"/>
  <c r="C1670" i="8"/>
  <c r="B1670" i="8"/>
  <c r="A1670" i="8"/>
  <c r="I1669" i="8"/>
  <c r="C1669" i="8"/>
  <c r="B1669" i="8"/>
  <c r="A1669" i="8"/>
  <c r="I1668" i="8"/>
  <c r="C1668" i="8"/>
  <c r="B1668" i="8"/>
  <c r="A1668" i="8"/>
  <c r="I1667" i="8"/>
  <c r="C1667" i="8"/>
  <c r="B1667" i="8"/>
  <c r="A1667" i="8"/>
  <c r="I1666" i="8"/>
  <c r="C1666" i="8"/>
  <c r="B1666" i="8"/>
  <c r="A1666" i="8"/>
  <c r="I1665" i="8"/>
  <c r="F1665" i="8"/>
  <c r="B1684" i="8" s="1"/>
  <c r="C1665" i="8"/>
  <c r="B1665" i="8"/>
  <c r="A1665" i="8"/>
  <c r="C1664" i="8"/>
  <c r="B1664" i="8"/>
  <c r="A1664" i="8"/>
  <c r="I1663" i="8"/>
  <c r="C1663" i="8"/>
  <c r="B1663" i="8"/>
  <c r="A1663" i="8"/>
  <c r="C1662" i="8"/>
  <c r="B1662" i="8"/>
  <c r="A1662" i="8"/>
  <c r="C1661" i="8"/>
  <c r="B1661" i="8"/>
  <c r="A1661" i="8"/>
  <c r="I1660" i="8"/>
  <c r="C1660" i="8"/>
  <c r="B1660" i="8"/>
  <c r="A1660" i="8"/>
  <c r="C1659" i="8"/>
  <c r="B1659" i="8"/>
  <c r="A1659" i="8"/>
  <c r="C1658" i="8"/>
  <c r="B1658" i="8"/>
  <c r="A1658" i="8"/>
  <c r="C1657" i="8"/>
  <c r="B1657" i="8"/>
  <c r="A1657" i="8"/>
  <c r="I1656" i="8"/>
  <c r="C1656" i="8"/>
  <c r="B1656" i="8"/>
  <c r="A1656" i="8"/>
  <c r="U1638" i="8"/>
  <c r="S1638" i="8"/>
  <c r="I1638" i="8"/>
  <c r="C1638" i="8"/>
  <c r="B1638" i="8"/>
  <c r="A1638" i="8"/>
  <c r="I1637" i="8"/>
  <c r="C1637" i="8"/>
  <c r="B1637" i="8"/>
  <c r="A1637" i="8"/>
  <c r="I1636" i="8"/>
  <c r="C1636" i="8"/>
  <c r="B1636" i="8"/>
  <c r="A1636" i="8"/>
  <c r="I1635" i="8"/>
  <c r="C1635" i="8"/>
  <c r="B1635" i="8"/>
  <c r="A1635" i="8"/>
  <c r="I1634" i="8"/>
  <c r="C1634" i="8"/>
  <c r="B1634" i="8"/>
  <c r="A1634" i="8"/>
  <c r="I1633" i="8"/>
  <c r="C1633" i="8"/>
  <c r="B1633" i="8"/>
  <c r="A1633" i="8"/>
  <c r="I1632" i="8"/>
  <c r="C1632" i="8"/>
  <c r="B1632" i="8"/>
  <c r="A1632" i="8"/>
  <c r="I1631" i="8"/>
  <c r="C1631" i="8"/>
  <c r="B1631" i="8"/>
  <c r="A1631" i="8"/>
  <c r="I1630" i="8"/>
  <c r="H1630" i="8"/>
  <c r="C1630" i="8"/>
  <c r="B1630" i="8"/>
  <c r="A1630" i="8"/>
  <c r="I1629" i="8"/>
  <c r="C1629" i="8"/>
  <c r="B1629" i="8"/>
  <c r="A1629" i="8"/>
  <c r="I1628" i="8"/>
  <c r="F1628" i="8"/>
  <c r="C1628" i="8"/>
  <c r="B1628" i="8"/>
  <c r="A1628" i="8"/>
  <c r="I1627" i="8"/>
  <c r="C1627" i="8"/>
  <c r="B1627" i="8"/>
  <c r="A1627" i="8"/>
  <c r="I1626" i="8"/>
  <c r="C1626" i="8"/>
  <c r="B1626" i="8"/>
  <c r="A1626" i="8"/>
  <c r="I1625" i="8"/>
  <c r="C1625" i="8"/>
  <c r="B1625" i="8"/>
  <c r="A1625" i="8"/>
  <c r="I1624" i="8"/>
  <c r="C1624" i="8"/>
  <c r="B1624" i="8"/>
  <c r="A1624" i="8"/>
  <c r="I1623" i="8"/>
  <c r="C1623" i="8"/>
  <c r="B1623" i="8"/>
  <c r="A1623" i="8"/>
  <c r="I1622" i="8"/>
  <c r="C1622" i="8"/>
  <c r="B1622" i="8"/>
  <c r="A1622" i="8"/>
  <c r="I1621" i="8"/>
  <c r="F1621" i="8"/>
  <c r="B1640" i="8" s="1"/>
  <c r="C1621" i="8"/>
  <c r="B1621" i="8"/>
  <c r="A1621" i="8"/>
  <c r="C1620" i="8"/>
  <c r="B1620" i="8"/>
  <c r="A1620" i="8"/>
  <c r="I1619" i="8"/>
  <c r="C1619" i="8"/>
  <c r="B1619" i="8"/>
  <c r="A1619" i="8"/>
  <c r="C1618" i="8"/>
  <c r="B1618" i="8"/>
  <c r="A1618" i="8"/>
  <c r="C1617" i="8"/>
  <c r="B1617" i="8"/>
  <c r="A1617" i="8"/>
  <c r="I1616" i="8"/>
  <c r="C1616" i="8"/>
  <c r="B1616" i="8"/>
  <c r="A1616" i="8"/>
  <c r="C1615" i="8"/>
  <c r="B1615" i="8"/>
  <c r="A1615" i="8"/>
  <c r="C1614" i="8"/>
  <c r="B1614" i="8"/>
  <c r="A1614" i="8"/>
  <c r="C1613" i="8"/>
  <c r="B1613" i="8"/>
  <c r="A1613" i="8"/>
  <c r="I1612" i="8"/>
  <c r="H1612" i="8"/>
  <c r="C1612" i="8"/>
  <c r="B1612" i="8"/>
  <c r="A1612" i="8"/>
  <c r="U1594" i="8"/>
  <c r="S1594" i="8"/>
  <c r="I1594" i="8"/>
  <c r="C1594" i="8"/>
  <c r="B1594" i="8"/>
  <c r="A1594" i="8"/>
  <c r="I1593" i="8"/>
  <c r="H1593" i="8"/>
  <c r="C1593" i="8"/>
  <c r="B1593" i="8"/>
  <c r="A1593" i="8"/>
  <c r="I1592" i="8"/>
  <c r="C1592" i="8"/>
  <c r="B1592" i="8"/>
  <c r="A1592" i="8"/>
  <c r="I1591" i="8"/>
  <c r="C1591" i="8"/>
  <c r="B1591" i="8"/>
  <c r="A1591" i="8"/>
  <c r="I1590" i="8"/>
  <c r="C1590" i="8"/>
  <c r="B1590" i="8"/>
  <c r="A1590" i="8"/>
  <c r="I1589" i="8"/>
  <c r="C1589" i="8"/>
  <c r="B1589" i="8"/>
  <c r="A1589" i="8"/>
  <c r="I1588" i="8"/>
  <c r="C1588" i="8"/>
  <c r="B1588" i="8"/>
  <c r="A1588" i="8"/>
  <c r="I1587" i="8"/>
  <c r="C1587" i="8"/>
  <c r="B1587" i="8"/>
  <c r="A1587" i="8"/>
  <c r="I1586" i="8"/>
  <c r="C1586" i="8"/>
  <c r="B1586" i="8"/>
  <c r="A1586" i="8"/>
  <c r="I1585" i="8"/>
  <c r="C1585" i="8"/>
  <c r="B1585" i="8"/>
  <c r="A1585" i="8"/>
  <c r="I1584" i="8"/>
  <c r="F1584" i="8"/>
  <c r="C1584" i="8"/>
  <c r="B1584" i="8"/>
  <c r="A1584" i="8"/>
  <c r="I1583" i="8"/>
  <c r="C1583" i="8"/>
  <c r="B1583" i="8"/>
  <c r="A1583" i="8"/>
  <c r="I1582" i="8"/>
  <c r="C1582" i="8"/>
  <c r="B1582" i="8"/>
  <c r="A1582" i="8"/>
  <c r="I1581" i="8"/>
  <c r="C1581" i="8"/>
  <c r="B1581" i="8"/>
  <c r="A1581" i="8"/>
  <c r="I1580" i="8"/>
  <c r="C1580" i="8"/>
  <c r="B1580" i="8"/>
  <c r="A1580" i="8"/>
  <c r="I1579" i="8"/>
  <c r="C1579" i="8"/>
  <c r="B1579" i="8"/>
  <c r="A1579" i="8"/>
  <c r="I1578" i="8"/>
  <c r="C1578" i="8"/>
  <c r="B1578" i="8"/>
  <c r="A1578" i="8"/>
  <c r="I1577" i="8"/>
  <c r="F1577" i="8"/>
  <c r="B1596" i="8" s="1"/>
  <c r="C1577" i="8"/>
  <c r="B1577" i="8"/>
  <c r="A1577" i="8"/>
  <c r="C1576" i="8"/>
  <c r="B1576" i="8"/>
  <c r="A1576" i="8"/>
  <c r="I1575" i="8"/>
  <c r="C1575" i="8"/>
  <c r="B1575" i="8"/>
  <c r="A1575" i="8"/>
  <c r="C1574" i="8"/>
  <c r="B1574" i="8"/>
  <c r="A1574" i="8"/>
  <c r="C1573" i="8"/>
  <c r="B1573" i="8"/>
  <c r="A1573" i="8"/>
  <c r="I1572" i="8"/>
  <c r="C1572" i="8"/>
  <c r="B1572" i="8"/>
  <c r="A1572" i="8"/>
  <c r="C1571" i="8"/>
  <c r="B1571" i="8"/>
  <c r="A1571" i="8"/>
  <c r="C1570" i="8"/>
  <c r="B1570" i="8"/>
  <c r="A1570" i="8"/>
  <c r="C1569" i="8"/>
  <c r="B1569" i="8"/>
  <c r="A1569" i="8"/>
  <c r="I1568" i="8"/>
  <c r="C1568" i="8"/>
  <c r="B1568" i="8"/>
  <c r="A1568" i="8"/>
  <c r="I1550" i="8"/>
  <c r="C1550" i="8"/>
  <c r="B1550" i="8"/>
  <c r="A1550" i="8"/>
  <c r="I1549" i="8"/>
  <c r="C1549" i="8"/>
  <c r="B1549" i="8"/>
  <c r="A1549" i="8"/>
  <c r="I1548" i="8"/>
  <c r="C1548" i="8"/>
  <c r="B1548" i="8"/>
  <c r="A1548" i="8"/>
  <c r="I1547" i="8"/>
  <c r="C1547" i="8"/>
  <c r="B1547" i="8"/>
  <c r="A1547" i="8"/>
  <c r="I1546" i="8"/>
  <c r="C1546" i="8"/>
  <c r="B1546" i="8"/>
  <c r="A1546" i="8"/>
  <c r="I1545" i="8"/>
  <c r="C1545" i="8"/>
  <c r="B1545" i="8"/>
  <c r="A1545" i="8"/>
  <c r="I1544" i="8"/>
  <c r="C1544" i="8"/>
  <c r="B1544" i="8"/>
  <c r="A1544" i="8"/>
  <c r="I1543" i="8"/>
  <c r="H1543" i="8"/>
  <c r="C1543" i="8"/>
  <c r="B1543" i="8"/>
  <c r="A1543" i="8"/>
  <c r="I1542" i="8"/>
  <c r="C1542" i="8"/>
  <c r="B1542" i="8"/>
  <c r="A1542" i="8"/>
  <c r="I1541" i="8"/>
  <c r="C1541" i="8"/>
  <c r="B1541" i="8"/>
  <c r="A1541" i="8"/>
  <c r="I1540" i="8"/>
  <c r="F1540" i="8"/>
  <c r="C1540" i="8"/>
  <c r="B1540" i="8"/>
  <c r="A1540" i="8"/>
  <c r="I1539" i="8"/>
  <c r="C1539" i="8"/>
  <c r="B1539" i="8"/>
  <c r="A1539" i="8"/>
  <c r="I1538" i="8"/>
  <c r="C1538" i="8"/>
  <c r="B1538" i="8"/>
  <c r="A1538" i="8"/>
  <c r="I1537" i="8"/>
  <c r="C1537" i="8"/>
  <c r="B1537" i="8"/>
  <c r="A1537" i="8"/>
  <c r="I1536" i="8"/>
  <c r="C1536" i="8"/>
  <c r="B1536" i="8"/>
  <c r="A1536" i="8"/>
  <c r="I1535" i="8"/>
  <c r="C1535" i="8"/>
  <c r="B1535" i="8"/>
  <c r="A1535" i="8"/>
  <c r="I1534" i="8"/>
  <c r="C1534" i="8"/>
  <c r="B1534" i="8"/>
  <c r="A1534" i="8"/>
  <c r="I1533" i="8"/>
  <c r="F1533" i="8"/>
  <c r="B1552" i="8" s="1"/>
  <c r="C1533" i="8"/>
  <c r="B1533" i="8"/>
  <c r="A1533" i="8"/>
  <c r="C1532" i="8"/>
  <c r="B1532" i="8"/>
  <c r="A1532" i="8"/>
  <c r="I1531" i="8"/>
  <c r="C1531" i="8"/>
  <c r="B1531" i="8"/>
  <c r="A1531" i="8"/>
  <c r="C1530" i="8"/>
  <c r="B1530" i="8"/>
  <c r="A1530" i="8"/>
  <c r="C1529" i="8"/>
  <c r="B1529" i="8"/>
  <c r="A1529" i="8"/>
  <c r="I1528" i="8"/>
  <c r="C1528" i="8"/>
  <c r="B1528" i="8"/>
  <c r="A1528" i="8"/>
  <c r="C1527" i="8"/>
  <c r="B1527" i="8"/>
  <c r="A1527" i="8"/>
  <c r="C1526" i="8"/>
  <c r="B1526" i="8"/>
  <c r="A1526" i="8"/>
  <c r="C1525" i="8"/>
  <c r="B1525" i="8"/>
  <c r="A1525" i="8"/>
  <c r="I1524" i="8"/>
  <c r="C1524" i="8"/>
  <c r="B1524" i="8"/>
  <c r="A1524" i="8"/>
  <c r="S1506" i="8"/>
  <c r="I1506" i="8"/>
  <c r="C1506" i="8"/>
  <c r="U1506" i="8" s="1"/>
  <c r="B1506" i="8"/>
  <c r="A1506" i="8"/>
  <c r="I1505" i="8"/>
  <c r="C1505" i="8"/>
  <c r="B1505" i="8"/>
  <c r="A1505" i="8"/>
  <c r="I1504" i="8"/>
  <c r="C1504" i="8"/>
  <c r="B1504" i="8"/>
  <c r="A1504" i="8"/>
  <c r="I1503" i="8"/>
  <c r="C1503" i="8"/>
  <c r="B1503" i="8"/>
  <c r="A1503" i="8"/>
  <c r="I1502" i="8"/>
  <c r="C1502" i="8"/>
  <c r="B1502" i="8"/>
  <c r="A1502" i="8"/>
  <c r="I1501" i="8"/>
  <c r="C1501" i="8"/>
  <c r="B1501" i="8"/>
  <c r="A1501" i="8"/>
  <c r="I1500" i="8"/>
  <c r="C1500" i="8"/>
  <c r="B1500" i="8"/>
  <c r="A1500" i="8"/>
  <c r="I1499" i="8"/>
  <c r="C1499" i="8"/>
  <c r="B1499" i="8"/>
  <c r="A1499" i="8"/>
  <c r="I1498" i="8"/>
  <c r="C1498" i="8"/>
  <c r="B1498" i="8"/>
  <c r="A1498" i="8"/>
  <c r="I1497" i="8"/>
  <c r="C1497" i="8"/>
  <c r="B1497" i="8"/>
  <c r="A1497" i="8"/>
  <c r="I1496" i="8"/>
  <c r="F1496" i="8"/>
  <c r="C1496" i="8"/>
  <c r="B1496" i="8"/>
  <c r="A1496" i="8"/>
  <c r="I1495" i="8"/>
  <c r="C1495" i="8"/>
  <c r="B1495" i="8"/>
  <c r="A1495" i="8"/>
  <c r="I1494" i="8"/>
  <c r="C1494" i="8"/>
  <c r="B1494" i="8"/>
  <c r="A1494" i="8"/>
  <c r="I1493" i="8"/>
  <c r="C1493" i="8"/>
  <c r="B1493" i="8"/>
  <c r="A1493" i="8"/>
  <c r="I1492" i="8"/>
  <c r="C1492" i="8"/>
  <c r="B1492" i="8"/>
  <c r="A1492" i="8"/>
  <c r="I1491" i="8"/>
  <c r="C1491" i="8"/>
  <c r="B1491" i="8"/>
  <c r="A1491" i="8"/>
  <c r="I1490" i="8"/>
  <c r="C1490" i="8"/>
  <c r="B1490" i="8"/>
  <c r="A1490" i="8"/>
  <c r="I1489" i="8"/>
  <c r="F1489" i="8"/>
  <c r="B1508" i="8" s="1"/>
  <c r="C1489" i="8"/>
  <c r="B1489" i="8"/>
  <c r="A1489" i="8"/>
  <c r="C1488" i="8"/>
  <c r="B1488" i="8"/>
  <c r="A1488" i="8"/>
  <c r="I1487" i="8"/>
  <c r="C1487" i="8"/>
  <c r="B1487" i="8"/>
  <c r="A1487" i="8"/>
  <c r="C1486" i="8"/>
  <c r="B1486" i="8"/>
  <c r="A1486" i="8"/>
  <c r="C1485" i="8"/>
  <c r="B1485" i="8"/>
  <c r="A1485" i="8"/>
  <c r="I1484" i="8"/>
  <c r="C1484" i="8"/>
  <c r="B1484" i="8"/>
  <c r="A1484" i="8"/>
  <c r="C1483" i="8"/>
  <c r="B1483" i="8"/>
  <c r="A1483" i="8"/>
  <c r="C1482" i="8"/>
  <c r="B1482" i="8"/>
  <c r="A1482" i="8"/>
  <c r="C1481" i="8"/>
  <c r="B1481" i="8"/>
  <c r="A1481" i="8"/>
  <c r="I1480" i="8"/>
  <c r="C1480" i="8"/>
  <c r="B1480" i="8"/>
  <c r="A1480" i="8"/>
  <c r="I1462" i="8"/>
  <c r="C1462" i="8"/>
  <c r="U1462" i="8" s="1"/>
  <c r="B1462" i="8"/>
  <c r="A1462" i="8"/>
  <c r="I1461" i="8"/>
  <c r="C1461" i="8"/>
  <c r="B1461" i="8"/>
  <c r="A1461" i="8"/>
  <c r="I1460" i="8"/>
  <c r="C1460" i="8"/>
  <c r="B1460" i="8"/>
  <c r="A1460" i="8"/>
  <c r="I1459" i="8"/>
  <c r="C1459" i="8"/>
  <c r="B1459" i="8"/>
  <c r="A1459" i="8"/>
  <c r="I1458" i="8"/>
  <c r="C1458" i="8"/>
  <c r="B1458" i="8"/>
  <c r="A1458" i="8"/>
  <c r="I1457" i="8"/>
  <c r="C1457" i="8"/>
  <c r="B1457" i="8"/>
  <c r="A1457" i="8"/>
  <c r="I1456" i="8"/>
  <c r="C1456" i="8"/>
  <c r="B1456" i="8"/>
  <c r="A1456" i="8"/>
  <c r="I1455" i="8"/>
  <c r="C1455" i="8"/>
  <c r="B1455" i="8"/>
  <c r="A1455" i="8"/>
  <c r="I1454" i="8"/>
  <c r="C1454" i="8"/>
  <c r="B1454" i="8"/>
  <c r="A1454" i="8"/>
  <c r="I1453" i="8"/>
  <c r="C1453" i="8"/>
  <c r="B1453" i="8"/>
  <c r="A1453" i="8"/>
  <c r="I1452" i="8"/>
  <c r="F1452" i="8"/>
  <c r="C1452" i="8"/>
  <c r="B1452" i="8"/>
  <c r="A1452" i="8"/>
  <c r="I1451" i="8"/>
  <c r="C1451" i="8"/>
  <c r="B1451" i="8"/>
  <c r="A1451" i="8"/>
  <c r="I1450" i="8"/>
  <c r="C1450" i="8"/>
  <c r="B1450" i="8"/>
  <c r="A1450" i="8"/>
  <c r="I1449" i="8"/>
  <c r="C1449" i="8"/>
  <c r="B1449" i="8"/>
  <c r="A1449" i="8"/>
  <c r="I1448" i="8"/>
  <c r="C1448" i="8"/>
  <c r="B1448" i="8"/>
  <c r="A1448" i="8"/>
  <c r="I1447" i="8"/>
  <c r="C1447" i="8"/>
  <c r="B1447" i="8"/>
  <c r="A1447" i="8"/>
  <c r="I1446" i="8"/>
  <c r="C1446" i="8"/>
  <c r="B1446" i="8"/>
  <c r="A1446" i="8"/>
  <c r="I1445" i="8"/>
  <c r="F1445" i="8"/>
  <c r="B1464" i="8" s="1"/>
  <c r="C1445" i="8"/>
  <c r="B1445" i="8"/>
  <c r="A1445" i="8"/>
  <c r="C1444" i="8"/>
  <c r="B1444" i="8"/>
  <c r="A1444" i="8"/>
  <c r="I1443" i="8"/>
  <c r="C1443" i="8"/>
  <c r="B1443" i="8"/>
  <c r="A1443" i="8"/>
  <c r="C1442" i="8"/>
  <c r="B1442" i="8"/>
  <c r="A1442" i="8"/>
  <c r="C1441" i="8"/>
  <c r="B1441" i="8"/>
  <c r="A1441" i="8"/>
  <c r="I1440" i="8"/>
  <c r="C1440" i="8"/>
  <c r="B1440" i="8"/>
  <c r="A1440" i="8"/>
  <c r="C1439" i="8"/>
  <c r="B1439" i="8"/>
  <c r="A1439" i="8"/>
  <c r="C1438" i="8"/>
  <c r="B1438" i="8"/>
  <c r="A1438" i="8"/>
  <c r="C1437" i="8"/>
  <c r="B1437" i="8"/>
  <c r="A1437" i="8"/>
  <c r="I1436" i="8"/>
  <c r="C1436" i="8"/>
  <c r="B1436" i="8"/>
  <c r="A1436" i="8"/>
  <c r="U1418" i="8"/>
  <c r="S1418" i="8"/>
  <c r="I1418" i="8"/>
  <c r="C1418" i="8"/>
  <c r="B1418" i="8"/>
  <c r="A1418" i="8"/>
  <c r="I1417" i="8"/>
  <c r="C1417" i="8"/>
  <c r="B1417" i="8"/>
  <c r="A1417" i="8"/>
  <c r="I1416" i="8"/>
  <c r="C1416" i="8"/>
  <c r="B1416" i="8"/>
  <c r="A1416" i="8"/>
  <c r="I1415" i="8"/>
  <c r="C1415" i="8"/>
  <c r="B1415" i="8"/>
  <c r="A1415" i="8"/>
  <c r="I1414" i="8"/>
  <c r="C1414" i="8"/>
  <c r="B1414" i="8"/>
  <c r="A1414" i="8"/>
  <c r="I1413" i="8"/>
  <c r="C1413" i="8"/>
  <c r="B1413" i="8"/>
  <c r="A1413" i="8"/>
  <c r="I1412" i="8"/>
  <c r="C1412" i="8"/>
  <c r="B1412" i="8"/>
  <c r="A1412" i="8"/>
  <c r="I1411" i="8"/>
  <c r="C1411" i="8"/>
  <c r="B1411" i="8"/>
  <c r="A1411" i="8"/>
  <c r="I1410" i="8"/>
  <c r="C1410" i="8"/>
  <c r="B1410" i="8"/>
  <c r="A1410" i="8"/>
  <c r="I1409" i="8"/>
  <c r="C1409" i="8"/>
  <c r="B1409" i="8"/>
  <c r="A1409" i="8"/>
  <c r="I1408" i="8"/>
  <c r="F1408" i="8"/>
  <c r="C1408" i="8"/>
  <c r="B1408" i="8"/>
  <c r="A1408" i="8"/>
  <c r="I1407" i="8"/>
  <c r="C1407" i="8"/>
  <c r="B1407" i="8"/>
  <c r="A1407" i="8"/>
  <c r="I1406" i="8"/>
  <c r="C1406" i="8"/>
  <c r="B1406" i="8"/>
  <c r="A1406" i="8"/>
  <c r="I1405" i="8"/>
  <c r="C1405" i="8"/>
  <c r="B1405" i="8"/>
  <c r="A1405" i="8"/>
  <c r="I1404" i="8"/>
  <c r="C1404" i="8"/>
  <c r="B1404" i="8"/>
  <c r="A1404" i="8"/>
  <c r="I1403" i="8"/>
  <c r="C1403" i="8"/>
  <c r="B1403" i="8"/>
  <c r="A1403" i="8"/>
  <c r="I1402" i="8"/>
  <c r="C1402" i="8"/>
  <c r="B1402" i="8"/>
  <c r="A1402" i="8"/>
  <c r="I1401" i="8"/>
  <c r="F1401" i="8"/>
  <c r="B1420" i="8" s="1"/>
  <c r="C1401" i="8"/>
  <c r="B1401" i="8"/>
  <c r="A1401" i="8"/>
  <c r="C1400" i="8"/>
  <c r="B1400" i="8"/>
  <c r="A1400" i="8"/>
  <c r="I1399" i="8"/>
  <c r="C1399" i="8"/>
  <c r="B1399" i="8"/>
  <c r="A1399" i="8"/>
  <c r="C1398" i="8"/>
  <c r="B1398" i="8"/>
  <c r="A1398" i="8"/>
  <c r="C1397" i="8"/>
  <c r="B1397" i="8"/>
  <c r="A1397" i="8"/>
  <c r="I1396" i="8"/>
  <c r="C1396" i="8"/>
  <c r="B1396" i="8"/>
  <c r="A1396" i="8"/>
  <c r="C1395" i="8"/>
  <c r="B1395" i="8"/>
  <c r="A1395" i="8"/>
  <c r="C1394" i="8"/>
  <c r="B1394" i="8"/>
  <c r="A1394" i="8"/>
  <c r="C1393" i="8"/>
  <c r="B1393" i="8"/>
  <c r="A1393" i="8"/>
  <c r="I1392" i="8"/>
  <c r="C1392" i="8"/>
  <c r="B1392" i="8"/>
  <c r="A1392" i="8"/>
  <c r="U1374" i="8"/>
  <c r="S1374" i="8"/>
  <c r="I1374" i="8"/>
  <c r="C1374" i="8"/>
  <c r="B1374" i="8"/>
  <c r="A1374" i="8"/>
  <c r="I1373" i="8"/>
  <c r="C1373" i="8"/>
  <c r="B1373" i="8"/>
  <c r="A1373" i="8"/>
  <c r="I1372" i="8"/>
  <c r="C1372" i="8"/>
  <c r="B1372" i="8"/>
  <c r="A1372" i="8"/>
  <c r="I1371" i="8"/>
  <c r="C1371" i="8"/>
  <c r="B1371" i="8"/>
  <c r="A1371" i="8"/>
  <c r="I1370" i="8"/>
  <c r="C1370" i="8"/>
  <c r="B1370" i="8"/>
  <c r="A1370" i="8"/>
  <c r="I1369" i="8"/>
  <c r="C1369" i="8"/>
  <c r="B1369" i="8"/>
  <c r="A1369" i="8"/>
  <c r="I1368" i="8"/>
  <c r="C1368" i="8"/>
  <c r="B1368" i="8"/>
  <c r="A1368" i="8"/>
  <c r="I1367" i="8"/>
  <c r="C1367" i="8"/>
  <c r="B1367" i="8"/>
  <c r="A1367" i="8"/>
  <c r="I1366" i="8"/>
  <c r="C1366" i="8"/>
  <c r="B1366" i="8"/>
  <c r="A1366" i="8"/>
  <c r="I1365" i="8"/>
  <c r="C1365" i="8"/>
  <c r="B1365" i="8"/>
  <c r="A1365" i="8"/>
  <c r="I1364" i="8"/>
  <c r="F1364" i="8"/>
  <c r="C1364" i="8"/>
  <c r="B1364" i="8"/>
  <c r="A1364" i="8"/>
  <c r="I1363" i="8"/>
  <c r="C1363" i="8"/>
  <c r="B1363" i="8"/>
  <c r="A1363" i="8"/>
  <c r="I1362" i="8"/>
  <c r="C1362" i="8"/>
  <c r="B1362" i="8"/>
  <c r="A1362" i="8"/>
  <c r="I1361" i="8"/>
  <c r="C1361" i="8"/>
  <c r="B1361" i="8"/>
  <c r="A1361" i="8"/>
  <c r="I1360" i="8"/>
  <c r="C1360" i="8"/>
  <c r="B1360" i="8"/>
  <c r="A1360" i="8"/>
  <c r="I1359" i="8"/>
  <c r="C1359" i="8"/>
  <c r="B1359" i="8"/>
  <c r="A1359" i="8"/>
  <c r="I1358" i="8"/>
  <c r="C1358" i="8"/>
  <c r="B1358" i="8"/>
  <c r="A1358" i="8"/>
  <c r="I1357" i="8"/>
  <c r="F1357" i="8"/>
  <c r="B1376" i="8" s="1"/>
  <c r="C1357" i="8"/>
  <c r="B1357" i="8"/>
  <c r="A1357" i="8"/>
  <c r="H1356" i="8"/>
  <c r="C1356" i="8"/>
  <c r="B1356" i="8"/>
  <c r="A1356" i="8"/>
  <c r="I1355" i="8"/>
  <c r="C1355" i="8"/>
  <c r="B1355" i="8"/>
  <c r="A1355" i="8"/>
  <c r="C1354" i="8"/>
  <c r="B1354" i="8"/>
  <c r="A1354" i="8"/>
  <c r="C1353" i="8"/>
  <c r="B1353" i="8"/>
  <c r="A1353" i="8"/>
  <c r="I1352" i="8"/>
  <c r="C1352" i="8"/>
  <c r="B1352" i="8"/>
  <c r="A1352" i="8"/>
  <c r="C1351" i="8"/>
  <c r="B1351" i="8"/>
  <c r="A1351" i="8"/>
  <c r="C1350" i="8"/>
  <c r="B1350" i="8"/>
  <c r="A1350" i="8"/>
  <c r="C1349" i="8"/>
  <c r="B1349" i="8"/>
  <c r="A1349" i="8"/>
  <c r="I1348" i="8"/>
  <c r="C1348" i="8"/>
  <c r="B1348" i="8"/>
  <c r="A1348" i="8"/>
  <c r="U1330" i="8"/>
  <c r="S1330" i="8"/>
  <c r="I1330" i="8"/>
  <c r="C1330" i="8"/>
  <c r="B1330" i="8"/>
  <c r="A1330" i="8"/>
  <c r="I1329" i="8"/>
  <c r="H1329" i="8"/>
  <c r="C1329" i="8"/>
  <c r="B1329" i="8"/>
  <c r="A1329" i="8"/>
  <c r="I1328" i="8"/>
  <c r="C1328" i="8"/>
  <c r="B1328" i="8"/>
  <c r="A1328" i="8"/>
  <c r="I1327" i="8"/>
  <c r="C1327" i="8"/>
  <c r="B1327" i="8"/>
  <c r="A1327" i="8"/>
  <c r="I1326" i="8"/>
  <c r="C1326" i="8"/>
  <c r="B1326" i="8"/>
  <c r="A1326" i="8"/>
  <c r="I1325" i="8"/>
  <c r="C1325" i="8"/>
  <c r="B1325" i="8"/>
  <c r="A1325" i="8"/>
  <c r="I1324" i="8"/>
  <c r="C1324" i="8"/>
  <c r="B1324" i="8"/>
  <c r="A1324" i="8"/>
  <c r="I1323" i="8"/>
  <c r="C1323" i="8"/>
  <c r="B1323" i="8"/>
  <c r="A1323" i="8"/>
  <c r="I1322" i="8"/>
  <c r="C1322" i="8"/>
  <c r="B1322" i="8"/>
  <c r="A1322" i="8"/>
  <c r="I1321" i="8"/>
  <c r="C1321" i="8"/>
  <c r="B1321" i="8"/>
  <c r="A1321" i="8"/>
  <c r="I1320" i="8"/>
  <c r="F1320" i="8"/>
  <c r="C1320" i="8"/>
  <c r="B1320" i="8"/>
  <c r="A1320" i="8"/>
  <c r="I1319" i="8"/>
  <c r="C1319" i="8"/>
  <c r="B1319" i="8"/>
  <c r="A1319" i="8"/>
  <c r="I1318" i="8"/>
  <c r="C1318" i="8"/>
  <c r="B1318" i="8"/>
  <c r="A1318" i="8"/>
  <c r="I1317" i="8"/>
  <c r="C1317" i="8"/>
  <c r="B1317" i="8"/>
  <c r="A1317" i="8"/>
  <c r="I1316" i="8"/>
  <c r="C1316" i="8"/>
  <c r="B1316" i="8"/>
  <c r="A1316" i="8"/>
  <c r="I1315" i="8"/>
  <c r="C1315" i="8"/>
  <c r="B1315" i="8"/>
  <c r="A1315" i="8"/>
  <c r="I1314" i="8"/>
  <c r="C1314" i="8"/>
  <c r="B1314" i="8"/>
  <c r="A1314" i="8"/>
  <c r="I1313" i="8"/>
  <c r="F1313" i="8"/>
  <c r="B1332" i="8" s="1"/>
  <c r="C1313" i="8"/>
  <c r="B1313" i="8"/>
  <c r="A1313" i="8"/>
  <c r="C1312" i="8"/>
  <c r="B1312" i="8"/>
  <c r="A1312" i="8"/>
  <c r="I1311" i="8"/>
  <c r="C1311" i="8"/>
  <c r="B1311" i="8"/>
  <c r="A1311" i="8"/>
  <c r="C1310" i="8"/>
  <c r="B1310" i="8"/>
  <c r="A1310" i="8"/>
  <c r="C1309" i="8"/>
  <c r="B1309" i="8"/>
  <c r="A1309" i="8"/>
  <c r="I1308" i="8"/>
  <c r="C1308" i="8"/>
  <c r="B1308" i="8"/>
  <c r="A1308" i="8"/>
  <c r="C1307" i="8"/>
  <c r="B1307" i="8"/>
  <c r="A1307" i="8"/>
  <c r="C1306" i="8"/>
  <c r="B1306" i="8"/>
  <c r="A1306" i="8"/>
  <c r="C1305" i="8"/>
  <c r="B1305" i="8"/>
  <c r="A1305" i="8"/>
  <c r="I1304" i="8"/>
  <c r="C1304" i="8"/>
  <c r="B1304" i="8"/>
  <c r="A1304" i="8"/>
  <c r="I1286" i="8"/>
  <c r="C1286" i="8"/>
  <c r="B1286" i="8"/>
  <c r="A1286" i="8"/>
  <c r="I1285" i="8"/>
  <c r="C1285" i="8"/>
  <c r="B1285" i="8"/>
  <c r="A1285" i="8"/>
  <c r="I1284" i="8"/>
  <c r="C1284" i="8"/>
  <c r="B1284" i="8"/>
  <c r="A1284" i="8"/>
  <c r="I1283" i="8"/>
  <c r="C1283" i="8"/>
  <c r="B1283" i="8"/>
  <c r="A1283" i="8"/>
  <c r="I1282" i="8"/>
  <c r="C1282" i="8"/>
  <c r="B1282" i="8"/>
  <c r="A1282" i="8"/>
  <c r="I1281" i="8"/>
  <c r="C1281" i="8"/>
  <c r="B1281" i="8"/>
  <c r="A1281" i="8"/>
  <c r="I1280" i="8"/>
  <c r="C1280" i="8"/>
  <c r="B1280" i="8"/>
  <c r="A1280" i="8"/>
  <c r="I1279" i="8"/>
  <c r="C1279" i="8"/>
  <c r="B1279" i="8"/>
  <c r="A1279" i="8"/>
  <c r="I1278" i="8"/>
  <c r="C1278" i="8"/>
  <c r="B1278" i="8"/>
  <c r="A1278" i="8"/>
  <c r="I1277" i="8"/>
  <c r="H1277" i="8"/>
  <c r="C1277" i="8"/>
  <c r="B1277" i="8"/>
  <c r="A1277" i="8"/>
  <c r="I1276" i="8"/>
  <c r="F1276" i="8"/>
  <c r="C1276" i="8"/>
  <c r="B1276" i="8"/>
  <c r="A1276" i="8"/>
  <c r="I1275" i="8"/>
  <c r="C1275" i="8"/>
  <c r="B1275" i="8"/>
  <c r="A1275" i="8"/>
  <c r="I1274" i="8"/>
  <c r="C1274" i="8"/>
  <c r="B1274" i="8"/>
  <c r="A1274" i="8"/>
  <c r="I1273" i="8"/>
  <c r="C1273" i="8"/>
  <c r="B1273" i="8"/>
  <c r="A1273" i="8"/>
  <c r="I1272" i="8"/>
  <c r="C1272" i="8"/>
  <c r="B1272" i="8"/>
  <c r="A1272" i="8"/>
  <c r="I1271" i="8"/>
  <c r="C1271" i="8"/>
  <c r="B1271" i="8"/>
  <c r="A1271" i="8"/>
  <c r="I1270" i="8"/>
  <c r="C1270" i="8"/>
  <c r="B1270" i="8"/>
  <c r="A1270" i="8"/>
  <c r="I1269" i="8"/>
  <c r="F1269" i="8"/>
  <c r="B1288" i="8" s="1"/>
  <c r="C1269" i="8"/>
  <c r="B1269" i="8"/>
  <c r="A1269" i="8"/>
  <c r="C1268" i="8"/>
  <c r="B1268" i="8"/>
  <c r="A1268" i="8"/>
  <c r="I1267" i="8"/>
  <c r="C1267" i="8"/>
  <c r="B1267" i="8"/>
  <c r="A1267" i="8"/>
  <c r="C1266" i="8"/>
  <c r="B1266" i="8"/>
  <c r="A1266" i="8"/>
  <c r="C1265" i="8"/>
  <c r="B1265" i="8"/>
  <c r="A1265" i="8"/>
  <c r="I1264" i="8"/>
  <c r="C1264" i="8"/>
  <c r="B1264" i="8"/>
  <c r="A1264" i="8"/>
  <c r="C1263" i="8"/>
  <c r="B1263" i="8"/>
  <c r="A1263" i="8"/>
  <c r="C1262" i="8"/>
  <c r="B1262" i="8"/>
  <c r="A1262" i="8"/>
  <c r="C1261" i="8"/>
  <c r="B1261" i="8"/>
  <c r="A1261" i="8"/>
  <c r="I1260" i="8"/>
  <c r="C1260" i="8"/>
  <c r="B1260" i="8"/>
  <c r="A1260" i="8"/>
  <c r="U1242" i="8"/>
  <c r="S1242" i="8"/>
  <c r="I1242" i="8"/>
  <c r="C1242" i="8"/>
  <c r="B1242" i="8"/>
  <c r="A1242" i="8"/>
  <c r="I1241" i="8"/>
  <c r="C1241" i="8"/>
  <c r="B1241" i="8"/>
  <c r="A1241" i="8"/>
  <c r="I1240" i="8"/>
  <c r="C1240" i="8"/>
  <c r="B1240" i="8"/>
  <c r="A1240" i="8"/>
  <c r="I1239" i="8"/>
  <c r="C1239" i="8"/>
  <c r="B1239" i="8"/>
  <c r="A1239" i="8"/>
  <c r="I1238" i="8"/>
  <c r="C1238" i="8"/>
  <c r="B1238" i="8"/>
  <c r="A1238" i="8"/>
  <c r="I1237" i="8"/>
  <c r="C1237" i="8"/>
  <c r="B1237" i="8"/>
  <c r="A1237" i="8"/>
  <c r="I1236" i="8"/>
  <c r="H1236" i="8"/>
  <c r="C1236" i="8"/>
  <c r="B1236" i="8"/>
  <c r="A1236" i="8"/>
  <c r="I1235" i="8"/>
  <c r="C1235" i="8"/>
  <c r="B1235" i="8"/>
  <c r="A1235" i="8"/>
  <c r="I1234" i="8"/>
  <c r="H1234" i="8"/>
  <c r="C1234" i="8"/>
  <c r="B1234" i="8"/>
  <c r="A1234" i="8"/>
  <c r="I1233" i="8"/>
  <c r="C1233" i="8"/>
  <c r="B1233" i="8"/>
  <c r="A1233" i="8"/>
  <c r="I1232" i="8"/>
  <c r="F1232" i="8"/>
  <c r="C1232" i="8"/>
  <c r="B1232" i="8"/>
  <c r="A1232" i="8"/>
  <c r="I1231" i="8"/>
  <c r="C1231" i="8"/>
  <c r="B1231" i="8"/>
  <c r="A1231" i="8"/>
  <c r="I1230" i="8"/>
  <c r="C1230" i="8"/>
  <c r="B1230" i="8"/>
  <c r="A1230" i="8"/>
  <c r="I1229" i="8"/>
  <c r="C1229" i="8"/>
  <c r="B1229" i="8"/>
  <c r="A1229" i="8"/>
  <c r="I1228" i="8"/>
  <c r="C1228" i="8"/>
  <c r="B1228" i="8"/>
  <c r="A1228" i="8"/>
  <c r="I1227" i="8"/>
  <c r="C1227" i="8"/>
  <c r="B1227" i="8"/>
  <c r="A1227" i="8"/>
  <c r="I1226" i="8"/>
  <c r="C1226" i="8"/>
  <c r="B1226" i="8"/>
  <c r="A1226" i="8"/>
  <c r="I1225" i="8"/>
  <c r="F1225" i="8"/>
  <c r="B1244" i="8" s="1"/>
  <c r="C1225" i="8"/>
  <c r="B1225" i="8"/>
  <c r="A1225" i="8"/>
  <c r="C1224" i="8"/>
  <c r="B1224" i="8"/>
  <c r="A1224" i="8"/>
  <c r="I1223" i="8"/>
  <c r="C1223" i="8"/>
  <c r="B1223" i="8"/>
  <c r="A1223" i="8"/>
  <c r="C1222" i="8"/>
  <c r="B1222" i="8"/>
  <c r="A1222" i="8"/>
  <c r="C1221" i="8"/>
  <c r="B1221" i="8"/>
  <c r="A1221" i="8"/>
  <c r="I1220" i="8"/>
  <c r="H1220" i="8"/>
  <c r="C1220" i="8"/>
  <c r="B1220" i="8"/>
  <c r="A1220" i="8"/>
  <c r="C1219" i="8"/>
  <c r="B1219" i="8"/>
  <c r="A1219" i="8"/>
  <c r="C1218" i="8"/>
  <c r="B1218" i="8"/>
  <c r="A1218" i="8"/>
  <c r="C1217" i="8"/>
  <c r="B1217" i="8"/>
  <c r="A1217" i="8"/>
  <c r="I1216" i="8"/>
  <c r="C1216" i="8"/>
  <c r="B1216" i="8"/>
  <c r="A1216" i="8"/>
  <c r="I1198" i="8"/>
  <c r="C1198" i="8"/>
  <c r="B1198" i="8"/>
  <c r="A1198" i="8"/>
  <c r="I1197" i="8"/>
  <c r="H1197" i="8"/>
  <c r="C1197" i="8"/>
  <c r="B1197" i="8"/>
  <c r="A1197" i="8"/>
  <c r="I1196" i="8"/>
  <c r="C1196" i="8"/>
  <c r="B1196" i="8"/>
  <c r="A1196" i="8"/>
  <c r="I1195" i="8"/>
  <c r="C1195" i="8"/>
  <c r="B1195" i="8"/>
  <c r="A1195" i="8"/>
  <c r="I1194" i="8"/>
  <c r="C1194" i="8"/>
  <c r="B1194" i="8"/>
  <c r="A1194" i="8"/>
  <c r="I1193" i="8"/>
  <c r="C1193" i="8"/>
  <c r="B1193" i="8"/>
  <c r="A1193" i="8"/>
  <c r="I1192" i="8"/>
  <c r="C1192" i="8"/>
  <c r="B1192" i="8"/>
  <c r="A1192" i="8"/>
  <c r="I1191" i="8"/>
  <c r="C1191" i="8"/>
  <c r="B1191" i="8"/>
  <c r="A1191" i="8"/>
  <c r="I1190" i="8"/>
  <c r="C1190" i="8"/>
  <c r="B1190" i="8"/>
  <c r="A1190" i="8"/>
  <c r="I1189" i="8"/>
  <c r="C1189" i="8"/>
  <c r="B1189" i="8"/>
  <c r="A1189" i="8"/>
  <c r="I1188" i="8"/>
  <c r="F1188" i="8"/>
  <c r="C1188" i="8"/>
  <c r="B1188" i="8"/>
  <c r="A1188" i="8"/>
  <c r="I1187" i="8"/>
  <c r="C1187" i="8"/>
  <c r="B1187" i="8"/>
  <c r="A1187" i="8"/>
  <c r="I1186" i="8"/>
  <c r="C1186" i="8"/>
  <c r="B1186" i="8"/>
  <c r="A1186" i="8"/>
  <c r="I1185" i="8"/>
  <c r="C1185" i="8"/>
  <c r="B1185" i="8"/>
  <c r="A1185" i="8"/>
  <c r="I1184" i="8"/>
  <c r="C1184" i="8"/>
  <c r="B1184" i="8"/>
  <c r="A1184" i="8"/>
  <c r="I1183" i="8"/>
  <c r="H1183" i="8"/>
  <c r="C1183" i="8"/>
  <c r="B1183" i="8"/>
  <c r="A1183" i="8"/>
  <c r="I1182" i="8"/>
  <c r="C1182" i="8"/>
  <c r="B1182" i="8"/>
  <c r="A1182" i="8"/>
  <c r="I1181" i="8"/>
  <c r="F1181" i="8"/>
  <c r="B1200" i="8" s="1"/>
  <c r="C1181" i="8"/>
  <c r="B1181" i="8"/>
  <c r="A1181" i="8"/>
  <c r="C1180" i="8"/>
  <c r="B1180" i="8"/>
  <c r="A1180" i="8"/>
  <c r="I1179" i="8"/>
  <c r="C1179" i="8"/>
  <c r="B1179" i="8"/>
  <c r="A1179" i="8"/>
  <c r="C1178" i="8"/>
  <c r="B1178" i="8"/>
  <c r="A1178" i="8"/>
  <c r="C1177" i="8"/>
  <c r="B1177" i="8"/>
  <c r="A1177" i="8"/>
  <c r="I1176" i="8"/>
  <c r="C1176" i="8"/>
  <c r="B1176" i="8"/>
  <c r="A1176" i="8"/>
  <c r="C1175" i="8"/>
  <c r="B1175" i="8"/>
  <c r="A1175" i="8"/>
  <c r="C1174" i="8"/>
  <c r="B1174" i="8"/>
  <c r="A1174" i="8"/>
  <c r="C1173" i="8"/>
  <c r="B1173" i="8"/>
  <c r="A1173" i="8"/>
  <c r="I1172" i="8"/>
  <c r="C1172" i="8"/>
  <c r="B1172" i="8"/>
  <c r="A1172" i="8"/>
  <c r="I1154" i="8"/>
  <c r="C1154" i="8"/>
  <c r="B1154" i="8"/>
  <c r="A1154" i="8"/>
  <c r="I1153" i="8"/>
  <c r="C1153" i="8"/>
  <c r="B1153" i="8"/>
  <c r="A1153" i="8"/>
  <c r="I1152" i="8"/>
  <c r="H1152" i="8"/>
  <c r="C1152" i="8"/>
  <c r="B1152" i="8"/>
  <c r="A1152" i="8"/>
  <c r="I1151" i="8"/>
  <c r="C1151" i="8"/>
  <c r="B1151" i="8"/>
  <c r="A1151" i="8"/>
  <c r="I1150" i="8"/>
  <c r="C1150" i="8"/>
  <c r="B1150" i="8"/>
  <c r="A1150" i="8"/>
  <c r="I1149" i="8"/>
  <c r="C1149" i="8"/>
  <c r="B1149" i="8"/>
  <c r="A1149" i="8"/>
  <c r="I1148" i="8"/>
  <c r="H1148" i="8"/>
  <c r="C1148" i="8"/>
  <c r="B1148" i="8"/>
  <c r="A1148" i="8"/>
  <c r="I1147" i="8"/>
  <c r="C1147" i="8"/>
  <c r="B1147" i="8"/>
  <c r="A1147" i="8"/>
  <c r="I1146" i="8"/>
  <c r="C1146" i="8"/>
  <c r="B1146" i="8"/>
  <c r="A1146" i="8"/>
  <c r="I1145" i="8"/>
  <c r="H1145" i="8"/>
  <c r="C1145" i="8"/>
  <c r="B1145" i="8"/>
  <c r="A1145" i="8"/>
  <c r="I1144" i="8"/>
  <c r="F1144" i="8"/>
  <c r="C1144" i="8"/>
  <c r="B1144" i="8"/>
  <c r="A1144" i="8"/>
  <c r="I1143" i="8"/>
  <c r="C1143" i="8"/>
  <c r="B1143" i="8"/>
  <c r="A1143" i="8"/>
  <c r="I1142" i="8"/>
  <c r="C1142" i="8"/>
  <c r="B1142" i="8"/>
  <c r="A1142" i="8"/>
  <c r="I1141" i="8"/>
  <c r="H1141" i="8"/>
  <c r="C1141" i="8"/>
  <c r="B1141" i="8"/>
  <c r="A1141" i="8"/>
  <c r="I1140" i="8"/>
  <c r="C1140" i="8"/>
  <c r="B1140" i="8"/>
  <c r="A1140" i="8"/>
  <c r="I1139" i="8"/>
  <c r="C1139" i="8"/>
  <c r="B1139" i="8"/>
  <c r="A1139" i="8"/>
  <c r="I1138" i="8"/>
  <c r="C1138" i="8"/>
  <c r="B1138" i="8"/>
  <c r="A1138" i="8"/>
  <c r="I1137" i="8"/>
  <c r="F1137" i="8"/>
  <c r="B1156" i="8" s="1"/>
  <c r="C1137" i="8"/>
  <c r="B1137" i="8"/>
  <c r="A1137" i="8"/>
  <c r="C1136" i="8"/>
  <c r="B1136" i="8"/>
  <c r="A1136" i="8"/>
  <c r="I1135" i="8"/>
  <c r="C1135" i="8"/>
  <c r="B1135" i="8"/>
  <c r="A1135" i="8"/>
  <c r="C1134" i="8"/>
  <c r="B1134" i="8"/>
  <c r="A1134" i="8"/>
  <c r="C1133" i="8"/>
  <c r="B1133" i="8"/>
  <c r="A1133" i="8"/>
  <c r="I1132" i="8"/>
  <c r="C1132" i="8"/>
  <c r="B1132" i="8"/>
  <c r="A1132" i="8"/>
  <c r="C1131" i="8"/>
  <c r="B1131" i="8"/>
  <c r="A1131" i="8"/>
  <c r="C1130" i="8"/>
  <c r="B1130" i="8"/>
  <c r="A1130" i="8"/>
  <c r="C1129" i="8"/>
  <c r="B1129" i="8"/>
  <c r="A1129" i="8"/>
  <c r="I1128" i="8"/>
  <c r="C1128" i="8"/>
  <c r="B1128" i="8"/>
  <c r="A1128" i="8"/>
  <c r="U1110" i="8"/>
  <c r="S1110" i="8"/>
  <c r="I1110" i="8"/>
  <c r="C1110" i="8"/>
  <c r="B1110" i="8"/>
  <c r="A1110" i="8"/>
  <c r="I1109" i="8"/>
  <c r="C1109" i="8"/>
  <c r="B1109" i="8"/>
  <c r="A1109" i="8"/>
  <c r="I1108" i="8"/>
  <c r="C1108" i="8"/>
  <c r="B1108" i="8"/>
  <c r="A1108" i="8"/>
  <c r="I1107" i="8"/>
  <c r="C1107" i="8"/>
  <c r="B1107" i="8"/>
  <c r="A1107" i="8"/>
  <c r="I1106" i="8"/>
  <c r="C1106" i="8"/>
  <c r="B1106" i="8"/>
  <c r="A1106" i="8"/>
  <c r="I1105" i="8"/>
  <c r="C1105" i="8"/>
  <c r="B1105" i="8"/>
  <c r="A1105" i="8"/>
  <c r="I1104" i="8"/>
  <c r="C1104" i="8"/>
  <c r="B1104" i="8"/>
  <c r="A1104" i="8"/>
  <c r="I1103" i="8"/>
  <c r="C1103" i="8"/>
  <c r="B1103" i="8"/>
  <c r="A1103" i="8"/>
  <c r="I1102" i="8"/>
  <c r="C1102" i="8"/>
  <c r="B1102" i="8"/>
  <c r="A1102" i="8"/>
  <c r="I1101" i="8"/>
  <c r="C1101" i="8"/>
  <c r="B1101" i="8"/>
  <c r="A1101" i="8"/>
  <c r="I1100" i="8"/>
  <c r="F1100" i="8"/>
  <c r="C1100" i="8"/>
  <c r="B1100" i="8"/>
  <c r="A1100" i="8"/>
  <c r="I1099" i="8"/>
  <c r="C1099" i="8"/>
  <c r="B1099" i="8"/>
  <c r="A1099" i="8"/>
  <c r="I1098" i="8"/>
  <c r="C1098" i="8"/>
  <c r="B1098" i="8"/>
  <c r="A1098" i="8"/>
  <c r="I1097" i="8"/>
  <c r="C1097" i="8"/>
  <c r="B1097" i="8"/>
  <c r="A1097" i="8"/>
  <c r="I1096" i="8"/>
  <c r="C1096" i="8"/>
  <c r="B1096" i="8"/>
  <c r="A1096" i="8"/>
  <c r="I1095" i="8"/>
  <c r="C1095" i="8"/>
  <c r="B1095" i="8"/>
  <c r="A1095" i="8"/>
  <c r="I1094" i="8"/>
  <c r="C1094" i="8"/>
  <c r="B1094" i="8"/>
  <c r="A1094" i="8"/>
  <c r="I1093" i="8"/>
  <c r="F1093" i="8"/>
  <c r="B1112" i="8" s="1"/>
  <c r="C1093" i="8"/>
  <c r="B1093" i="8"/>
  <c r="A1093" i="8"/>
  <c r="C1092" i="8"/>
  <c r="B1092" i="8"/>
  <c r="A1092" i="8"/>
  <c r="I1091" i="8"/>
  <c r="C1091" i="8"/>
  <c r="B1091" i="8"/>
  <c r="A1091" i="8"/>
  <c r="C1090" i="8"/>
  <c r="B1090" i="8"/>
  <c r="A1090" i="8"/>
  <c r="C1089" i="8"/>
  <c r="B1089" i="8"/>
  <c r="A1089" i="8"/>
  <c r="I1088" i="8"/>
  <c r="C1088" i="8"/>
  <c r="B1088" i="8"/>
  <c r="A1088" i="8"/>
  <c r="C1087" i="8"/>
  <c r="B1087" i="8"/>
  <c r="A1087" i="8"/>
  <c r="C1086" i="8"/>
  <c r="B1086" i="8"/>
  <c r="A1086" i="8"/>
  <c r="C1085" i="8"/>
  <c r="B1085" i="8"/>
  <c r="A1085" i="8"/>
  <c r="I1084" i="8"/>
  <c r="C1084" i="8"/>
  <c r="B1084" i="8"/>
  <c r="A1084" i="8"/>
  <c r="U1066" i="8"/>
  <c r="S1066" i="8"/>
  <c r="I1066" i="8"/>
  <c r="C1066" i="8"/>
  <c r="B1066" i="8"/>
  <c r="A1066" i="8"/>
  <c r="I1065" i="8"/>
  <c r="C1065" i="8"/>
  <c r="B1065" i="8"/>
  <c r="A1065" i="8"/>
  <c r="I1064" i="8"/>
  <c r="C1064" i="8"/>
  <c r="B1064" i="8"/>
  <c r="A1064" i="8"/>
  <c r="I1063" i="8"/>
  <c r="C1063" i="8"/>
  <c r="B1063" i="8"/>
  <c r="A1063" i="8"/>
  <c r="I1062" i="8"/>
  <c r="C1062" i="8"/>
  <c r="B1062" i="8"/>
  <c r="A1062" i="8"/>
  <c r="I1061" i="8"/>
  <c r="C1061" i="8"/>
  <c r="B1061" i="8"/>
  <c r="A1061" i="8"/>
  <c r="I1060" i="8"/>
  <c r="C1060" i="8"/>
  <c r="B1060" i="8"/>
  <c r="A1060" i="8"/>
  <c r="I1059" i="8"/>
  <c r="C1059" i="8"/>
  <c r="B1059" i="8"/>
  <c r="A1059" i="8"/>
  <c r="I1058" i="8"/>
  <c r="C1058" i="8"/>
  <c r="B1058" i="8"/>
  <c r="A1058" i="8"/>
  <c r="I1057" i="8"/>
  <c r="C1057" i="8"/>
  <c r="B1057" i="8"/>
  <c r="A1057" i="8"/>
  <c r="I1056" i="8"/>
  <c r="H1056" i="8"/>
  <c r="F1056" i="8"/>
  <c r="C1056" i="8"/>
  <c r="B1056" i="8"/>
  <c r="A1056" i="8"/>
  <c r="I1055" i="8"/>
  <c r="C1055" i="8"/>
  <c r="B1055" i="8"/>
  <c r="A1055" i="8"/>
  <c r="I1054" i="8"/>
  <c r="C1054" i="8"/>
  <c r="B1054" i="8"/>
  <c r="A1054" i="8"/>
  <c r="I1053" i="8"/>
  <c r="C1053" i="8"/>
  <c r="B1053" i="8"/>
  <c r="A1053" i="8"/>
  <c r="I1052" i="8"/>
  <c r="C1052" i="8"/>
  <c r="B1052" i="8"/>
  <c r="A1052" i="8"/>
  <c r="I1051" i="8"/>
  <c r="C1051" i="8"/>
  <c r="B1051" i="8"/>
  <c r="A1051" i="8"/>
  <c r="I1050" i="8"/>
  <c r="C1050" i="8"/>
  <c r="B1050" i="8"/>
  <c r="A1050" i="8"/>
  <c r="I1049" i="8"/>
  <c r="F1049" i="8"/>
  <c r="B1068" i="8" s="1"/>
  <c r="C1049" i="8"/>
  <c r="B1049" i="8"/>
  <c r="A1049" i="8"/>
  <c r="C1048" i="8"/>
  <c r="B1048" i="8"/>
  <c r="A1048" i="8"/>
  <c r="I1047" i="8"/>
  <c r="C1047" i="8"/>
  <c r="B1047" i="8"/>
  <c r="A1047" i="8"/>
  <c r="C1046" i="8"/>
  <c r="B1046" i="8"/>
  <c r="A1046" i="8"/>
  <c r="C1045" i="8"/>
  <c r="B1045" i="8"/>
  <c r="A1045" i="8"/>
  <c r="I1044" i="8"/>
  <c r="C1044" i="8"/>
  <c r="B1044" i="8"/>
  <c r="A1044" i="8"/>
  <c r="C1043" i="8"/>
  <c r="B1043" i="8"/>
  <c r="A1043" i="8"/>
  <c r="C1042" i="8"/>
  <c r="B1042" i="8"/>
  <c r="A1042" i="8"/>
  <c r="C1041" i="8"/>
  <c r="B1041" i="8"/>
  <c r="A1041" i="8"/>
  <c r="I1040" i="8"/>
  <c r="C1040" i="8"/>
  <c r="B1040" i="8"/>
  <c r="A1040" i="8"/>
  <c r="I1022" i="8"/>
  <c r="C1022" i="8"/>
  <c r="U1022" i="8" s="1"/>
  <c r="B1022" i="8"/>
  <c r="A1022" i="8"/>
  <c r="I1021" i="8"/>
  <c r="C1021" i="8"/>
  <c r="B1021" i="8"/>
  <c r="A1021" i="8"/>
  <c r="I1020" i="8"/>
  <c r="C1020" i="8"/>
  <c r="B1020" i="8"/>
  <c r="A1020" i="8"/>
  <c r="I1019" i="8"/>
  <c r="C1019" i="8"/>
  <c r="B1019" i="8"/>
  <c r="A1019" i="8"/>
  <c r="I1018" i="8"/>
  <c r="C1018" i="8"/>
  <c r="B1018" i="8"/>
  <c r="A1018" i="8"/>
  <c r="I1017" i="8"/>
  <c r="C1017" i="8"/>
  <c r="B1017" i="8"/>
  <c r="A1017" i="8"/>
  <c r="I1016" i="8"/>
  <c r="C1016" i="8"/>
  <c r="B1016" i="8"/>
  <c r="A1016" i="8"/>
  <c r="I1015" i="8"/>
  <c r="C1015" i="8"/>
  <c r="B1015" i="8"/>
  <c r="A1015" i="8"/>
  <c r="I1014" i="8"/>
  <c r="C1014" i="8"/>
  <c r="B1014" i="8"/>
  <c r="A1014" i="8"/>
  <c r="I1013" i="8"/>
  <c r="C1013" i="8"/>
  <c r="B1013" i="8"/>
  <c r="A1013" i="8"/>
  <c r="I1012" i="8"/>
  <c r="F1012" i="8"/>
  <c r="C1012" i="8"/>
  <c r="B1012" i="8"/>
  <c r="A1012" i="8"/>
  <c r="I1011" i="8"/>
  <c r="C1011" i="8"/>
  <c r="B1011" i="8"/>
  <c r="A1011" i="8"/>
  <c r="I1010" i="8"/>
  <c r="H1010" i="8"/>
  <c r="C1010" i="8"/>
  <c r="B1010" i="8"/>
  <c r="A1010" i="8"/>
  <c r="I1009" i="8"/>
  <c r="C1009" i="8"/>
  <c r="B1009" i="8"/>
  <c r="A1009" i="8"/>
  <c r="I1008" i="8"/>
  <c r="H1008" i="8"/>
  <c r="C1008" i="8"/>
  <c r="B1008" i="8"/>
  <c r="A1008" i="8"/>
  <c r="I1007" i="8"/>
  <c r="C1007" i="8"/>
  <c r="B1007" i="8"/>
  <c r="A1007" i="8"/>
  <c r="I1006" i="8"/>
  <c r="C1006" i="8"/>
  <c r="B1006" i="8"/>
  <c r="A1006" i="8"/>
  <c r="I1005" i="8"/>
  <c r="F1005" i="8"/>
  <c r="B1024" i="8" s="1"/>
  <c r="C1005" i="8"/>
  <c r="B1005" i="8"/>
  <c r="A1005" i="8"/>
  <c r="C1004" i="8"/>
  <c r="B1004" i="8"/>
  <c r="A1004" i="8"/>
  <c r="I1003" i="8"/>
  <c r="C1003" i="8"/>
  <c r="B1003" i="8"/>
  <c r="A1003" i="8"/>
  <c r="C1002" i="8"/>
  <c r="B1002" i="8"/>
  <c r="A1002" i="8"/>
  <c r="C1001" i="8"/>
  <c r="B1001" i="8"/>
  <c r="A1001" i="8"/>
  <c r="I1000" i="8"/>
  <c r="C1000" i="8"/>
  <c r="B1000" i="8"/>
  <c r="A1000" i="8"/>
  <c r="C999" i="8"/>
  <c r="B999" i="8"/>
  <c r="A999" i="8"/>
  <c r="H998" i="8"/>
  <c r="C998" i="8"/>
  <c r="B998" i="8"/>
  <c r="A998" i="8"/>
  <c r="C997" i="8"/>
  <c r="B997" i="8"/>
  <c r="A997" i="8"/>
  <c r="I996" i="8"/>
  <c r="C996" i="8"/>
  <c r="B996" i="8"/>
  <c r="A996" i="8"/>
  <c r="I978" i="8"/>
  <c r="C978" i="8"/>
  <c r="B978" i="8"/>
  <c r="A978" i="8"/>
  <c r="I977" i="8"/>
  <c r="C977" i="8"/>
  <c r="B977" i="8"/>
  <c r="A977" i="8"/>
  <c r="I976" i="8"/>
  <c r="C976" i="8"/>
  <c r="B976" i="8"/>
  <c r="A976" i="8"/>
  <c r="I975" i="8"/>
  <c r="C975" i="8"/>
  <c r="B975" i="8"/>
  <c r="A975" i="8"/>
  <c r="I974" i="8"/>
  <c r="C974" i="8"/>
  <c r="B974" i="8"/>
  <c r="A974" i="8"/>
  <c r="I973" i="8"/>
  <c r="C973" i="8"/>
  <c r="B973" i="8"/>
  <c r="A973" i="8"/>
  <c r="I972" i="8"/>
  <c r="C972" i="8"/>
  <c r="B972" i="8"/>
  <c r="A972" i="8"/>
  <c r="I971" i="8"/>
  <c r="C971" i="8"/>
  <c r="B971" i="8"/>
  <c r="A971" i="8"/>
  <c r="I970" i="8"/>
  <c r="C970" i="8"/>
  <c r="B970" i="8"/>
  <c r="A970" i="8"/>
  <c r="I969" i="8"/>
  <c r="C969" i="8"/>
  <c r="B969" i="8"/>
  <c r="A969" i="8"/>
  <c r="I968" i="8"/>
  <c r="F968" i="8"/>
  <c r="C968" i="8"/>
  <c r="B968" i="8"/>
  <c r="A968" i="8"/>
  <c r="I967" i="8"/>
  <c r="C967" i="8"/>
  <c r="B967" i="8"/>
  <c r="A967" i="8"/>
  <c r="I966" i="8"/>
  <c r="C966" i="8"/>
  <c r="B966" i="8"/>
  <c r="A966" i="8"/>
  <c r="I965" i="8"/>
  <c r="C965" i="8"/>
  <c r="B965" i="8"/>
  <c r="A965" i="8"/>
  <c r="I964" i="8"/>
  <c r="C964" i="8"/>
  <c r="B964" i="8"/>
  <c r="A964" i="8"/>
  <c r="I963" i="8"/>
  <c r="C963" i="8"/>
  <c r="B963" i="8"/>
  <c r="A963" i="8"/>
  <c r="I962" i="8"/>
  <c r="C962" i="8"/>
  <c r="B962" i="8"/>
  <c r="A962" i="8"/>
  <c r="I961" i="8"/>
  <c r="F961" i="8"/>
  <c r="B980" i="8" s="1"/>
  <c r="C961" i="8"/>
  <c r="B961" i="8"/>
  <c r="A961" i="8"/>
  <c r="C960" i="8"/>
  <c r="B960" i="8"/>
  <c r="A960" i="8"/>
  <c r="I959" i="8"/>
  <c r="C959" i="8"/>
  <c r="B959" i="8"/>
  <c r="A959" i="8"/>
  <c r="C958" i="8"/>
  <c r="B958" i="8"/>
  <c r="A958" i="8"/>
  <c r="C957" i="8"/>
  <c r="B957" i="8"/>
  <c r="A957" i="8"/>
  <c r="I956" i="8"/>
  <c r="C956" i="8"/>
  <c r="B956" i="8"/>
  <c r="A956" i="8"/>
  <c r="C955" i="8"/>
  <c r="B955" i="8"/>
  <c r="A955" i="8"/>
  <c r="C954" i="8"/>
  <c r="B954" i="8"/>
  <c r="A954" i="8"/>
  <c r="H953" i="8"/>
  <c r="C953" i="8"/>
  <c r="B953" i="8"/>
  <c r="A953" i="8"/>
  <c r="I952" i="8"/>
  <c r="C952" i="8"/>
  <c r="B952" i="8"/>
  <c r="A952" i="8"/>
  <c r="I934" i="8"/>
  <c r="H934" i="8"/>
  <c r="C934" i="8"/>
  <c r="B934" i="8"/>
  <c r="A934" i="8"/>
  <c r="I933" i="8"/>
  <c r="C933" i="8"/>
  <c r="B933" i="8"/>
  <c r="A933" i="8"/>
  <c r="I932" i="8"/>
  <c r="H932" i="8"/>
  <c r="C932" i="8"/>
  <c r="B932" i="8"/>
  <c r="A932" i="8"/>
  <c r="I931" i="8"/>
  <c r="C931" i="8"/>
  <c r="B931" i="8"/>
  <c r="A931" i="8"/>
  <c r="I930" i="8"/>
  <c r="C930" i="8"/>
  <c r="B930" i="8"/>
  <c r="A930" i="8"/>
  <c r="I929" i="8"/>
  <c r="H929" i="8"/>
  <c r="C929" i="8"/>
  <c r="B929" i="8"/>
  <c r="A929" i="8"/>
  <c r="I928" i="8"/>
  <c r="C928" i="8"/>
  <c r="B928" i="8"/>
  <c r="A928" i="8"/>
  <c r="I927" i="8"/>
  <c r="C927" i="8"/>
  <c r="B927" i="8"/>
  <c r="A927" i="8"/>
  <c r="I926" i="8"/>
  <c r="C926" i="8"/>
  <c r="B926" i="8"/>
  <c r="A926" i="8"/>
  <c r="I925" i="8"/>
  <c r="C925" i="8"/>
  <c r="B925" i="8"/>
  <c r="A925" i="8"/>
  <c r="I924" i="8"/>
  <c r="F924" i="8"/>
  <c r="C924" i="8"/>
  <c r="B924" i="8"/>
  <c r="A924" i="8"/>
  <c r="I923" i="8"/>
  <c r="C923" i="8"/>
  <c r="B923" i="8"/>
  <c r="A923" i="8"/>
  <c r="I922" i="8"/>
  <c r="C922" i="8"/>
  <c r="B922" i="8"/>
  <c r="A922" i="8"/>
  <c r="I921" i="8"/>
  <c r="C921" i="8"/>
  <c r="B921" i="8"/>
  <c r="A921" i="8"/>
  <c r="I920" i="8"/>
  <c r="C920" i="8"/>
  <c r="B920" i="8"/>
  <c r="A920" i="8"/>
  <c r="I919" i="8"/>
  <c r="C919" i="8"/>
  <c r="B919" i="8"/>
  <c r="A919" i="8"/>
  <c r="I918" i="8"/>
  <c r="C918" i="8"/>
  <c r="B918" i="8"/>
  <c r="A918" i="8"/>
  <c r="I917" i="8"/>
  <c r="F917" i="8"/>
  <c r="B936" i="8" s="1"/>
  <c r="C917" i="8"/>
  <c r="B917" i="8"/>
  <c r="A917" i="8"/>
  <c r="C916" i="8"/>
  <c r="B916" i="8"/>
  <c r="A916" i="8"/>
  <c r="I915" i="8"/>
  <c r="C915" i="8"/>
  <c r="B915" i="8"/>
  <c r="A915" i="8"/>
  <c r="C914" i="8"/>
  <c r="B914" i="8"/>
  <c r="A914" i="8"/>
  <c r="C913" i="8"/>
  <c r="B913" i="8"/>
  <c r="A913" i="8"/>
  <c r="I912" i="8"/>
  <c r="C912" i="8"/>
  <c r="B912" i="8"/>
  <c r="A912" i="8"/>
  <c r="C911" i="8"/>
  <c r="B911" i="8"/>
  <c r="A911" i="8"/>
  <c r="C910" i="8"/>
  <c r="B910" i="8"/>
  <c r="A910" i="8"/>
  <c r="C909" i="8"/>
  <c r="B909" i="8"/>
  <c r="A909" i="8"/>
  <c r="I908" i="8"/>
  <c r="C908" i="8"/>
  <c r="B908" i="8"/>
  <c r="A908" i="8"/>
  <c r="U890" i="8"/>
  <c r="S890" i="8"/>
  <c r="I890" i="8"/>
  <c r="C890" i="8"/>
  <c r="B890" i="8"/>
  <c r="A890" i="8"/>
  <c r="I889" i="8"/>
  <c r="C889" i="8"/>
  <c r="B889" i="8"/>
  <c r="A889" i="8"/>
  <c r="I888" i="8"/>
  <c r="C888" i="8"/>
  <c r="B888" i="8"/>
  <c r="A888" i="8"/>
  <c r="I887" i="8"/>
  <c r="C887" i="8"/>
  <c r="B887" i="8"/>
  <c r="A887" i="8"/>
  <c r="I886" i="8"/>
  <c r="C886" i="8"/>
  <c r="B886" i="8"/>
  <c r="A886" i="8"/>
  <c r="I885" i="8"/>
  <c r="H885" i="8"/>
  <c r="C885" i="8"/>
  <c r="B885" i="8"/>
  <c r="A885" i="8"/>
  <c r="I884" i="8"/>
  <c r="C884" i="8"/>
  <c r="B884" i="8"/>
  <c r="A884" i="8"/>
  <c r="I883" i="8"/>
  <c r="C883" i="8"/>
  <c r="B883" i="8"/>
  <c r="A883" i="8"/>
  <c r="I882" i="8"/>
  <c r="H882" i="8"/>
  <c r="C882" i="8"/>
  <c r="B882" i="8"/>
  <c r="A882" i="8"/>
  <c r="I881" i="8"/>
  <c r="C881" i="8"/>
  <c r="B881" i="8"/>
  <c r="A881" i="8"/>
  <c r="I880" i="8"/>
  <c r="F880" i="8"/>
  <c r="C880" i="8"/>
  <c r="B880" i="8"/>
  <c r="A880" i="8"/>
  <c r="I879" i="8"/>
  <c r="C879" i="8"/>
  <c r="B879" i="8"/>
  <c r="A879" i="8"/>
  <c r="I878" i="8"/>
  <c r="C878" i="8"/>
  <c r="B878" i="8"/>
  <c r="A878" i="8"/>
  <c r="I877" i="8"/>
  <c r="C877" i="8"/>
  <c r="B877" i="8"/>
  <c r="A877" i="8"/>
  <c r="I876" i="8"/>
  <c r="C876" i="8"/>
  <c r="B876" i="8"/>
  <c r="A876" i="8"/>
  <c r="I875" i="8"/>
  <c r="C875" i="8"/>
  <c r="B875" i="8"/>
  <c r="A875" i="8"/>
  <c r="I874" i="8"/>
  <c r="C874" i="8"/>
  <c r="B874" i="8"/>
  <c r="A874" i="8"/>
  <c r="I873" i="8"/>
  <c r="F873" i="8"/>
  <c r="B892" i="8" s="1"/>
  <c r="C873" i="8"/>
  <c r="B873" i="8"/>
  <c r="A873" i="8"/>
  <c r="C872" i="8"/>
  <c r="B872" i="8"/>
  <c r="A872" i="8"/>
  <c r="I871" i="8"/>
  <c r="H871" i="8"/>
  <c r="C871" i="8"/>
  <c r="B871" i="8"/>
  <c r="A871" i="8"/>
  <c r="C870" i="8"/>
  <c r="B870" i="8"/>
  <c r="A870" i="8"/>
  <c r="C869" i="8"/>
  <c r="B869" i="8"/>
  <c r="A869" i="8"/>
  <c r="I868" i="8"/>
  <c r="C868" i="8"/>
  <c r="B868" i="8"/>
  <c r="A868" i="8"/>
  <c r="C867" i="8"/>
  <c r="B867" i="8"/>
  <c r="A867" i="8"/>
  <c r="C866" i="8"/>
  <c r="B866" i="8"/>
  <c r="A866" i="8"/>
  <c r="C865" i="8"/>
  <c r="B865" i="8"/>
  <c r="A865" i="8"/>
  <c r="I864" i="8"/>
  <c r="C864" i="8"/>
  <c r="B864" i="8"/>
  <c r="A864" i="8"/>
  <c r="U846" i="8"/>
  <c r="S846" i="8"/>
  <c r="I846" i="8"/>
  <c r="C846" i="8"/>
  <c r="B846" i="8"/>
  <c r="A846" i="8"/>
  <c r="I845" i="8"/>
  <c r="C845" i="8"/>
  <c r="B845" i="8"/>
  <c r="A845" i="8"/>
  <c r="I844" i="8"/>
  <c r="C844" i="8"/>
  <c r="B844" i="8"/>
  <c r="A844" i="8"/>
  <c r="I843" i="8"/>
  <c r="C843" i="8"/>
  <c r="B843" i="8"/>
  <c r="A843" i="8"/>
  <c r="I842" i="8"/>
  <c r="C842" i="8"/>
  <c r="B842" i="8"/>
  <c r="A842" i="8"/>
  <c r="I841" i="8"/>
  <c r="C841" i="8"/>
  <c r="B841" i="8"/>
  <c r="A841" i="8"/>
  <c r="I840" i="8"/>
  <c r="C840" i="8"/>
  <c r="B840" i="8"/>
  <c r="A840" i="8"/>
  <c r="I839" i="8"/>
  <c r="C839" i="8"/>
  <c r="B839" i="8"/>
  <c r="A839" i="8"/>
  <c r="I838" i="8"/>
  <c r="C838" i="8"/>
  <c r="B838" i="8"/>
  <c r="A838" i="8"/>
  <c r="I837" i="8"/>
  <c r="C837" i="8"/>
  <c r="B837" i="8"/>
  <c r="A837" i="8"/>
  <c r="I836" i="8"/>
  <c r="F836" i="8"/>
  <c r="C836" i="8"/>
  <c r="B836" i="8"/>
  <c r="A836" i="8"/>
  <c r="I835" i="8"/>
  <c r="H835" i="8"/>
  <c r="C835" i="8"/>
  <c r="B835" i="8"/>
  <c r="A835" i="8"/>
  <c r="I834" i="8"/>
  <c r="C834" i="8"/>
  <c r="B834" i="8"/>
  <c r="A834" i="8"/>
  <c r="I833" i="8"/>
  <c r="C833" i="8"/>
  <c r="B833" i="8"/>
  <c r="A833" i="8"/>
  <c r="I832" i="8"/>
  <c r="C832" i="8"/>
  <c r="B832" i="8"/>
  <c r="A832" i="8"/>
  <c r="I831" i="8"/>
  <c r="C831" i="8"/>
  <c r="B831" i="8"/>
  <c r="A831" i="8"/>
  <c r="I830" i="8"/>
  <c r="H830" i="8"/>
  <c r="C830" i="8"/>
  <c r="B830" i="8"/>
  <c r="A830" i="8"/>
  <c r="I829" i="8"/>
  <c r="F829" i="8"/>
  <c r="B848" i="8" s="1"/>
  <c r="C829" i="8"/>
  <c r="B829" i="8"/>
  <c r="A829" i="8"/>
  <c r="C828" i="8"/>
  <c r="B828" i="8"/>
  <c r="A828" i="8"/>
  <c r="I827" i="8"/>
  <c r="C827" i="8"/>
  <c r="B827" i="8"/>
  <c r="A827" i="8"/>
  <c r="C826" i="8"/>
  <c r="B826" i="8"/>
  <c r="A826" i="8"/>
  <c r="C825" i="8"/>
  <c r="B825" i="8"/>
  <c r="A825" i="8"/>
  <c r="I824" i="8"/>
  <c r="C824" i="8"/>
  <c r="B824" i="8"/>
  <c r="A824" i="8"/>
  <c r="C823" i="8"/>
  <c r="B823" i="8"/>
  <c r="A823" i="8"/>
  <c r="C822" i="8"/>
  <c r="B822" i="8"/>
  <c r="A822" i="8"/>
  <c r="C821" i="8"/>
  <c r="B821" i="8"/>
  <c r="A821" i="8"/>
  <c r="I820" i="8"/>
  <c r="C820" i="8"/>
  <c r="B820" i="8"/>
  <c r="A820" i="8"/>
  <c r="U802" i="8"/>
  <c r="S802" i="8"/>
  <c r="I802" i="8"/>
  <c r="C802" i="8"/>
  <c r="B802" i="8"/>
  <c r="A802" i="8"/>
  <c r="I801" i="8"/>
  <c r="C801" i="8"/>
  <c r="B801" i="8"/>
  <c r="A801" i="8"/>
  <c r="I800" i="8"/>
  <c r="C800" i="8"/>
  <c r="B800" i="8"/>
  <c r="A800" i="8"/>
  <c r="I799" i="8"/>
  <c r="C799" i="8"/>
  <c r="B799" i="8"/>
  <c r="A799" i="8"/>
  <c r="I798" i="8"/>
  <c r="C798" i="8"/>
  <c r="B798" i="8"/>
  <c r="A798" i="8"/>
  <c r="I797" i="8"/>
  <c r="H797" i="8"/>
  <c r="C797" i="8"/>
  <c r="B797" i="8"/>
  <c r="A797" i="8"/>
  <c r="I796" i="8"/>
  <c r="C796" i="8"/>
  <c r="B796" i="8"/>
  <c r="A796" i="8"/>
  <c r="I795" i="8"/>
  <c r="C795" i="8"/>
  <c r="B795" i="8"/>
  <c r="A795" i="8"/>
  <c r="I794" i="8"/>
  <c r="C794" i="8"/>
  <c r="B794" i="8"/>
  <c r="A794" i="8"/>
  <c r="I793" i="8"/>
  <c r="C793" i="8"/>
  <c r="B793" i="8"/>
  <c r="A793" i="8"/>
  <c r="I792" i="8"/>
  <c r="F792" i="8"/>
  <c r="C792" i="8"/>
  <c r="B792" i="8"/>
  <c r="A792" i="8"/>
  <c r="I791" i="8"/>
  <c r="C791" i="8"/>
  <c r="B791" i="8"/>
  <c r="A791" i="8"/>
  <c r="I790" i="8"/>
  <c r="C790" i="8"/>
  <c r="B790" i="8"/>
  <c r="A790" i="8"/>
  <c r="I789" i="8"/>
  <c r="C789" i="8"/>
  <c r="B789" i="8"/>
  <c r="A789" i="8"/>
  <c r="I788" i="8"/>
  <c r="C788" i="8"/>
  <c r="B788" i="8"/>
  <c r="A788" i="8"/>
  <c r="I787" i="8"/>
  <c r="C787" i="8"/>
  <c r="B787" i="8"/>
  <c r="A787" i="8"/>
  <c r="I786" i="8"/>
  <c r="C786" i="8"/>
  <c r="B786" i="8"/>
  <c r="A786" i="8"/>
  <c r="I785" i="8"/>
  <c r="F785" i="8"/>
  <c r="B804" i="8" s="1"/>
  <c r="C785" i="8"/>
  <c r="B785" i="8"/>
  <c r="A785" i="8"/>
  <c r="C784" i="8"/>
  <c r="B784" i="8"/>
  <c r="A784" i="8"/>
  <c r="I783" i="8"/>
  <c r="C783" i="8"/>
  <c r="B783" i="8"/>
  <c r="A783" i="8"/>
  <c r="C782" i="8"/>
  <c r="B782" i="8"/>
  <c r="A782" i="8"/>
  <c r="C781" i="8"/>
  <c r="B781" i="8"/>
  <c r="A781" i="8"/>
  <c r="I780" i="8"/>
  <c r="C780" i="8"/>
  <c r="B780" i="8"/>
  <c r="A780" i="8"/>
  <c r="C779" i="8"/>
  <c r="B779" i="8"/>
  <c r="A779" i="8"/>
  <c r="C778" i="8"/>
  <c r="B778" i="8"/>
  <c r="A778" i="8"/>
  <c r="C777" i="8"/>
  <c r="B777" i="8"/>
  <c r="A777" i="8"/>
  <c r="I776" i="8"/>
  <c r="C776" i="8"/>
  <c r="B776" i="8"/>
  <c r="A776" i="8"/>
  <c r="I758" i="8"/>
  <c r="C758" i="8"/>
  <c r="B758" i="8"/>
  <c r="A758" i="8"/>
  <c r="I757" i="8"/>
  <c r="C757" i="8"/>
  <c r="B757" i="8"/>
  <c r="A757" i="8"/>
  <c r="I756" i="8"/>
  <c r="C756" i="8"/>
  <c r="B756" i="8"/>
  <c r="A756" i="8"/>
  <c r="I755" i="8"/>
  <c r="C755" i="8"/>
  <c r="B755" i="8"/>
  <c r="A755" i="8"/>
  <c r="I754" i="8"/>
  <c r="C754" i="8"/>
  <c r="B754" i="8"/>
  <c r="A754" i="8"/>
  <c r="I753" i="8"/>
  <c r="C753" i="8"/>
  <c r="B753" i="8"/>
  <c r="A753" i="8"/>
  <c r="I752" i="8"/>
  <c r="C752" i="8"/>
  <c r="B752" i="8"/>
  <c r="A752" i="8"/>
  <c r="I751" i="8"/>
  <c r="C751" i="8"/>
  <c r="B751" i="8"/>
  <c r="A751" i="8"/>
  <c r="I750" i="8"/>
  <c r="C750" i="8"/>
  <c r="B750" i="8"/>
  <c r="A750" i="8"/>
  <c r="I749" i="8"/>
  <c r="C749" i="8"/>
  <c r="B749" i="8"/>
  <c r="A749" i="8"/>
  <c r="I748" i="8"/>
  <c r="F748" i="8"/>
  <c r="C748" i="8"/>
  <c r="B748" i="8"/>
  <c r="A748" i="8"/>
  <c r="I747" i="8"/>
  <c r="C747" i="8"/>
  <c r="B747" i="8"/>
  <c r="A747" i="8"/>
  <c r="I746" i="8"/>
  <c r="C746" i="8"/>
  <c r="B746" i="8"/>
  <c r="A746" i="8"/>
  <c r="I745" i="8"/>
  <c r="C745" i="8"/>
  <c r="B745" i="8"/>
  <c r="A745" i="8"/>
  <c r="I744" i="8"/>
  <c r="C744" i="8"/>
  <c r="B744" i="8"/>
  <c r="A744" i="8"/>
  <c r="I743" i="8"/>
  <c r="C743" i="8"/>
  <c r="B743" i="8"/>
  <c r="A743" i="8"/>
  <c r="I742" i="8"/>
  <c r="C742" i="8"/>
  <c r="B742" i="8"/>
  <c r="A742" i="8"/>
  <c r="I741" i="8"/>
  <c r="F741" i="8"/>
  <c r="B760" i="8" s="1"/>
  <c r="C741" i="8"/>
  <c r="B741" i="8"/>
  <c r="A741" i="8"/>
  <c r="C740" i="8"/>
  <c r="B740" i="8"/>
  <c r="A740" i="8"/>
  <c r="I739" i="8"/>
  <c r="C739" i="8"/>
  <c r="B739" i="8"/>
  <c r="A739" i="8"/>
  <c r="H738" i="8"/>
  <c r="C738" i="8"/>
  <c r="B738" i="8"/>
  <c r="A738" i="8"/>
  <c r="C737" i="8"/>
  <c r="B737" i="8"/>
  <c r="A737" i="8"/>
  <c r="I736" i="8"/>
  <c r="C736" i="8"/>
  <c r="B736" i="8"/>
  <c r="A736" i="8"/>
  <c r="C735" i="8"/>
  <c r="B735" i="8"/>
  <c r="A735" i="8"/>
  <c r="C734" i="8"/>
  <c r="B734" i="8"/>
  <c r="A734" i="8"/>
  <c r="C733" i="8"/>
  <c r="B733" i="8"/>
  <c r="A733" i="8"/>
  <c r="I732" i="8"/>
  <c r="C732" i="8"/>
  <c r="B732" i="8"/>
  <c r="A732" i="8"/>
  <c r="B716" i="8"/>
  <c r="S714" i="8"/>
  <c r="I714" i="8"/>
  <c r="C714" i="8"/>
  <c r="U714" i="8" s="1"/>
  <c r="B714" i="8"/>
  <c r="A714" i="8"/>
  <c r="I713" i="8"/>
  <c r="C713" i="8"/>
  <c r="B713" i="8"/>
  <c r="A713" i="8"/>
  <c r="I712" i="8"/>
  <c r="H712" i="8"/>
  <c r="C712" i="8"/>
  <c r="B712" i="8"/>
  <c r="A712" i="8"/>
  <c r="I711" i="8"/>
  <c r="C711" i="8"/>
  <c r="B711" i="8"/>
  <c r="A711" i="8"/>
  <c r="I710" i="8"/>
  <c r="C710" i="8"/>
  <c r="B710" i="8"/>
  <c r="A710" i="8"/>
  <c r="I709" i="8"/>
  <c r="C709" i="8"/>
  <c r="B709" i="8"/>
  <c r="A709" i="8"/>
  <c r="I708" i="8"/>
  <c r="C708" i="8"/>
  <c r="B708" i="8"/>
  <c r="A708" i="8"/>
  <c r="I707" i="8"/>
  <c r="C707" i="8"/>
  <c r="B707" i="8"/>
  <c r="A707" i="8"/>
  <c r="I706" i="8"/>
  <c r="H706" i="8"/>
  <c r="C706" i="8"/>
  <c r="B706" i="8"/>
  <c r="A706" i="8"/>
  <c r="I705" i="8"/>
  <c r="H705" i="8"/>
  <c r="C705" i="8"/>
  <c r="B705" i="8"/>
  <c r="A705" i="8"/>
  <c r="I704" i="8"/>
  <c r="F704" i="8"/>
  <c r="C704" i="8"/>
  <c r="B704" i="8"/>
  <c r="A704" i="8"/>
  <c r="I703" i="8"/>
  <c r="H703" i="8"/>
  <c r="C703" i="8"/>
  <c r="B703" i="8"/>
  <c r="A703" i="8"/>
  <c r="I702" i="8"/>
  <c r="C702" i="8"/>
  <c r="B702" i="8"/>
  <c r="A702" i="8"/>
  <c r="I701" i="8"/>
  <c r="C701" i="8"/>
  <c r="B701" i="8"/>
  <c r="A701" i="8"/>
  <c r="I700" i="8"/>
  <c r="C700" i="8"/>
  <c r="B700" i="8"/>
  <c r="A700" i="8"/>
  <c r="I699" i="8"/>
  <c r="C699" i="8"/>
  <c r="B699" i="8"/>
  <c r="A699" i="8"/>
  <c r="I698" i="8"/>
  <c r="C698" i="8"/>
  <c r="B698" i="8"/>
  <c r="A698" i="8"/>
  <c r="I697" i="8"/>
  <c r="F697" i="8"/>
  <c r="C697" i="8"/>
  <c r="B697" i="8"/>
  <c r="A697" i="8"/>
  <c r="H696" i="8"/>
  <c r="C696" i="8"/>
  <c r="B696" i="8"/>
  <c r="A696" i="8"/>
  <c r="I695" i="8"/>
  <c r="C695" i="8"/>
  <c r="B695" i="8"/>
  <c r="A695" i="8"/>
  <c r="C694" i="8"/>
  <c r="B694" i="8"/>
  <c r="A694" i="8"/>
  <c r="C693" i="8"/>
  <c r="B693" i="8"/>
  <c r="A693" i="8"/>
  <c r="I692" i="8"/>
  <c r="C692" i="8"/>
  <c r="B692" i="8"/>
  <c r="A692" i="8"/>
  <c r="C691" i="8"/>
  <c r="B691" i="8"/>
  <c r="A691" i="8"/>
  <c r="C690" i="8"/>
  <c r="B690" i="8"/>
  <c r="A690" i="8"/>
  <c r="H689" i="8"/>
  <c r="C689" i="8"/>
  <c r="B689" i="8"/>
  <c r="A689" i="8"/>
  <c r="I688" i="8"/>
  <c r="C688" i="8"/>
  <c r="B688" i="8"/>
  <c r="A688" i="8"/>
  <c r="I670" i="8"/>
  <c r="H670" i="8"/>
  <c r="C670" i="8"/>
  <c r="B670" i="8"/>
  <c r="A670" i="8"/>
  <c r="I669" i="8"/>
  <c r="C669" i="8"/>
  <c r="B669" i="8"/>
  <c r="A669" i="8"/>
  <c r="I668" i="8"/>
  <c r="C668" i="8"/>
  <c r="B668" i="8"/>
  <c r="A668" i="8"/>
  <c r="I667" i="8"/>
  <c r="C667" i="8"/>
  <c r="B667" i="8"/>
  <c r="A667" i="8"/>
  <c r="I666" i="8"/>
  <c r="C666" i="8"/>
  <c r="B666" i="8"/>
  <c r="A666" i="8"/>
  <c r="I665" i="8"/>
  <c r="C665" i="8"/>
  <c r="B665" i="8"/>
  <c r="A665" i="8"/>
  <c r="I664" i="8"/>
  <c r="C664" i="8"/>
  <c r="B664" i="8"/>
  <c r="A664" i="8"/>
  <c r="I663" i="8"/>
  <c r="C663" i="8"/>
  <c r="B663" i="8"/>
  <c r="A663" i="8"/>
  <c r="I662" i="8"/>
  <c r="C662" i="8"/>
  <c r="B662" i="8"/>
  <c r="A662" i="8"/>
  <c r="I661" i="8"/>
  <c r="H661" i="8"/>
  <c r="C661" i="8"/>
  <c r="B661" i="8"/>
  <c r="A661" i="8"/>
  <c r="I660" i="8"/>
  <c r="F660" i="8"/>
  <c r="C660" i="8"/>
  <c r="B660" i="8"/>
  <c r="A660" i="8"/>
  <c r="I659" i="8"/>
  <c r="C659" i="8"/>
  <c r="B659" i="8"/>
  <c r="A659" i="8"/>
  <c r="I658" i="8"/>
  <c r="C658" i="8"/>
  <c r="B658" i="8"/>
  <c r="A658" i="8"/>
  <c r="I657" i="8"/>
  <c r="C657" i="8"/>
  <c r="B657" i="8"/>
  <c r="A657" i="8"/>
  <c r="I656" i="8"/>
  <c r="C656" i="8"/>
  <c r="B656" i="8"/>
  <c r="A656" i="8"/>
  <c r="I655" i="8"/>
  <c r="C655" i="8"/>
  <c r="B655" i="8"/>
  <c r="A655" i="8"/>
  <c r="I654" i="8"/>
  <c r="C654" i="8"/>
  <c r="B654" i="8"/>
  <c r="A654" i="8"/>
  <c r="I653" i="8"/>
  <c r="F653" i="8"/>
  <c r="B672" i="8" s="1"/>
  <c r="C653" i="8"/>
  <c r="B653" i="8"/>
  <c r="A653" i="8"/>
  <c r="C652" i="8"/>
  <c r="B652" i="8"/>
  <c r="A652" i="8"/>
  <c r="I651" i="8"/>
  <c r="H651" i="8"/>
  <c r="C651" i="8"/>
  <c r="B651" i="8"/>
  <c r="A651" i="8"/>
  <c r="C650" i="8"/>
  <c r="B650" i="8"/>
  <c r="A650" i="8"/>
  <c r="H649" i="8"/>
  <c r="C649" i="8"/>
  <c r="B649" i="8"/>
  <c r="A649" i="8"/>
  <c r="I648" i="8"/>
  <c r="C648" i="8"/>
  <c r="B648" i="8"/>
  <c r="A648" i="8"/>
  <c r="H647" i="8"/>
  <c r="G647" i="8"/>
  <c r="C647" i="8"/>
  <c r="B647" i="8"/>
  <c r="A647" i="8"/>
  <c r="C646" i="8"/>
  <c r="B646" i="8"/>
  <c r="A646" i="8"/>
  <c r="C645" i="8"/>
  <c r="B645" i="8"/>
  <c r="A645" i="8"/>
  <c r="I644" i="8"/>
  <c r="C644" i="8"/>
  <c r="B644" i="8"/>
  <c r="A644" i="8"/>
  <c r="U626" i="8"/>
  <c r="I626" i="8"/>
  <c r="C626" i="8"/>
  <c r="S626" i="8" s="1"/>
  <c r="B626" i="8"/>
  <c r="A626" i="8"/>
  <c r="I625" i="8"/>
  <c r="C625" i="8"/>
  <c r="B625" i="8"/>
  <c r="A625" i="8"/>
  <c r="I624" i="8"/>
  <c r="C624" i="8"/>
  <c r="B624" i="8"/>
  <c r="A624" i="8"/>
  <c r="I623" i="8"/>
  <c r="C623" i="8"/>
  <c r="B623" i="8"/>
  <c r="A623" i="8"/>
  <c r="I622" i="8"/>
  <c r="C622" i="8"/>
  <c r="B622" i="8"/>
  <c r="A622" i="8"/>
  <c r="I621" i="8"/>
  <c r="H621" i="8"/>
  <c r="C621" i="8"/>
  <c r="B621" i="8"/>
  <c r="A621" i="8"/>
  <c r="I620" i="8"/>
  <c r="C620" i="8"/>
  <c r="B620" i="8"/>
  <c r="A620" i="8"/>
  <c r="I619" i="8"/>
  <c r="C619" i="8"/>
  <c r="B619" i="8"/>
  <c r="A619" i="8"/>
  <c r="I618" i="8"/>
  <c r="C618" i="8"/>
  <c r="B618" i="8"/>
  <c r="A618" i="8"/>
  <c r="I617" i="8"/>
  <c r="C617" i="8"/>
  <c r="B617" i="8"/>
  <c r="A617" i="8"/>
  <c r="I616" i="8"/>
  <c r="F616" i="8"/>
  <c r="C616" i="8"/>
  <c r="B616" i="8"/>
  <c r="A616" i="8"/>
  <c r="I615" i="8"/>
  <c r="C615" i="8"/>
  <c r="B615" i="8"/>
  <c r="A615" i="8"/>
  <c r="I614" i="8"/>
  <c r="H614" i="8"/>
  <c r="C614" i="8"/>
  <c r="B614" i="8"/>
  <c r="A614" i="8"/>
  <c r="I613" i="8"/>
  <c r="H613" i="8"/>
  <c r="C613" i="8"/>
  <c r="B613" i="8"/>
  <c r="A613" i="8"/>
  <c r="I612" i="8"/>
  <c r="C612" i="8"/>
  <c r="B612" i="8"/>
  <c r="A612" i="8"/>
  <c r="I611" i="8"/>
  <c r="C611" i="8"/>
  <c r="B611" i="8"/>
  <c r="A611" i="8"/>
  <c r="I610" i="8"/>
  <c r="C610" i="8"/>
  <c r="B610" i="8"/>
  <c r="A610" i="8"/>
  <c r="I609" i="8"/>
  <c r="F609" i="8"/>
  <c r="B628" i="8" s="1"/>
  <c r="C609" i="8"/>
  <c r="B609" i="8"/>
  <c r="A609" i="8"/>
  <c r="C608" i="8"/>
  <c r="B608" i="8"/>
  <c r="A608" i="8"/>
  <c r="I607" i="8"/>
  <c r="C607" i="8"/>
  <c r="B607" i="8"/>
  <c r="A607" i="8"/>
  <c r="H606" i="8"/>
  <c r="C606" i="8"/>
  <c r="B606" i="8"/>
  <c r="A606" i="8"/>
  <c r="C605" i="8"/>
  <c r="B605" i="8"/>
  <c r="A605" i="8"/>
  <c r="I604" i="8"/>
  <c r="C604" i="8"/>
  <c r="B604" i="8"/>
  <c r="A604" i="8"/>
  <c r="C603" i="8"/>
  <c r="B603" i="8"/>
  <c r="A603" i="8"/>
  <c r="H602" i="8"/>
  <c r="G602" i="8"/>
  <c r="C602" i="8"/>
  <c r="B602" i="8"/>
  <c r="A602" i="8"/>
  <c r="C601" i="8"/>
  <c r="B601" i="8"/>
  <c r="A601" i="8"/>
  <c r="I600" i="8"/>
  <c r="C600" i="8"/>
  <c r="B600" i="8"/>
  <c r="A600" i="8"/>
  <c r="I582" i="8"/>
  <c r="H582" i="8"/>
  <c r="C582" i="8"/>
  <c r="U582" i="8" s="1"/>
  <c r="B582" i="8"/>
  <c r="A582" i="8"/>
  <c r="I581" i="8"/>
  <c r="C581" i="8"/>
  <c r="B581" i="8"/>
  <c r="A581" i="8"/>
  <c r="I580" i="8"/>
  <c r="C580" i="8"/>
  <c r="B580" i="8"/>
  <c r="A580" i="8"/>
  <c r="I579" i="8"/>
  <c r="C579" i="8"/>
  <c r="B579" i="8"/>
  <c r="A579" i="8"/>
  <c r="I578" i="8"/>
  <c r="C578" i="8"/>
  <c r="B578" i="8"/>
  <c r="A578" i="8"/>
  <c r="I577" i="8"/>
  <c r="C577" i="8"/>
  <c r="B577" i="8"/>
  <c r="A577" i="8"/>
  <c r="I576" i="8"/>
  <c r="C576" i="8"/>
  <c r="B576" i="8"/>
  <c r="A576" i="8"/>
  <c r="I575" i="8"/>
  <c r="C575" i="8"/>
  <c r="B575" i="8"/>
  <c r="A575" i="8"/>
  <c r="I574" i="8"/>
  <c r="H574" i="8"/>
  <c r="C574" i="8"/>
  <c r="B574" i="8"/>
  <c r="A574" i="8"/>
  <c r="I573" i="8"/>
  <c r="C573" i="8"/>
  <c r="B573" i="8"/>
  <c r="A573" i="8"/>
  <c r="I572" i="8"/>
  <c r="F572" i="8"/>
  <c r="C572" i="8"/>
  <c r="B572" i="8"/>
  <c r="A572" i="8"/>
  <c r="I571" i="8"/>
  <c r="C571" i="8"/>
  <c r="B571" i="8"/>
  <c r="A571" i="8"/>
  <c r="I570" i="8"/>
  <c r="C570" i="8"/>
  <c r="B570" i="8"/>
  <c r="A570" i="8"/>
  <c r="I569" i="8"/>
  <c r="C569" i="8"/>
  <c r="B569" i="8"/>
  <c r="A569" i="8"/>
  <c r="I568" i="8"/>
  <c r="H568" i="8"/>
  <c r="C568" i="8"/>
  <c r="B568" i="8"/>
  <c r="A568" i="8"/>
  <c r="I567" i="8"/>
  <c r="C567" i="8"/>
  <c r="B567" i="8"/>
  <c r="A567" i="8"/>
  <c r="I566" i="8"/>
  <c r="C566" i="8"/>
  <c r="B566" i="8"/>
  <c r="A566" i="8"/>
  <c r="I565" i="8"/>
  <c r="F565" i="8"/>
  <c r="B584" i="8" s="1"/>
  <c r="C565" i="8"/>
  <c r="B565" i="8"/>
  <c r="A565" i="8"/>
  <c r="C564" i="8"/>
  <c r="B564" i="8"/>
  <c r="A564" i="8"/>
  <c r="I563" i="8"/>
  <c r="C563" i="8"/>
  <c r="B563" i="8"/>
  <c r="A563" i="8"/>
  <c r="H562" i="8"/>
  <c r="C562" i="8"/>
  <c r="B562" i="8"/>
  <c r="A562" i="8"/>
  <c r="C561" i="8"/>
  <c r="B561" i="8"/>
  <c r="A561" i="8"/>
  <c r="I560" i="8"/>
  <c r="C560" i="8"/>
  <c r="B560" i="8"/>
  <c r="A560" i="8"/>
  <c r="C559" i="8"/>
  <c r="B559" i="8"/>
  <c r="A559" i="8"/>
  <c r="H558" i="8"/>
  <c r="C558" i="8"/>
  <c r="B558" i="8"/>
  <c r="A558" i="8"/>
  <c r="C557" i="8"/>
  <c r="B557" i="8"/>
  <c r="A557" i="8"/>
  <c r="I556" i="8"/>
  <c r="C556" i="8"/>
  <c r="B556" i="8"/>
  <c r="A556" i="8"/>
  <c r="S538" i="8"/>
  <c r="I538" i="8"/>
  <c r="C538" i="8"/>
  <c r="U538" i="8" s="1"/>
  <c r="B538" i="8"/>
  <c r="A538" i="8"/>
  <c r="I537" i="8"/>
  <c r="H537" i="8"/>
  <c r="C537" i="8"/>
  <c r="B537" i="8"/>
  <c r="A537" i="8"/>
  <c r="I536" i="8"/>
  <c r="C536" i="8"/>
  <c r="B536" i="8"/>
  <c r="A536" i="8"/>
  <c r="I535" i="8"/>
  <c r="C535" i="8"/>
  <c r="B535" i="8"/>
  <c r="A535" i="8"/>
  <c r="I534" i="8"/>
  <c r="C534" i="8"/>
  <c r="B534" i="8"/>
  <c r="A534" i="8"/>
  <c r="I533" i="8"/>
  <c r="C533" i="8"/>
  <c r="B533" i="8"/>
  <c r="A533" i="8"/>
  <c r="I532" i="8"/>
  <c r="H532" i="8"/>
  <c r="C532" i="8"/>
  <c r="B532" i="8"/>
  <c r="A532" i="8"/>
  <c r="I531" i="8"/>
  <c r="C531" i="8"/>
  <c r="B531" i="8"/>
  <c r="A531" i="8"/>
  <c r="I530" i="8"/>
  <c r="C530" i="8"/>
  <c r="B530" i="8"/>
  <c r="A530" i="8"/>
  <c r="I529" i="8"/>
  <c r="H529" i="8"/>
  <c r="C529" i="8"/>
  <c r="B529" i="8"/>
  <c r="A529" i="8"/>
  <c r="I528" i="8"/>
  <c r="F528" i="8"/>
  <c r="C528" i="8"/>
  <c r="B528" i="8"/>
  <c r="A528" i="8"/>
  <c r="I527" i="8"/>
  <c r="C527" i="8"/>
  <c r="B527" i="8"/>
  <c r="A527" i="8"/>
  <c r="I526" i="8"/>
  <c r="C526" i="8"/>
  <c r="B526" i="8"/>
  <c r="A526" i="8"/>
  <c r="I525" i="8"/>
  <c r="C525" i="8"/>
  <c r="B525" i="8"/>
  <c r="A525" i="8"/>
  <c r="I524" i="8"/>
  <c r="C524" i="8"/>
  <c r="B524" i="8"/>
  <c r="A524" i="8"/>
  <c r="I523" i="8"/>
  <c r="C523" i="8"/>
  <c r="B523" i="8"/>
  <c r="A523" i="8"/>
  <c r="I522" i="8"/>
  <c r="C522" i="8"/>
  <c r="B522" i="8"/>
  <c r="A522" i="8"/>
  <c r="I521" i="8"/>
  <c r="H521" i="8"/>
  <c r="F521" i="8"/>
  <c r="B540" i="8" s="1"/>
  <c r="C521" i="8"/>
  <c r="B521" i="8"/>
  <c r="A521" i="8"/>
  <c r="C520" i="8"/>
  <c r="B520" i="8"/>
  <c r="A520" i="8"/>
  <c r="I519" i="8"/>
  <c r="C519" i="8"/>
  <c r="B519" i="8"/>
  <c r="A519" i="8"/>
  <c r="C518" i="8"/>
  <c r="B518" i="8"/>
  <c r="A518" i="8"/>
  <c r="C517" i="8"/>
  <c r="B517" i="8"/>
  <c r="A517" i="8"/>
  <c r="I516" i="8"/>
  <c r="C516" i="8"/>
  <c r="B516" i="8"/>
  <c r="A516" i="8"/>
  <c r="H515" i="8"/>
  <c r="C515" i="8"/>
  <c r="B515" i="8"/>
  <c r="A515" i="8"/>
  <c r="H514" i="8"/>
  <c r="C514" i="8"/>
  <c r="B514" i="8"/>
  <c r="A514" i="8"/>
  <c r="C513" i="8"/>
  <c r="B513" i="8"/>
  <c r="A513" i="8"/>
  <c r="I512" i="8"/>
  <c r="C512" i="8"/>
  <c r="B512" i="8"/>
  <c r="A512" i="8"/>
  <c r="U494" i="8"/>
  <c r="S494" i="8"/>
  <c r="I494" i="8"/>
  <c r="C494" i="8"/>
  <c r="B494" i="8"/>
  <c r="A494" i="8"/>
  <c r="I493" i="8"/>
  <c r="C493" i="8"/>
  <c r="B493" i="8"/>
  <c r="A493" i="8"/>
  <c r="I492" i="8"/>
  <c r="C492" i="8"/>
  <c r="B492" i="8"/>
  <c r="A492" i="8"/>
  <c r="I491" i="8"/>
  <c r="C491" i="8"/>
  <c r="B491" i="8"/>
  <c r="A491" i="8"/>
  <c r="I490" i="8"/>
  <c r="C490" i="8"/>
  <c r="B490" i="8"/>
  <c r="A490" i="8"/>
  <c r="I489" i="8"/>
  <c r="H489" i="8"/>
  <c r="C489" i="8"/>
  <c r="B489" i="8"/>
  <c r="A489" i="8"/>
  <c r="I488" i="8"/>
  <c r="C488" i="8"/>
  <c r="B488" i="8"/>
  <c r="A488" i="8"/>
  <c r="I487" i="8"/>
  <c r="C487" i="8"/>
  <c r="B487" i="8"/>
  <c r="A487" i="8"/>
  <c r="I486" i="8"/>
  <c r="C486" i="8"/>
  <c r="B486" i="8"/>
  <c r="A486" i="8"/>
  <c r="I485" i="8"/>
  <c r="C485" i="8"/>
  <c r="B485" i="8"/>
  <c r="A485" i="8"/>
  <c r="I484" i="8"/>
  <c r="F484" i="8"/>
  <c r="C484" i="8"/>
  <c r="B484" i="8"/>
  <c r="A484" i="8"/>
  <c r="I483" i="8"/>
  <c r="C483" i="8"/>
  <c r="B483" i="8"/>
  <c r="A483" i="8"/>
  <c r="I482" i="8"/>
  <c r="C482" i="8"/>
  <c r="B482" i="8"/>
  <c r="A482" i="8"/>
  <c r="I481" i="8"/>
  <c r="C481" i="8"/>
  <c r="B481" i="8"/>
  <c r="A481" i="8"/>
  <c r="I480" i="8"/>
  <c r="C480" i="8"/>
  <c r="B480" i="8"/>
  <c r="A480" i="8"/>
  <c r="I479" i="8"/>
  <c r="C479" i="8"/>
  <c r="B479" i="8"/>
  <c r="A479" i="8"/>
  <c r="I478" i="8"/>
  <c r="C478" i="8"/>
  <c r="B478" i="8"/>
  <c r="A478" i="8"/>
  <c r="I477" i="8"/>
  <c r="F477" i="8"/>
  <c r="B496" i="8" s="1"/>
  <c r="C477" i="8"/>
  <c r="B477" i="8"/>
  <c r="A477" i="8"/>
  <c r="C476" i="8"/>
  <c r="B476" i="8"/>
  <c r="A476" i="8"/>
  <c r="I475" i="8"/>
  <c r="C475" i="8"/>
  <c r="B475" i="8"/>
  <c r="A475" i="8"/>
  <c r="C474" i="8"/>
  <c r="B474" i="8"/>
  <c r="A474" i="8"/>
  <c r="C473" i="8"/>
  <c r="B473" i="8"/>
  <c r="A473" i="8"/>
  <c r="I472" i="8"/>
  <c r="C472" i="8"/>
  <c r="B472" i="8"/>
  <c r="A472" i="8"/>
  <c r="C471" i="8"/>
  <c r="B471" i="8"/>
  <c r="A471" i="8"/>
  <c r="C470" i="8"/>
  <c r="B470" i="8"/>
  <c r="A470" i="8"/>
  <c r="H469" i="8"/>
  <c r="C469" i="8"/>
  <c r="B469" i="8"/>
  <c r="A469" i="8"/>
  <c r="I468" i="8"/>
  <c r="C468" i="8"/>
  <c r="B468" i="8"/>
  <c r="A468" i="8"/>
  <c r="U450" i="8"/>
  <c r="S450" i="8"/>
  <c r="I450" i="8"/>
  <c r="C450" i="8"/>
  <c r="B450" i="8"/>
  <c r="A450" i="8"/>
  <c r="I449" i="8"/>
  <c r="H449" i="8"/>
  <c r="C449" i="8"/>
  <c r="B449" i="8"/>
  <c r="A449" i="8"/>
  <c r="I448" i="8"/>
  <c r="C448" i="8"/>
  <c r="B448" i="8"/>
  <c r="A448" i="8"/>
  <c r="I447" i="8"/>
  <c r="C447" i="8"/>
  <c r="B447" i="8"/>
  <c r="A447" i="8"/>
  <c r="I446" i="8"/>
  <c r="C446" i="8"/>
  <c r="B446" i="8"/>
  <c r="A446" i="8"/>
  <c r="I445" i="8"/>
  <c r="C445" i="8"/>
  <c r="B445" i="8"/>
  <c r="A445" i="8"/>
  <c r="I444" i="8"/>
  <c r="C444" i="8"/>
  <c r="B444" i="8"/>
  <c r="A444" i="8"/>
  <c r="I443" i="8"/>
  <c r="C443" i="8"/>
  <c r="B443" i="8"/>
  <c r="A443" i="8"/>
  <c r="I442" i="8"/>
  <c r="C442" i="8"/>
  <c r="B442" i="8"/>
  <c r="A442" i="8"/>
  <c r="I441" i="8"/>
  <c r="C441" i="8"/>
  <c r="B441" i="8"/>
  <c r="A441" i="8"/>
  <c r="I440" i="8"/>
  <c r="F440" i="8"/>
  <c r="C440" i="8"/>
  <c r="B440" i="8"/>
  <c r="A440" i="8"/>
  <c r="I439" i="8"/>
  <c r="C439" i="8"/>
  <c r="B439" i="8"/>
  <c r="A439" i="8"/>
  <c r="I438" i="8"/>
  <c r="C438" i="8"/>
  <c r="B438" i="8"/>
  <c r="A438" i="8"/>
  <c r="I437" i="8"/>
  <c r="H437" i="8"/>
  <c r="C437" i="8"/>
  <c r="B437" i="8"/>
  <c r="A437" i="8"/>
  <c r="I436" i="8"/>
  <c r="C436" i="8"/>
  <c r="B436" i="8"/>
  <c r="A436" i="8"/>
  <c r="I435" i="8"/>
  <c r="H435" i="8"/>
  <c r="C435" i="8"/>
  <c r="B435" i="8"/>
  <c r="A435" i="8"/>
  <c r="I434" i="8"/>
  <c r="C434" i="8"/>
  <c r="B434" i="8"/>
  <c r="A434" i="8"/>
  <c r="I433" i="8"/>
  <c r="H433" i="8"/>
  <c r="F433" i="8"/>
  <c r="B452" i="8" s="1"/>
  <c r="C433" i="8"/>
  <c r="B433" i="8"/>
  <c r="A433" i="8"/>
  <c r="C432" i="8"/>
  <c r="B432" i="8"/>
  <c r="A432" i="8"/>
  <c r="I431" i="8"/>
  <c r="C431" i="8"/>
  <c r="B431" i="8"/>
  <c r="A431" i="8"/>
  <c r="C430" i="8"/>
  <c r="B430" i="8"/>
  <c r="A430" i="8"/>
  <c r="C429" i="8"/>
  <c r="B429" i="8"/>
  <c r="A429" i="8"/>
  <c r="I428" i="8"/>
  <c r="C428" i="8"/>
  <c r="B428" i="8"/>
  <c r="A428" i="8"/>
  <c r="C427" i="8"/>
  <c r="B427" i="8"/>
  <c r="A427" i="8"/>
  <c r="C426" i="8"/>
  <c r="B426" i="8"/>
  <c r="A426" i="8"/>
  <c r="C425" i="8"/>
  <c r="B425" i="8"/>
  <c r="A425" i="8"/>
  <c r="I424" i="8"/>
  <c r="C424" i="8"/>
  <c r="B424" i="8"/>
  <c r="A424" i="8"/>
  <c r="U406" i="8"/>
  <c r="S406" i="8"/>
  <c r="I406" i="8"/>
  <c r="C406" i="8"/>
  <c r="B406" i="8"/>
  <c r="A406" i="8"/>
  <c r="I405" i="8"/>
  <c r="C405" i="8"/>
  <c r="B405" i="8"/>
  <c r="A405" i="8"/>
  <c r="I404" i="8"/>
  <c r="H404" i="8"/>
  <c r="C404" i="8"/>
  <c r="B404" i="8"/>
  <c r="A404" i="8"/>
  <c r="I403" i="8"/>
  <c r="C403" i="8"/>
  <c r="B403" i="8"/>
  <c r="A403" i="8"/>
  <c r="I402" i="8"/>
  <c r="C402" i="8"/>
  <c r="B402" i="8"/>
  <c r="A402" i="8"/>
  <c r="I401" i="8"/>
  <c r="H401" i="8"/>
  <c r="C401" i="8"/>
  <c r="B401" i="8"/>
  <c r="A401" i="8"/>
  <c r="I400" i="8"/>
  <c r="C400" i="8"/>
  <c r="B400" i="8"/>
  <c r="A400" i="8"/>
  <c r="I399" i="8"/>
  <c r="C399" i="8"/>
  <c r="B399" i="8"/>
  <c r="A399" i="8"/>
  <c r="I398" i="8"/>
  <c r="H398" i="8"/>
  <c r="C398" i="8"/>
  <c r="B398" i="8"/>
  <c r="A398" i="8"/>
  <c r="I397" i="8"/>
  <c r="C397" i="8"/>
  <c r="B397" i="8"/>
  <c r="A397" i="8"/>
  <c r="I396" i="8"/>
  <c r="H396" i="8"/>
  <c r="F396" i="8"/>
  <c r="C396" i="8"/>
  <c r="B396" i="8"/>
  <c r="A396" i="8"/>
  <c r="I395" i="8"/>
  <c r="C395" i="8"/>
  <c r="B395" i="8"/>
  <c r="A395" i="8"/>
  <c r="I394" i="8"/>
  <c r="H394" i="8"/>
  <c r="C394" i="8"/>
  <c r="B394" i="8"/>
  <c r="A394" i="8"/>
  <c r="I393" i="8"/>
  <c r="C393" i="8"/>
  <c r="B393" i="8"/>
  <c r="A393" i="8"/>
  <c r="I392" i="8"/>
  <c r="C392" i="8"/>
  <c r="B392" i="8"/>
  <c r="A392" i="8"/>
  <c r="I391" i="8"/>
  <c r="C391" i="8"/>
  <c r="B391" i="8"/>
  <c r="A391" i="8"/>
  <c r="I390" i="8"/>
  <c r="C390" i="8"/>
  <c r="B390" i="8"/>
  <c r="A390" i="8"/>
  <c r="I389" i="8"/>
  <c r="F389" i="8"/>
  <c r="B408" i="8" s="1"/>
  <c r="C389" i="8"/>
  <c r="B389" i="8"/>
  <c r="A389" i="8"/>
  <c r="C388" i="8"/>
  <c r="B388" i="8"/>
  <c r="A388" i="8"/>
  <c r="I387" i="8"/>
  <c r="C387" i="8"/>
  <c r="B387" i="8"/>
  <c r="A387" i="8"/>
  <c r="C386" i="8"/>
  <c r="B386" i="8"/>
  <c r="A386" i="8"/>
  <c r="H385" i="8"/>
  <c r="C385" i="8"/>
  <c r="B385" i="8"/>
  <c r="A385" i="8"/>
  <c r="I384" i="8"/>
  <c r="C384" i="8"/>
  <c r="B384" i="8"/>
  <c r="A384" i="8"/>
  <c r="C383" i="8"/>
  <c r="B383" i="8"/>
  <c r="A383" i="8"/>
  <c r="C382" i="8"/>
  <c r="B382" i="8"/>
  <c r="A382" i="8"/>
  <c r="C381" i="8"/>
  <c r="B381" i="8"/>
  <c r="A381" i="8"/>
  <c r="I380" i="8"/>
  <c r="C380" i="8"/>
  <c r="B380" i="8"/>
  <c r="A380" i="8"/>
  <c r="U362" i="8"/>
  <c r="S362" i="8"/>
  <c r="I362" i="8"/>
  <c r="H362" i="8"/>
  <c r="C362" i="8"/>
  <c r="B362" i="8"/>
  <c r="A362" i="8"/>
  <c r="I361" i="8"/>
  <c r="C361" i="8"/>
  <c r="B361" i="8"/>
  <c r="A361" i="8"/>
  <c r="I360" i="8"/>
  <c r="C360" i="8"/>
  <c r="B360" i="8"/>
  <c r="A360" i="8"/>
  <c r="I359" i="8"/>
  <c r="H359" i="8"/>
  <c r="C359" i="8"/>
  <c r="B359" i="8"/>
  <c r="A359" i="8"/>
  <c r="I358" i="8"/>
  <c r="C358" i="8"/>
  <c r="B358" i="8"/>
  <c r="A358" i="8"/>
  <c r="I357" i="8"/>
  <c r="C357" i="8"/>
  <c r="B357" i="8"/>
  <c r="A357" i="8"/>
  <c r="I356" i="8"/>
  <c r="C356" i="8"/>
  <c r="B356" i="8"/>
  <c r="A356" i="8"/>
  <c r="I355" i="8"/>
  <c r="C355" i="8"/>
  <c r="B355" i="8"/>
  <c r="A355" i="8"/>
  <c r="I354" i="8"/>
  <c r="C354" i="8"/>
  <c r="B354" i="8"/>
  <c r="A354" i="8"/>
  <c r="I353" i="8"/>
  <c r="C353" i="8"/>
  <c r="B353" i="8"/>
  <c r="A353" i="8"/>
  <c r="I352" i="8"/>
  <c r="F352" i="8"/>
  <c r="C352" i="8"/>
  <c r="B352" i="8"/>
  <c r="A352" i="8"/>
  <c r="I351" i="8"/>
  <c r="C351" i="8"/>
  <c r="B351" i="8"/>
  <c r="A351" i="8"/>
  <c r="I350" i="8"/>
  <c r="H350" i="8"/>
  <c r="C350" i="8"/>
  <c r="B350" i="8"/>
  <c r="A350" i="8"/>
  <c r="I349" i="8"/>
  <c r="C349" i="8"/>
  <c r="B349" i="8"/>
  <c r="A349" i="8"/>
  <c r="I348" i="8"/>
  <c r="H348" i="8"/>
  <c r="C348" i="8"/>
  <c r="B348" i="8"/>
  <c r="A348" i="8"/>
  <c r="I347" i="8"/>
  <c r="H347" i="8"/>
  <c r="C347" i="8"/>
  <c r="B347" i="8"/>
  <c r="A347" i="8"/>
  <c r="I346" i="8"/>
  <c r="C346" i="8"/>
  <c r="B346" i="8"/>
  <c r="A346" i="8"/>
  <c r="I345" i="8"/>
  <c r="F345" i="8"/>
  <c r="B364" i="8" s="1"/>
  <c r="C345" i="8"/>
  <c r="B345" i="8"/>
  <c r="A345" i="8"/>
  <c r="C344" i="8"/>
  <c r="B344" i="8"/>
  <c r="A344" i="8"/>
  <c r="I343" i="8"/>
  <c r="C343" i="8"/>
  <c r="B343" i="8"/>
  <c r="A343" i="8"/>
  <c r="C342" i="8"/>
  <c r="B342" i="8"/>
  <c r="A342" i="8"/>
  <c r="C341" i="8"/>
  <c r="B341" i="8"/>
  <c r="A341" i="8"/>
  <c r="I340" i="8"/>
  <c r="H340" i="8"/>
  <c r="C340" i="8"/>
  <c r="B340" i="8"/>
  <c r="A340" i="8"/>
  <c r="C339" i="8"/>
  <c r="B339" i="8"/>
  <c r="A339" i="8"/>
  <c r="C338" i="8"/>
  <c r="B338" i="8"/>
  <c r="A338" i="8"/>
  <c r="C337" i="8"/>
  <c r="B337" i="8"/>
  <c r="A337" i="8"/>
  <c r="I336" i="8"/>
  <c r="C336" i="8"/>
  <c r="B336" i="8"/>
  <c r="A336" i="8"/>
  <c r="S318" i="8"/>
  <c r="I318" i="8"/>
  <c r="C318" i="8"/>
  <c r="U318" i="8" s="1"/>
  <c r="B318" i="8"/>
  <c r="A318" i="8"/>
  <c r="I317" i="8"/>
  <c r="C317" i="8"/>
  <c r="B317" i="8"/>
  <c r="A317" i="8"/>
  <c r="I316" i="8"/>
  <c r="C316" i="8"/>
  <c r="B316" i="8"/>
  <c r="A316" i="8"/>
  <c r="I315" i="8"/>
  <c r="C315" i="8"/>
  <c r="B315" i="8"/>
  <c r="A315" i="8"/>
  <c r="I314" i="8"/>
  <c r="H314" i="8"/>
  <c r="C314" i="8"/>
  <c r="B314" i="8"/>
  <c r="A314" i="8"/>
  <c r="I313" i="8"/>
  <c r="C313" i="8"/>
  <c r="B313" i="8"/>
  <c r="A313" i="8"/>
  <c r="I312" i="8"/>
  <c r="C312" i="8"/>
  <c r="B312" i="8"/>
  <c r="A312" i="8"/>
  <c r="I311" i="8"/>
  <c r="C311" i="8"/>
  <c r="B311" i="8"/>
  <c r="A311" i="8"/>
  <c r="I310" i="8"/>
  <c r="H310" i="8"/>
  <c r="C310" i="8"/>
  <c r="B310" i="8"/>
  <c r="A310" i="8"/>
  <c r="I309" i="8"/>
  <c r="C309" i="8"/>
  <c r="B309" i="8"/>
  <c r="A309" i="8"/>
  <c r="I308" i="8"/>
  <c r="F308" i="8"/>
  <c r="C308" i="8"/>
  <c r="B308" i="8"/>
  <c r="A308" i="8"/>
  <c r="I307" i="8"/>
  <c r="H307" i="8"/>
  <c r="C307" i="8"/>
  <c r="B307" i="8"/>
  <c r="A307" i="8"/>
  <c r="I306" i="8"/>
  <c r="H306" i="8"/>
  <c r="C306" i="8"/>
  <c r="B306" i="8"/>
  <c r="A306" i="8"/>
  <c r="I305" i="8"/>
  <c r="C305" i="8"/>
  <c r="B305" i="8"/>
  <c r="A305" i="8"/>
  <c r="I304" i="8"/>
  <c r="H304" i="8"/>
  <c r="C304" i="8"/>
  <c r="B304" i="8"/>
  <c r="A304" i="8"/>
  <c r="I303" i="8"/>
  <c r="H303" i="8"/>
  <c r="C303" i="8"/>
  <c r="B303" i="8"/>
  <c r="A303" i="8"/>
  <c r="I302" i="8"/>
  <c r="C302" i="8"/>
  <c r="B302" i="8"/>
  <c r="A302" i="8"/>
  <c r="I301" i="8"/>
  <c r="F301" i="8"/>
  <c r="B320" i="8" s="1"/>
  <c r="C301" i="8"/>
  <c r="B301" i="8"/>
  <c r="A301" i="8"/>
  <c r="C300" i="8"/>
  <c r="B300" i="8"/>
  <c r="A300" i="8"/>
  <c r="I299" i="8"/>
  <c r="C299" i="8"/>
  <c r="B299" i="8"/>
  <c r="A299" i="8"/>
  <c r="C298" i="8"/>
  <c r="B298" i="8"/>
  <c r="A298" i="8"/>
  <c r="C297" i="8"/>
  <c r="B297" i="8"/>
  <c r="A297" i="8"/>
  <c r="I296" i="8"/>
  <c r="H296" i="8"/>
  <c r="C296" i="8"/>
  <c r="B296" i="8"/>
  <c r="A296" i="8"/>
  <c r="C295" i="8"/>
  <c r="B295" i="8"/>
  <c r="A295" i="8"/>
  <c r="C294" i="8"/>
  <c r="B294" i="8"/>
  <c r="A294" i="8"/>
  <c r="C293" i="8"/>
  <c r="B293" i="8"/>
  <c r="A293" i="8"/>
  <c r="I292" i="8"/>
  <c r="C292" i="8"/>
  <c r="B292" i="8"/>
  <c r="A292" i="8"/>
  <c r="B276" i="8"/>
  <c r="U274" i="8"/>
  <c r="S274" i="8"/>
  <c r="I274" i="8"/>
  <c r="C274" i="8"/>
  <c r="B274" i="8"/>
  <c r="A274" i="8"/>
  <c r="I273" i="8"/>
  <c r="H273" i="8"/>
  <c r="C273" i="8"/>
  <c r="B273" i="8"/>
  <c r="A273" i="8"/>
  <c r="I272" i="8"/>
  <c r="C272" i="8"/>
  <c r="B272" i="8"/>
  <c r="A272" i="8"/>
  <c r="I271" i="8"/>
  <c r="C271" i="8"/>
  <c r="B271" i="8"/>
  <c r="A271" i="8"/>
  <c r="I270" i="8"/>
  <c r="C270" i="8"/>
  <c r="B270" i="8"/>
  <c r="A270" i="8"/>
  <c r="I269" i="8"/>
  <c r="C269" i="8"/>
  <c r="B269" i="8"/>
  <c r="A269" i="8"/>
  <c r="I268" i="8"/>
  <c r="H268" i="8"/>
  <c r="C268" i="8"/>
  <c r="B268" i="8"/>
  <c r="A268" i="8"/>
  <c r="I267" i="8"/>
  <c r="C267" i="8"/>
  <c r="B267" i="8"/>
  <c r="A267" i="8"/>
  <c r="I266" i="8"/>
  <c r="C266" i="8"/>
  <c r="B266" i="8"/>
  <c r="A266" i="8"/>
  <c r="I265" i="8"/>
  <c r="H265" i="8"/>
  <c r="C265" i="8"/>
  <c r="B265" i="8"/>
  <c r="A265" i="8"/>
  <c r="I264" i="8"/>
  <c r="F264" i="8"/>
  <c r="C264" i="8"/>
  <c r="B264" i="8"/>
  <c r="A264" i="8"/>
  <c r="I263" i="8"/>
  <c r="C263" i="8"/>
  <c r="B263" i="8"/>
  <c r="A263" i="8"/>
  <c r="I262" i="8"/>
  <c r="C262" i="8"/>
  <c r="B262" i="8"/>
  <c r="A262" i="8"/>
  <c r="I261" i="8"/>
  <c r="C261" i="8"/>
  <c r="B261" i="8"/>
  <c r="A261" i="8"/>
  <c r="I260" i="8"/>
  <c r="H260" i="8"/>
  <c r="C260" i="8"/>
  <c r="B260" i="8"/>
  <c r="A260" i="8"/>
  <c r="I259" i="8"/>
  <c r="H259" i="8"/>
  <c r="C259" i="8"/>
  <c r="B259" i="8"/>
  <c r="A259" i="8"/>
  <c r="I258" i="8"/>
  <c r="C258" i="8"/>
  <c r="B258" i="8"/>
  <c r="A258" i="8"/>
  <c r="I257" i="8"/>
  <c r="F257" i="8"/>
  <c r="C257" i="8"/>
  <c r="B257" i="8"/>
  <c r="A257" i="8"/>
  <c r="C256" i="8"/>
  <c r="B256" i="8"/>
  <c r="A256" i="8"/>
  <c r="I255" i="8"/>
  <c r="C255" i="8"/>
  <c r="B255" i="8"/>
  <c r="A255" i="8"/>
  <c r="C254" i="8"/>
  <c r="B254" i="8"/>
  <c r="A254" i="8"/>
  <c r="C253" i="8"/>
  <c r="B253" i="8"/>
  <c r="A253" i="8"/>
  <c r="I252" i="8"/>
  <c r="C252" i="8"/>
  <c r="B252" i="8"/>
  <c r="A252" i="8"/>
  <c r="C251" i="8"/>
  <c r="B251" i="8"/>
  <c r="A251" i="8"/>
  <c r="C250" i="8"/>
  <c r="B250" i="8"/>
  <c r="A250" i="8"/>
  <c r="H249" i="8"/>
  <c r="C249" i="8"/>
  <c r="B249" i="8"/>
  <c r="A249" i="8"/>
  <c r="I248" i="8"/>
  <c r="H248" i="8"/>
  <c r="C248" i="8"/>
  <c r="B248" i="8"/>
  <c r="A248" i="8"/>
  <c r="I230" i="8"/>
  <c r="C230" i="8"/>
  <c r="U230" i="8" s="1"/>
  <c r="B230" i="8"/>
  <c r="A230" i="8"/>
  <c r="I229" i="8"/>
  <c r="C229" i="8"/>
  <c r="B229" i="8"/>
  <c r="A229" i="8"/>
  <c r="I228" i="8"/>
  <c r="H228" i="8"/>
  <c r="C228" i="8"/>
  <c r="B228" i="8"/>
  <c r="A228" i="8"/>
  <c r="I227" i="8"/>
  <c r="C227" i="8"/>
  <c r="B227" i="8"/>
  <c r="A227" i="8"/>
  <c r="I226" i="8"/>
  <c r="C226" i="8"/>
  <c r="B226" i="8"/>
  <c r="A226" i="8"/>
  <c r="I225" i="8"/>
  <c r="C225" i="8"/>
  <c r="B225" i="8"/>
  <c r="A225" i="8"/>
  <c r="I224" i="8"/>
  <c r="H224" i="8"/>
  <c r="C224" i="8"/>
  <c r="B224" i="8"/>
  <c r="A224" i="8"/>
  <c r="I223" i="8"/>
  <c r="C223" i="8"/>
  <c r="B223" i="8"/>
  <c r="A223" i="8"/>
  <c r="I222" i="8"/>
  <c r="C222" i="8"/>
  <c r="B222" i="8"/>
  <c r="A222" i="8"/>
  <c r="I221" i="8"/>
  <c r="H221" i="8"/>
  <c r="C221" i="8"/>
  <c r="B221" i="8"/>
  <c r="A221" i="8"/>
  <c r="I220" i="8"/>
  <c r="F220" i="8"/>
  <c r="C220" i="8"/>
  <c r="B220" i="8"/>
  <c r="A220" i="8"/>
  <c r="I219" i="8"/>
  <c r="C219" i="8"/>
  <c r="B219" i="8"/>
  <c r="A219" i="8"/>
  <c r="I218" i="8"/>
  <c r="H218" i="8"/>
  <c r="C218" i="8"/>
  <c r="B218" i="8"/>
  <c r="A218" i="8"/>
  <c r="I217" i="8"/>
  <c r="C217" i="8"/>
  <c r="B217" i="8"/>
  <c r="A217" i="8"/>
  <c r="I216" i="8"/>
  <c r="H216" i="8"/>
  <c r="C216" i="8"/>
  <c r="B216" i="8"/>
  <c r="A216" i="8"/>
  <c r="I215" i="8"/>
  <c r="C215" i="8"/>
  <c r="B215" i="8"/>
  <c r="A215" i="8"/>
  <c r="I214" i="8"/>
  <c r="C214" i="8"/>
  <c r="B214" i="8"/>
  <c r="A214" i="8"/>
  <c r="I213" i="8"/>
  <c r="F213" i="8"/>
  <c r="B232" i="8" s="1"/>
  <c r="C213" i="8"/>
  <c r="B213" i="8"/>
  <c r="A213" i="8"/>
  <c r="C212" i="8"/>
  <c r="B212" i="8"/>
  <c r="A212" i="8"/>
  <c r="I211" i="8"/>
  <c r="C211" i="8"/>
  <c r="B211" i="8"/>
  <c r="A211" i="8"/>
  <c r="C210" i="8"/>
  <c r="B210" i="8"/>
  <c r="A210" i="8"/>
  <c r="H209" i="8"/>
  <c r="C209" i="8"/>
  <c r="B209" i="8"/>
  <c r="A209" i="8"/>
  <c r="I208" i="8"/>
  <c r="C208" i="8"/>
  <c r="B208" i="8"/>
  <c r="A208" i="8"/>
  <c r="C207" i="8"/>
  <c r="B207" i="8"/>
  <c r="A207" i="8"/>
  <c r="H206" i="8"/>
  <c r="C206" i="8"/>
  <c r="B206" i="8"/>
  <c r="A206" i="8"/>
  <c r="H205" i="8"/>
  <c r="C205" i="8"/>
  <c r="B205" i="8"/>
  <c r="A205" i="8"/>
  <c r="I204" i="8"/>
  <c r="C204" i="8"/>
  <c r="B204" i="8"/>
  <c r="A204" i="8"/>
  <c r="B188" i="8"/>
  <c r="I186" i="8"/>
  <c r="H186" i="8"/>
  <c r="C186" i="8"/>
  <c r="U186" i="8" s="1"/>
  <c r="B186" i="8"/>
  <c r="A186" i="8"/>
  <c r="I185" i="8"/>
  <c r="C185" i="8"/>
  <c r="B185" i="8"/>
  <c r="A185" i="8"/>
  <c r="I184" i="8"/>
  <c r="C184" i="8"/>
  <c r="B184" i="8"/>
  <c r="A184" i="8"/>
  <c r="I183" i="8"/>
  <c r="C183" i="8"/>
  <c r="B183" i="8"/>
  <c r="A183" i="8"/>
  <c r="I182" i="8"/>
  <c r="C182" i="8"/>
  <c r="B182" i="8"/>
  <c r="A182" i="8"/>
  <c r="I181" i="8"/>
  <c r="C181" i="8"/>
  <c r="B181" i="8"/>
  <c r="A181" i="8"/>
  <c r="I180" i="8"/>
  <c r="C180" i="8"/>
  <c r="B180" i="8"/>
  <c r="A180" i="8"/>
  <c r="I179" i="8"/>
  <c r="C179" i="8"/>
  <c r="B179" i="8"/>
  <c r="A179" i="8"/>
  <c r="I178" i="8"/>
  <c r="C178" i="8"/>
  <c r="B178" i="8"/>
  <c r="A178" i="8"/>
  <c r="I177" i="8"/>
  <c r="H177" i="8"/>
  <c r="C177" i="8"/>
  <c r="B177" i="8"/>
  <c r="A177" i="8"/>
  <c r="I176" i="8"/>
  <c r="F176" i="8"/>
  <c r="C176" i="8"/>
  <c r="B176" i="8"/>
  <c r="A176" i="8"/>
  <c r="I175" i="8"/>
  <c r="H175" i="8"/>
  <c r="C175" i="8"/>
  <c r="B175" i="8"/>
  <c r="A175" i="8"/>
  <c r="I174" i="8"/>
  <c r="H174" i="8"/>
  <c r="C174" i="8"/>
  <c r="B174" i="8"/>
  <c r="A174" i="8"/>
  <c r="I173" i="8"/>
  <c r="C173" i="8"/>
  <c r="B173" i="8"/>
  <c r="A173" i="8"/>
  <c r="I172" i="8"/>
  <c r="C172" i="8"/>
  <c r="B172" i="8"/>
  <c r="A172" i="8"/>
  <c r="I171" i="8"/>
  <c r="H171" i="8"/>
  <c r="G171" i="8"/>
  <c r="C171" i="8"/>
  <c r="B171" i="8"/>
  <c r="A171" i="8"/>
  <c r="I170" i="8"/>
  <c r="C170" i="8"/>
  <c r="B170" i="8"/>
  <c r="A170" i="8"/>
  <c r="I169" i="8"/>
  <c r="F169" i="8"/>
  <c r="C169" i="8"/>
  <c r="B169" i="8"/>
  <c r="A169" i="8"/>
  <c r="C168" i="8"/>
  <c r="B168" i="8"/>
  <c r="A168" i="8"/>
  <c r="I167" i="8"/>
  <c r="H167" i="8"/>
  <c r="C167" i="8"/>
  <c r="B167" i="8"/>
  <c r="A167" i="8"/>
  <c r="H166" i="8"/>
  <c r="C166" i="8"/>
  <c r="B166" i="8"/>
  <c r="A166" i="8"/>
  <c r="C165" i="8"/>
  <c r="B165" i="8"/>
  <c r="A165" i="8"/>
  <c r="I164" i="8"/>
  <c r="C164" i="8"/>
  <c r="B164" i="8"/>
  <c r="A164" i="8"/>
  <c r="H163" i="8"/>
  <c r="C163" i="8"/>
  <c r="B163" i="8"/>
  <c r="A163" i="8"/>
  <c r="C162" i="8"/>
  <c r="B162" i="8"/>
  <c r="A162" i="8"/>
  <c r="C161" i="8"/>
  <c r="B161" i="8"/>
  <c r="A161" i="8"/>
  <c r="I160" i="8"/>
  <c r="C160" i="8"/>
  <c r="B160" i="8"/>
  <c r="A160" i="8"/>
  <c r="I142" i="8"/>
  <c r="H142" i="8"/>
  <c r="C142" i="8"/>
  <c r="U142" i="8" s="1"/>
  <c r="B142" i="8"/>
  <c r="A142" i="8"/>
  <c r="I141" i="8"/>
  <c r="C141" i="8"/>
  <c r="B141" i="8"/>
  <c r="A141" i="8"/>
  <c r="I140" i="8"/>
  <c r="C140" i="8"/>
  <c r="B140" i="8"/>
  <c r="A140" i="8"/>
  <c r="I139" i="8"/>
  <c r="C139" i="8"/>
  <c r="B139" i="8"/>
  <c r="A139" i="8"/>
  <c r="I138" i="8"/>
  <c r="C138" i="8"/>
  <c r="B138" i="8"/>
  <c r="A138" i="8"/>
  <c r="I137" i="8"/>
  <c r="H137" i="8"/>
  <c r="C137" i="8"/>
  <c r="B137" i="8"/>
  <c r="A137" i="8"/>
  <c r="I136" i="8"/>
  <c r="C136" i="8"/>
  <c r="B136" i="8"/>
  <c r="A136" i="8"/>
  <c r="I135" i="8"/>
  <c r="C135" i="8"/>
  <c r="B135" i="8"/>
  <c r="A135" i="8"/>
  <c r="I134" i="8"/>
  <c r="C134" i="8"/>
  <c r="B134" i="8"/>
  <c r="A134" i="8"/>
  <c r="I133" i="8"/>
  <c r="H133" i="8"/>
  <c r="C133" i="8"/>
  <c r="B133" i="8"/>
  <c r="A133" i="8"/>
  <c r="I132" i="8"/>
  <c r="F132" i="8"/>
  <c r="C132" i="8"/>
  <c r="B132" i="8"/>
  <c r="A132" i="8"/>
  <c r="I131" i="8"/>
  <c r="H131" i="8"/>
  <c r="C131" i="8"/>
  <c r="B131" i="8"/>
  <c r="A131" i="8"/>
  <c r="I130" i="8"/>
  <c r="H130" i="8"/>
  <c r="C130" i="8"/>
  <c r="B130" i="8"/>
  <c r="A130" i="8"/>
  <c r="I129" i="8"/>
  <c r="C129" i="8"/>
  <c r="B129" i="8"/>
  <c r="A129" i="8"/>
  <c r="I128" i="8"/>
  <c r="C128" i="8"/>
  <c r="B128" i="8"/>
  <c r="A128" i="8"/>
  <c r="I127" i="8"/>
  <c r="C127" i="8"/>
  <c r="B127" i="8"/>
  <c r="A127" i="8"/>
  <c r="I126" i="8"/>
  <c r="C126" i="8"/>
  <c r="B126" i="8"/>
  <c r="A126" i="8"/>
  <c r="I125" i="8"/>
  <c r="F125" i="8"/>
  <c r="B144" i="8" s="1"/>
  <c r="C125" i="8"/>
  <c r="B125" i="8"/>
  <c r="A125" i="8"/>
  <c r="C124" i="8"/>
  <c r="B124" i="8"/>
  <c r="A124" i="8"/>
  <c r="I123" i="8"/>
  <c r="C123" i="8"/>
  <c r="B123" i="8"/>
  <c r="A123" i="8"/>
  <c r="H122" i="8"/>
  <c r="C122" i="8"/>
  <c r="B122" i="8"/>
  <c r="A122" i="8"/>
  <c r="H121" i="8"/>
  <c r="C121" i="8"/>
  <c r="B121" i="8"/>
  <c r="A121" i="8"/>
  <c r="I120" i="8"/>
  <c r="C120" i="8"/>
  <c r="B120" i="8"/>
  <c r="A120" i="8"/>
  <c r="H119" i="8"/>
  <c r="G119" i="8"/>
  <c r="C119" i="8"/>
  <c r="B119" i="8"/>
  <c r="A119" i="8"/>
  <c r="H118" i="8"/>
  <c r="C118" i="8"/>
  <c r="B118" i="8"/>
  <c r="A118" i="8"/>
  <c r="C117" i="8"/>
  <c r="B117" i="8"/>
  <c r="A117" i="8"/>
  <c r="I116" i="8"/>
  <c r="C116" i="8"/>
  <c r="B116" i="8"/>
  <c r="A116" i="8"/>
  <c r="U98" i="8"/>
  <c r="S98" i="8"/>
  <c r="I98" i="8"/>
  <c r="H98" i="8"/>
  <c r="C98" i="8"/>
  <c r="B98" i="8"/>
  <c r="A98" i="8"/>
  <c r="I97" i="8"/>
  <c r="H97" i="8"/>
  <c r="C97" i="8"/>
  <c r="B97" i="8"/>
  <c r="A97" i="8"/>
  <c r="I96" i="8"/>
  <c r="C96" i="8"/>
  <c r="B96" i="8"/>
  <c r="A96" i="8"/>
  <c r="I95" i="8"/>
  <c r="C95" i="8"/>
  <c r="B95" i="8"/>
  <c r="A95" i="8"/>
  <c r="I94" i="8"/>
  <c r="C94" i="8"/>
  <c r="B94" i="8"/>
  <c r="A94" i="8"/>
  <c r="I93" i="8"/>
  <c r="H93" i="8"/>
  <c r="C93" i="8"/>
  <c r="B93" i="8"/>
  <c r="A93" i="8"/>
  <c r="I92" i="8"/>
  <c r="C92" i="8"/>
  <c r="B92" i="8"/>
  <c r="A92" i="8"/>
  <c r="I91" i="8"/>
  <c r="C91" i="8"/>
  <c r="B91" i="8"/>
  <c r="A91" i="8"/>
  <c r="I90" i="8"/>
  <c r="H90" i="8"/>
  <c r="C90" i="8"/>
  <c r="B90" i="8"/>
  <c r="A90" i="8"/>
  <c r="I89" i="8"/>
  <c r="H89" i="8"/>
  <c r="C89" i="8"/>
  <c r="B89" i="8"/>
  <c r="A89" i="8"/>
  <c r="I88" i="8"/>
  <c r="F88" i="8"/>
  <c r="C88" i="8"/>
  <c r="B88" i="8"/>
  <c r="A88" i="8"/>
  <c r="I87" i="8"/>
  <c r="C87" i="8"/>
  <c r="B87" i="8"/>
  <c r="A87" i="8"/>
  <c r="I86" i="8"/>
  <c r="H86" i="8"/>
  <c r="C86" i="8"/>
  <c r="B86" i="8"/>
  <c r="A86" i="8"/>
  <c r="I85" i="8"/>
  <c r="C85" i="8"/>
  <c r="B85" i="8"/>
  <c r="A85" i="8"/>
  <c r="I84" i="8"/>
  <c r="C84" i="8"/>
  <c r="B84" i="8"/>
  <c r="A84" i="8"/>
  <c r="I83" i="8"/>
  <c r="C83" i="8"/>
  <c r="B83" i="8"/>
  <c r="A83" i="8"/>
  <c r="I82" i="8"/>
  <c r="C82" i="8"/>
  <c r="B82" i="8"/>
  <c r="A82" i="8"/>
  <c r="I81" i="8"/>
  <c r="H81" i="8"/>
  <c r="F81" i="8"/>
  <c r="B100" i="8" s="1"/>
  <c r="C81" i="8"/>
  <c r="B81" i="8"/>
  <c r="A81" i="8"/>
  <c r="H80" i="8"/>
  <c r="C80" i="8"/>
  <c r="B80" i="8"/>
  <c r="A80" i="8"/>
  <c r="I79" i="8"/>
  <c r="C79" i="8"/>
  <c r="B79" i="8"/>
  <c r="A79" i="8"/>
  <c r="C78" i="8"/>
  <c r="B78" i="8"/>
  <c r="A78" i="8"/>
  <c r="C77" i="8"/>
  <c r="B77" i="8"/>
  <c r="A77" i="8"/>
  <c r="I76" i="8"/>
  <c r="H76" i="8"/>
  <c r="C76" i="8"/>
  <c r="B76" i="8"/>
  <c r="A76" i="8"/>
  <c r="H75" i="8"/>
  <c r="C75" i="8"/>
  <c r="B75" i="8"/>
  <c r="A75" i="8"/>
  <c r="H74" i="8"/>
  <c r="C74" i="8"/>
  <c r="B74" i="8"/>
  <c r="A74" i="8"/>
  <c r="H73" i="8"/>
  <c r="C73" i="8"/>
  <c r="B73" i="8"/>
  <c r="A73" i="8"/>
  <c r="I72" i="8"/>
  <c r="H72" i="8"/>
  <c r="C72" i="8"/>
  <c r="B72" i="8"/>
  <c r="A72" i="8"/>
  <c r="AD67" i="8"/>
  <c r="AD66" i="8"/>
  <c r="AD65" i="8"/>
  <c r="AE64" i="8"/>
  <c r="AD64" i="8"/>
  <c r="AD63" i="8"/>
  <c r="AE63" i="8" s="1"/>
  <c r="AD62" i="8"/>
  <c r="AD61" i="8"/>
  <c r="AD60" i="8"/>
  <c r="AE59" i="8"/>
  <c r="AD59" i="8"/>
  <c r="AE58" i="8"/>
  <c r="AD58" i="8"/>
  <c r="AD57" i="8"/>
  <c r="AD56" i="8"/>
  <c r="AD55" i="8"/>
  <c r="AD54" i="8"/>
  <c r="AD53" i="8"/>
  <c r="AE53" i="8" s="1"/>
  <c r="AD52" i="8"/>
  <c r="AD51" i="8"/>
  <c r="AE51" i="8" s="1"/>
  <c r="AD50" i="8"/>
  <c r="AD49" i="8"/>
  <c r="AE48" i="8"/>
  <c r="AD48" i="8"/>
  <c r="AD47" i="8"/>
  <c r="AD46" i="8"/>
  <c r="AD45" i="8"/>
  <c r="AE45" i="8" s="1"/>
  <c r="AD44" i="8"/>
  <c r="AD43" i="8"/>
  <c r="AD42" i="8"/>
  <c r="AD41" i="8"/>
  <c r="AD40" i="8"/>
  <c r="AD39" i="8"/>
  <c r="AD38" i="8"/>
  <c r="AD37" i="8"/>
  <c r="AD36" i="8"/>
  <c r="AD35" i="8"/>
  <c r="AD34" i="8"/>
  <c r="AD33" i="8"/>
  <c r="AD32" i="8"/>
  <c r="A69" i="7"/>
  <c r="A68" i="7"/>
  <c r="A67" i="7"/>
  <c r="A66" i="7"/>
  <c r="A65" i="7"/>
  <c r="A64" i="7"/>
  <c r="A63" i="7"/>
  <c r="A62" i="7"/>
  <c r="A61" i="7"/>
  <c r="A60" i="7"/>
  <c r="A59" i="7"/>
  <c r="A58" i="7"/>
  <c r="A57" i="7"/>
  <c r="A56" i="7"/>
  <c r="A55" i="7"/>
  <c r="A54" i="7"/>
  <c r="A53" i="7"/>
  <c r="A52" i="7"/>
  <c r="A51" i="7"/>
  <c r="A50" i="7"/>
  <c r="A49" i="7"/>
  <c r="A48" i="7"/>
  <c r="A47" i="7"/>
  <c r="A46" i="7"/>
  <c r="A45" i="7"/>
  <c r="A41" i="7"/>
  <c r="A40" i="7"/>
  <c r="A38" i="7"/>
  <c r="A34" i="7"/>
  <c r="A33" i="7"/>
  <c r="A28" i="7"/>
  <c r="U28" i="6"/>
  <c r="S28" i="6"/>
  <c r="I28" i="6"/>
  <c r="H28" i="6"/>
  <c r="H890" i="8" s="1"/>
  <c r="C28" i="6"/>
  <c r="B28" i="6"/>
  <c r="A28" i="6"/>
  <c r="I27" i="6"/>
  <c r="H27" i="6"/>
  <c r="H405" i="8" s="1"/>
  <c r="G27" i="6"/>
  <c r="G449" i="8" s="1"/>
  <c r="C27" i="6"/>
  <c r="B27" i="6"/>
  <c r="A27" i="6"/>
  <c r="I26" i="6"/>
  <c r="H26" i="6"/>
  <c r="G26" i="6"/>
  <c r="G668" i="8" s="1"/>
  <c r="C26" i="6"/>
  <c r="B26" i="6"/>
  <c r="A26" i="6"/>
  <c r="I25" i="6"/>
  <c r="H25" i="6"/>
  <c r="G25" i="6"/>
  <c r="G227" i="8" s="1"/>
  <c r="C25" i="6"/>
  <c r="B25" i="6"/>
  <c r="A25" i="6"/>
  <c r="I24" i="6"/>
  <c r="H24" i="6"/>
  <c r="H358" i="8" s="1"/>
  <c r="G24" i="6"/>
  <c r="C24" i="6"/>
  <c r="B24" i="6"/>
  <c r="A24" i="6"/>
  <c r="I23" i="6"/>
  <c r="H23" i="6"/>
  <c r="H313" i="8" s="1"/>
  <c r="G23" i="6"/>
  <c r="G797" i="8" s="1"/>
  <c r="C23" i="6"/>
  <c r="B23" i="6"/>
  <c r="A23" i="6"/>
  <c r="I22" i="6"/>
  <c r="H22" i="6"/>
  <c r="H136" i="8" s="1"/>
  <c r="G22" i="6"/>
  <c r="G312" i="8" s="1"/>
  <c r="C22" i="6"/>
  <c r="B22" i="6"/>
  <c r="A22" i="6"/>
  <c r="I21" i="6"/>
  <c r="H21" i="6"/>
  <c r="G21" i="6"/>
  <c r="G179" i="8" s="1"/>
  <c r="C21" i="6"/>
  <c r="B21" i="6"/>
  <c r="A21" i="6"/>
  <c r="I20" i="6"/>
  <c r="H20" i="6"/>
  <c r="G20" i="6"/>
  <c r="G574" i="8" s="1"/>
  <c r="C20" i="6"/>
  <c r="B20" i="6"/>
  <c r="A20" i="6"/>
  <c r="I19" i="6"/>
  <c r="H19" i="6"/>
  <c r="H397" i="8" s="1"/>
  <c r="G19" i="6"/>
  <c r="G705" i="8" s="1"/>
  <c r="C19" i="6"/>
  <c r="B19" i="6"/>
  <c r="A19" i="6"/>
  <c r="I18" i="6"/>
  <c r="H18" i="6"/>
  <c r="G18" i="6"/>
  <c r="G1540" i="8" s="1"/>
  <c r="F18" i="6"/>
  <c r="C18" i="6"/>
  <c r="B18" i="6"/>
  <c r="A18" i="6"/>
  <c r="I17" i="6"/>
  <c r="H17" i="6"/>
  <c r="G17" i="6"/>
  <c r="G879" i="8" s="1"/>
  <c r="C17" i="6"/>
  <c r="B17" i="6"/>
  <c r="A17" i="6"/>
  <c r="I16" i="6"/>
  <c r="H16" i="6"/>
  <c r="C16" i="6"/>
  <c r="B16" i="6"/>
  <c r="A39" i="7" s="1"/>
  <c r="A16" i="6"/>
  <c r="I15" i="6"/>
  <c r="H15" i="6"/>
  <c r="G15" i="6"/>
  <c r="G1625" i="8" s="1"/>
  <c r="C15" i="6"/>
  <c r="B15" i="6"/>
  <c r="A15" i="6"/>
  <c r="I14" i="6"/>
  <c r="H14" i="6"/>
  <c r="C14" i="6"/>
  <c r="B14" i="6"/>
  <c r="A37" i="7" s="1"/>
  <c r="A14" i="6"/>
  <c r="I13" i="6"/>
  <c r="H13" i="6"/>
  <c r="H1271" i="8" s="1"/>
  <c r="G13" i="6"/>
  <c r="G259" i="8" s="1"/>
  <c r="C13" i="6"/>
  <c r="B13" i="6"/>
  <c r="A36" i="7" s="1"/>
  <c r="A13" i="6"/>
  <c r="I12" i="6"/>
  <c r="H12" i="6"/>
  <c r="G12" i="6"/>
  <c r="G214" i="8" s="1"/>
  <c r="C12" i="6"/>
  <c r="B12" i="6"/>
  <c r="A12" i="6"/>
  <c r="I11" i="6"/>
  <c r="H11" i="6"/>
  <c r="H257" i="8" s="1"/>
  <c r="G11" i="6"/>
  <c r="G125" i="8" s="1"/>
  <c r="F11" i="6"/>
  <c r="B13" i="7" s="1"/>
  <c r="C11" i="6"/>
  <c r="B11" i="6"/>
  <c r="A11" i="6"/>
  <c r="H10" i="6"/>
  <c r="H652" i="8" s="1"/>
  <c r="C10" i="6"/>
  <c r="B10" i="6"/>
  <c r="A35" i="7" s="1"/>
  <c r="A10" i="6"/>
  <c r="I9" i="6"/>
  <c r="H9" i="6"/>
  <c r="H695" i="8" s="1"/>
  <c r="C9" i="6"/>
  <c r="B9" i="6"/>
  <c r="A9" i="6"/>
  <c r="H8" i="6"/>
  <c r="C8" i="6"/>
  <c r="B8" i="6"/>
  <c r="A8" i="6"/>
  <c r="H7" i="6"/>
  <c r="H1397" i="8" s="1"/>
  <c r="G7" i="6"/>
  <c r="G121" i="8" s="1"/>
  <c r="C7" i="6"/>
  <c r="B7" i="6"/>
  <c r="A32" i="7" s="1"/>
  <c r="A7" i="6"/>
  <c r="I6" i="6"/>
  <c r="H6" i="6"/>
  <c r="H516" i="8" s="1"/>
  <c r="G6" i="6"/>
  <c r="G516" i="8" s="1"/>
  <c r="C6" i="6"/>
  <c r="B6" i="6"/>
  <c r="A6" i="6"/>
  <c r="H5" i="6"/>
  <c r="H559" i="8" s="1"/>
  <c r="G5" i="6"/>
  <c r="G75" i="8" s="1"/>
  <c r="C5" i="6"/>
  <c r="B5" i="6"/>
  <c r="A31" i="7" s="1"/>
  <c r="A5" i="6"/>
  <c r="H4" i="6"/>
  <c r="G4" i="6"/>
  <c r="G558" i="8" s="1"/>
  <c r="C4" i="6"/>
  <c r="B4" i="6"/>
  <c r="A30" i="7" s="1"/>
  <c r="A4" i="6"/>
  <c r="H3" i="6"/>
  <c r="G3" i="6"/>
  <c r="G469" i="8" s="1"/>
  <c r="C3" i="6"/>
  <c r="B3" i="6"/>
  <c r="A29" i="7" s="1"/>
  <c r="A3" i="6"/>
  <c r="I2" i="6"/>
  <c r="H2" i="6"/>
  <c r="H424" i="8" s="1"/>
  <c r="G2" i="6"/>
  <c r="G336" i="8" s="1"/>
  <c r="C2" i="6"/>
  <c r="B2" i="6"/>
  <c r="A2" i="6"/>
  <c r="B41" i="5"/>
  <c r="H28" i="4"/>
  <c r="E28" i="4"/>
  <c r="R24" i="4"/>
  <c r="I24" i="4"/>
  <c r="O13" i="4"/>
  <c r="O9" i="4"/>
  <c r="E9" i="4"/>
  <c r="H8" i="4"/>
  <c r="P2" i="4"/>
  <c r="O2" i="4"/>
  <c r="B50" i="2"/>
  <c r="B49" i="2"/>
  <c r="B48" i="2"/>
  <c r="B47" i="2"/>
  <c r="B43" i="2"/>
  <c r="B38" i="2"/>
  <c r="G14" i="6" s="1"/>
  <c r="B37" i="2"/>
  <c r="B36" i="2"/>
  <c r="B44" i="2" s="1"/>
  <c r="B35" i="2"/>
  <c r="B34" i="2"/>
  <c r="E29" i="8" s="1"/>
  <c r="B33" i="2"/>
  <c r="E28" i="8" s="1"/>
  <c r="B32" i="2"/>
  <c r="D27" i="8" s="1"/>
  <c r="B29" i="2"/>
  <c r="D24" i="8" s="1"/>
  <c r="B28" i="2"/>
  <c r="D832" i="8" s="1"/>
  <c r="E832" i="8" s="1"/>
  <c r="F832" i="8" s="1"/>
  <c r="B27" i="2"/>
  <c r="D258" i="8" s="1"/>
  <c r="E258" i="8" s="1"/>
  <c r="F258" i="8" s="1"/>
  <c r="B26" i="2"/>
  <c r="D73" i="8" s="1"/>
  <c r="E73" i="8" s="1"/>
  <c r="F73" i="8" s="1"/>
  <c r="B25" i="2"/>
  <c r="D219" i="8" s="1"/>
  <c r="E219" i="8" s="1"/>
  <c r="F219" i="8" s="1"/>
  <c r="B24" i="2"/>
  <c r="B23" i="2"/>
  <c r="B22" i="2"/>
  <c r="D12" i="8" s="1"/>
  <c r="B21" i="2"/>
  <c r="E10" i="8" s="1"/>
  <c r="B20" i="2"/>
  <c r="E9" i="8" s="1"/>
  <c r="B19" i="2"/>
  <c r="D17" i="8" s="1"/>
  <c r="B18" i="2"/>
  <c r="E19" i="8" s="1"/>
  <c r="B17" i="2"/>
  <c r="D18" i="8" s="1"/>
  <c r="B16" i="2"/>
  <c r="B15" i="2"/>
  <c r="E7" i="8" s="1"/>
  <c r="B14" i="2"/>
  <c r="B13" i="2"/>
  <c r="E6" i="8" s="1"/>
  <c r="B12" i="2"/>
  <c r="E5" i="8" s="1"/>
  <c r="B11" i="2"/>
  <c r="D16" i="8" s="1"/>
  <c r="B10" i="2"/>
  <c r="E15" i="8" s="1"/>
  <c r="B9" i="2"/>
  <c r="B8" i="2"/>
  <c r="B7" i="2"/>
  <c r="B6" i="2"/>
  <c r="B5" i="2"/>
  <c r="R2" i="4" l="1"/>
  <c r="E17" i="8"/>
  <c r="G749" i="8"/>
  <c r="E18" i="8"/>
  <c r="G785" i="8"/>
  <c r="D19" i="8"/>
  <c r="G228" i="8"/>
  <c r="G882" i="8"/>
  <c r="D1416" i="8"/>
  <c r="E1416" i="8" s="1"/>
  <c r="F1416" i="8" s="1"/>
  <c r="D271" i="8"/>
  <c r="E271" i="8" s="1"/>
  <c r="F271" i="8" s="1"/>
  <c r="G521" i="8"/>
  <c r="G559" i="8"/>
  <c r="G1537" i="8"/>
  <c r="G95" i="8"/>
  <c r="G1630" i="8"/>
  <c r="G175" i="8"/>
  <c r="G183" i="8"/>
  <c r="G2098" i="8"/>
  <c r="G137" i="8"/>
  <c r="G1001" i="8"/>
  <c r="G92" i="8"/>
  <c r="G163" i="8"/>
  <c r="G268" i="8"/>
  <c r="G621" i="8"/>
  <c r="G712" i="8"/>
  <c r="D1183" i="8"/>
  <c r="E1183" i="8" s="1"/>
  <c r="D226" i="8"/>
  <c r="E226" i="8" s="1"/>
  <c r="F226" i="8" s="1"/>
  <c r="G81" i="8"/>
  <c r="D350" i="8"/>
  <c r="E350" i="8" s="1"/>
  <c r="F350" i="8" s="1"/>
  <c r="D888" i="8"/>
  <c r="E888" i="8" s="1"/>
  <c r="F888" i="8" s="1"/>
  <c r="G93" i="8"/>
  <c r="G932" i="8"/>
  <c r="G1761" i="8"/>
  <c r="E12" i="8"/>
  <c r="G131" i="8"/>
  <c r="G206" i="8"/>
  <c r="G347" i="8"/>
  <c r="G489" i="8"/>
  <c r="G1131" i="8"/>
  <c r="D15" i="8"/>
  <c r="G90" i="8"/>
  <c r="D211" i="8"/>
  <c r="E211" i="8" s="1"/>
  <c r="G437" i="8"/>
  <c r="D567" i="8"/>
  <c r="E567" i="8" s="1"/>
  <c r="G929" i="8"/>
  <c r="G436" i="8"/>
  <c r="G304" i="8"/>
  <c r="G524" i="8"/>
  <c r="G568" i="8"/>
  <c r="G216" i="8"/>
  <c r="G480" i="8"/>
  <c r="G260" i="8"/>
  <c r="G348" i="8"/>
  <c r="G1140" i="8"/>
  <c r="D1275" i="8"/>
  <c r="E1275" i="8" s="1"/>
  <c r="F1275" i="8" s="1"/>
  <c r="D712" i="8"/>
  <c r="E712" i="8" s="1"/>
  <c r="F712" i="8" s="1"/>
  <c r="D929" i="8"/>
  <c r="E929" i="8" s="1"/>
  <c r="F929" i="8" s="1"/>
  <c r="G89" i="8"/>
  <c r="G224" i="8"/>
  <c r="G265" i="8"/>
  <c r="G293" i="8"/>
  <c r="G393" i="8"/>
  <c r="G661" i="8"/>
  <c r="G830" i="8"/>
  <c r="D959" i="8"/>
  <c r="E959" i="8" s="1"/>
  <c r="F959" i="8" s="1"/>
  <c r="G28" i="6"/>
  <c r="G142" i="8" s="1"/>
  <c r="G10" i="6"/>
  <c r="D6" i="8"/>
  <c r="E24" i="8"/>
  <c r="G273" i="8"/>
  <c r="G303" i="8"/>
  <c r="G380" i="8"/>
  <c r="G385" i="8"/>
  <c r="G425" i="8"/>
  <c r="D565" i="8"/>
  <c r="E565" i="8" s="1"/>
  <c r="D968" i="8"/>
  <c r="E968" i="8" s="1"/>
  <c r="D1051" i="8"/>
  <c r="E1051" i="8" s="1"/>
  <c r="F1051" i="8" s="1"/>
  <c r="J1051" i="8" s="1"/>
  <c r="G1220" i="8"/>
  <c r="G952" i="8"/>
  <c r="G72" i="8"/>
  <c r="D260" i="8"/>
  <c r="E260" i="8" s="1"/>
  <c r="F260" i="8" s="1"/>
  <c r="J260" i="8" s="1"/>
  <c r="D358" i="8"/>
  <c r="E358" i="8" s="1"/>
  <c r="F358" i="8" s="1"/>
  <c r="D480" i="8"/>
  <c r="E480" i="8" s="1"/>
  <c r="F480" i="8" s="1"/>
  <c r="G396" i="8"/>
  <c r="D1677" i="8"/>
  <c r="E1677" i="8" s="1"/>
  <c r="F1677" i="8" s="1"/>
  <c r="G248" i="8"/>
  <c r="B9" i="5"/>
  <c r="E27" i="8"/>
  <c r="T116" i="8"/>
  <c r="T117" i="8" s="1"/>
  <c r="T118" i="8" s="1"/>
  <c r="F116" i="8" s="1"/>
  <c r="D169" i="8"/>
  <c r="E169" i="8" s="1"/>
  <c r="G180" i="8"/>
  <c r="G435" i="8"/>
  <c r="D523" i="8"/>
  <c r="E523" i="8" s="1"/>
  <c r="F523" i="8" s="1"/>
  <c r="J523" i="8" s="1"/>
  <c r="D581" i="8"/>
  <c r="E581" i="8" s="1"/>
  <c r="F581" i="8" s="1"/>
  <c r="D1063" i="8"/>
  <c r="E1063" i="8" s="1"/>
  <c r="F1063" i="8" s="1"/>
  <c r="D347" i="8"/>
  <c r="E347" i="8" s="1"/>
  <c r="F347" i="8" s="1"/>
  <c r="J347" i="8" s="1"/>
  <c r="Z2" i="6"/>
  <c r="Z3" i="6" s="1"/>
  <c r="D915" i="8"/>
  <c r="E915" i="8" s="1"/>
  <c r="F915" i="8" s="1"/>
  <c r="J915" i="8" s="1"/>
  <c r="D216" i="8"/>
  <c r="E216" i="8" s="1"/>
  <c r="F216" i="8" s="1"/>
  <c r="J216" i="8" s="1"/>
  <c r="D971" i="8"/>
  <c r="E971" i="8" s="1"/>
  <c r="F971" i="8" s="1"/>
  <c r="D183" i="8"/>
  <c r="E183" i="8" s="1"/>
  <c r="F183" i="8" s="1"/>
  <c r="D1141" i="8"/>
  <c r="E1141" i="8" s="1"/>
  <c r="F1141" i="8" s="1"/>
  <c r="G135" i="8"/>
  <c r="G164" i="8"/>
  <c r="Z776" i="8"/>
  <c r="Z777" i="8" s="1"/>
  <c r="B10" i="5"/>
  <c r="D7" i="8"/>
  <c r="D28" i="8"/>
  <c r="G310" i="8"/>
  <c r="D401" i="8"/>
  <c r="E401" i="8" s="1"/>
  <c r="F401" i="8" s="1"/>
  <c r="G523" i="8"/>
  <c r="D573" i="8"/>
  <c r="E573" i="8" s="1"/>
  <c r="F573" i="8" s="1"/>
  <c r="T644" i="8"/>
  <c r="T645" i="8" s="1"/>
  <c r="T646" i="8" s="1"/>
  <c r="F644" i="8" s="1"/>
  <c r="J644" i="8" s="1"/>
  <c r="D670" i="8"/>
  <c r="E670" i="8" s="1"/>
  <c r="F670" i="8" s="1"/>
  <c r="J670" i="8" s="1"/>
  <c r="G1744" i="8"/>
  <c r="B26" i="5"/>
  <c r="G74" i="8"/>
  <c r="D97" i="8"/>
  <c r="E97" i="8" s="1"/>
  <c r="F97" i="8" s="1"/>
  <c r="G136" i="8"/>
  <c r="G221" i="8"/>
  <c r="G401" i="8"/>
  <c r="G515" i="8"/>
  <c r="G649" i="8"/>
  <c r="D666" i="8"/>
  <c r="E666" i="8" s="1"/>
  <c r="F666" i="8" s="1"/>
  <c r="G1016" i="8"/>
  <c r="G1234" i="8"/>
  <c r="B28" i="5"/>
  <c r="D9" i="8"/>
  <c r="G205" i="8"/>
  <c r="G249" i="8"/>
  <c r="G352" i="8"/>
  <c r="D879" i="8"/>
  <c r="E879" i="8" s="1"/>
  <c r="F879" i="8" s="1"/>
  <c r="G97" i="8"/>
  <c r="D307" i="8"/>
  <c r="E307" i="8" s="1"/>
  <c r="F307" i="8" s="1"/>
  <c r="D1108" i="8"/>
  <c r="E1108" i="8" s="1"/>
  <c r="F1108" i="8" s="1"/>
  <c r="G8" i="6"/>
  <c r="D10" i="8"/>
  <c r="D133" i="8"/>
  <c r="E133" i="8" s="1"/>
  <c r="F133" i="8" s="1"/>
  <c r="D181" i="8"/>
  <c r="E181" i="8" s="1"/>
  <c r="F181" i="8" s="1"/>
  <c r="D304" i="8"/>
  <c r="E304" i="8" s="1"/>
  <c r="F304" i="8" s="1"/>
  <c r="G398" i="8"/>
  <c r="D871" i="8"/>
  <c r="E871" i="8" s="1"/>
  <c r="G1056" i="8"/>
  <c r="G1060" i="8"/>
  <c r="T1172" i="8"/>
  <c r="T1173" i="8" s="1"/>
  <c r="T1174" i="8" s="1"/>
  <c r="D1540" i="8"/>
  <c r="E1540" i="8" s="1"/>
  <c r="D9" i="6"/>
  <c r="E9" i="6" s="1"/>
  <c r="F9" i="6" s="1"/>
  <c r="D27" i="6"/>
  <c r="E27" i="6" s="1"/>
  <c r="F27" i="6" s="1"/>
  <c r="D131" i="8"/>
  <c r="E131" i="8" s="1"/>
  <c r="F131" i="8" s="1"/>
  <c r="G1581" i="8"/>
  <c r="G76" i="8"/>
  <c r="D484" i="8"/>
  <c r="E484" i="8" s="1"/>
  <c r="D1054" i="8"/>
  <c r="E1054" i="8" s="1"/>
  <c r="F1054" i="8" s="1"/>
  <c r="D174" i="8"/>
  <c r="E174" i="8" s="1"/>
  <c r="F174" i="8" s="1"/>
  <c r="D185" i="8"/>
  <c r="E185" i="8" s="1"/>
  <c r="F185" i="8" s="1"/>
  <c r="G444" i="8"/>
  <c r="D797" i="8"/>
  <c r="E797" i="8" s="1"/>
  <c r="F797" i="8" s="1"/>
  <c r="G118" i="8"/>
  <c r="D137" i="8"/>
  <c r="E137" i="8" s="1"/>
  <c r="F137" i="8" s="1"/>
  <c r="D387" i="8"/>
  <c r="E387" i="8" s="1"/>
  <c r="F387" i="8" s="1"/>
  <c r="D391" i="8"/>
  <c r="E391" i="8" s="1"/>
  <c r="F391" i="8" s="1"/>
  <c r="G440" i="8"/>
  <c r="G613" i="8"/>
  <c r="D621" i="8"/>
  <c r="E621" i="8" s="1"/>
  <c r="F621" i="8" s="1"/>
  <c r="G1013" i="8"/>
  <c r="G1593" i="8"/>
  <c r="D1667" i="8"/>
  <c r="E1667" i="8" s="1"/>
  <c r="F1667" i="8" s="1"/>
  <c r="J1667" i="8" s="1"/>
  <c r="D1902" i="8"/>
  <c r="E1902" i="8" s="1"/>
  <c r="F1902" i="8" s="1"/>
  <c r="J1902" i="8" s="1"/>
  <c r="C62" i="8"/>
  <c r="C103" i="7" s="1"/>
  <c r="D779" i="8"/>
  <c r="E779" i="8" s="1"/>
  <c r="F779" i="8" s="1"/>
  <c r="J779" i="8" s="1"/>
  <c r="B60" i="8"/>
  <c r="B101" i="7" s="1"/>
  <c r="H3185" i="8"/>
  <c r="H3053" i="8"/>
  <c r="H3009" i="8"/>
  <c r="H2877" i="8"/>
  <c r="H2833" i="8"/>
  <c r="H2789" i="8"/>
  <c r="H2731" i="8"/>
  <c r="H2921" i="8"/>
  <c r="H2467" i="8"/>
  <c r="H2643" i="8"/>
  <c r="H2379" i="8"/>
  <c r="H3097" i="8"/>
  <c r="H2687" i="8"/>
  <c r="H2599" i="8"/>
  <c r="H3141" i="8"/>
  <c r="H2423" i="8"/>
  <c r="H1939" i="8"/>
  <c r="H2203" i="8"/>
  <c r="H2071" i="8"/>
  <c r="H1895" i="8"/>
  <c r="H2511" i="8"/>
  <c r="H2159" i="8"/>
  <c r="H2965" i="8"/>
  <c r="H1983" i="8"/>
  <c r="H2555" i="8"/>
  <c r="H2247" i="8"/>
  <c r="H2115" i="8"/>
  <c r="H1763" i="8"/>
  <c r="H2335" i="8"/>
  <c r="H1411" i="8"/>
  <c r="H1367" i="8"/>
  <c r="H2027" i="8"/>
  <c r="H1719" i="8"/>
  <c r="H1807" i="8"/>
  <c r="H1631" i="8"/>
  <c r="H1499" i="8"/>
  <c r="H1675" i="8"/>
  <c r="H1103" i="8"/>
  <c r="H839" i="8"/>
  <c r="H2291" i="8"/>
  <c r="H1235" i="8"/>
  <c r="H1851" i="8"/>
  <c r="H1059" i="8"/>
  <c r="H795" i="8"/>
  <c r="H1279" i="8"/>
  <c r="H751" i="8"/>
  <c r="H1191" i="8"/>
  <c r="H707" i="8"/>
  <c r="H663" i="8"/>
  <c r="H883" i="8"/>
  <c r="H1455" i="8"/>
  <c r="H1587" i="8"/>
  <c r="H1323" i="8"/>
  <c r="H971" i="8"/>
  <c r="H91" i="8"/>
  <c r="H531" i="8"/>
  <c r="H1147" i="8"/>
  <c r="H267" i="8"/>
  <c r="H619" i="8"/>
  <c r="H575" i="8"/>
  <c r="H927" i="8"/>
  <c r="H355" i="8"/>
  <c r="H135" i="8"/>
  <c r="H399" i="8"/>
  <c r="H1015" i="8"/>
  <c r="H443" i="8"/>
  <c r="H487" i="8"/>
  <c r="D691" i="8"/>
  <c r="E691" i="8" s="1"/>
  <c r="F691" i="8" s="1"/>
  <c r="J691" i="8" s="1"/>
  <c r="D830" i="8"/>
  <c r="E830" i="8" s="1"/>
  <c r="F830" i="8" s="1"/>
  <c r="D122" i="8"/>
  <c r="E122" i="8" s="1"/>
  <c r="F122" i="8" s="1"/>
  <c r="J122" i="8" s="1"/>
  <c r="D337" i="8"/>
  <c r="E337" i="8" s="1"/>
  <c r="F337" i="8" s="1"/>
  <c r="J337" i="8" s="1"/>
  <c r="G3176" i="8"/>
  <c r="G3132" i="8"/>
  <c r="G2824" i="8"/>
  <c r="G2868" i="8"/>
  <c r="G2780" i="8"/>
  <c r="G2590" i="8"/>
  <c r="G2912" i="8"/>
  <c r="G2546" i="8"/>
  <c r="G3000" i="8"/>
  <c r="G2634" i="8"/>
  <c r="G3044" i="8"/>
  <c r="G3088" i="8"/>
  <c r="G2956" i="8"/>
  <c r="G2458" i="8"/>
  <c r="G2370" i="8"/>
  <c r="G2106" i="8"/>
  <c r="G2678" i="8"/>
  <c r="G2414" i="8"/>
  <c r="G2194" i="8"/>
  <c r="G2502" i="8"/>
  <c r="G2722" i="8"/>
  <c r="G2326" i="8"/>
  <c r="G2282" i="8"/>
  <c r="G1886" i="8"/>
  <c r="G2238" i="8"/>
  <c r="G2150" i="8"/>
  <c r="G1842" i="8"/>
  <c r="G1798" i="8"/>
  <c r="G1974" i="8"/>
  <c r="G2018" i="8"/>
  <c r="G1358" i="8"/>
  <c r="G1930" i="8"/>
  <c r="G1578" i="8"/>
  <c r="G1314" i="8"/>
  <c r="G1666" i="8"/>
  <c r="G1710" i="8"/>
  <c r="G1534" i="8"/>
  <c r="G1182" i="8"/>
  <c r="G1094" i="8"/>
  <c r="G1490" i="8"/>
  <c r="G1138" i="8"/>
  <c r="G1622" i="8"/>
  <c r="G1050" i="8"/>
  <c r="G1754" i="8"/>
  <c r="G1270" i="8"/>
  <c r="G2062" i="8"/>
  <c r="G1006" i="8"/>
  <c r="G478" i="8"/>
  <c r="G918" i="8"/>
  <c r="G962" i="8"/>
  <c r="G786" i="8"/>
  <c r="G654" i="8"/>
  <c r="G566" i="8"/>
  <c r="G390" i="8"/>
  <c r="G522" i="8"/>
  <c r="G434" i="8"/>
  <c r="G258" i="8"/>
  <c r="G874" i="8"/>
  <c r="G1446" i="8"/>
  <c r="G1402" i="8"/>
  <c r="G346" i="8"/>
  <c r="G302" i="8"/>
  <c r="G698" i="8"/>
  <c r="G82" i="8"/>
  <c r="G1226" i="8"/>
  <c r="G610" i="8"/>
  <c r="G170" i="8"/>
  <c r="G126" i="8"/>
  <c r="G742" i="8"/>
  <c r="G2880" i="8"/>
  <c r="G3012" i="8"/>
  <c r="G2690" i="8"/>
  <c r="G2646" i="8"/>
  <c r="G3188" i="8"/>
  <c r="G2924" i="8"/>
  <c r="G2836" i="8"/>
  <c r="G2558" i="8"/>
  <c r="G3056" i="8"/>
  <c r="G2470" i="8"/>
  <c r="G3100" i="8"/>
  <c r="G2968" i="8"/>
  <c r="G2426" i="8"/>
  <c r="G2162" i="8"/>
  <c r="G2382" i="8"/>
  <c r="G2514" i="8"/>
  <c r="G2602" i="8"/>
  <c r="G2734" i="8"/>
  <c r="G2294" i="8"/>
  <c r="G2792" i="8"/>
  <c r="G2030" i="8"/>
  <c r="G1942" i="8"/>
  <c r="G2250" i="8"/>
  <c r="G1986" i="8"/>
  <c r="G2074" i="8"/>
  <c r="G3144" i="8"/>
  <c r="G1678" i="8"/>
  <c r="G1810" i="8"/>
  <c r="G2118" i="8"/>
  <c r="G1414" i="8"/>
  <c r="G1722" i="8"/>
  <c r="G1370" i="8"/>
  <c r="G1898" i="8"/>
  <c r="G2206" i="8"/>
  <c r="G1194" i="8"/>
  <c r="G2338" i="8"/>
  <c r="G1546" i="8"/>
  <c r="G1590" i="8"/>
  <c r="G1326" i="8"/>
  <c r="G1282" i="8"/>
  <c r="G1458" i="8"/>
  <c r="G1106" i="8"/>
  <c r="G842" i="8"/>
  <c r="G1634" i="8"/>
  <c r="G1062" i="8"/>
  <c r="G798" i="8"/>
  <c r="G974" i="8"/>
  <c r="G1150" i="8"/>
  <c r="G754" i="8"/>
  <c r="G534" i="8"/>
  <c r="G1854" i="8"/>
  <c r="G930" i="8"/>
  <c r="G710" i="8"/>
  <c r="G1766" i="8"/>
  <c r="G358" i="8"/>
  <c r="G1238" i="8"/>
  <c r="G1018" i="8"/>
  <c r="G622" i="8"/>
  <c r="G1502" i="8"/>
  <c r="G578" i="8"/>
  <c r="G490" i="8"/>
  <c r="G314" i="8"/>
  <c r="G94" i="8"/>
  <c r="G886" i="8"/>
  <c r="G402" i="8"/>
  <c r="G666" i="8"/>
  <c r="G270" i="8"/>
  <c r="G446" i="8"/>
  <c r="G138" i="8"/>
  <c r="G182" i="8"/>
  <c r="G226" i="8"/>
  <c r="D911" i="8"/>
  <c r="E911" i="8" s="1"/>
  <c r="F911" i="8" s="1"/>
  <c r="J911" i="8" s="1"/>
  <c r="H3176" i="8"/>
  <c r="H3132" i="8"/>
  <c r="H2824" i="8"/>
  <c r="H2780" i="8"/>
  <c r="H3088" i="8"/>
  <c r="H3044" i="8"/>
  <c r="H2956" i="8"/>
  <c r="H2868" i="8"/>
  <c r="H2590" i="8"/>
  <c r="H2912" i="8"/>
  <c r="H3000" i="8"/>
  <c r="H2634" i="8"/>
  <c r="H2370" i="8"/>
  <c r="H2106" i="8"/>
  <c r="H2722" i="8"/>
  <c r="H2326" i="8"/>
  <c r="H2678" i="8"/>
  <c r="H2546" i="8"/>
  <c r="H2458" i="8"/>
  <c r="H2414" i="8"/>
  <c r="H2502" i="8"/>
  <c r="H2194" i="8"/>
  <c r="H2238" i="8"/>
  <c r="H2150" i="8"/>
  <c r="H1842" i="8"/>
  <c r="H1798" i="8"/>
  <c r="H2062" i="8"/>
  <c r="H2282" i="8"/>
  <c r="H2018" i="8"/>
  <c r="H1358" i="8"/>
  <c r="H1930" i="8"/>
  <c r="H1886" i="8"/>
  <c r="H1578" i="8"/>
  <c r="H1314" i="8"/>
  <c r="H1622" i="8"/>
  <c r="H1666" i="8"/>
  <c r="H1710" i="8"/>
  <c r="H1182" i="8"/>
  <c r="H1094" i="8"/>
  <c r="H1490" i="8"/>
  <c r="H1138" i="8"/>
  <c r="H1050" i="8"/>
  <c r="H1754" i="8"/>
  <c r="H1270" i="8"/>
  <c r="H1006" i="8"/>
  <c r="H1974" i="8"/>
  <c r="H1534" i="8"/>
  <c r="H478" i="8"/>
  <c r="H918" i="8"/>
  <c r="H1226" i="8"/>
  <c r="H874" i="8"/>
  <c r="H786" i="8"/>
  <c r="H302" i="8"/>
  <c r="H654" i="8"/>
  <c r="H566" i="8"/>
  <c r="H1446" i="8"/>
  <c r="H1402" i="8"/>
  <c r="H522" i="8"/>
  <c r="H962" i="8"/>
  <c r="H434" i="8"/>
  <c r="H258" i="8"/>
  <c r="H346" i="8"/>
  <c r="H214" i="8"/>
  <c r="H698" i="8"/>
  <c r="H610" i="8"/>
  <c r="H390" i="8"/>
  <c r="H170" i="8"/>
  <c r="H126" i="8"/>
  <c r="H742" i="8"/>
  <c r="H82" i="8"/>
  <c r="D249" i="8"/>
  <c r="E249" i="8" s="1"/>
  <c r="F249" i="8" s="1"/>
  <c r="J249" i="8" s="1"/>
  <c r="A63" i="8"/>
  <c r="A104" i="7" s="1"/>
  <c r="I3" i="6"/>
  <c r="I8" i="6"/>
  <c r="D75" i="8"/>
  <c r="E75" i="8" s="1"/>
  <c r="F75" i="8" s="1"/>
  <c r="D560" i="8"/>
  <c r="E560" i="8" s="1"/>
  <c r="F560" i="8" s="1"/>
  <c r="D1143" i="8"/>
  <c r="E1143" i="8" s="1"/>
  <c r="F1143" i="8" s="1"/>
  <c r="D3131" i="8"/>
  <c r="E3131" i="8" s="1"/>
  <c r="D3132" i="8"/>
  <c r="E3132" i="8" s="1"/>
  <c r="F3132" i="8" s="1"/>
  <c r="D3097" i="8"/>
  <c r="E3097" i="8" s="1"/>
  <c r="F3097" i="8" s="1"/>
  <c r="D3083" i="8"/>
  <c r="E3083" i="8" s="1"/>
  <c r="F3083" i="8" s="1"/>
  <c r="J3083" i="8" s="1"/>
  <c r="D3176" i="8"/>
  <c r="E3176" i="8" s="1"/>
  <c r="F3176" i="8" s="1"/>
  <c r="D3185" i="8"/>
  <c r="E3185" i="8" s="1"/>
  <c r="F3185" i="8" s="1"/>
  <c r="D3088" i="8"/>
  <c r="E3088" i="8" s="1"/>
  <c r="F3088" i="8" s="1"/>
  <c r="D3043" i="8"/>
  <c r="E3043" i="8" s="1"/>
  <c r="D3172" i="8"/>
  <c r="E3172" i="8" s="1"/>
  <c r="F3172" i="8" s="1"/>
  <c r="D3084" i="8"/>
  <c r="E3084" i="8" s="1"/>
  <c r="F3084" i="8" s="1"/>
  <c r="J3084" i="8" s="1"/>
  <c r="D3008" i="8"/>
  <c r="E3008" i="8" s="1"/>
  <c r="F3008" i="8" s="1"/>
  <c r="D2965" i="8"/>
  <c r="E2965" i="8" s="1"/>
  <c r="F2965" i="8" s="1"/>
  <c r="D3087" i="8"/>
  <c r="E3087" i="8" s="1"/>
  <c r="D2921" i="8"/>
  <c r="E2921" i="8" s="1"/>
  <c r="F2921" i="8" s="1"/>
  <c r="D2907" i="8"/>
  <c r="E2907" i="8" s="1"/>
  <c r="F2907" i="8" s="1"/>
  <c r="D2832" i="8"/>
  <c r="E2832" i="8" s="1"/>
  <c r="F2832" i="8" s="1"/>
  <c r="D2822" i="8"/>
  <c r="E2822" i="8" s="1"/>
  <c r="F2822" i="8" s="1"/>
  <c r="D3096" i="8"/>
  <c r="E3096" i="8" s="1"/>
  <c r="F3096" i="8" s="1"/>
  <c r="D2868" i="8"/>
  <c r="E2868" i="8" s="1"/>
  <c r="F2868" i="8" s="1"/>
  <c r="D2864" i="8"/>
  <c r="E2864" i="8" s="1"/>
  <c r="F2864" i="8" s="1"/>
  <c r="J2864" i="8" s="1"/>
  <c r="D3140" i="8"/>
  <c r="E3140" i="8" s="1"/>
  <c r="F3140" i="8" s="1"/>
  <c r="D2999" i="8"/>
  <c r="E2999" i="8" s="1"/>
  <c r="D3009" i="8"/>
  <c r="E3009" i="8" s="1"/>
  <c r="F3009" i="8" s="1"/>
  <c r="D2778" i="8"/>
  <c r="E2778" i="8" s="1"/>
  <c r="F2778" i="8" s="1"/>
  <c r="J2778" i="8" s="1"/>
  <c r="D2722" i="8"/>
  <c r="E2722" i="8" s="1"/>
  <c r="F2722" i="8" s="1"/>
  <c r="D2718" i="8"/>
  <c r="E2718" i="8" s="1"/>
  <c r="F2718" i="8" s="1"/>
  <c r="J2718" i="8" s="1"/>
  <c r="D3052" i="8"/>
  <c r="E3052" i="8" s="1"/>
  <c r="F3052" i="8" s="1"/>
  <c r="D3040" i="8"/>
  <c r="E3040" i="8" s="1"/>
  <c r="F3040" i="8" s="1"/>
  <c r="J3040" i="8" s="1"/>
  <c r="D2824" i="8"/>
  <c r="E2824" i="8" s="1"/>
  <c r="F2824" i="8" s="1"/>
  <c r="D3000" i="8"/>
  <c r="E3000" i="8" s="1"/>
  <c r="F3000" i="8" s="1"/>
  <c r="D2996" i="8"/>
  <c r="E2996" i="8" s="1"/>
  <c r="F2996" i="8" s="1"/>
  <c r="J2996" i="8" s="1"/>
  <c r="D2964" i="8"/>
  <c r="E2964" i="8" s="1"/>
  <c r="F2964" i="8" s="1"/>
  <c r="D2912" i="8"/>
  <c r="E2912" i="8" s="1"/>
  <c r="F2912" i="8" s="1"/>
  <c r="D2877" i="8"/>
  <c r="E2877" i="8" s="1"/>
  <c r="F2877" i="8" s="1"/>
  <c r="D3141" i="8"/>
  <c r="E3141" i="8" s="1"/>
  <c r="F3141" i="8" s="1"/>
  <c r="D3086" i="8"/>
  <c r="E3086" i="8" s="1"/>
  <c r="F3086" i="8" s="1"/>
  <c r="D2673" i="8"/>
  <c r="E2673" i="8" s="1"/>
  <c r="F2673" i="8" s="1"/>
  <c r="D2598" i="8"/>
  <c r="E2598" i="8" s="1"/>
  <c r="F2598" i="8" s="1"/>
  <c r="D2588" i="8"/>
  <c r="E2588" i="8" s="1"/>
  <c r="F2588" i="8" s="1"/>
  <c r="J2588" i="8" s="1"/>
  <c r="D2820" i="8"/>
  <c r="E2820" i="8" s="1"/>
  <c r="F2820" i="8" s="1"/>
  <c r="D2634" i="8"/>
  <c r="E2634" i="8" s="1"/>
  <c r="F2634" i="8" s="1"/>
  <c r="D2630" i="8"/>
  <c r="E2630" i="8" s="1"/>
  <c r="F2630" i="8" s="1"/>
  <c r="J2630" i="8" s="1"/>
  <c r="D2545" i="8"/>
  <c r="E2545" i="8" s="1"/>
  <c r="D2955" i="8"/>
  <c r="E2955" i="8" s="1"/>
  <c r="D2775" i="8"/>
  <c r="E2775" i="8" s="1"/>
  <c r="F2775" i="8" s="1"/>
  <c r="J2775" i="8" s="1"/>
  <c r="D2731" i="8"/>
  <c r="E2731" i="8" s="1"/>
  <c r="F2731" i="8" s="1"/>
  <c r="D2720" i="8"/>
  <c r="E2720" i="8" s="1"/>
  <c r="F2720" i="8" s="1"/>
  <c r="J2720" i="8" s="1"/>
  <c r="D2687" i="8"/>
  <c r="E2687" i="8" s="1"/>
  <c r="F2687" i="8" s="1"/>
  <c r="D2643" i="8"/>
  <c r="E2643" i="8" s="1"/>
  <c r="F2643" i="8" s="1"/>
  <c r="D2629" i="8"/>
  <c r="E2629" i="8" s="1"/>
  <c r="F2629" i="8" s="1"/>
  <c r="D3039" i="8"/>
  <c r="E3039" i="8" s="1"/>
  <c r="F3039" i="8" s="1"/>
  <c r="D2956" i="8"/>
  <c r="E2956" i="8" s="1"/>
  <c r="F2956" i="8" s="1"/>
  <c r="D2920" i="8"/>
  <c r="E2920" i="8" s="1"/>
  <c r="F2920" i="8" s="1"/>
  <c r="D2788" i="8"/>
  <c r="E2788" i="8" s="1"/>
  <c r="F2788" i="8" s="1"/>
  <c r="D3171" i="8"/>
  <c r="E3171" i="8" s="1"/>
  <c r="F3171" i="8" s="1"/>
  <c r="J3171" i="8" s="1"/>
  <c r="D2998" i="8"/>
  <c r="E2998" i="8" s="1"/>
  <c r="F2998" i="8" s="1"/>
  <c r="D2555" i="8"/>
  <c r="E2555" i="8" s="1"/>
  <c r="F2555" i="8" s="1"/>
  <c r="D3130" i="8"/>
  <c r="E3130" i="8" s="1"/>
  <c r="F3130" i="8" s="1"/>
  <c r="J3130" i="8" s="1"/>
  <c r="D2954" i="8"/>
  <c r="E2954" i="8" s="1"/>
  <c r="F2954" i="8" s="1"/>
  <c r="J2954" i="8" s="1"/>
  <c r="D2911" i="8"/>
  <c r="E2911" i="8" s="1"/>
  <c r="D3127" i="8"/>
  <c r="E3127" i="8" s="1"/>
  <c r="F3127" i="8" s="1"/>
  <c r="J3127" i="8" s="1"/>
  <c r="D2952" i="8"/>
  <c r="E2952" i="8" s="1"/>
  <c r="F2952" i="8" s="1"/>
  <c r="J2952" i="8" s="1"/>
  <c r="D3053" i="8"/>
  <c r="E3053" i="8" s="1"/>
  <c r="F3053" i="8" s="1"/>
  <c r="D3042" i="8"/>
  <c r="E3042" i="8" s="1"/>
  <c r="F3042" i="8" s="1"/>
  <c r="J3042" i="8" s="1"/>
  <c r="D2544" i="8"/>
  <c r="E2544" i="8" s="1"/>
  <c r="F2544" i="8" s="1"/>
  <c r="J2544" i="8" s="1"/>
  <c r="D2466" i="8"/>
  <c r="E2466" i="8" s="1"/>
  <c r="F2466" i="8" s="1"/>
  <c r="D3128" i="8"/>
  <c r="E3128" i="8" s="1"/>
  <c r="F3128" i="8" s="1"/>
  <c r="J3128" i="8" s="1"/>
  <c r="D2819" i="8"/>
  <c r="E2819" i="8" s="1"/>
  <c r="F2819" i="8" s="1"/>
  <c r="D2721" i="8"/>
  <c r="E2721" i="8" s="1"/>
  <c r="D2676" i="8"/>
  <c r="E2676" i="8" s="1"/>
  <c r="F2676" i="8" s="1"/>
  <c r="D2502" i="8"/>
  <c r="E2502" i="8" s="1"/>
  <c r="F2502" i="8" s="1"/>
  <c r="D2497" i="8"/>
  <c r="E2497" i="8" s="1"/>
  <c r="F2497" i="8" s="1"/>
  <c r="D2677" i="8"/>
  <c r="E2677" i="8" s="1"/>
  <c r="D2642" i="8"/>
  <c r="E2642" i="8" s="1"/>
  <c r="F2642" i="8" s="1"/>
  <c r="D2585" i="8"/>
  <c r="E2585" i="8" s="1"/>
  <c r="F2585" i="8" s="1"/>
  <c r="D2554" i="8"/>
  <c r="E2554" i="8" s="1"/>
  <c r="F2554" i="8" s="1"/>
  <c r="D2686" i="8"/>
  <c r="E2686" i="8" s="1"/>
  <c r="F2686" i="8" s="1"/>
  <c r="D2511" i="8"/>
  <c r="E2511" i="8" s="1"/>
  <c r="F2511" i="8" s="1"/>
  <c r="D2453" i="8"/>
  <c r="E2453" i="8" s="1"/>
  <c r="F2453" i="8" s="1"/>
  <c r="J2453" i="8" s="1"/>
  <c r="D2378" i="8"/>
  <c r="E2378" i="8" s="1"/>
  <c r="F2378" i="8" s="1"/>
  <c r="D2368" i="8"/>
  <c r="E2368" i="8" s="1"/>
  <c r="F2368" i="8" s="1"/>
  <c r="J2368" i="8" s="1"/>
  <c r="D2203" i="8"/>
  <c r="E2203" i="8" s="1"/>
  <c r="F2203" i="8" s="1"/>
  <c r="D2189" i="8"/>
  <c r="E2189" i="8" s="1"/>
  <c r="F2189" i="8" s="1"/>
  <c r="J2189" i="8" s="1"/>
  <c r="D2114" i="8"/>
  <c r="E2114" i="8" s="1"/>
  <c r="F2114" i="8" s="1"/>
  <c r="D2104" i="8"/>
  <c r="E2104" i="8" s="1"/>
  <c r="F2104" i="8" s="1"/>
  <c r="J2104" i="8" s="1"/>
  <c r="D2599" i="8"/>
  <c r="E2599" i="8" s="1"/>
  <c r="F2599" i="8" s="1"/>
  <c r="D2586" i="8"/>
  <c r="E2586" i="8" s="1"/>
  <c r="F2586" i="8" s="1"/>
  <c r="D2542" i="8"/>
  <c r="E2542" i="8" s="1"/>
  <c r="F2542" i="8" s="1"/>
  <c r="D2414" i="8"/>
  <c r="E2414" i="8" s="1"/>
  <c r="F2414" i="8" s="1"/>
  <c r="D2410" i="8"/>
  <c r="E2410" i="8" s="1"/>
  <c r="F2410" i="8" s="1"/>
  <c r="D2325" i="8"/>
  <c r="E2325" i="8" s="1"/>
  <c r="D2150" i="8"/>
  <c r="E2150" i="8" s="1"/>
  <c r="F2150" i="8" s="1"/>
  <c r="D2146" i="8"/>
  <c r="E2146" i="8" s="1"/>
  <c r="F2146" i="8" s="1"/>
  <c r="J2146" i="8" s="1"/>
  <c r="D2061" i="8"/>
  <c r="E2061" i="8" s="1"/>
  <c r="D2863" i="8"/>
  <c r="E2863" i="8" s="1"/>
  <c r="F2863" i="8" s="1"/>
  <c r="D2458" i="8"/>
  <c r="E2458" i="8" s="1"/>
  <c r="F2458" i="8" s="1"/>
  <c r="D2730" i="8"/>
  <c r="E2730" i="8" s="1"/>
  <c r="F2730" i="8" s="1"/>
  <c r="D2423" i="8"/>
  <c r="E2423" i="8" s="1"/>
  <c r="F2423" i="8" s="1"/>
  <c r="D2409" i="8"/>
  <c r="E2409" i="8" s="1"/>
  <c r="F2409" i="8" s="1"/>
  <c r="J2409" i="8" s="1"/>
  <c r="D2334" i="8"/>
  <c r="E2334" i="8" s="1"/>
  <c r="F2334" i="8" s="1"/>
  <c r="D2324" i="8"/>
  <c r="E2324" i="8" s="1"/>
  <c r="F2324" i="8" s="1"/>
  <c r="J2324" i="8" s="1"/>
  <c r="D2159" i="8"/>
  <c r="E2159" i="8" s="1"/>
  <c r="F2159" i="8" s="1"/>
  <c r="D2995" i="8"/>
  <c r="E2995" i="8" s="1"/>
  <c r="F2995" i="8" s="1"/>
  <c r="J2995" i="8" s="1"/>
  <c r="D2867" i="8"/>
  <c r="E2867" i="8" s="1"/>
  <c r="D2632" i="8"/>
  <c r="E2632" i="8" s="1"/>
  <c r="F2632" i="8" s="1"/>
  <c r="D2590" i="8"/>
  <c r="E2590" i="8" s="1"/>
  <c r="F2590" i="8" s="1"/>
  <c r="D2776" i="8"/>
  <c r="E2776" i="8" s="1"/>
  <c r="F2776" i="8" s="1"/>
  <c r="D2678" i="8"/>
  <c r="E2678" i="8" s="1"/>
  <c r="F2678" i="8" s="1"/>
  <c r="D2510" i="8"/>
  <c r="E2510" i="8" s="1"/>
  <c r="F2510" i="8" s="1"/>
  <c r="D2422" i="8"/>
  <c r="E2422" i="8" s="1"/>
  <c r="F2422" i="8" s="1"/>
  <c r="D2833" i="8"/>
  <c r="E2833" i="8" s="1"/>
  <c r="F2833" i="8" s="1"/>
  <c r="D2498" i="8"/>
  <c r="E2498" i="8" s="1"/>
  <c r="F2498" i="8" s="1"/>
  <c r="J2498" i="8" s="1"/>
  <c r="D2282" i="8"/>
  <c r="E2282" i="8" s="1"/>
  <c r="F2282" i="8" s="1"/>
  <c r="D2779" i="8"/>
  <c r="E2779" i="8" s="1"/>
  <c r="D2717" i="8"/>
  <c r="E2717" i="8" s="1"/>
  <c r="F2717" i="8" s="1"/>
  <c r="J2717" i="8" s="1"/>
  <c r="D2633" i="8"/>
  <c r="E2633" i="8" s="1"/>
  <c r="D2546" i="8"/>
  <c r="E2546" i="8" s="1"/>
  <c r="F2546" i="8" s="1"/>
  <c r="D2541" i="8"/>
  <c r="E2541" i="8" s="1"/>
  <c r="F2541" i="8" s="1"/>
  <c r="J2541" i="8" s="1"/>
  <c r="D2365" i="8"/>
  <c r="E2365" i="8" s="1"/>
  <c r="F2365" i="8" s="1"/>
  <c r="J2365" i="8" s="1"/>
  <c r="D3184" i="8"/>
  <c r="E3184" i="8" s="1"/>
  <c r="F3184" i="8" s="1"/>
  <c r="D2290" i="8"/>
  <c r="E2290" i="8" s="1"/>
  <c r="F2290" i="8" s="1"/>
  <c r="D3044" i="8"/>
  <c r="E3044" i="8" s="1"/>
  <c r="F3044" i="8" s="1"/>
  <c r="D2674" i="8"/>
  <c r="E2674" i="8" s="1"/>
  <c r="F2674" i="8" s="1"/>
  <c r="D2908" i="8"/>
  <c r="E2908" i="8" s="1"/>
  <c r="F2908" i="8" s="1"/>
  <c r="D2789" i="8"/>
  <c r="E2789" i="8" s="1"/>
  <c r="F2789" i="8" s="1"/>
  <c r="D2335" i="8"/>
  <c r="E2335" i="8" s="1"/>
  <c r="F2335" i="8" s="1"/>
  <c r="D2321" i="8"/>
  <c r="E2321" i="8" s="1"/>
  <c r="F2321" i="8" s="1"/>
  <c r="D2247" i="8"/>
  <c r="E2247" i="8" s="1"/>
  <c r="F2247" i="8" s="1"/>
  <c r="D2237" i="8"/>
  <c r="E2237" i="8" s="1"/>
  <c r="D2501" i="8"/>
  <c r="E2501" i="8" s="1"/>
  <c r="D2467" i="8"/>
  <c r="E2467" i="8" s="1"/>
  <c r="F2467" i="8" s="1"/>
  <c r="D3174" i="8"/>
  <c r="E3174" i="8" s="1"/>
  <c r="F3174" i="8" s="1"/>
  <c r="J3174" i="8" s="1"/>
  <c r="D2910" i="8"/>
  <c r="E2910" i="8" s="1"/>
  <c r="F2910" i="8" s="1"/>
  <c r="J2910" i="8" s="1"/>
  <c r="D2456" i="8"/>
  <c r="E2456" i="8" s="1"/>
  <c r="F2456" i="8" s="1"/>
  <c r="J2456" i="8" s="1"/>
  <c r="D2370" i="8"/>
  <c r="E2370" i="8" s="1"/>
  <c r="F2370" i="8" s="1"/>
  <c r="D2500" i="8"/>
  <c r="E2500" i="8" s="1"/>
  <c r="F2500" i="8" s="1"/>
  <c r="J2500" i="8" s="1"/>
  <c r="D3175" i="8"/>
  <c r="E3175" i="8" s="1"/>
  <c r="D2454" i="8"/>
  <c r="E2454" i="8" s="1"/>
  <c r="F2454" i="8" s="1"/>
  <c r="J2454" i="8" s="1"/>
  <c r="D2366" i="8"/>
  <c r="E2366" i="8" s="1"/>
  <c r="F2366" i="8" s="1"/>
  <c r="J2366" i="8" s="1"/>
  <c r="D2236" i="8"/>
  <c r="E2236" i="8" s="1"/>
  <c r="F2236" i="8" s="1"/>
  <c r="D2412" i="8"/>
  <c r="E2412" i="8" s="1"/>
  <c r="F2412" i="8" s="1"/>
  <c r="D2322" i="8"/>
  <c r="E2322" i="8" s="1"/>
  <c r="F2322" i="8" s="1"/>
  <c r="D1969" i="8"/>
  <c r="E1969" i="8" s="1"/>
  <c r="F1969" i="8" s="1"/>
  <c r="D2876" i="8"/>
  <c r="E2876" i="8" s="1"/>
  <c r="F2876" i="8" s="1"/>
  <c r="D1930" i="8"/>
  <c r="E1930" i="8" s="1"/>
  <c r="F1930" i="8" s="1"/>
  <c r="D1926" i="8"/>
  <c r="E1926" i="8" s="1"/>
  <c r="F1926" i="8" s="1"/>
  <c r="D2246" i="8"/>
  <c r="E2246" i="8" s="1"/>
  <c r="F2246" i="8" s="1"/>
  <c r="D2027" i="8"/>
  <c r="E2027" i="8" s="1"/>
  <c r="F2027" i="8" s="1"/>
  <c r="D1983" i="8"/>
  <c r="E1983" i="8" s="1"/>
  <c r="F1983" i="8" s="1"/>
  <c r="D2280" i="8"/>
  <c r="E2280" i="8" s="1"/>
  <c r="F2280" i="8" s="1"/>
  <c r="J2280" i="8" s="1"/>
  <c r="D2951" i="8"/>
  <c r="E2951" i="8" s="1"/>
  <c r="F2951" i="8" s="1"/>
  <c r="J2951" i="8" s="1"/>
  <c r="D2369" i="8"/>
  <c r="E2369" i="8" s="1"/>
  <c r="D2233" i="8"/>
  <c r="E2233" i="8" s="1"/>
  <c r="F2233" i="8" s="1"/>
  <c r="J2233" i="8" s="1"/>
  <c r="D2277" i="8"/>
  <c r="E2277" i="8" s="1"/>
  <c r="F2277" i="8" s="1"/>
  <c r="J2277" i="8" s="1"/>
  <c r="D2148" i="8"/>
  <c r="E2148" i="8" s="1"/>
  <c r="F2148" i="8" s="1"/>
  <c r="D2145" i="8"/>
  <c r="E2145" i="8" s="1"/>
  <c r="F2145" i="8" s="1"/>
  <c r="J2145" i="8" s="1"/>
  <c r="D2071" i="8"/>
  <c r="E2071" i="8" s="1"/>
  <c r="F2071" i="8" s="1"/>
  <c r="D2060" i="8"/>
  <c r="E2060" i="8" s="1"/>
  <c r="F2060" i="8" s="1"/>
  <c r="D2379" i="8"/>
  <c r="E2379" i="8" s="1"/>
  <c r="F2379" i="8" s="1"/>
  <c r="D1881" i="8"/>
  <c r="E1881" i="8" s="1"/>
  <c r="F1881" i="8" s="1"/>
  <c r="D1797" i="8"/>
  <c r="E1797" i="8" s="1"/>
  <c r="D2780" i="8"/>
  <c r="E2780" i="8" s="1"/>
  <c r="F2780" i="8" s="1"/>
  <c r="D2589" i="8"/>
  <c r="E2589" i="8" s="1"/>
  <c r="D2026" i="8"/>
  <c r="E2026" i="8" s="1"/>
  <c r="F2026" i="8" s="1"/>
  <c r="D1838" i="8"/>
  <c r="E1838" i="8" s="1"/>
  <c r="F1838" i="8" s="1"/>
  <c r="J1838" i="8" s="1"/>
  <c r="D2102" i="8"/>
  <c r="E2102" i="8" s="1"/>
  <c r="F2102" i="8" s="1"/>
  <c r="J2102" i="8" s="1"/>
  <c r="D2016" i="8"/>
  <c r="E2016" i="8" s="1"/>
  <c r="F2016" i="8" s="1"/>
  <c r="J2016" i="8" s="1"/>
  <c r="D1970" i="8"/>
  <c r="E1970" i="8" s="1"/>
  <c r="F1970" i="8" s="1"/>
  <c r="J1970" i="8" s="1"/>
  <c r="D1939" i="8"/>
  <c r="E1939" i="8" s="1"/>
  <c r="F1939" i="8" s="1"/>
  <c r="D1886" i="8"/>
  <c r="E1886" i="8" s="1"/>
  <c r="F1886" i="8" s="1"/>
  <c r="D1837" i="8"/>
  <c r="E1837" i="8" s="1"/>
  <c r="F1837" i="8" s="1"/>
  <c r="J1837" i="8" s="1"/>
  <c r="D1796" i="8"/>
  <c r="E1796" i="8" s="1"/>
  <c r="F1796" i="8" s="1"/>
  <c r="J1796" i="8" s="1"/>
  <c r="D2413" i="8"/>
  <c r="E2413" i="8" s="1"/>
  <c r="D2291" i="8"/>
  <c r="E2291" i="8" s="1"/>
  <c r="F2291" i="8" s="1"/>
  <c r="D2278" i="8"/>
  <c r="E2278" i="8" s="1"/>
  <c r="F2278" i="8" s="1"/>
  <c r="J2278" i="8" s="1"/>
  <c r="D2234" i="8"/>
  <c r="E2234" i="8" s="1"/>
  <c r="F2234" i="8" s="1"/>
  <c r="D2115" i="8"/>
  <c r="E2115" i="8" s="1"/>
  <c r="F2115" i="8" s="1"/>
  <c r="D2105" i="8"/>
  <c r="E2105" i="8" s="1"/>
  <c r="D2866" i="8"/>
  <c r="E2866" i="8" s="1"/>
  <c r="F2866" i="8" s="1"/>
  <c r="D2238" i="8"/>
  <c r="E2238" i="8" s="1"/>
  <c r="F2238" i="8" s="1"/>
  <c r="D1894" i="8"/>
  <c r="E1894" i="8" s="1"/>
  <c r="F1894" i="8" s="1"/>
  <c r="D1842" i="8"/>
  <c r="E1842" i="8" s="1"/>
  <c r="F1842" i="8" s="1"/>
  <c r="D1972" i="8"/>
  <c r="E1972" i="8" s="1"/>
  <c r="F1972" i="8" s="1"/>
  <c r="J1972" i="8" s="1"/>
  <c r="D1928" i="8"/>
  <c r="E1928" i="8" s="1"/>
  <c r="F1928" i="8" s="1"/>
  <c r="D1925" i="8"/>
  <c r="E1925" i="8" s="1"/>
  <c r="F1925" i="8" s="1"/>
  <c r="J1925" i="8" s="1"/>
  <c r="D2823" i="8"/>
  <c r="E2823" i="8" s="1"/>
  <c r="D2101" i="8"/>
  <c r="E2101" i="8" s="1"/>
  <c r="F2101" i="8" s="1"/>
  <c r="J2101" i="8" s="1"/>
  <c r="D2057" i="8"/>
  <c r="E2057" i="8" s="1"/>
  <c r="F2057" i="8" s="1"/>
  <c r="J2057" i="8" s="1"/>
  <c r="D2018" i="8"/>
  <c r="E2018" i="8" s="1"/>
  <c r="F2018" i="8" s="1"/>
  <c r="D1982" i="8"/>
  <c r="E1982" i="8" s="1"/>
  <c r="F1982" i="8" s="1"/>
  <c r="D1973" i="8"/>
  <c r="E1973" i="8" s="1"/>
  <c r="D1938" i="8"/>
  <c r="E1938" i="8" s="1"/>
  <c r="F1938" i="8" s="1"/>
  <c r="D1719" i="8"/>
  <c r="E1719" i="8" s="1"/>
  <c r="F1719" i="8" s="1"/>
  <c r="D2193" i="8"/>
  <c r="E2193" i="8" s="1"/>
  <c r="D1753" i="8"/>
  <c r="E1753" i="8" s="1"/>
  <c r="D2281" i="8"/>
  <c r="E2281" i="8" s="1"/>
  <c r="D1752" i="8"/>
  <c r="E1752" i="8" s="1"/>
  <c r="F1752" i="8" s="1"/>
  <c r="D1884" i="8"/>
  <c r="E1884" i="8" s="1"/>
  <c r="F1884" i="8" s="1"/>
  <c r="D2058" i="8"/>
  <c r="E2058" i="8" s="1"/>
  <c r="F2058" i="8" s="1"/>
  <c r="D2062" i="8"/>
  <c r="E2062" i="8" s="1"/>
  <c r="F2062" i="8" s="1"/>
  <c r="D2014" i="8"/>
  <c r="E2014" i="8" s="1"/>
  <c r="F2014" i="8" s="1"/>
  <c r="D1807" i="8"/>
  <c r="E1807" i="8" s="1"/>
  <c r="F1807" i="8" s="1"/>
  <c r="D1710" i="8"/>
  <c r="E1710" i="8" s="1"/>
  <c r="F1710" i="8" s="1"/>
  <c r="D1666" i="8"/>
  <c r="E1666" i="8" s="1"/>
  <c r="F1666" i="8" s="1"/>
  <c r="D1631" i="8"/>
  <c r="E1631" i="8" s="1"/>
  <c r="F1631" i="8" s="1"/>
  <c r="D1455" i="8"/>
  <c r="E1455" i="8" s="1"/>
  <c r="F1455" i="8" s="1"/>
  <c r="D1441" i="8"/>
  <c r="E1441" i="8" s="1"/>
  <c r="F1441" i="8" s="1"/>
  <c r="J1441" i="8" s="1"/>
  <c r="D1366" i="8"/>
  <c r="E1366" i="8" s="1"/>
  <c r="F1366" i="8" s="1"/>
  <c r="D1356" i="8"/>
  <c r="E1356" i="8" s="1"/>
  <c r="F1356" i="8" s="1"/>
  <c r="J1356" i="8" s="1"/>
  <c r="D1191" i="8"/>
  <c r="E1191" i="8" s="1"/>
  <c r="F1191" i="8" s="1"/>
  <c r="D1621" i="8"/>
  <c r="E1621" i="8" s="1"/>
  <c r="D1577" i="8"/>
  <c r="E1577" i="8" s="1"/>
  <c r="D1402" i="8"/>
  <c r="E1402" i="8" s="1"/>
  <c r="F1402" i="8" s="1"/>
  <c r="D1398" i="8"/>
  <c r="E1398" i="8" s="1"/>
  <c r="F1398" i="8" s="1"/>
  <c r="D1313" i="8"/>
  <c r="E1313" i="8" s="1"/>
  <c r="D1850" i="8"/>
  <c r="E1850" i="8" s="1"/>
  <c r="F1850" i="8" s="1"/>
  <c r="D1794" i="8"/>
  <c r="E1794" i="8" s="1"/>
  <c r="F1794" i="8" s="1"/>
  <c r="D1620" i="8"/>
  <c r="E1620" i="8" s="1"/>
  <c r="F1620" i="8" s="1"/>
  <c r="D1840" i="8"/>
  <c r="E1840" i="8" s="1"/>
  <c r="F1840" i="8" s="1"/>
  <c r="J1840" i="8" s="1"/>
  <c r="D1586" i="8"/>
  <c r="E1586" i="8" s="1"/>
  <c r="F1586" i="8" s="1"/>
  <c r="D1576" i="8"/>
  <c r="E1576" i="8" s="1"/>
  <c r="F1576" i="8" s="1"/>
  <c r="J1576" i="8" s="1"/>
  <c r="D1411" i="8"/>
  <c r="E1411" i="8" s="1"/>
  <c r="F1411" i="8" s="1"/>
  <c r="D1397" i="8"/>
  <c r="E1397" i="8" s="1"/>
  <c r="F1397" i="8" s="1"/>
  <c r="J1397" i="8" s="1"/>
  <c r="D1322" i="8"/>
  <c r="E1322" i="8" s="1"/>
  <c r="F1322" i="8" s="1"/>
  <c r="D1312" i="8"/>
  <c r="E1312" i="8" s="1"/>
  <c r="F1312" i="8" s="1"/>
  <c r="J1312" i="8" s="1"/>
  <c r="D2190" i="8"/>
  <c r="E2190" i="8" s="1"/>
  <c r="F2190" i="8" s="1"/>
  <c r="J2190" i="8" s="1"/>
  <c r="D1806" i="8"/>
  <c r="E1806" i="8" s="1"/>
  <c r="F1806" i="8" s="1"/>
  <c r="D1674" i="8"/>
  <c r="E1674" i="8" s="1"/>
  <c r="F1674" i="8" s="1"/>
  <c r="D1618" i="8"/>
  <c r="E1618" i="8" s="1"/>
  <c r="F1618" i="8" s="1"/>
  <c r="J1618" i="8" s="1"/>
  <c r="D1533" i="8"/>
  <c r="E1533" i="8" s="1"/>
  <c r="D1358" i="8"/>
  <c r="E1358" i="8" s="1"/>
  <c r="F1358" i="8" s="1"/>
  <c r="D1354" i="8"/>
  <c r="E1354" i="8" s="1"/>
  <c r="F1354" i="8" s="1"/>
  <c r="D1754" i="8"/>
  <c r="E1754" i="8" s="1"/>
  <c r="F1754" i="8" s="1"/>
  <c r="D1709" i="8"/>
  <c r="E1709" i="8" s="1"/>
  <c r="D1706" i="8"/>
  <c r="E1706" i="8" s="1"/>
  <c r="F1706" i="8" s="1"/>
  <c r="D1662" i="8"/>
  <c r="E1662" i="8" s="1"/>
  <c r="F1662" i="8" s="1"/>
  <c r="J1662" i="8" s="1"/>
  <c r="D1488" i="8"/>
  <c r="E1488" i="8" s="1"/>
  <c r="F1488" i="8" s="1"/>
  <c r="D2013" i="8"/>
  <c r="E2013" i="8" s="1"/>
  <c r="F2013" i="8" s="1"/>
  <c r="J2013" i="8" s="1"/>
  <c r="D1763" i="8"/>
  <c r="E1763" i="8" s="1"/>
  <c r="F1763" i="8" s="1"/>
  <c r="D1749" i="8"/>
  <c r="E1749" i="8" s="1"/>
  <c r="F1749" i="8" s="1"/>
  <c r="J1749" i="8" s="1"/>
  <c r="D1270" i="8"/>
  <c r="E1270" i="8" s="1"/>
  <c r="F1270" i="8" s="1"/>
  <c r="D2457" i="8"/>
  <c r="E2457" i="8" s="1"/>
  <c r="D1587" i="8"/>
  <c r="E1587" i="8" s="1"/>
  <c r="F1587" i="8" s="1"/>
  <c r="D1498" i="8"/>
  <c r="E1498" i="8" s="1"/>
  <c r="F1498" i="8" s="1"/>
  <c r="D1454" i="8"/>
  <c r="E1454" i="8" s="1"/>
  <c r="F1454" i="8" s="1"/>
  <c r="D1444" i="8"/>
  <c r="E1444" i="8" s="1"/>
  <c r="F1444" i="8" s="1"/>
  <c r="J1444" i="8" s="1"/>
  <c r="D1138" i="8"/>
  <c r="E1138" i="8" s="1"/>
  <c r="F1138" i="8" s="1"/>
  <c r="D1134" i="8"/>
  <c r="E1134" i="8" s="1"/>
  <c r="F1134" i="8" s="1"/>
  <c r="D1895" i="8"/>
  <c r="E1895" i="8" s="1"/>
  <c r="F1895" i="8" s="1"/>
  <c r="D1617" i="8"/>
  <c r="E1617" i="8" s="1"/>
  <c r="F1617" i="8" s="1"/>
  <c r="D1489" i="8"/>
  <c r="E1489" i="8" s="1"/>
  <c r="D1357" i="8"/>
  <c r="E1357" i="8" s="1"/>
  <c r="D1323" i="8"/>
  <c r="E1323" i="8" s="1"/>
  <c r="F1323" i="8" s="1"/>
  <c r="D1314" i="8"/>
  <c r="E1314" i="8" s="1"/>
  <c r="F1314" i="8" s="1"/>
  <c r="D1309" i="8"/>
  <c r="E1309" i="8" s="1"/>
  <c r="F1309" i="8" s="1"/>
  <c r="D1278" i="8"/>
  <c r="E1278" i="8" s="1"/>
  <c r="F1278" i="8" s="1"/>
  <c r="D2202" i="8"/>
  <c r="E2202" i="8" s="1"/>
  <c r="F2202" i="8" s="1"/>
  <c r="D1793" i="8"/>
  <c r="E1793" i="8" s="1"/>
  <c r="F1793" i="8" s="1"/>
  <c r="J1793" i="8" s="1"/>
  <c r="D1543" i="8"/>
  <c r="E1543" i="8" s="1"/>
  <c r="F1543" i="8" s="1"/>
  <c r="D1485" i="8"/>
  <c r="E1485" i="8" s="1"/>
  <c r="F1485" i="8" s="1"/>
  <c r="J1485" i="8" s="1"/>
  <c r="D1400" i="8"/>
  <c r="E1400" i="8" s="1"/>
  <c r="F1400" i="8" s="1"/>
  <c r="J1400" i="8" s="1"/>
  <c r="D2017" i="8"/>
  <c r="E2017" i="8" s="1"/>
  <c r="D2158" i="8"/>
  <c r="E2158" i="8" s="1"/>
  <c r="F2158" i="8" s="1"/>
  <c r="D1929" i="8"/>
  <c r="E1929" i="8" s="1"/>
  <c r="D1708" i="8"/>
  <c r="E1708" i="8" s="1"/>
  <c r="F1708" i="8" s="1"/>
  <c r="J1708" i="8" s="1"/>
  <c r="D1578" i="8"/>
  <c r="E1578" i="8" s="1"/>
  <c r="F1578" i="8" s="1"/>
  <c r="D1445" i="8"/>
  <c r="E1445" i="8" s="1"/>
  <c r="D1224" i="8"/>
  <c r="E1224" i="8" s="1"/>
  <c r="F1224" i="8" s="1"/>
  <c r="D1102" i="8"/>
  <c r="E1102" i="8" s="1"/>
  <c r="F1102" i="8" s="1"/>
  <c r="D1092" i="8"/>
  <c r="E1092" i="8" s="1"/>
  <c r="F1092" i="8" s="1"/>
  <c r="D1664" i="8"/>
  <c r="E1664" i="8" s="1"/>
  <c r="F1664" i="8" s="1"/>
  <c r="D1532" i="8"/>
  <c r="E1532" i="8" s="1"/>
  <c r="F1532" i="8" s="1"/>
  <c r="D1529" i="8"/>
  <c r="E1529" i="8" s="1"/>
  <c r="F1529" i="8" s="1"/>
  <c r="D1442" i="8"/>
  <c r="E1442" i="8" s="1"/>
  <c r="F1442" i="8" s="1"/>
  <c r="J1442" i="8" s="1"/>
  <c r="D1353" i="8"/>
  <c r="E1353" i="8" s="1"/>
  <c r="F1353" i="8" s="1"/>
  <c r="J1353" i="8" s="1"/>
  <c r="D1178" i="8"/>
  <c r="E1178" i="8" s="1"/>
  <c r="F1178" i="8" s="1"/>
  <c r="J1178" i="8" s="1"/>
  <c r="D1049" i="8"/>
  <c r="E1049" i="8" s="1"/>
  <c r="D1534" i="8"/>
  <c r="E1534" i="8" s="1"/>
  <c r="F1534" i="8" s="1"/>
  <c r="D2194" i="8"/>
  <c r="E2194" i="8" s="1"/>
  <c r="F2194" i="8" s="1"/>
  <c r="D1762" i="8"/>
  <c r="E1762" i="8" s="1"/>
  <c r="F1762" i="8" s="1"/>
  <c r="D1265" i="8"/>
  <c r="E1265" i="8" s="1"/>
  <c r="F1265" i="8" s="1"/>
  <c r="J1265" i="8" s="1"/>
  <c r="D1225" i="8"/>
  <c r="E1225" i="8" s="1"/>
  <c r="D1177" i="8"/>
  <c r="E1177" i="8" s="1"/>
  <c r="F1177" i="8" s="1"/>
  <c r="J1177" i="8" s="1"/>
  <c r="D1133" i="8"/>
  <c r="E1133" i="8" s="1"/>
  <c r="F1133" i="8" s="1"/>
  <c r="D1058" i="8"/>
  <c r="E1058" i="8" s="1"/>
  <c r="F1058" i="8" s="1"/>
  <c r="D1048" i="8"/>
  <c r="E1048" i="8" s="1"/>
  <c r="F1048" i="8" s="1"/>
  <c r="D883" i="8"/>
  <c r="E883" i="8" s="1"/>
  <c r="F883" i="8" s="1"/>
  <c r="D869" i="8"/>
  <c r="E869" i="8" s="1"/>
  <c r="F869" i="8" s="1"/>
  <c r="D1182" i="8"/>
  <c r="E1182" i="8" s="1"/>
  <c r="F1182" i="8" s="1"/>
  <c r="D1094" i="8"/>
  <c r="E1094" i="8" s="1"/>
  <c r="F1094" i="8" s="1"/>
  <c r="D1090" i="8"/>
  <c r="E1090" i="8" s="1"/>
  <c r="F1090" i="8" s="1"/>
  <c r="D1005" i="8"/>
  <c r="E1005" i="8" s="1"/>
  <c r="D1750" i="8"/>
  <c r="E1750" i="8" s="1"/>
  <c r="F1750" i="8" s="1"/>
  <c r="J1750" i="8" s="1"/>
  <c r="D1675" i="8"/>
  <c r="E1675" i="8" s="1"/>
  <c r="F1675" i="8" s="1"/>
  <c r="D1499" i="8"/>
  <c r="E1499" i="8" s="1"/>
  <c r="F1499" i="8" s="1"/>
  <c r="D1490" i="8"/>
  <c r="E1490" i="8" s="1"/>
  <c r="F1490" i="8" s="1"/>
  <c r="D1235" i="8"/>
  <c r="E1235" i="8" s="1"/>
  <c r="F1235" i="8" s="1"/>
  <c r="D1622" i="8"/>
  <c r="E1622" i="8" s="1"/>
  <c r="F1622" i="8" s="1"/>
  <c r="D1103" i="8"/>
  <c r="E1103" i="8" s="1"/>
  <c r="F1103" i="8" s="1"/>
  <c r="D1089" i="8"/>
  <c r="E1089" i="8" s="1"/>
  <c r="F1089" i="8" s="1"/>
  <c r="J1089" i="8" s="1"/>
  <c r="D1014" i="8"/>
  <c r="E1014" i="8" s="1"/>
  <c r="F1014" i="8" s="1"/>
  <c r="D1004" i="8"/>
  <c r="E1004" i="8" s="1"/>
  <c r="F1004" i="8" s="1"/>
  <c r="D839" i="8"/>
  <c r="E839" i="8" s="1"/>
  <c r="F839" i="8" s="1"/>
  <c r="D825" i="8"/>
  <c r="E825" i="8" s="1"/>
  <c r="F825" i="8" s="1"/>
  <c r="D2149" i="8"/>
  <c r="E2149" i="8" s="1"/>
  <c r="D2070" i="8"/>
  <c r="E2070" i="8" s="1"/>
  <c r="F2070" i="8" s="1"/>
  <c r="D961" i="8"/>
  <c r="E961" i="8" s="1"/>
  <c r="D1136" i="8"/>
  <c r="E1136" i="8" s="1"/>
  <c r="F1136" i="8" s="1"/>
  <c r="D1015" i="8"/>
  <c r="E1015" i="8" s="1"/>
  <c r="F1015" i="8" s="1"/>
  <c r="D872" i="8"/>
  <c r="E872" i="8" s="1"/>
  <c r="F872" i="8" s="1"/>
  <c r="D1798" i="8"/>
  <c r="E1798" i="8" s="1"/>
  <c r="F1798" i="8" s="1"/>
  <c r="D1401" i="8"/>
  <c r="E1401" i="8" s="1"/>
  <c r="D1234" i="8"/>
  <c r="E1234" i="8" s="1"/>
  <c r="F1234" i="8" s="1"/>
  <c r="D1002" i="8"/>
  <c r="E1002" i="8" s="1"/>
  <c r="F1002" i="8" s="1"/>
  <c r="J1002" i="8" s="1"/>
  <c r="D970" i="8"/>
  <c r="E970" i="8" s="1"/>
  <c r="F970" i="8" s="1"/>
  <c r="D662" i="8"/>
  <c r="E662" i="8" s="1"/>
  <c r="F662" i="8" s="1"/>
  <c r="D654" i="8"/>
  <c r="E654" i="8" s="1"/>
  <c r="F654" i="8" s="1"/>
  <c r="D575" i="8"/>
  <c r="E575" i="8" s="1"/>
  <c r="F575" i="8" s="1"/>
  <c r="D561" i="8"/>
  <c r="E561" i="8" s="1"/>
  <c r="F561" i="8" s="1"/>
  <c r="J561" i="8" s="1"/>
  <c r="D486" i="8"/>
  <c r="E486" i="8" s="1"/>
  <c r="F486" i="8" s="1"/>
  <c r="D476" i="8"/>
  <c r="E476" i="8" s="1"/>
  <c r="F476" i="8" s="1"/>
  <c r="J476" i="8" s="1"/>
  <c r="D1882" i="8"/>
  <c r="E1882" i="8" s="1"/>
  <c r="F1882" i="8" s="1"/>
  <c r="D1486" i="8"/>
  <c r="E1486" i="8" s="1"/>
  <c r="F1486" i="8" s="1"/>
  <c r="D1046" i="8"/>
  <c r="E1046" i="8" s="1"/>
  <c r="F1046" i="8" s="1"/>
  <c r="J1046" i="8" s="1"/>
  <c r="D913" i="8"/>
  <c r="E913" i="8" s="1"/>
  <c r="F913" i="8" s="1"/>
  <c r="J913" i="8" s="1"/>
  <c r="D522" i="8"/>
  <c r="E522" i="8" s="1"/>
  <c r="F522" i="8" s="1"/>
  <c r="D518" i="8"/>
  <c r="E518" i="8" s="1"/>
  <c r="F518" i="8" s="1"/>
  <c r="D433" i="8"/>
  <c r="E433" i="8" s="1"/>
  <c r="D1974" i="8"/>
  <c r="E1974" i="8" s="1"/>
  <c r="F1974" i="8" s="1"/>
  <c r="D1410" i="8"/>
  <c r="E1410" i="8" s="1"/>
  <c r="F1410" i="8" s="1"/>
  <c r="D1279" i="8"/>
  <c r="E1279" i="8" s="1"/>
  <c r="F1279" i="8" s="1"/>
  <c r="D873" i="8"/>
  <c r="E873" i="8" s="1"/>
  <c r="D751" i="8"/>
  <c r="E751" i="8" s="1"/>
  <c r="F751" i="8" s="1"/>
  <c r="D1885" i="8"/>
  <c r="E1885" i="8" s="1"/>
  <c r="D1137" i="8"/>
  <c r="E1137" i="8" s="1"/>
  <c r="D1050" i="8"/>
  <c r="E1050" i="8" s="1"/>
  <c r="F1050" i="8" s="1"/>
  <c r="D794" i="8"/>
  <c r="E794" i="8" s="1"/>
  <c r="F794" i="8" s="1"/>
  <c r="D531" i="8"/>
  <c r="E531" i="8" s="1"/>
  <c r="F531" i="8" s="1"/>
  <c r="D517" i="8"/>
  <c r="E517" i="8" s="1"/>
  <c r="F517" i="8" s="1"/>
  <c r="J517" i="8" s="1"/>
  <c r="D1705" i="8"/>
  <c r="E1705" i="8" s="1"/>
  <c r="F1705" i="8" s="1"/>
  <c r="D1630" i="8"/>
  <c r="E1630" i="8" s="1"/>
  <c r="F1630" i="8" s="1"/>
  <c r="D1181" i="8"/>
  <c r="E1181" i="8" s="1"/>
  <c r="D1147" i="8"/>
  <c r="E1147" i="8" s="1"/>
  <c r="F1147" i="8" s="1"/>
  <c r="D927" i="8"/>
  <c r="E927" i="8" s="1"/>
  <c r="F927" i="8" s="1"/>
  <c r="D914" i="8"/>
  <c r="E914" i="8" s="1"/>
  <c r="F914" i="8" s="1"/>
  <c r="J914" i="8" s="1"/>
  <c r="D1574" i="8"/>
  <c r="E1574" i="8" s="1"/>
  <c r="F1574" i="8" s="1"/>
  <c r="J1574" i="8" s="1"/>
  <c r="D1542" i="8"/>
  <c r="E1542" i="8" s="1"/>
  <c r="F1542" i="8" s="1"/>
  <c r="D1269" i="8"/>
  <c r="E1269" i="8" s="1"/>
  <c r="D1841" i="8"/>
  <c r="E1841" i="8" s="1"/>
  <c r="D1266" i="8"/>
  <c r="E1266" i="8" s="1"/>
  <c r="F1266" i="8" s="1"/>
  <c r="J1266" i="8" s="1"/>
  <c r="D962" i="8"/>
  <c r="E962" i="8" s="1"/>
  <c r="F962" i="8" s="1"/>
  <c r="D740" i="8"/>
  <c r="E740" i="8" s="1"/>
  <c r="F740" i="8" s="1"/>
  <c r="J740" i="8" s="1"/>
  <c r="D610" i="8"/>
  <c r="E610" i="8" s="1"/>
  <c r="F610" i="8" s="1"/>
  <c r="D478" i="8"/>
  <c r="E478" i="8" s="1"/>
  <c r="F478" i="8" s="1"/>
  <c r="D399" i="8"/>
  <c r="E399" i="8" s="1"/>
  <c r="F399" i="8" s="1"/>
  <c r="D310" i="8"/>
  <c r="E310" i="8" s="1"/>
  <c r="F310" i="8" s="1"/>
  <c r="D300" i="8"/>
  <c r="E300" i="8" s="1"/>
  <c r="F300" i="8" s="1"/>
  <c r="J300" i="8" s="1"/>
  <c r="D1851" i="8"/>
  <c r="E1851" i="8" s="1"/>
  <c r="F1851" i="8" s="1"/>
  <c r="D1718" i="8"/>
  <c r="E1718" i="8" s="1"/>
  <c r="F1718" i="8" s="1"/>
  <c r="D1222" i="8"/>
  <c r="E1222" i="8" s="1"/>
  <c r="F1222" i="8" s="1"/>
  <c r="D826" i="8"/>
  <c r="E826" i="8" s="1"/>
  <c r="F826" i="8" s="1"/>
  <c r="J826" i="8" s="1"/>
  <c r="D520" i="8"/>
  <c r="E520" i="8" s="1"/>
  <c r="F520" i="8" s="1"/>
  <c r="D1573" i="8"/>
  <c r="E1573" i="8" s="1"/>
  <c r="F1573" i="8" s="1"/>
  <c r="J1573" i="8" s="1"/>
  <c r="D1226" i="8"/>
  <c r="E1226" i="8" s="1"/>
  <c r="F1226" i="8" s="1"/>
  <c r="D960" i="8"/>
  <c r="E960" i="8" s="1"/>
  <c r="F960" i="8" s="1"/>
  <c r="J960" i="8" s="1"/>
  <c r="D874" i="8"/>
  <c r="E874" i="8" s="1"/>
  <c r="F874" i="8" s="1"/>
  <c r="D693" i="8"/>
  <c r="E693" i="8" s="1"/>
  <c r="F693" i="8" s="1"/>
  <c r="J693" i="8" s="1"/>
  <c r="D521" i="8"/>
  <c r="E521" i="8" s="1"/>
  <c r="D1146" i="8"/>
  <c r="E1146" i="8" s="1"/>
  <c r="F1146" i="8" s="1"/>
  <c r="D926" i="8"/>
  <c r="E926" i="8" s="1"/>
  <c r="F926" i="8" s="1"/>
  <c r="D786" i="8"/>
  <c r="E786" i="8" s="1"/>
  <c r="F786" i="8" s="1"/>
  <c r="D706" i="8"/>
  <c r="E706" i="8" s="1"/>
  <c r="F706" i="8" s="1"/>
  <c r="D1530" i="8"/>
  <c r="E1530" i="8" s="1"/>
  <c r="F1530" i="8" s="1"/>
  <c r="J1530" i="8" s="1"/>
  <c r="D1268" i="8"/>
  <c r="E1268" i="8" s="1"/>
  <c r="F1268" i="8" s="1"/>
  <c r="D1059" i="8"/>
  <c r="E1059" i="8" s="1"/>
  <c r="F1059" i="8" s="1"/>
  <c r="D958" i="8"/>
  <c r="E958" i="8" s="1"/>
  <c r="F958" i="8" s="1"/>
  <c r="D917" i="8"/>
  <c r="E917" i="8" s="1"/>
  <c r="D829" i="8"/>
  <c r="E829" i="8" s="1"/>
  <c r="D750" i="8"/>
  <c r="E750" i="8" s="1"/>
  <c r="F750" i="8" s="1"/>
  <c r="D737" i="8"/>
  <c r="E737" i="8" s="1"/>
  <c r="F737" i="8" s="1"/>
  <c r="J737" i="8" s="1"/>
  <c r="D697" i="8"/>
  <c r="E697" i="8" s="1"/>
  <c r="D784" i="8"/>
  <c r="E784" i="8" s="1"/>
  <c r="F784" i="8" s="1"/>
  <c r="J784" i="8" s="1"/>
  <c r="D741" i="8"/>
  <c r="E741" i="8" s="1"/>
  <c r="D649" i="8"/>
  <c r="E649" i="8" s="1"/>
  <c r="F649" i="8" s="1"/>
  <c r="J649" i="8" s="1"/>
  <c r="D618" i="8"/>
  <c r="E618" i="8" s="1"/>
  <c r="F618" i="8" s="1"/>
  <c r="D574" i="8"/>
  <c r="E574" i="8" s="1"/>
  <c r="F574" i="8" s="1"/>
  <c r="D473" i="8"/>
  <c r="E473" i="8" s="1"/>
  <c r="F473" i="8" s="1"/>
  <c r="J473" i="8" s="1"/>
  <c r="D566" i="8"/>
  <c r="E566" i="8" s="1"/>
  <c r="F566" i="8" s="1"/>
  <c r="D311" i="8"/>
  <c r="E311" i="8" s="1"/>
  <c r="F311" i="8" s="1"/>
  <c r="D135" i="8"/>
  <c r="E135" i="8" s="1"/>
  <c r="F135" i="8" s="1"/>
  <c r="D121" i="8"/>
  <c r="E121" i="8" s="1"/>
  <c r="F121" i="8" s="1"/>
  <c r="J121" i="8" s="1"/>
  <c r="D2106" i="8"/>
  <c r="E2106" i="8" s="1"/>
  <c r="F2106" i="8" s="1"/>
  <c r="D1665" i="8"/>
  <c r="E1665" i="8" s="1"/>
  <c r="D1221" i="8"/>
  <c r="E1221" i="8" s="1"/>
  <c r="F1221" i="8" s="1"/>
  <c r="D1093" i="8"/>
  <c r="E1093" i="8" s="1"/>
  <c r="D707" i="8"/>
  <c r="E707" i="8" s="1"/>
  <c r="F707" i="8" s="1"/>
  <c r="D698" i="8"/>
  <c r="E698" i="8" s="1"/>
  <c r="F698" i="8" s="1"/>
  <c r="D696" i="8"/>
  <c r="E696" i="8" s="1"/>
  <c r="F696" i="8" s="1"/>
  <c r="J696" i="8" s="1"/>
  <c r="D609" i="8"/>
  <c r="E609" i="8" s="1"/>
  <c r="D257" i="8"/>
  <c r="E257" i="8" s="1"/>
  <c r="D82" i="8"/>
  <c r="E82" i="8" s="1"/>
  <c r="F82" i="8" s="1"/>
  <c r="D78" i="8"/>
  <c r="E78" i="8" s="1"/>
  <c r="F78" i="8" s="1"/>
  <c r="J78" i="8" s="1"/>
  <c r="D1661" i="8"/>
  <c r="E1661" i="8" s="1"/>
  <c r="F1661" i="8" s="1"/>
  <c r="J1661" i="8" s="1"/>
  <c r="D694" i="8"/>
  <c r="E694" i="8" s="1"/>
  <c r="F694" i="8" s="1"/>
  <c r="J694" i="8" s="1"/>
  <c r="D606" i="8"/>
  <c r="E606" i="8" s="1"/>
  <c r="F606" i="8" s="1"/>
  <c r="J606" i="8" s="1"/>
  <c r="D474" i="8"/>
  <c r="E474" i="8" s="1"/>
  <c r="F474" i="8" s="1"/>
  <c r="J474" i="8" s="1"/>
  <c r="D390" i="8"/>
  <c r="E390" i="8" s="1"/>
  <c r="F390" i="8" s="1"/>
  <c r="D345" i="8"/>
  <c r="E345" i="8" s="1"/>
  <c r="D1045" i="8"/>
  <c r="E1045" i="8" s="1"/>
  <c r="F1045" i="8" s="1"/>
  <c r="J1045" i="8" s="1"/>
  <c r="D782" i="8"/>
  <c r="E782" i="8" s="1"/>
  <c r="F782" i="8" s="1"/>
  <c r="J782" i="8" s="1"/>
  <c r="D650" i="8"/>
  <c r="E650" i="8" s="1"/>
  <c r="F650" i="8" s="1"/>
  <c r="D344" i="8"/>
  <c r="E344" i="8" s="1"/>
  <c r="F344" i="8" s="1"/>
  <c r="D301" i="8"/>
  <c r="E301" i="8" s="1"/>
  <c r="D266" i="8"/>
  <c r="E266" i="8" s="1"/>
  <c r="F266" i="8" s="1"/>
  <c r="D256" i="8"/>
  <c r="E256" i="8" s="1"/>
  <c r="F256" i="8" s="1"/>
  <c r="D91" i="8"/>
  <c r="E91" i="8" s="1"/>
  <c r="F91" i="8" s="1"/>
  <c r="D870" i="8"/>
  <c r="E870" i="8" s="1"/>
  <c r="F870" i="8" s="1"/>
  <c r="J870" i="8" s="1"/>
  <c r="D442" i="8"/>
  <c r="E442" i="8" s="1"/>
  <c r="F442" i="8" s="1"/>
  <c r="D213" i="8"/>
  <c r="E213" i="8" s="1"/>
  <c r="D957" i="8"/>
  <c r="E957" i="8" s="1"/>
  <c r="F957" i="8" s="1"/>
  <c r="D838" i="8"/>
  <c r="E838" i="8" s="1"/>
  <c r="F838" i="8" s="1"/>
  <c r="D795" i="8"/>
  <c r="E795" i="8" s="1"/>
  <c r="F795" i="8" s="1"/>
  <c r="D564" i="8"/>
  <c r="E564" i="8" s="1"/>
  <c r="F564" i="8" s="1"/>
  <c r="J564" i="8" s="1"/>
  <c r="D342" i="8"/>
  <c r="E342" i="8" s="1"/>
  <c r="F342" i="8" s="1"/>
  <c r="J342" i="8" s="1"/>
  <c r="D298" i="8"/>
  <c r="E298" i="8" s="1"/>
  <c r="F298" i="8" s="1"/>
  <c r="J298" i="8" s="1"/>
  <c r="D222" i="8"/>
  <c r="E222" i="8" s="1"/>
  <c r="F222" i="8" s="1"/>
  <c r="D212" i="8"/>
  <c r="E212" i="8" s="1"/>
  <c r="F212" i="8" s="1"/>
  <c r="J212" i="8" s="1"/>
  <c r="D2192" i="8"/>
  <c r="E2192" i="8" s="1"/>
  <c r="F2192" i="8" s="1"/>
  <c r="J2192" i="8" s="1"/>
  <c r="D653" i="8"/>
  <c r="E653" i="8" s="1"/>
  <c r="D302" i="8"/>
  <c r="E302" i="8" s="1"/>
  <c r="F302" i="8" s="1"/>
  <c r="D223" i="8"/>
  <c r="E223" i="8" s="1"/>
  <c r="F223" i="8" s="1"/>
  <c r="D214" i="8"/>
  <c r="E214" i="8" s="1"/>
  <c r="F214" i="8" s="1"/>
  <c r="D179" i="8"/>
  <c r="E179" i="8" s="1"/>
  <c r="F179" i="8" s="1"/>
  <c r="D1446" i="8"/>
  <c r="E1446" i="8" s="1"/>
  <c r="F1446" i="8" s="1"/>
  <c r="D663" i="8"/>
  <c r="E663" i="8" s="1"/>
  <c r="F663" i="8" s="1"/>
  <c r="D608" i="8"/>
  <c r="E608" i="8" s="1"/>
  <c r="F608" i="8" s="1"/>
  <c r="J608" i="8" s="1"/>
  <c r="D562" i="8"/>
  <c r="E562" i="8" s="1"/>
  <c r="F562" i="8" s="1"/>
  <c r="J562" i="8" s="1"/>
  <c r="D346" i="8"/>
  <c r="E346" i="8" s="1"/>
  <c r="F346" i="8" s="1"/>
  <c r="D126" i="8"/>
  <c r="E126" i="8" s="1"/>
  <c r="F126" i="8" s="1"/>
  <c r="D530" i="8"/>
  <c r="E530" i="8" s="1"/>
  <c r="F530" i="8" s="1"/>
  <c r="D432" i="8"/>
  <c r="E432" i="8" s="1"/>
  <c r="F432" i="8" s="1"/>
  <c r="D738" i="8"/>
  <c r="E738" i="8" s="1"/>
  <c r="F738" i="8" s="1"/>
  <c r="J738" i="8" s="1"/>
  <c r="D398" i="8"/>
  <c r="E398" i="8" s="1"/>
  <c r="F398" i="8" s="1"/>
  <c r="D388" i="8"/>
  <c r="E388" i="8" s="1"/>
  <c r="F388" i="8" s="1"/>
  <c r="J388" i="8" s="1"/>
  <c r="D297" i="8"/>
  <c r="E297" i="8" s="1"/>
  <c r="F297" i="8" s="1"/>
  <c r="J297" i="8" s="1"/>
  <c r="D81" i="8"/>
  <c r="E81" i="8" s="1"/>
  <c r="D12" i="6"/>
  <c r="E12" i="6" s="1"/>
  <c r="F12" i="6" s="1"/>
  <c r="D434" i="8"/>
  <c r="E434" i="8" s="1"/>
  <c r="F434" i="8" s="1"/>
  <c r="D652" i="8"/>
  <c r="E652" i="8" s="1"/>
  <c r="F652" i="8" s="1"/>
  <c r="D605" i="8"/>
  <c r="E605" i="8" s="1"/>
  <c r="F605" i="8" s="1"/>
  <c r="D20" i="6"/>
  <c r="E20" i="6" s="1"/>
  <c r="F20" i="6" s="1"/>
  <c r="D443" i="8"/>
  <c r="E443" i="8" s="1"/>
  <c r="F443" i="8" s="1"/>
  <c r="D389" i="8"/>
  <c r="E389" i="8" s="1"/>
  <c r="D209" i="8"/>
  <c r="E209" i="8" s="1"/>
  <c r="F209" i="8" s="1"/>
  <c r="J209" i="8" s="1"/>
  <c r="D77" i="8"/>
  <c r="E77" i="8" s="1"/>
  <c r="F77" i="8" s="1"/>
  <c r="J77" i="8" s="1"/>
  <c r="D168" i="8"/>
  <c r="E168" i="8" s="1"/>
  <c r="F168" i="8" s="1"/>
  <c r="J168" i="8" s="1"/>
  <c r="D165" i="8"/>
  <c r="E165" i="8" s="1"/>
  <c r="F165" i="8" s="1"/>
  <c r="J165" i="8" s="1"/>
  <c r="D90" i="8"/>
  <c r="E90" i="8" s="1"/>
  <c r="F90" i="8" s="1"/>
  <c r="D1006" i="8"/>
  <c r="E1006" i="8" s="1"/>
  <c r="F1006" i="8" s="1"/>
  <c r="D134" i="8"/>
  <c r="E134" i="8" s="1"/>
  <c r="F134" i="8" s="1"/>
  <c r="D781" i="8"/>
  <c r="E781" i="8" s="1"/>
  <c r="F781" i="8" s="1"/>
  <c r="J781" i="8" s="1"/>
  <c r="D386" i="8"/>
  <c r="E386" i="8" s="1"/>
  <c r="F386" i="8" s="1"/>
  <c r="J386" i="8" s="1"/>
  <c r="D355" i="8"/>
  <c r="E355" i="8" s="1"/>
  <c r="F355" i="8" s="1"/>
  <c r="D341" i="8"/>
  <c r="E341" i="8" s="1"/>
  <c r="F341" i="8" s="1"/>
  <c r="J341" i="8" s="1"/>
  <c r="D253" i="8"/>
  <c r="E253" i="8" s="1"/>
  <c r="F253" i="8" s="1"/>
  <c r="D477" i="8"/>
  <c r="E477" i="8" s="1"/>
  <c r="D916" i="8"/>
  <c r="E916" i="8" s="1"/>
  <c r="F916" i="8" s="1"/>
  <c r="D178" i="8"/>
  <c r="E178" i="8" s="1"/>
  <c r="F178" i="8" s="1"/>
  <c r="D2326" i="8"/>
  <c r="E2326" i="8" s="1"/>
  <c r="F2326" i="8" s="1"/>
  <c r="D170" i="8"/>
  <c r="E170" i="8" s="1"/>
  <c r="F170" i="8" s="1"/>
  <c r="D430" i="8"/>
  <c r="E430" i="8" s="1"/>
  <c r="F430" i="8" s="1"/>
  <c r="J430" i="8" s="1"/>
  <c r="D210" i="8"/>
  <c r="E210" i="8" s="1"/>
  <c r="F210" i="8" s="1"/>
  <c r="J210" i="8" s="1"/>
  <c r="D1190" i="8"/>
  <c r="E1190" i="8" s="1"/>
  <c r="F1190" i="8" s="1"/>
  <c r="D487" i="8"/>
  <c r="E487" i="8" s="1"/>
  <c r="F487" i="8" s="1"/>
  <c r="D254" i="8"/>
  <c r="E254" i="8" s="1"/>
  <c r="F254" i="8" s="1"/>
  <c r="J254" i="8" s="1"/>
  <c r="D22" i="8"/>
  <c r="D124" i="8"/>
  <c r="E124" i="8" s="1"/>
  <c r="F124" i="8" s="1"/>
  <c r="J124" i="8" s="1"/>
  <c r="E22" i="8"/>
  <c r="D1180" i="8"/>
  <c r="E1180" i="8" s="1"/>
  <c r="F1180" i="8" s="1"/>
  <c r="J1180" i="8" s="1"/>
  <c r="D828" i="8"/>
  <c r="E828" i="8" s="1"/>
  <c r="F828" i="8" s="1"/>
  <c r="J828" i="8" s="1"/>
  <c r="D742" i="8"/>
  <c r="E742" i="8" s="1"/>
  <c r="F742" i="8" s="1"/>
  <c r="D619" i="8"/>
  <c r="E619" i="8" s="1"/>
  <c r="F619" i="8" s="1"/>
  <c r="G3185" i="8"/>
  <c r="G3053" i="8"/>
  <c r="G3009" i="8"/>
  <c r="G2877" i="8"/>
  <c r="G3141" i="8"/>
  <c r="G2921" i="8"/>
  <c r="G2687" i="8"/>
  <c r="G2643" i="8"/>
  <c r="G2789" i="8"/>
  <c r="G2731" i="8"/>
  <c r="G2467" i="8"/>
  <c r="G2965" i="8"/>
  <c r="G2555" i="8"/>
  <c r="G2423" i="8"/>
  <c r="G2159" i="8"/>
  <c r="G2379" i="8"/>
  <c r="G2599" i="8"/>
  <c r="G3097" i="8"/>
  <c r="G2833" i="8"/>
  <c r="G2247" i="8"/>
  <c r="G2203" i="8"/>
  <c r="G2027" i="8"/>
  <c r="G1983" i="8"/>
  <c r="G1939" i="8"/>
  <c r="G2071" i="8"/>
  <c r="G2291" i="8"/>
  <c r="G2115" i="8"/>
  <c r="G1895" i="8"/>
  <c r="G1763" i="8"/>
  <c r="G2511" i="8"/>
  <c r="G1411" i="8"/>
  <c r="G1367" i="8"/>
  <c r="G1587" i="8"/>
  <c r="G1719" i="8"/>
  <c r="G1807" i="8"/>
  <c r="G1631" i="8"/>
  <c r="G1543" i="8"/>
  <c r="G1235" i="8"/>
  <c r="G1499" i="8"/>
  <c r="G1675" i="8"/>
  <c r="G1103" i="8"/>
  <c r="G839" i="8"/>
  <c r="G2335" i="8"/>
  <c r="G1851" i="8"/>
  <c r="G1059" i="8"/>
  <c r="G795" i="8"/>
  <c r="G883" i="8"/>
  <c r="G1279" i="8"/>
  <c r="G751" i="8"/>
  <c r="G1191" i="8"/>
  <c r="G531" i="8"/>
  <c r="G707" i="8"/>
  <c r="G663" i="8"/>
  <c r="G355" i="8"/>
  <c r="G1455" i="8"/>
  <c r="G1015" i="8"/>
  <c r="G399" i="8"/>
  <c r="G91" i="8"/>
  <c r="G1147" i="8"/>
  <c r="G267" i="8"/>
  <c r="G311" i="8"/>
  <c r="G575" i="8"/>
  <c r="G927" i="8"/>
  <c r="G487" i="8"/>
  <c r="G1323" i="8"/>
  <c r="G443" i="8"/>
  <c r="G619" i="8"/>
  <c r="G971" i="8"/>
  <c r="G223" i="8"/>
  <c r="D354" i="8"/>
  <c r="E354" i="8" s="1"/>
  <c r="F354" i="8" s="1"/>
  <c r="D164" i="8"/>
  <c r="E164" i="8" s="1"/>
  <c r="F164" i="8" s="1"/>
  <c r="G3006" i="8"/>
  <c r="G2918" i="8"/>
  <c r="G3138" i="8"/>
  <c r="G3094" i="8"/>
  <c r="G2830" i="8"/>
  <c r="G3050" i="8"/>
  <c r="G2728" i="8"/>
  <c r="G3182" i="8"/>
  <c r="G2962" i="8"/>
  <c r="G2684" i="8"/>
  <c r="G2786" i="8"/>
  <c r="G2420" i="8"/>
  <c r="G2508" i="8"/>
  <c r="G2552" i="8"/>
  <c r="G2464" i="8"/>
  <c r="G2288" i="8"/>
  <c r="G1980" i="8"/>
  <c r="G2024" i="8"/>
  <c r="G2244" i="8"/>
  <c r="G2068" i="8"/>
  <c r="G1936" i="8"/>
  <c r="G2376" i="8"/>
  <c r="G2874" i="8"/>
  <c r="G2156" i="8"/>
  <c r="G1848" i="8"/>
  <c r="G2200" i="8"/>
  <c r="G1760" i="8"/>
  <c r="G2112" i="8"/>
  <c r="G1452" i="8"/>
  <c r="G1408" i="8"/>
  <c r="G1804" i="8"/>
  <c r="G2596" i="8"/>
  <c r="G1496" i="8"/>
  <c r="G1892" i="8"/>
  <c r="G1672" i="8"/>
  <c r="G2640" i="8"/>
  <c r="G1320" i="8"/>
  <c r="G880" i="8"/>
  <c r="G1276" i="8"/>
  <c r="G1100" i="8"/>
  <c r="G836" i="8"/>
  <c r="G572" i="8"/>
  <c r="G748" i="8"/>
  <c r="G968" i="8"/>
  <c r="G704" i="8"/>
  <c r="G2332" i="8"/>
  <c r="G528" i="8"/>
  <c r="G924" i="8"/>
  <c r="G792" i="8"/>
  <c r="G1584" i="8"/>
  <c r="G1232" i="8"/>
  <c r="G1188" i="8"/>
  <c r="G1012" i="8"/>
  <c r="G132" i="8"/>
  <c r="G88" i="8"/>
  <c r="G1144" i="8"/>
  <c r="G660" i="8"/>
  <c r="G1364" i="8"/>
  <c r="G1628" i="8"/>
  <c r="G1716" i="8"/>
  <c r="G220" i="8"/>
  <c r="G308" i="8"/>
  <c r="G264" i="8"/>
  <c r="G176" i="8"/>
  <c r="G616" i="8"/>
  <c r="C65" i="8"/>
  <c r="C106" i="7" s="1"/>
  <c r="H179" i="8"/>
  <c r="D385" i="8"/>
  <c r="E385" i="8" s="1"/>
  <c r="F385" i="8" s="1"/>
  <c r="J385" i="8" s="1"/>
  <c r="G484" i="8"/>
  <c r="F1172" i="8"/>
  <c r="J1172" i="8" s="1"/>
  <c r="D3170" i="8"/>
  <c r="E3170" i="8" s="1"/>
  <c r="F3170" i="8" s="1"/>
  <c r="D3080" i="8"/>
  <c r="E3080" i="8" s="1"/>
  <c r="F3080" i="8" s="1"/>
  <c r="J3080" i="8" s="1"/>
  <c r="D3098" i="8"/>
  <c r="E3098" i="8" s="1"/>
  <c r="F3098" i="8" s="1"/>
  <c r="D3169" i="8"/>
  <c r="E3169" i="8" s="1"/>
  <c r="F3169" i="8" s="1"/>
  <c r="J3169" i="8" s="1"/>
  <c r="D3126" i="8"/>
  <c r="E3126" i="8" s="1"/>
  <c r="F3126" i="8" s="1"/>
  <c r="D2994" i="8"/>
  <c r="E2994" i="8" s="1"/>
  <c r="F2994" i="8" s="1"/>
  <c r="D2904" i="8"/>
  <c r="E2904" i="8" s="1"/>
  <c r="F2904" i="8" s="1"/>
  <c r="D2861" i="8"/>
  <c r="E2861" i="8" s="1"/>
  <c r="F2861" i="8" s="1"/>
  <c r="J2861" i="8" s="1"/>
  <c r="D3079" i="8"/>
  <c r="E3079" i="8" s="1"/>
  <c r="F3079" i="8" s="1"/>
  <c r="J3079" i="8" s="1"/>
  <c r="D2993" i="8"/>
  <c r="E2993" i="8" s="1"/>
  <c r="F2993" i="8" s="1"/>
  <c r="J2993" i="8" s="1"/>
  <c r="D2947" i="8"/>
  <c r="E2947" i="8" s="1"/>
  <c r="F2947" i="8" s="1"/>
  <c r="J2947" i="8" s="1"/>
  <c r="D3124" i="8"/>
  <c r="E3124" i="8" s="1"/>
  <c r="F3124" i="8" s="1"/>
  <c r="J3124" i="8" s="1"/>
  <c r="D2790" i="8"/>
  <c r="E2790" i="8" s="1"/>
  <c r="F2790" i="8" s="1"/>
  <c r="D3037" i="8"/>
  <c r="E3037" i="8" s="1"/>
  <c r="F3037" i="8" s="1"/>
  <c r="J3037" i="8" s="1"/>
  <c r="D2950" i="8"/>
  <c r="E2950" i="8" s="1"/>
  <c r="F2950" i="8" s="1"/>
  <c r="D2774" i="8"/>
  <c r="E2774" i="8" s="1"/>
  <c r="F2774" i="8" s="1"/>
  <c r="D3168" i="8"/>
  <c r="E3168" i="8" s="1"/>
  <c r="F3168" i="8" s="1"/>
  <c r="J3168" i="8" s="1"/>
  <c r="D3082" i="8"/>
  <c r="E3082" i="8" s="1"/>
  <c r="F3082" i="8" s="1"/>
  <c r="D2815" i="8"/>
  <c r="E2815" i="8" s="1"/>
  <c r="F2815" i="8" s="1"/>
  <c r="J2815" i="8" s="1"/>
  <c r="D2670" i="8"/>
  <c r="E2670" i="8" s="1"/>
  <c r="F2670" i="8" s="1"/>
  <c r="J2670" i="8" s="1"/>
  <c r="D2627" i="8"/>
  <c r="E2627" i="8" s="1"/>
  <c r="F2627" i="8" s="1"/>
  <c r="J2627" i="8" s="1"/>
  <c r="D2512" i="8"/>
  <c r="E2512" i="8" s="1"/>
  <c r="F2512" i="8" s="1"/>
  <c r="D3142" i="8"/>
  <c r="E3142" i="8" s="1"/>
  <c r="F3142" i="8" s="1"/>
  <c r="D2860" i="8"/>
  <c r="E2860" i="8" s="1"/>
  <c r="F2860" i="8" s="1"/>
  <c r="D2816" i="8"/>
  <c r="E2816" i="8" s="1"/>
  <c r="F2816" i="8" s="1"/>
  <c r="D2716" i="8"/>
  <c r="E2716" i="8" s="1"/>
  <c r="F2716" i="8" s="1"/>
  <c r="D2584" i="8"/>
  <c r="E2584" i="8" s="1"/>
  <c r="F2584" i="8" s="1"/>
  <c r="D3036" i="8"/>
  <c r="E3036" i="8" s="1"/>
  <c r="F3036" i="8" s="1"/>
  <c r="J3036" i="8" s="1"/>
  <c r="D2991" i="8"/>
  <c r="E2991" i="8" s="1"/>
  <c r="F2991" i="8" s="1"/>
  <c r="J2991" i="8" s="1"/>
  <c r="D2903" i="8"/>
  <c r="E2903" i="8" s="1"/>
  <c r="F2903" i="8" s="1"/>
  <c r="J2903" i="8" s="1"/>
  <c r="D2817" i="8"/>
  <c r="E2817" i="8" s="1"/>
  <c r="F2817" i="8" s="1"/>
  <c r="J2817" i="8" s="1"/>
  <c r="D2715" i="8"/>
  <c r="E2715" i="8" s="1"/>
  <c r="F2715" i="8" s="1"/>
  <c r="J2715" i="8" s="1"/>
  <c r="D2626" i="8"/>
  <c r="E2626" i="8" s="1"/>
  <c r="F2626" i="8" s="1"/>
  <c r="J2626" i="8" s="1"/>
  <c r="D2922" i="8"/>
  <c r="E2922" i="8" s="1"/>
  <c r="F2922" i="8" s="1"/>
  <c r="D2625" i="8"/>
  <c r="E2625" i="8" s="1"/>
  <c r="F2625" i="8" s="1"/>
  <c r="J2625" i="8" s="1"/>
  <c r="D3186" i="8"/>
  <c r="E3186" i="8" s="1"/>
  <c r="F3186" i="8" s="1"/>
  <c r="D2859" i="8"/>
  <c r="E2859" i="8" s="1"/>
  <c r="F2859" i="8" s="1"/>
  <c r="J2859" i="8" s="1"/>
  <c r="D3035" i="8"/>
  <c r="E3035" i="8" s="1"/>
  <c r="F3035" i="8" s="1"/>
  <c r="J3035" i="8" s="1"/>
  <c r="D2714" i="8"/>
  <c r="E2714" i="8" s="1"/>
  <c r="F2714" i="8" s="1"/>
  <c r="D2834" i="8"/>
  <c r="E2834" i="8" s="1"/>
  <c r="F2834" i="8" s="1"/>
  <c r="D2495" i="8"/>
  <c r="E2495" i="8" s="1"/>
  <c r="F2495" i="8" s="1"/>
  <c r="J2495" i="8" s="1"/>
  <c r="D2644" i="8"/>
  <c r="E2644" i="8" s="1"/>
  <c r="F2644" i="8" s="1"/>
  <c r="D2556" i="8"/>
  <c r="E2556" i="8" s="1"/>
  <c r="F2556" i="8" s="1"/>
  <c r="D2992" i="8"/>
  <c r="E2992" i="8" s="1"/>
  <c r="F2992" i="8" s="1"/>
  <c r="D2600" i="8"/>
  <c r="E2600" i="8" s="1"/>
  <c r="F2600" i="8" s="1"/>
  <c r="D2494" i="8"/>
  <c r="E2494" i="8" s="1"/>
  <c r="F2494" i="8" s="1"/>
  <c r="J2494" i="8" s="1"/>
  <c r="D2948" i="8"/>
  <c r="E2948" i="8" s="1"/>
  <c r="F2948" i="8" s="1"/>
  <c r="J2948" i="8" s="1"/>
  <c r="D2713" i="8"/>
  <c r="E2713" i="8" s="1"/>
  <c r="F2713" i="8" s="1"/>
  <c r="J2713" i="8" s="1"/>
  <c r="D2669" i="8"/>
  <c r="E2669" i="8" s="1"/>
  <c r="F2669" i="8" s="1"/>
  <c r="J2669" i="8" s="1"/>
  <c r="D2450" i="8"/>
  <c r="E2450" i="8" s="1"/>
  <c r="F2450" i="8" s="1"/>
  <c r="J2450" i="8" s="1"/>
  <c r="D2407" i="8"/>
  <c r="E2407" i="8" s="1"/>
  <c r="F2407" i="8" s="1"/>
  <c r="J2407" i="8" s="1"/>
  <c r="D2292" i="8"/>
  <c r="E2292" i="8" s="1"/>
  <c r="F2292" i="8" s="1"/>
  <c r="D2186" i="8"/>
  <c r="E2186" i="8" s="1"/>
  <c r="F2186" i="8" s="1"/>
  <c r="J2186" i="8" s="1"/>
  <c r="D2143" i="8"/>
  <c r="E2143" i="8" s="1"/>
  <c r="F2143" i="8" s="1"/>
  <c r="D2772" i="8"/>
  <c r="E2772" i="8" s="1"/>
  <c r="F2772" i="8" s="1"/>
  <c r="J2772" i="8" s="1"/>
  <c r="D2583" i="8"/>
  <c r="E2583" i="8" s="1"/>
  <c r="F2583" i="8" s="1"/>
  <c r="J2583" i="8" s="1"/>
  <c r="D2538" i="8"/>
  <c r="E2538" i="8" s="1"/>
  <c r="F2538" i="8" s="1"/>
  <c r="J2538" i="8" s="1"/>
  <c r="D2364" i="8"/>
  <c r="E2364" i="8" s="1"/>
  <c r="F2364" i="8" s="1"/>
  <c r="D2229" i="8"/>
  <c r="E2229" i="8" s="1"/>
  <c r="F2229" i="8" s="1"/>
  <c r="D2100" i="8"/>
  <c r="E2100" i="8" s="1"/>
  <c r="F2100" i="8" s="1"/>
  <c r="D3010" i="8"/>
  <c r="E3010" i="8" s="1"/>
  <c r="F3010" i="8" s="1"/>
  <c r="D2878" i="8"/>
  <c r="E2878" i="8" s="1"/>
  <c r="F2878" i="8" s="1"/>
  <c r="D2688" i="8"/>
  <c r="E2688" i="8" s="1"/>
  <c r="F2688" i="8" s="1"/>
  <c r="D2671" i="8"/>
  <c r="E2671" i="8" s="1"/>
  <c r="F2671" i="8" s="1"/>
  <c r="J2671" i="8" s="1"/>
  <c r="D2496" i="8"/>
  <c r="E2496" i="8" s="1"/>
  <c r="F2496" i="8" s="1"/>
  <c r="D2493" i="8"/>
  <c r="E2493" i="8" s="1"/>
  <c r="F2493" i="8" s="1"/>
  <c r="D3081" i="8"/>
  <c r="E3081" i="8" s="1"/>
  <c r="F3081" i="8" s="1"/>
  <c r="J3081" i="8" s="1"/>
  <c r="D2818" i="8"/>
  <c r="E2818" i="8" s="1"/>
  <c r="F2818" i="8" s="1"/>
  <c r="D2406" i="8"/>
  <c r="E2406" i="8" s="1"/>
  <c r="F2406" i="8" s="1"/>
  <c r="J2406" i="8" s="1"/>
  <c r="D2363" i="8"/>
  <c r="E2363" i="8" s="1"/>
  <c r="F2363" i="8" s="1"/>
  <c r="J2363" i="8" s="1"/>
  <c r="D2248" i="8"/>
  <c r="E2248" i="8" s="1"/>
  <c r="F2248" i="8" s="1"/>
  <c r="D2451" i="8"/>
  <c r="E2451" i="8" s="1"/>
  <c r="F2451" i="8" s="1"/>
  <c r="J2451" i="8" s="1"/>
  <c r="D3167" i="8"/>
  <c r="E3167" i="8" s="1"/>
  <c r="F3167" i="8" s="1"/>
  <c r="J3167" i="8" s="1"/>
  <c r="D2966" i="8"/>
  <c r="E2966" i="8" s="1"/>
  <c r="F2966" i="8" s="1"/>
  <c r="D2405" i="8"/>
  <c r="E2405" i="8" s="1"/>
  <c r="F2405" i="8" s="1"/>
  <c r="J2405" i="8" s="1"/>
  <c r="D3038" i="8"/>
  <c r="E3038" i="8" s="1"/>
  <c r="F3038" i="8" s="1"/>
  <c r="D2539" i="8"/>
  <c r="E2539" i="8" s="1"/>
  <c r="F2539" i="8" s="1"/>
  <c r="D2449" i="8"/>
  <c r="E2449" i="8" s="1"/>
  <c r="F2449" i="8" s="1"/>
  <c r="D2380" i="8"/>
  <c r="E2380" i="8" s="1"/>
  <c r="F2380" i="8" s="1"/>
  <c r="D3054" i="8"/>
  <c r="E3054" i="8" s="1"/>
  <c r="F3054" i="8" s="1"/>
  <c r="D2906" i="8"/>
  <c r="E2906" i="8" s="1"/>
  <c r="F2906" i="8" s="1"/>
  <c r="D2318" i="8"/>
  <c r="E2318" i="8" s="1"/>
  <c r="F2318" i="8" s="1"/>
  <c r="J2318" i="8" s="1"/>
  <c r="D2317" i="8"/>
  <c r="E2317" i="8" s="1"/>
  <c r="F2317" i="8" s="1"/>
  <c r="J2317" i="8" s="1"/>
  <c r="D2672" i="8"/>
  <c r="E2672" i="8" s="1"/>
  <c r="F2672" i="8" s="1"/>
  <c r="D2773" i="8"/>
  <c r="E2773" i="8" s="1"/>
  <c r="F2773" i="8" s="1"/>
  <c r="J2773" i="8" s="1"/>
  <c r="D2276" i="8"/>
  <c r="E2276" i="8" s="1"/>
  <c r="F2276" i="8" s="1"/>
  <c r="D2581" i="8"/>
  <c r="E2581" i="8" s="1"/>
  <c r="F2581" i="8" s="1"/>
  <c r="J2581" i="8" s="1"/>
  <c r="D2949" i="8"/>
  <c r="E2949" i="8" s="1"/>
  <c r="F2949" i="8" s="1"/>
  <c r="J2949" i="8" s="1"/>
  <c r="D2537" i="8"/>
  <c r="E2537" i="8" s="1"/>
  <c r="F2537" i="8" s="1"/>
  <c r="J2537" i="8" s="1"/>
  <c r="D3123" i="8"/>
  <c r="E3123" i="8" s="1"/>
  <c r="F3123" i="8" s="1"/>
  <c r="J3123" i="8" s="1"/>
  <c r="D2116" i="8"/>
  <c r="E2116" i="8" s="1"/>
  <c r="F2116" i="8" s="1"/>
  <c r="D2905" i="8"/>
  <c r="E2905" i="8" s="1"/>
  <c r="F2905" i="8" s="1"/>
  <c r="J2905" i="8" s="1"/>
  <c r="D2144" i="8"/>
  <c r="E2144" i="8" s="1"/>
  <c r="F2144" i="8" s="1"/>
  <c r="D2099" i="8"/>
  <c r="E2099" i="8" s="1"/>
  <c r="F2099" i="8" s="1"/>
  <c r="D1966" i="8"/>
  <c r="E1966" i="8" s="1"/>
  <c r="F1966" i="8" s="1"/>
  <c r="J1966" i="8" s="1"/>
  <c r="D2320" i="8"/>
  <c r="E2320" i="8" s="1"/>
  <c r="F2320" i="8" s="1"/>
  <c r="D2273" i="8"/>
  <c r="E2273" i="8" s="1"/>
  <c r="F2273" i="8" s="1"/>
  <c r="D2098" i="8"/>
  <c r="E2098" i="8" s="1"/>
  <c r="F2098" i="8" s="1"/>
  <c r="D2361" i="8"/>
  <c r="E2361" i="8" s="1"/>
  <c r="F2361" i="8" s="1"/>
  <c r="J2361" i="8" s="1"/>
  <c r="D2142" i="8"/>
  <c r="E2142" i="8" s="1"/>
  <c r="F2142" i="8" s="1"/>
  <c r="J2142" i="8" s="1"/>
  <c r="D2056" i="8"/>
  <c r="E2056" i="8" s="1"/>
  <c r="F2056" i="8" s="1"/>
  <c r="D2771" i="8"/>
  <c r="E2771" i="8" s="1"/>
  <c r="F2771" i="8" s="1"/>
  <c r="J2771" i="8" s="1"/>
  <c r="D2408" i="8"/>
  <c r="E2408" i="8" s="1"/>
  <c r="F2408" i="8" s="1"/>
  <c r="D2097" i="8"/>
  <c r="E2097" i="8" s="1"/>
  <c r="F2097" i="8" s="1"/>
  <c r="J2097" i="8" s="1"/>
  <c r="D2055" i="8"/>
  <c r="E2055" i="8" s="1"/>
  <c r="F2055" i="8" s="1"/>
  <c r="J2055" i="8" s="1"/>
  <c r="D2012" i="8"/>
  <c r="E2012" i="8" s="1"/>
  <c r="F2012" i="8" s="1"/>
  <c r="D2141" i="8"/>
  <c r="E2141" i="8" s="1"/>
  <c r="F2141" i="8" s="1"/>
  <c r="D2582" i="8"/>
  <c r="E2582" i="8" s="1"/>
  <c r="F2582" i="8" s="1"/>
  <c r="J2582" i="8" s="1"/>
  <c r="D2274" i="8"/>
  <c r="E2274" i="8" s="1"/>
  <c r="F2274" i="8" s="1"/>
  <c r="J2274" i="8" s="1"/>
  <c r="D2160" i="8"/>
  <c r="E2160" i="8" s="1"/>
  <c r="F2160" i="8" s="1"/>
  <c r="D2054" i="8"/>
  <c r="E2054" i="8" s="1"/>
  <c r="F2054" i="8" s="1"/>
  <c r="J2054" i="8" s="1"/>
  <c r="D2230" i="8"/>
  <c r="E2230" i="8" s="1"/>
  <c r="F2230" i="8" s="1"/>
  <c r="D2188" i="8"/>
  <c r="E2188" i="8" s="1"/>
  <c r="F2188" i="8" s="1"/>
  <c r="D1924" i="8"/>
  <c r="E1924" i="8" s="1"/>
  <c r="F1924" i="8" s="1"/>
  <c r="D1808" i="8"/>
  <c r="E1808" i="8" s="1"/>
  <c r="F1808" i="8" s="1"/>
  <c r="D1923" i="8"/>
  <c r="E1923" i="8" s="1"/>
  <c r="F1923" i="8" s="1"/>
  <c r="D1877" i="8"/>
  <c r="E1877" i="8" s="1"/>
  <c r="F1877" i="8" s="1"/>
  <c r="J1877" i="8" s="1"/>
  <c r="D2862" i="8"/>
  <c r="E2862" i="8" s="1"/>
  <c r="F2862" i="8" s="1"/>
  <c r="D2452" i="8"/>
  <c r="E2452" i="8" s="1"/>
  <c r="F2452" i="8" s="1"/>
  <c r="D1922" i="8"/>
  <c r="E1922" i="8" s="1"/>
  <c r="F1922" i="8" s="1"/>
  <c r="J1922" i="8" s="1"/>
  <c r="D1852" i="8"/>
  <c r="E1852" i="8" s="1"/>
  <c r="F1852" i="8" s="1"/>
  <c r="D1833" i="8"/>
  <c r="E1833" i="8" s="1"/>
  <c r="F1833" i="8" s="1"/>
  <c r="J1833" i="8" s="1"/>
  <c r="D2232" i="8"/>
  <c r="E2232" i="8" s="1"/>
  <c r="F2232" i="8" s="1"/>
  <c r="D2424" i="8"/>
  <c r="E2424" i="8" s="1"/>
  <c r="F2424" i="8" s="1"/>
  <c r="D1921" i="8"/>
  <c r="E1921" i="8" s="1"/>
  <c r="F1921" i="8" s="1"/>
  <c r="J1921" i="8" s="1"/>
  <c r="D2336" i="8"/>
  <c r="E2336" i="8" s="1"/>
  <c r="F2336" i="8" s="1"/>
  <c r="D1879" i="8"/>
  <c r="E1879" i="8" s="1"/>
  <c r="F1879" i="8" s="1"/>
  <c r="J1879" i="8" s="1"/>
  <c r="D1792" i="8"/>
  <c r="E1792" i="8" s="1"/>
  <c r="F1792" i="8" s="1"/>
  <c r="D1791" i="8"/>
  <c r="E1791" i="8" s="1"/>
  <c r="F1791" i="8" s="1"/>
  <c r="J1791" i="8" s="1"/>
  <c r="D1940" i="8"/>
  <c r="E1940" i="8" s="1"/>
  <c r="F1940" i="8" s="1"/>
  <c r="D1790" i="8"/>
  <c r="E1790" i="8" s="1"/>
  <c r="F1790" i="8" s="1"/>
  <c r="J1790" i="8" s="1"/>
  <c r="D1748" i="8"/>
  <c r="E1748" i="8" s="1"/>
  <c r="F1748" i="8" s="1"/>
  <c r="D1632" i="8"/>
  <c r="E1632" i="8" s="1"/>
  <c r="F1632" i="8" s="1"/>
  <c r="D3125" i="8"/>
  <c r="E3125" i="8" s="1"/>
  <c r="F3125" i="8" s="1"/>
  <c r="D1967" i="8"/>
  <c r="E1967" i="8" s="1"/>
  <c r="F1967" i="8" s="1"/>
  <c r="J1967" i="8" s="1"/>
  <c r="D1747" i="8"/>
  <c r="E1747" i="8" s="1"/>
  <c r="F1747" i="8" s="1"/>
  <c r="J1747" i="8" s="1"/>
  <c r="D2053" i="8"/>
  <c r="E2053" i="8" s="1"/>
  <c r="F2053" i="8" s="1"/>
  <c r="J2053" i="8" s="1"/>
  <c r="D1984" i="8"/>
  <c r="E1984" i="8" s="1"/>
  <c r="F1984" i="8" s="1"/>
  <c r="D1834" i="8"/>
  <c r="E1834" i="8" s="1"/>
  <c r="F1834" i="8" s="1"/>
  <c r="J1834" i="8" s="1"/>
  <c r="D1789" i="8"/>
  <c r="E1789" i="8" s="1"/>
  <c r="F1789" i="8" s="1"/>
  <c r="J1789" i="8" s="1"/>
  <c r="D2362" i="8"/>
  <c r="E2362" i="8" s="1"/>
  <c r="F2362" i="8" s="1"/>
  <c r="J2362" i="8" s="1"/>
  <c r="D2275" i="8"/>
  <c r="E2275" i="8" s="1"/>
  <c r="F2275" i="8" s="1"/>
  <c r="J2275" i="8" s="1"/>
  <c r="D2204" i="8"/>
  <c r="E2204" i="8" s="1"/>
  <c r="F2204" i="8" s="1"/>
  <c r="D2028" i="8"/>
  <c r="E2028" i="8" s="1"/>
  <c r="F2028" i="8" s="1"/>
  <c r="D1764" i="8"/>
  <c r="E1764" i="8" s="1"/>
  <c r="F1764" i="8" s="1"/>
  <c r="D1676" i="8"/>
  <c r="E1676" i="8" s="1"/>
  <c r="F1676" i="8" s="1"/>
  <c r="D2072" i="8"/>
  <c r="E2072" i="8" s="1"/>
  <c r="F2072" i="8" s="1"/>
  <c r="D1544" i="8"/>
  <c r="E1544" i="8" s="1"/>
  <c r="F1544" i="8" s="1"/>
  <c r="D1438" i="8"/>
  <c r="E1438" i="8" s="1"/>
  <c r="F1438" i="8" s="1"/>
  <c r="D1395" i="8"/>
  <c r="E1395" i="8" s="1"/>
  <c r="F1395" i="8" s="1"/>
  <c r="J1395" i="8" s="1"/>
  <c r="D1280" i="8"/>
  <c r="E1280" i="8" s="1"/>
  <c r="F1280" i="8" s="1"/>
  <c r="D2468" i="8"/>
  <c r="E2468" i="8" s="1"/>
  <c r="F2468" i="8" s="1"/>
  <c r="D1835" i="8"/>
  <c r="E1835" i="8" s="1"/>
  <c r="F1835" i="8" s="1"/>
  <c r="J1835" i="8" s="1"/>
  <c r="D1616" i="8"/>
  <c r="E1616" i="8" s="1"/>
  <c r="F1616" i="8" s="1"/>
  <c r="D1481" i="8"/>
  <c r="E1481" i="8" s="1"/>
  <c r="F1481" i="8" s="1"/>
  <c r="J1481" i="8" s="1"/>
  <c r="D1352" i="8"/>
  <c r="E1352" i="8" s="1"/>
  <c r="F1352" i="8" s="1"/>
  <c r="D1217" i="8"/>
  <c r="E1217" i="8" s="1"/>
  <c r="F1217" i="8" s="1"/>
  <c r="J1217" i="8" s="1"/>
  <c r="D2187" i="8"/>
  <c r="E2187" i="8" s="1"/>
  <c r="F2187" i="8" s="1"/>
  <c r="J2187" i="8" s="1"/>
  <c r="D2011" i="8"/>
  <c r="E2011" i="8" s="1"/>
  <c r="F2011" i="8" s="1"/>
  <c r="J2011" i="8" s="1"/>
  <c r="D1746" i="8"/>
  <c r="E1746" i="8" s="1"/>
  <c r="F1746" i="8" s="1"/>
  <c r="J1746" i="8" s="1"/>
  <c r="D1745" i="8"/>
  <c r="E1745" i="8" s="1"/>
  <c r="F1745" i="8" s="1"/>
  <c r="J1745" i="8" s="1"/>
  <c r="D1704" i="8"/>
  <c r="E1704" i="8" s="1"/>
  <c r="F1704" i="8" s="1"/>
  <c r="D1703" i="8"/>
  <c r="E1703" i="8" s="1"/>
  <c r="F1703" i="8" s="1"/>
  <c r="J1703" i="8" s="1"/>
  <c r="D1720" i="8"/>
  <c r="E1720" i="8" s="1"/>
  <c r="F1720" i="8" s="1"/>
  <c r="D1702" i="8"/>
  <c r="E1702" i="8" s="1"/>
  <c r="F1702" i="8" s="1"/>
  <c r="J1702" i="8" s="1"/>
  <c r="D1660" i="8"/>
  <c r="E1660" i="8" s="1"/>
  <c r="F1660" i="8" s="1"/>
  <c r="D1659" i="8"/>
  <c r="E1659" i="8" s="1"/>
  <c r="F1659" i="8" s="1"/>
  <c r="D1615" i="8"/>
  <c r="E1615" i="8" s="1"/>
  <c r="F1615" i="8" s="1"/>
  <c r="D1500" i="8"/>
  <c r="E1500" i="8" s="1"/>
  <c r="F1500" i="8" s="1"/>
  <c r="D1394" i="8"/>
  <c r="E1394" i="8" s="1"/>
  <c r="F1394" i="8" s="1"/>
  <c r="D1351" i="8"/>
  <c r="E1351" i="8" s="1"/>
  <c r="F1351" i="8" s="1"/>
  <c r="J1351" i="8" s="1"/>
  <c r="D1236" i="8"/>
  <c r="E1236" i="8" s="1"/>
  <c r="F1236" i="8" s="1"/>
  <c r="D1658" i="8"/>
  <c r="E1658" i="8" s="1"/>
  <c r="F1658" i="8" s="1"/>
  <c r="J1658" i="8" s="1"/>
  <c r="D1572" i="8"/>
  <c r="E1572" i="8" s="1"/>
  <c r="F1572" i="8" s="1"/>
  <c r="D1437" i="8"/>
  <c r="E1437" i="8" s="1"/>
  <c r="F1437" i="8" s="1"/>
  <c r="J1437" i="8" s="1"/>
  <c r="D1308" i="8"/>
  <c r="E1308" i="8" s="1"/>
  <c r="F1308" i="8" s="1"/>
  <c r="D1456" i="8"/>
  <c r="E1456" i="8" s="1"/>
  <c r="F1456" i="8" s="1"/>
  <c r="D2540" i="8"/>
  <c r="E2540" i="8" s="1"/>
  <c r="F2540" i="8" s="1"/>
  <c r="D1968" i="8"/>
  <c r="E1968" i="8" s="1"/>
  <c r="F1968" i="8" s="1"/>
  <c r="D1836" i="8"/>
  <c r="E1836" i="8" s="1"/>
  <c r="F1836" i="8" s="1"/>
  <c r="D1528" i="8"/>
  <c r="E1528" i="8" s="1"/>
  <c r="F1528" i="8" s="1"/>
  <c r="D1965" i="8"/>
  <c r="E1965" i="8" s="1"/>
  <c r="F1965" i="8" s="1"/>
  <c r="D2009" i="8"/>
  <c r="E2009" i="8" s="1"/>
  <c r="F2009" i="8" s="1"/>
  <c r="J2009" i="8" s="1"/>
  <c r="D1657" i="8"/>
  <c r="E1657" i="8" s="1"/>
  <c r="F1657" i="8" s="1"/>
  <c r="D1613" i="8"/>
  <c r="E1613" i="8" s="1"/>
  <c r="F1613" i="8" s="1"/>
  <c r="J1613" i="8" s="1"/>
  <c r="D1393" i="8"/>
  <c r="E1393" i="8" s="1"/>
  <c r="F1393" i="8" s="1"/>
  <c r="D2185" i="8"/>
  <c r="E2185" i="8" s="1"/>
  <c r="F2185" i="8" s="1"/>
  <c r="J2185" i="8" s="1"/>
  <c r="D1701" i="8"/>
  <c r="E1701" i="8" s="1"/>
  <c r="F1701" i="8" s="1"/>
  <c r="J1701" i="8" s="1"/>
  <c r="D1483" i="8"/>
  <c r="E1483" i="8" s="1"/>
  <c r="F1483" i="8" s="1"/>
  <c r="J1483" i="8" s="1"/>
  <c r="D1218" i="8"/>
  <c r="E1218" i="8" s="1"/>
  <c r="F1218" i="8" s="1"/>
  <c r="J1218" i="8" s="1"/>
  <c r="D1131" i="8"/>
  <c r="E1131" i="8" s="1"/>
  <c r="F1131" i="8" s="1"/>
  <c r="D1016" i="8"/>
  <c r="E1016" i="8" s="1"/>
  <c r="F1016" i="8" s="1"/>
  <c r="D1219" i="8"/>
  <c r="E1219" i="8" s="1"/>
  <c r="F1219" i="8" s="1"/>
  <c r="J1219" i="8" s="1"/>
  <c r="D1174" i="8"/>
  <c r="E1174" i="8" s="1"/>
  <c r="F1174" i="8" s="1"/>
  <c r="J1174" i="8" s="1"/>
  <c r="D1088" i="8"/>
  <c r="E1088" i="8" s="1"/>
  <c r="F1088" i="8" s="1"/>
  <c r="D2231" i="8"/>
  <c r="E2231" i="8" s="1"/>
  <c r="F2231" i="8" s="1"/>
  <c r="J2231" i="8" s="1"/>
  <c r="D1588" i="8"/>
  <c r="E1588" i="8" s="1"/>
  <c r="F1588" i="8" s="1"/>
  <c r="D1527" i="8"/>
  <c r="E1527" i="8" s="1"/>
  <c r="F1527" i="8" s="1"/>
  <c r="J1527" i="8" s="1"/>
  <c r="D1440" i="8"/>
  <c r="E1440" i="8" s="1"/>
  <c r="F1440" i="8" s="1"/>
  <c r="D1306" i="8"/>
  <c r="E1306" i="8" s="1"/>
  <c r="F1306" i="8" s="1"/>
  <c r="J1306" i="8" s="1"/>
  <c r="D1220" i="8"/>
  <c r="E1220" i="8" s="1"/>
  <c r="F1220" i="8" s="1"/>
  <c r="D1148" i="8"/>
  <c r="E1148" i="8" s="1"/>
  <c r="F1148" i="8" s="1"/>
  <c r="D2010" i="8"/>
  <c r="E2010" i="8" s="1"/>
  <c r="F2010" i="8" s="1"/>
  <c r="D1896" i="8"/>
  <c r="E1896" i="8" s="1"/>
  <c r="F1896" i="8" s="1"/>
  <c r="D1349" i="8"/>
  <c r="E1349" i="8" s="1"/>
  <c r="F1349" i="8" s="1"/>
  <c r="D1192" i="8"/>
  <c r="E1192" i="8" s="1"/>
  <c r="F1192" i="8" s="1"/>
  <c r="D1130" i="8"/>
  <c r="E1130" i="8" s="1"/>
  <c r="F1130" i="8" s="1"/>
  <c r="J1130" i="8" s="1"/>
  <c r="D1087" i="8"/>
  <c r="E1087" i="8" s="1"/>
  <c r="F1087" i="8" s="1"/>
  <c r="J1087" i="8" s="1"/>
  <c r="D972" i="8"/>
  <c r="E972" i="8" s="1"/>
  <c r="F972" i="8" s="1"/>
  <c r="D866" i="8"/>
  <c r="E866" i="8" s="1"/>
  <c r="F866" i="8" s="1"/>
  <c r="J866" i="8" s="1"/>
  <c r="D823" i="8"/>
  <c r="E823" i="8" s="1"/>
  <c r="F823" i="8" s="1"/>
  <c r="J823" i="8" s="1"/>
  <c r="D2732" i="8"/>
  <c r="E2732" i="8" s="1"/>
  <c r="F2732" i="8" s="1"/>
  <c r="D1350" i="8"/>
  <c r="E1350" i="8" s="1"/>
  <c r="F1350" i="8" s="1"/>
  <c r="J1350" i="8" s="1"/>
  <c r="D1261" i="8"/>
  <c r="E1261" i="8" s="1"/>
  <c r="F1261" i="8" s="1"/>
  <c r="J1261" i="8" s="1"/>
  <c r="D1173" i="8"/>
  <c r="E1173" i="8" s="1"/>
  <c r="F1173" i="8" s="1"/>
  <c r="J1173" i="8" s="1"/>
  <c r="D1044" i="8"/>
  <c r="E1044" i="8" s="1"/>
  <c r="F1044" i="8" s="1"/>
  <c r="D909" i="8"/>
  <c r="E909" i="8" s="1"/>
  <c r="F909" i="8" s="1"/>
  <c r="J909" i="8" s="1"/>
  <c r="D1878" i="8"/>
  <c r="E1878" i="8" s="1"/>
  <c r="F1878" i="8" s="1"/>
  <c r="J1878" i="8" s="1"/>
  <c r="D1614" i="8"/>
  <c r="E1614" i="8" s="1"/>
  <c r="F1614" i="8" s="1"/>
  <c r="J1614" i="8" s="1"/>
  <c r="D1525" i="8"/>
  <c r="E1525" i="8" s="1"/>
  <c r="F1525" i="8" s="1"/>
  <c r="D1396" i="8"/>
  <c r="E1396" i="8" s="1"/>
  <c r="F1396" i="8" s="1"/>
  <c r="D1324" i="8"/>
  <c r="E1324" i="8" s="1"/>
  <c r="F1324" i="8" s="1"/>
  <c r="D1262" i="8"/>
  <c r="E1262" i="8" s="1"/>
  <c r="F1262" i="8" s="1"/>
  <c r="D1086" i="8"/>
  <c r="E1086" i="8" s="1"/>
  <c r="F1086" i="8" s="1"/>
  <c r="D1043" i="8"/>
  <c r="E1043" i="8" s="1"/>
  <c r="F1043" i="8" s="1"/>
  <c r="J1043" i="8" s="1"/>
  <c r="D928" i="8"/>
  <c r="E928" i="8" s="1"/>
  <c r="F928" i="8" s="1"/>
  <c r="D822" i="8"/>
  <c r="E822" i="8" s="1"/>
  <c r="F822" i="8" s="1"/>
  <c r="J822" i="8" s="1"/>
  <c r="D1484" i="8"/>
  <c r="E1484" i="8" s="1"/>
  <c r="F1484" i="8" s="1"/>
  <c r="D645" i="8"/>
  <c r="E645" i="8" s="1"/>
  <c r="F645" i="8" s="1"/>
  <c r="D865" i="8"/>
  <c r="E865" i="8" s="1"/>
  <c r="F865" i="8" s="1"/>
  <c r="D1132" i="8"/>
  <c r="E1132" i="8" s="1"/>
  <c r="F1132" i="8" s="1"/>
  <c r="D999" i="8"/>
  <c r="E999" i="8" s="1"/>
  <c r="F999" i="8" s="1"/>
  <c r="J999" i="8" s="1"/>
  <c r="D558" i="8"/>
  <c r="E558" i="8" s="1"/>
  <c r="F558" i="8" s="1"/>
  <c r="J558" i="8" s="1"/>
  <c r="D515" i="8"/>
  <c r="E515" i="8" s="1"/>
  <c r="F515" i="8" s="1"/>
  <c r="J515" i="8" s="1"/>
  <c r="D1571" i="8"/>
  <c r="E1571" i="8" s="1"/>
  <c r="F1571" i="8" s="1"/>
  <c r="J1571" i="8" s="1"/>
  <c r="D796" i="8"/>
  <c r="E796" i="8" s="1"/>
  <c r="F796" i="8" s="1"/>
  <c r="D601" i="8"/>
  <c r="E601" i="8" s="1"/>
  <c r="F601" i="8" s="1"/>
  <c r="J601" i="8" s="1"/>
  <c r="D472" i="8"/>
  <c r="E472" i="8" s="1"/>
  <c r="F472" i="8" s="1"/>
  <c r="D2628" i="8"/>
  <c r="E2628" i="8" s="1"/>
  <c r="F2628" i="8" s="1"/>
  <c r="D867" i="8"/>
  <c r="E867" i="8" s="1"/>
  <c r="F867" i="8" s="1"/>
  <c r="D620" i="8"/>
  <c r="E620" i="8" s="1"/>
  <c r="F620" i="8" s="1"/>
  <c r="D514" i="8"/>
  <c r="E514" i="8" s="1"/>
  <c r="F514" i="8" s="1"/>
  <c r="D2319" i="8"/>
  <c r="E2319" i="8" s="1"/>
  <c r="F2319" i="8" s="1"/>
  <c r="J2319" i="8" s="1"/>
  <c r="D1060" i="8"/>
  <c r="E1060" i="8" s="1"/>
  <c r="F1060" i="8" s="1"/>
  <c r="D1042" i="8"/>
  <c r="E1042" i="8" s="1"/>
  <c r="F1042" i="8" s="1"/>
  <c r="J1042" i="8" s="1"/>
  <c r="D955" i="8"/>
  <c r="E955" i="8" s="1"/>
  <c r="F955" i="8" s="1"/>
  <c r="J955" i="8" s="1"/>
  <c r="D780" i="8"/>
  <c r="E780" i="8" s="1"/>
  <c r="F780" i="8" s="1"/>
  <c r="D1085" i="8"/>
  <c r="E1085" i="8" s="1"/>
  <c r="F1085" i="8" s="1"/>
  <c r="J1085" i="8" s="1"/>
  <c r="D997" i="8"/>
  <c r="E997" i="8" s="1"/>
  <c r="F997" i="8" s="1"/>
  <c r="J997" i="8" s="1"/>
  <c r="D1880" i="8"/>
  <c r="E1880" i="8" s="1"/>
  <c r="F1880" i="8" s="1"/>
  <c r="D1570" i="8"/>
  <c r="E1570" i="8" s="1"/>
  <c r="F1570" i="8" s="1"/>
  <c r="J1570" i="8" s="1"/>
  <c r="D1412" i="8"/>
  <c r="E1412" i="8" s="1"/>
  <c r="F1412" i="8" s="1"/>
  <c r="D1264" i="8"/>
  <c r="E1264" i="8" s="1"/>
  <c r="F1264" i="8" s="1"/>
  <c r="D953" i="8"/>
  <c r="E953" i="8" s="1"/>
  <c r="F953" i="8" s="1"/>
  <c r="J953" i="8" s="1"/>
  <c r="D912" i="8"/>
  <c r="E912" i="8" s="1"/>
  <c r="F912" i="8" s="1"/>
  <c r="D733" i="8"/>
  <c r="E733" i="8" s="1"/>
  <c r="F733" i="8" s="1"/>
  <c r="J733" i="8" s="1"/>
  <c r="D664" i="8"/>
  <c r="E664" i="8" s="1"/>
  <c r="F664" i="8" s="1"/>
  <c r="D428" i="8"/>
  <c r="E428" i="8" s="1"/>
  <c r="F428" i="8" s="1"/>
  <c r="D339" i="8"/>
  <c r="E339" i="8" s="1"/>
  <c r="F339" i="8" s="1"/>
  <c r="D1439" i="8"/>
  <c r="E1439" i="8" s="1"/>
  <c r="F1439" i="8" s="1"/>
  <c r="D910" i="8"/>
  <c r="E910" i="8" s="1"/>
  <c r="F910" i="8" s="1"/>
  <c r="J910" i="8" s="1"/>
  <c r="D690" i="8"/>
  <c r="E690" i="8" s="1"/>
  <c r="F690" i="8" s="1"/>
  <c r="J690" i="8" s="1"/>
  <c r="D647" i="8"/>
  <c r="E647" i="8" s="1"/>
  <c r="F647" i="8" s="1"/>
  <c r="J647" i="8" s="1"/>
  <c r="D557" i="8"/>
  <c r="E557" i="8" s="1"/>
  <c r="F557" i="8" s="1"/>
  <c r="J557" i="8" s="1"/>
  <c r="D427" i="8"/>
  <c r="E427" i="8" s="1"/>
  <c r="F427" i="8" s="1"/>
  <c r="D1129" i="8"/>
  <c r="E1129" i="8" s="1"/>
  <c r="F1129" i="8" s="1"/>
  <c r="J1129" i="8" s="1"/>
  <c r="D559" i="8"/>
  <c r="E559" i="8" s="1"/>
  <c r="F559" i="8" s="1"/>
  <c r="J559" i="8" s="1"/>
  <c r="D1368" i="8"/>
  <c r="E1368" i="8" s="1"/>
  <c r="F1368" i="8" s="1"/>
  <c r="D1307" i="8"/>
  <c r="E1307" i="8" s="1"/>
  <c r="F1307" i="8" s="1"/>
  <c r="J1307" i="8" s="1"/>
  <c r="D1175" i="8"/>
  <c r="E1175" i="8" s="1"/>
  <c r="F1175" i="8" s="1"/>
  <c r="J1175" i="8" s="1"/>
  <c r="D998" i="8"/>
  <c r="E998" i="8" s="1"/>
  <c r="F998" i="8" s="1"/>
  <c r="J998" i="8" s="1"/>
  <c r="D777" i="8"/>
  <c r="E777" i="8" s="1"/>
  <c r="F777" i="8" s="1"/>
  <c r="J777" i="8" s="1"/>
  <c r="D734" i="8"/>
  <c r="E734" i="8" s="1"/>
  <c r="F734" i="8" s="1"/>
  <c r="J734" i="8" s="1"/>
  <c r="D708" i="8"/>
  <c r="E708" i="8" s="1"/>
  <c r="F708" i="8" s="1"/>
  <c r="D604" i="8"/>
  <c r="E604" i="8" s="1"/>
  <c r="F604" i="8" s="1"/>
  <c r="D532" i="8"/>
  <c r="E532" i="8" s="1"/>
  <c r="F532" i="8" s="1"/>
  <c r="D1305" i="8"/>
  <c r="E1305" i="8" s="1"/>
  <c r="F1305" i="8" s="1"/>
  <c r="D1104" i="8"/>
  <c r="E1104" i="8" s="1"/>
  <c r="F1104" i="8" s="1"/>
  <c r="D956" i="8"/>
  <c r="E956" i="8" s="1"/>
  <c r="F956" i="8" s="1"/>
  <c r="D752" i="8"/>
  <c r="E752" i="8" s="1"/>
  <c r="F752" i="8" s="1"/>
  <c r="D884" i="8"/>
  <c r="E884" i="8" s="1"/>
  <c r="F884" i="8" s="1"/>
  <c r="D576" i="8"/>
  <c r="E576" i="8" s="1"/>
  <c r="F576" i="8" s="1"/>
  <c r="D821" i="8"/>
  <c r="E821" i="8" s="1"/>
  <c r="F821" i="8" s="1"/>
  <c r="D444" i="8"/>
  <c r="E444" i="8" s="1"/>
  <c r="F444" i="8" s="1"/>
  <c r="D426" i="8"/>
  <c r="E426" i="8" s="1"/>
  <c r="F426" i="8" s="1"/>
  <c r="J426" i="8" s="1"/>
  <c r="D425" i="8"/>
  <c r="E425" i="8" s="1"/>
  <c r="F425" i="8" s="1"/>
  <c r="J425" i="8" s="1"/>
  <c r="D224" i="8"/>
  <c r="E224" i="8" s="1"/>
  <c r="F224" i="8" s="1"/>
  <c r="D118" i="8"/>
  <c r="E118" i="8" s="1"/>
  <c r="F118" i="8" s="1"/>
  <c r="J118" i="8" s="1"/>
  <c r="D469" i="8"/>
  <c r="E469" i="8" s="1"/>
  <c r="F469" i="8" s="1"/>
  <c r="J469" i="8" s="1"/>
  <c r="D296" i="8"/>
  <c r="E296" i="8" s="1"/>
  <c r="F296" i="8" s="1"/>
  <c r="D161" i="8"/>
  <c r="E161" i="8" s="1"/>
  <c r="F161" i="8" s="1"/>
  <c r="J161" i="8" s="1"/>
  <c r="D21" i="8"/>
  <c r="D735" i="8"/>
  <c r="E735" i="8" s="1"/>
  <c r="F735" i="8" s="1"/>
  <c r="J735" i="8" s="1"/>
  <c r="D692" i="8"/>
  <c r="E692" i="8" s="1"/>
  <c r="F692" i="8" s="1"/>
  <c r="D689" i="8"/>
  <c r="E689" i="8" s="1"/>
  <c r="F689" i="8" s="1"/>
  <c r="D470" i="8"/>
  <c r="E470" i="8" s="1"/>
  <c r="F470" i="8" s="1"/>
  <c r="D340" i="8"/>
  <c r="E340" i="8" s="1"/>
  <c r="F340" i="8" s="1"/>
  <c r="D1569" i="8"/>
  <c r="E1569" i="8" s="1"/>
  <c r="F1569" i="8" s="1"/>
  <c r="J1569" i="8" s="1"/>
  <c r="D295" i="8"/>
  <c r="E295" i="8" s="1"/>
  <c r="F295" i="8" s="1"/>
  <c r="J295" i="8" s="1"/>
  <c r="D180" i="8"/>
  <c r="E180" i="8" s="1"/>
  <c r="F180" i="8" s="1"/>
  <c r="D488" i="8"/>
  <c r="E488" i="8" s="1"/>
  <c r="F488" i="8" s="1"/>
  <c r="D471" i="8"/>
  <c r="E471" i="8" s="1"/>
  <c r="F471" i="8" s="1"/>
  <c r="J471" i="8" s="1"/>
  <c r="D356" i="8"/>
  <c r="E356" i="8" s="1"/>
  <c r="F356" i="8" s="1"/>
  <c r="D252" i="8"/>
  <c r="E252" i="8" s="1"/>
  <c r="F252" i="8" s="1"/>
  <c r="D117" i="8"/>
  <c r="E117" i="8" s="1"/>
  <c r="F117" i="8" s="1"/>
  <c r="J117" i="8" s="1"/>
  <c r="D384" i="8"/>
  <c r="E384" i="8" s="1"/>
  <c r="F384" i="8" s="1"/>
  <c r="D383" i="8"/>
  <c r="E383" i="8" s="1"/>
  <c r="F383" i="8" s="1"/>
  <c r="J383" i="8" s="1"/>
  <c r="D338" i="8"/>
  <c r="E338" i="8" s="1"/>
  <c r="F338" i="8" s="1"/>
  <c r="J338" i="8" s="1"/>
  <c r="D648" i="8"/>
  <c r="E648" i="8" s="1"/>
  <c r="F648" i="8" s="1"/>
  <c r="D382" i="8"/>
  <c r="E382" i="8" s="1"/>
  <c r="F382" i="8" s="1"/>
  <c r="D294" i="8"/>
  <c r="E294" i="8" s="1"/>
  <c r="F294" i="8" s="1"/>
  <c r="J294" i="8" s="1"/>
  <c r="D251" i="8"/>
  <c r="E251" i="8" s="1"/>
  <c r="F251" i="8" s="1"/>
  <c r="D136" i="8"/>
  <c r="E136" i="8" s="1"/>
  <c r="F136" i="8" s="1"/>
  <c r="D824" i="8"/>
  <c r="E824" i="8" s="1"/>
  <c r="F824" i="8" s="1"/>
  <c r="D381" i="8"/>
  <c r="E381" i="8" s="1"/>
  <c r="F381" i="8" s="1"/>
  <c r="J381" i="8" s="1"/>
  <c r="D163" i="8"/>
  <c r="E163" i="8" s="1"/>
  <c r="F163" i="8" s="1"/>
  <c r="J163" i="8" s="1"/>
  <c r="D1482" i="8"/>
  <c r="E1482" i="8" s="1"/>
  <c r="F1482" i="8" s="1"/>
  <c r="J1482" i="8" s="1"/>
  <c r="D954" i="8"/>
  <c r="E954" i="8" s="1"/>
  <c r="F954" i="8" s="1"/>
  <c r="D4" i="6"/>
  <c r="E4" i="6" s="1"/>
  <c r="F4" i="6" s="1"/>
  <c r="D516" i="8"/>
  <c r="E516" i="8" s="1"/>
  <c r="F516" i="8" s="1"/>
  <c r="D3" i="6"/>
  <c r="E3" i="6" s="1"/>
  <c r="F3" i="6" s="1"/>
  <c r="D92" i="8"/>
  <c r="E92" i="8" s="1"/>
  <c r="F92" i="8" s="1"/>
  <c r="D1000" i="8"/>
  <c r="E1000" i="8" s="1"/>
  <c r="F1000" i="8" s="1"/>
  <c r="D400" i="8"/>
  <c r="E400" i="8" s="1"/>
  <c r="F400" i="8" s="1"/>
  <c r="D250" i="8"/>
  <c r="E250" i="8" s="1"/>
  <c r="F250" i="8" s="1"/>
  <c r="J250" i="8" s="1"/>
  <c r="D208" i="8"/>
  <c r="E208" i="8" s="1"/>
  <c r="F208" i="8" s="1"/>
  <c r="D312" i="8"/>
  <c r="E312" i="8" s="1"/>
  <c r="F312" i="8" s="1"/>
  <c r="D207" i="8"/>
  <c r="E207" i="8" s="1"/>
  <c r="F207" i="8" s="1"/>
  <c r="D1526" i="8"/>
  <c r="E1526" i="8" s="1"/>
  <c r="F1526" i="8" s="1"/>
  <c r="D603" i="8"/>
  <c r="E603" i="8" s="1"/>
  <c r="F603" i="8" s="1"/>
  <c r="D1263" i="8"/>
  <c r="E1263" i="8" s="1"/>
  <c r="F1263" i="8" s="1"/>
  <c r="J1263" i="8" s="1"/>
  <c r="D268" i="8"/>
  <c r="E268" i="8" s="1"/>
  <c r="F268" i="8" s="1"/>
  <c r="D120" i="8"/>
  <c r="E120" i="8" s="1"/>
  <c r="F120" i="8" s="1"/>
  <c r="D22" i="6"/>
  <c r="E22" i="6" s="1"/>
  <c r="F22" i="6" s="1"/>
  <c r="D778" i="8"/>
  <c r="E778" i="8" s="1"/>
  <c r="F778" i="8" s="1"/>
  <c r="J778" i="8" s="1"/>
  <c r="D646" i="8"/>
  <c r="E646" i="8" s="1"/>
  <c r="F646" i="8" s="1"/>
  <c r="J646" i="8" s="1"/>
  <c r="D162" i="8"/>
  <c r="E162" i="8" s="1"/>
  <c r="F162" i="8" s="1"/>
  <c r="J162" i="8" s="1"/>
  <c r="D840" i="8"/>
  <c r="E840" i="8" s="1"/>
  <c r="F840" i="8" s="1"/>
  <c r="D6" i="6"/>
  <c r="E6" i="6" s="1"/>
  <c r="F6" i="6" s="1"/>
  <c r="D5" i="6"/>
  <c r="E5" i="6" s="1"/>
  <c r="F5" i="6" s="1"/>
  <c r="D1041" i="8"/>
  <c r="E1041" i="8" s="1"/>
  <c r="F1041" i="8" s="1"/>
  <c r="J1041" i="8" s="1"/>
  <c r="D868" i="8"/>
  <c r="E868" i="8" s="1"/>
  <c r="F868" i="8" s="1"/>
  <c r="D76" i="8"/>
  <c r="E76" i="8" s="1"/>
  <c r="F76" i="8" s="1"/>
  <c r="D882" i="8"/>
  <c r="E882" i="8" s="1"/>
  <c r="F882" i="8" s="1"/>
  <c r="D1001" i="8"/>
  <c r="E1001" i="8" s="1"/>
  <c r="F1001" i="8" s="1"/>
  <c r="J1001" i="8" s="1"/>
  <c r="D74" i="8"/>
  <c r="E74" i="8" s="1"/>
  <c r="F74" i="8" s="1"/>
  <c r="J74" i="8" s="1"/>
  <c r="D206" i="8"/>
  <c r="E206" i="8" s="1"/>
  <c r="F206" i="8" s="1"/>
  <c r="J206" i="8" s="1"/>
  <c r="M17" i="11"/>
  <c r="M42" i="11"/>
  <c r="M39" i="11"/>
  <c r="M36" i="11"/>
  <c r="M33" i="11"/>
  <c r="M30" i="11"/>
  <c r="M27" i="11"/>
  <c r="M24" i="11"/>
  <c r="M21" i="11"/>
  <c r="M5" i="11"/>
  <c r="M23" i="11"/>
  <c r="M15" i="11"/>
  <c r="M26" i="11"/>
  <c r="M11" i="11"/>
  <c r="M6" i="11"/>
  <c r="M22" i="11"/>
  <c r="M32" i="11"/>
  <c r="M35" i="11"/>
  <c r="M38" i="11"/>
  <c r="M25" i="11"/>
  <c r="M7" i="11"/>
  <c r="M31" i="11"/>
  <c r="M18" i="11"/>
  <c r="M13" i="11"/>
  <c r="M41" i="11"/>
  <c r="M34" i="11"/>
  <c r="M8" i="11"/>
  <c r="M14" i="11"/>
  <c r="M12" i="11"/>
  <c r="M20" i="11"/>
  <c r="B65" i="5" s="1"/>
  <c r="M29" i="11"/>
  <c r="B45" i="5" s="1"/>
  <c r="M10" i="11"/>
  <c r="M37" i="11"/>
  <c r="M16" i="11"/>
  <c r="M28" i="11"/>
  <c r="M40" i="11"/>
  <c r="H3138" i="8"/>
  <c r="H3094" i="8"/>
  <c r="H2874" i="8"/>
  <c r="H3050" i="8"/>
  <c r="H2728" i="8"/>
  <c r="H3182" i="8"/>
  <c r="H2962" i="8"/>
  <c r="H2684" i="8"/>
  <c r="H2640" i="8"/>
  <c r="H2830" i="8"/>
  <c r="H2786" i="8"/>
  <c r="H2596" i="8"/>
  <c r="H2420" i="8"/>
  <c r="H2156" i="8"/>
  <c r="H2918" i="8"/>
  <c r="H2464" i="8"/>
  <c r="H2508" i="8"/>
  <c r="H2376" i="8"/>
  <c r="H3006" i="8"/>
  <c r="H2332" i="8"/>
  <c r="H2024" i="8"/>
  <c r="H2288" i="8"/>
  <c r="H2244" i="8"/>
  <c r="H2068" i="8"/>
  <c r="H1936" i="8"/>
  <c r="H2112" i="8"/>
  <c r="H2200" i="8"/>
  <c r="H1672" i="8"/>
  <c r="H1760" i="8"/>
  <c r="H1848" i="8"/>
  <c r="H1408" i="8"/>
  <c r="H2552" i="8"/>
  <c r="H1804" i="8"/>
  <c r="H1364" i="8"/>
  <c r="H1496" i="8"/>
  <c r="H1452" i="8"/>
  <c r="H1144" i="8"/>
  <c r="H1892" i="8"/>
  <c r="H1980" i="8"/>
  <c r="H1320" i="8"/>
  <c r="H1276" i="8"/>
  <c r="H1100" i="8"/>
  <c r="H836" i="8"/>
  <c r="H1716" i="8"/>
  <c r="H572" i="8"/>
  <c r="H748" i="8"/>
  <c r="H968" i="8"/>
  <c r="H704" i="8"/>
  <c r="H528" i="8"/>
  <c r="H792" i="8"/>
  <c r="H1584" i="8"/>
  <c r="H1232" i="8"/>
  <c r="H1188" i="8"/>
  <c r="H88" i="8"/>
  <c r="H660" i="8"/>
  <c r="H484" i="8"/>
  <c r="H440" i="8"/>
  <c r="H1540" i="8"/>
  <c r="H1628" i="8"/>
  <c r="H132" i="8"/>
  <c r="H1012" i="8"/>
  <c r="H220" i="8"/>
  <c r="H308" i="8"/>
  <c r="H264" i="8"/>
  <c r="H880" i="8"/>
  <c r="H924" i="8"/>
  <c r="H176" i="8"/>
  <c r="H616" i="8"/>
  <c r="H352" i="8"/>
  <c r="G3015" i="8"/>
  <c r="G3103" i="8"/>
  <c r="G2737" i="8"/>
  <c r="G2517" i="8"/>
  <c r="G3147" i="8"/>
  <c r="G3059" i="8"/>
  <c r="G2605" i="8"/>
  <c r="G3191" i="8"/>
  <c r="G2883" i="8"/>
  <c r="G2795" i="8"/>
  <c r="G2297" i="8"/>
  <c r="G2033" i="8"/>
  <c r="G2649" i="8"/>
  <c r="G2561" i="8"/>
  <c r="G2839" i="8"/>
  <c r="G2927" i="8"/>
  <c r="G2341" i="8"/>
  <c r="G2693" i="8"/>
  <c r="G2385" i="8"/>
  <c r="G2429" i="8"/>
  <c r="G2165" i="8"/>
  <c r="G2473" i="8"/>
  <c r="G2077" i="8"/>
  <c r="G2121" i="8"/>
  <c r="G2253" i="8"/>
  <c r="G1901" i="8"/>
  <c r="G1857" i="8"/>
  <c r="G1813" i="8"/>
  <c r="G2971" i="8"/>
  <c r="G1769" i="8"/>
  <c r="G1549" i="8"/>
  <c r="G1285" i="8"/>
  <c r="G1505" i="8"/>
  <c r="G1725" i="8"/>
  <c r="G2209" i="8"/>
  <c r="G1021" i="8"/>
  <c r="G977" i="8"/>
  <c r="G1417" i="8"/>
  <c r="G1329" i="8"/>
  <c r="G1197" i="8"/>
  <c r="G669" i="8"/>
  <c r="G1461" i="8"/>
  <c r="G933" i="8"/>
  <c r="G405" i="8"/>
  <c r="G889" i="8"/>
  <c r="G1989" i="8"/>
  <c r="G1637" i="8"/>
  <c r="G1241" i="8"/>
  <c r="G1681" i="8"/>
  <c r="G845" i="8"/>
  <c r="G1153" i="8"/>
  <c r="G625" i="8"/>
  <c r="G1109" i="8"/>
  <c r="G757" i="8"/>
  <c r="G229" i="8"/>
  <c r="G1373" i="8"/>
  <c r="G713" i="8"/>
  <c r="G185" i="8"/>
  <c r="G581" i="8"/>
  <c r="G537" i="8"/>
  <c r="G361" i="8"/>
  <c r="G317" i="8"/>
  <c r="G1945" i="8"/>
  <c r="G141" i="8"/>
  <c r="G1065" i="8"/>
  <c r="G801" i="8"/>
  <c r="G493" i="8"/>
  <c r="D80" i="8"/>
  <c r="E80" i="8" s="1"/>
  <c r="F80" i="8" s="1"/>
  <c r="J80" i="8" s="1"/>
  <c r="D267" i="8"/>
  <c r="E267" i="8" s="1"/>
  <c r="F267" i="8" s="1"/>
  <c r="J1131" i="8"/>
  <c r="G3189" i="8"/>
  <c r="G3145" i="8"/>
  <c r="G3101" i="8"/>
  <c r="G2837" i="8"/>
  <c r="G3013" i="8"/>
  <c r="G2691" i="8"/>
  <c r="G2925" i="8"/>
  <c r="G3057" i="8"/>
  <c r="G2603" i="8"/>
  <c r="G2969" i="8"/>
  <c r="G2559" i="8"/>
  <c r="G2793" i="8"/>
  <c r="G2647" i="8"/>
  <c r="G2881" i="8"/>
  <c r="G2383" i="8"/>
  <c r="G2119" i="8"/>
  <c r="G2471" i="8"/>
  <c r="G2427" i="8"/>
  <c r="G2735" i="8"/>
  <c r="G2339" i="8"/>
  <c r="G2515" i="8"/>
  <c r="G1987" i="8"/>
  <c r="G1899" i="8"/>
  <c r="G2163" i="8"/>
  <c r="G2295" i="8"/>
  <c r="G2251" i="8"/>
  <c r="G2075" i="8"/>
  <c r="G2207" i="8"/>
  <c r="G2031" i="8"/>
  <c r="G1855" i="8"/>
  <c r="G1767" i="8"/>
  <c r="G1811" i="8"/>
  <c r="G1371" i="8"/>
  <c r="G1723" i="8"/>
  <c r="G1591" i="8"/>
  <c r="G1327" i="8"/>
  <c r="G1459" i="8"/>
  <c r="G1503" i="8"/>
  <c r="G1943" i="8"/>
  <c r="G1107" i="8"/>
  <c r="G1283" i="8"/>
  <c r="G1415" i="8"/>
  <c r="G1063" i="8"/>
  <c r="G755" i="8"/>
  <c r="G491" i="8"/>
  <c r="G975" i="8"/>
  <c r="G711" i="8"/>
  <c r="G1635" i="8"/>
  <c r="G667" i="8"/>
  <c r="G843" i="8"/>
  <c r="G1151" i="8"/>
  <c r="G535" i="8"/>
  <c r="G1547" i="8"/>
  <c r="G931" i="8"/>
  <c r="G403" i="8"/>
  <c r="G1239" i="8"/>
  <c r="G579" i="8"/>
  <c r="G271" i="8"/>
  <c r="G1195" i="8"/>
  <c r="G623" i="8"/>
  <c r="G359" i="8"/>
  <c r="G315" i="8"/>
  <c r="G447" i="8"/>
  <c r="G1019" i="8"/>
  <c r="G887" i="8"/>
  <c r="G799" i="8"/>
  <c r="G1679" i="8"/>
  <c r="G139" i="8"/>
  <c r="C64" i="8"/>
  <c r="C105" i="7" s="1"/>
  <c r="B64" i="8"/>
  <c r="B105" i="7" s="1"/>
  <c r="C61" i="8"/>
  <c r="C102" i="7" s="1"/>
  <c r="B65" i="8"/>
  <c r="B106" i="7" s="1"/>
  <c r="B62" i="8"/>
  <c r="B103" i="7" s="1"/>
  <c r="C66" i="8"/>
  <c r="C107" i="7" s="1"/>
  <c r="B63" i="8"/>
  <c r="B104" i="7" s="1"/>
  <c r="A65" i="8"/>
  <c r="A106" i="7" s="1"/>
  <c r="A62" i="8"/>
  <c r="A103" i="7" s="1"/>
  <c r="B67" i="8"/>
  <c r="B108" i="7" s="1"/>
  <c r="A61" i="8"/>
  <c r="A102" i="7" s="1"/>
  <c r="B66" i="8"/>
  <c r="B107" i="7" s="1"/>
  <c r="A67" i="8"/>
  <c r="A108" i="7" s="1"/>
  <c r="C67" i="8"/>
  <c r="C108" i="7" s="1"/>
  <c r="B61" i="8"/>
  <c r="B102" i="7" s="1"/>
  <c r="A64" i="8"/>
  <c r="A105" i="7" s="1"/>
  <c r="C60" i="8"/>
  <c r="C101" i="7" s="1"/>
  <c r="C63" i="8"/>
  <c r="C104" i="7" s="1"/>
  <c r="D1367" i="8"/>
  <c r="E1367" i="8" s="1"/>
  <c r="F1367" i="8" s="1"/>
  <c r="U670" i="8"/>
  <c r="S670" i="8"/>
  <c r="E14" i="8"/>
  <c r="D14" i="8"/>
  <c r="D7" i="6"/>
  <c r="E7" i="6" s="1"/>
  <c r="F7" i="6" s="1"/>
  <c r="D119" i="8"/>
  <c r="E119" i="8" s="1"/>
  <c r="F119" i="8" s="1"/>
  <c r="J119" i="8" s="1"/>
  <c r="D429" i="8"/>
  <c r="E429" i="8" s="1"/>
  <c r="F429" i="8" s="1"/>
  <c r="J429" i="8" s="1"/>
  <c r="D125" i="8"/>
  <c r="E125" i="8" s="1"/>
  <c r="H223" i="8"/>
  <c r="D10" i="6"/>
  <c r="E10" i="6" s="1"/>
  <c r="F10" i="6" s="1"/>
  <c r="H3188" i="8"/>
  <c r="H2880" i="8"/>
  <c r="H3012" i="8"/>
  <c r="H2924" i="8"/>
  <c r="H2690" i="8"/>
  <c r="H3056" i="8"/>
  <c r="H2470" i="8"/>
  <c r="H2382" i="8"/>
  <c r="H2514" i="8"/>
  <c r="H2792" i="8"/>
  <c r="H3100" i="8"/>
  <c r="H2734" i="8"/>
  <c r="H2836" i="8"/>
  <c r="H2206" i="8"/>
  <c r="H2294" i="8"/>
  <c r="H1942" i="8"/>
  <c r="H2426" i="8"/>
  <c r="H2250" i="8"/>
  <c r="H1986" i="8"/>
  <c r="H2162" i="8"/>
  <c r="H1898" i="8"/>
  <c r="H2646" i="8"/>
  <c r="H2602" i="8"/>
  <c r="H2074" i="8"/>
  <c r="H3144" i="8"/>
  <c r="H2558" i="8"/>
  <c r="H1810" i="8"/>
  <c r="H1766" i="8"/>
  <c r="H1414" i="8"/>
  <c r="H1722" i="8"/>
  <c r="H1370" i="8"/>
  <c r="H2030" i="8"/>
  <c r="H2338" i="8"/>
  <c r="H1678" i="8"/>
  <c r="H2968" i="8"/>
  <c r="H1590" i="8"/>
  <c r="H1326" i="8"/>
  <c r="H1282" i="8"/>
  <c r="H1458" i="8"/>
  <c r="H1106" i="8"/>
  <c r="H842" i="8"/>
  <c r="H2118" i="8"/>
  <c r="H1634" i="8"/>
  <c r="H1062" i="8"/>
  <c r="H798" i="8"/>
  <c r="H1150" i="8"/>
  <c r="H754" i="8"/>
  <c r="H1854" i="8"/>
  <c r="H930" i="8"/>
  <c r="H710" i="8"/>
  <c r="H886" i="8"/>
  <c r="H666" i="8"/>
  <c r="H1238" i="8"/>
  <c r="H534" i="8"/>
  <c r="H1194" i="8"/>
  <c r="H1018" i="8"/>
  <c r="H974" i="8"/>
  <c r="H622" i="8"/>
  <c r="H1502" i="8"/>
  <c r="H578" i="8"/>
  <c r="H94" i="8"/>
  <c r="H402" i="8"/>
  <c r="H270" i="8"/>
  <c r="H1546" i="8"/>
  <c r="H446" i="8"/>
  <c r="H490" i="8"/>
  <c r="H138" i="8"/>
  <c r="H182" i="8"/>
  <c r="H226" i="8"/>
  <c r="H311" i="8"/>
  <c r="D1310" i="8"/>
  <c r="E1310" i="8" s="1"/>
  <c r="F1310" i="8" s="1"/>
  <c r="J1310" i="8" s="1"/>
  <c r="D513" i="8"/>
  <c r="E513" i="8" s="1"/>
  <c r="F513" i="8" s="1"/>
  <c r="J513" i="8" s="1"/>
  <c r="D1176" i="8"/>
  <c r="E1176" i="8" s="1"/>
  <c r="F1176" i="8" s="1"/>
  <c r="G3192" i="8"/>
  <c r="G3148" i="8"/>
  <c r="G3060" i="8"/>
  <c r="G2972" i="8"/>
  <c r="G2840" i="8"/>
  <c r="G3104" i="8"/>
  <c r="G2694" i="8"/>
  <c r="G2796" i="8"/>
  <c r="G2606" i="8"/>
  <c r="G2518" i="8"/>
  <c r="G3016" i="8"/>
  <c r="G2562" i="8"/>
  <c r="G2928" i="8"/>
  <c r="G2884" i="8"/>
  <c r="G2386" i="8"/>
  <c r="G2122" i="8"/>
  <c r="G2738" i="8"/>
  <c r="G2474" i="8"/>
  <c r="G2298" i="8"/>
  <c r="G2650" i="8"/>
  <c r="G2034" i="8"/>
  <c r="G2210" i="8"/>
  <c r="G1902" i="8"/>
  <c r="G1990" i="8"/>
  <c r="G2430" i="8"/>
  <c r="G2342" i="8"/>
  <c r="G2166" i="8"/>
  <c r="G1814" i="8"/>
  <c r="G1946" i="8"/>
  <c r="G2254" i="8"/>
  <c r="G2078" i="8"/>
  <c r="G1374" i="8"/>
  <c r="G1594" i="8"/>
  <c r="G1330" i="8"/>
  <c r="G1858" i="8"/>
  <c r="G1682" i="8"/>
  <c r="G1550" i="8"/>
  <c r="G1286" i="8"/>
  <c r="G1638" i="8"/>
  <c r="G1770" i="8"/>
  <c r="G1462" i="8"/>
  <c r="G1418" i="8"/>
  <c r="G1198" i="8"/>
  <c r="G1110" i="8"/>
  <c r="G1066" i="8"/>
  <c r="G1242" i="8"/>
  <c r="G802" i="8"/>
  <c r="G1506" i="8"/>
  <c r="G758" i="8"/>
  <c r="G494" i="8"/>
  <c r="G1022" i="8"/>
  <c r="G714" i="8"/>
  <c r="G846" i="8"/>
  <c r="G1154" i="8"/>
  <c r="G362" i="8"/>
  <c r="G978" i="8"/>
  <c r="G934" i="8"/>
  <c r="G318" i="8"/>
  <c r="G626" i="8"/>
  <c r="G1726" i="8"/>
  <c r="G450" i="8"/>
  <c r="G406" i="8"/>
  <c r="G274" i="8"/>
  <c r="G538" i="8"/>
  <c r="G98" i="8"/>
  <c r="G670" i="8"/>
  <c r="G890" i="8"/>
  <c r="G230" i="8"/>
  <c r="G186" i="8"/>
  <c r="G582" i="8"/>
  <c r="D8" i="6"/>
  <c r="E8" i="6" s="1"/>
  <c r="F8" i="6" s="1"/>
  <c r="E21" i="8"/>
  <c r="B39" i="2"/>
  <c r="B40" i="2"/>
  <c r="E13" i="8"/>
  <c r="D13" i="8"/>
  <c r="D11" i="6"/>
  <c r="E11" i="6" s="1"/>
  <c r="H3145" i="8"/>
  <c r="H3101" i="8"/>
  <c r="H2837" i="8"/>
  <c r="H3013" i="8"/>
  <c r="H2925" i="8"/>
  <c r="H2603" i="8"/>
  <c r="H3189" i="8"/>
  <c r="H2691" i="8"/>
  <c r="H2793" i="8"/>
  <c r="H2881" i="8"/>
  <c r="H2647" i="8"/>
  <c r="H2471" i="8"/>
  <c r="H2383" i="8"/>
  <c r="H2119" i="8"/>
  <c r="H2339" i="8"/>
  <c r="H3057" i="8"/>
  <c r="H2969" i="8"/>
  <c r="H2515" i="8"/>
  <c r="H2559" i="8"/>
  <c r="H2427" i="8"/>
  <c r="H1987" i="8"/>
  <c r="H2163" i="8"/>
  <c r="H2295" i="8"/>
  <c r="H2251" i="8"/>
  <c r="H2075" i="8"/>
  <c r="H2207" i="8"/>
  <c r="H1899" i="8"/>
  <c r="H1855" i="8"/>
  <c r="H1767" i="8"/>
  <c r="H1811" i="8"/>
  <c r="H1371" i="8"/>
  <c r="H1723" i="8"/>
  <c r="H1591" i="8"/>
  <c r="H1327" i="8"/>
  <c r="H1503" i="8"/>
  <c r="H1943" i="8"/>
  <c r="H1107" i="8"/>
  <c r="H2031" i="8"/>
  <c r="H1283" i="8"/>
  <c r="H1415" i="8"/>
  <c r="H1063" i="8"/>
  <c r="H1459" i="8"/>
  <c r="H1019" i="8"/>
  <c r="H755" i="8"/>
  <c r="H2735" i="8"/>
  <c r="H491" i="8"/>
  <c r="H975" i="8"/>
  <c r="H711" i="8"/>
  <c r="H1635" i="8"/>
  <c r="H667" i="8"/>
  <c r="H931" i="8"/>
  <c r="H887" i="8"/>
  <c r="H843" i="8"/>
  <c r="H1151" i="8"/>
  <c r="H535" i="8"/>
  <c r="H315" i="8"/>
  <c r="H1547" i="8"/>
  <c r="H403" i="8"/>
  <c r="H1239" i="8"/>
  <c r="H579" i="8"/>
  <c r="H271" i="8"/>
  <c r="H1195" i="8"/>
  <c r="H623" i="8"/>
  <c r="H227" i="8"/>
  <c r="H799" i="8"/>
  <c r="H139" i="8"/>
  <c r="H1679" i="8"/>
  <c r="H447" i="8"/>
  <c r="H183" i="8"/>
  <c r="H95" i="8"/>
  <c r="D205" i="8"/>
  <c r="E205" i="8" s="1"/>
  <c r="F205" i="8" s="1"/>
  <c r="J205" i="8" s="1"/>
  <c r="D293" i="8"/>
  <c r="E293" i="8" s="1"/>
  <c r="F293" i="8" s="1"/>
  <c r="J293" i="8" s="1"/>
  <c r="E11" i="8"/>
  <c r="D11" i="8"/>
  <c r="D21" i="6"/>
  <c r="E21" i="6" s="1"/>
  <c r="F21" i="6" s="1"/>
  <c r="D166" i="8"/>
  <c r="E166" i="8" s="1"/>
  <c r="F166" i="8" s="1"/>
  <c r="D602" i="8"/>
  <c r="E602" i="8" s="1"/>
  <c r="F602" i="8" s="1"/>
  <c r="J602" i="8" s="1"/>
  <c r="D736" i="8"/>
  <c r="E736" i="8" s="1"/>
  <c r="F736" i="8" s="1"/>
  <c r="D918" i="8"/>
  <c r="E918" i="8" s="1"/>
  <c r="F918" i="8" s="1"/>
  <c r="J3125" i="8"/>
  <c r="J3086" i="8"/>
  <c r="J2819" i="8"/>
  <c r="J2816" i="8"/>
  <c r="J2860" i="8"/>
  <c r="J2904" i="8"/>
  <c r="J2992" i="8"/>
  <c r="J3172" i="8"/>
  <c r="J2714" i="8"/>
  <c r="J2585" i="8"/>
  <c r="J2539" i="8"/>
  <c r="J2776" i="8"/>
  <c r="J2542" i="8"/>
  <c r="J2866" i="8"/>
  <c r="J2822" i="8"/>
  <c r="J2998" i="8"/>
  <c r="J2629" i="8"/>
  <c r="J2586" i="8"/>
  <c r="J2907" i="8"/>
  <c r="J2098" i="8"/>
  <c r="J2632" i="8"/>
  <c r="J2322" i="8"/>
  <c r="J2141" i="8"/>
  <c r="J2058" i="8"/>
  <c r="J2674" i="8"/>
  <c r="J2820" i="8"/>
  <c r="J2321" i="8"/>
  <c r="J2236" i="8"/>
  <c r="J2449" i="8"/>
  <c r="J2230" i="8"/>
  <c r="J2676" i="8"/>
  <c r="J2863" i="8"/>
  <c r="J2497" i="8"/>
  <c r="J2234" i="8"/>
  <c r="J3039" i="8"/>
  <c r="J2493" i="8"/>
  <c r="J2148" i="8"/>
  <c r="J2410" i="8"/>
  <c r="J2060" i="8"/>
  <c r="J2010" i="8"/>
  <c r="J2673" i="8"/>
  <c r="J2014" i="8"/>
  <c r="J1926" i="8"/>
  <c r="J2273" i="8"/>
  <c r="J2143" i="8"/>
  <c r="J2099" i="8"/>
  <c r="J2908" i="8"/>
  <c r="J1620" i="8"/>
  <c r="J2229" i="8"/>
  <c r="J1794" i="8"/>
  <c r="J1969" i="8"/>
  <c r="J1928" i="8"/>
  <c r="J1884" i="8"/>
  <c r="J1617" i="8"/>
  <c r="J1532" i="8"/>
  <c r="J1268" i="8"/>
  <c r="J1657" i="8"/>
  <c r="J1393" i="8"/>
  <c r="J1882" i="8"/>
  <c r="J1706" i="8"/>
  <c r="J1705" i="8"/>
  <c r="J1664" i="8"/>
  <c r="J1488" i="8"/>
  <c r="J1309" i="8"/>
  <c r="J1349" i="8"/>
  <c r="J1923" i="8"/>
  <c r="J1965" i="8"/>
  <c r="J1222" i="8"/>
  <c r="J1752" i="8"/>
  <c r="J1486" i="8"/>
  <c r="J2412" i="8"/>
  <c r="J1881" i="8"/>
  <c r="J1529" i="8"/>
  <c r="J1262" i="8"/>
  <c r="J1086" i="8"/>
  <c r="J1004" i="8"/>
  <c r="J1525" i="8"/>
  <c r="J1054" i="8"/>
  <c r="J832" i="8"/>
  <c r="J1221" i="8"/>
  <c r="J1141" i="8"/>
  <c r="J959" i="8"/>
  <c r="J1659" i="8"/>
  <c r="J1354" i="8"/>
  <c r="J916" i="8"/>
  <c r="J865" i="8"/>
  <c r="J957" i="8"/>
  <c r="J1438" i="8"/>
  <c r="J825" i="8"/>
  <c r="J470" i="8"/>
  <c r="J666" i="8"/>
  <c r="J958" i="8"/>
  <c r="J1615" i="8"/>
  <c r="J1133" i="8"/>
  <c r="J954" i="8"/>
  <c r="J1136" i="8"/>
  <c r="J1092" i="8"/>
  <c r="J1224" i="8"/>
  <c r="J1398" i="8"/>
  <c r="J1305" i="8"/>
  <c r="J1134" i="8"/>
  <c r="J867" i="8"/>
  <c r="J652" i="8"/>
  <c r="J480" i="8"/>
  <c r="J1090" i="8"/>
  <c r="J821" i="8"/>
  <c r="J872" i="8"/>
  <c r="J251" i="8"/>
  <c r="J518" i="8"/>
  <c r="J382" i="8"/>
  <c r="J116" i="8"/>
  <c r="J73" i="8"/>
  <c r="J262" i="8"/>
  <c r="J645" i="8"/>
  <c r="J391" i="8"/>
  <c r="J253" i="8"/>
  <c r="J207" i="8"/>
  <c r="J520" i="8"/>
  <c r="J514" i="8"/>
  <c r="J387" i="8"/>
  <c r="J226" i="8"/>
  <c r="J1394" i="8"/>
  <c r="B6" i="7"/>
  <c r="J1526" i="8"/>
  <c r="J603" i="8"/>
  <c r="J339" i="8"/>
  <c r="J166" i="8"/>
  <c r="J427" i="8"/>
  <c r="J256" i="8"/>
  <c r="J174" i="8"/>
  <c r="J358" i="8"/>
  <c r="J350" i="8"/>
  <c r="J75" i="8"/>
  <c r="J869" i="8"/>
  <c r="J605" i="8"/>
  <c r="J304" i="8"/>
  <c r="J650" i="8"/>
  <c r="J344" i="8"/>
  <c r="J689" i="8"/>
  <c r="E25" i="8"/>
  <c r="J432" i="8"/>
  <c r="D25" i="8"/>
  <c r="J1439" i="8"/>
  <c r="J1048" i="8"/>
  <c r="E26" i="8"/>
  <c r="D26" i="8"/>
  <c r="D3137" i="8"/>
  <c r="E3137" i="8" s="1"/>
  <c r="F3137" i="8" s="1"/>
  <c r="D3182" i="8"/>
  <c r="E3182" i="8" s="1"/>
  <c r="D2962" i="8"/>
  <c r="E2962" i="8" s="1"/>
  <c r="D2873" i="8"/>
  <c r="E2873" i="8" s="1"/>
  <c r="F2873" i="8" s="1"/>
  <c r="D3181" i="8"/>
  <c r="E3181" i="8" s="1"/>
  <c r="F3181" i="8" s="1"/>
  <c r="D3006" i="8"/>
  <c r="E3006" i="8" s="1"/>
  <c r="D2961" i="8"/>
  <c r="E2961" i="8" s="1"/>
  <c r="F2961" i="8" s="1"/>
  <c r="D2874" i="8"/>
  <c r="E2874" i="8" s="1"/>
  <c r="D2639" i="8"/>
  <c r="E2639" i="8" s="1"/>
  <c r="F2639" i="8" s="1"/>
  <c r="D3005" i="8"/>
  <c r="E3005" i="8" s="1"/>
  <c r="F3005" i="8" s="1"/>
  <c r="D2728" i="8"/>
  <c r="E2728" i="8" s="1"/>
  <c r="D3093" i="8"/>
  <c r="E3093" i="8" s="1"/>
  <c r="F3093" i="8" s="1"/>
  <c r="D2552" i="8"/>
  <c r="E2552" i="8" s="1"/>
  <c r="D2830" i="8"/>
  <c r="E2830" i="8" s="1"/>
  <c r="D2785" i="8"/>
  <c r="E2785" i="8" s="1"/>
  <c r="F2785" i="8" s="1"/>
  <c r="D3049" i="8"/>
  <c r="E3049" i="8" s="1"/>
  <c r="F3049" i="8" s="1"/>
  <c r="D2917" i="8"/>
  <c r="E2917" i="8" s="1"/>
  <c r="F2917" i="8" s="1"/>
  <c r="D2727" i="8"/>
  <c r="E2727" i="8" s="1"/>
  <c r="F2727" i="8" s="1"/>
  <c r="D2595" i="8"/>
  <c r="E2595" i="8" s="1"/>
  <c r="F2595" i="8" s="1"/>
  <c r="D2419" i="8"/>
  <c r="E2419" i="8" s="1"/>
  <c r="F2419" i="8" s="1"/>
  <c r="D2155" i="8"/>
  <c r="E2155" i="8" s="1"/>
  <c r="F2155" i="8" s="1"/>
  <c r="D2200" i="8"/>
  <c r="E2200" i="8" s="1"/>
  <c r="D2829" i="8"/>
  <c r="E2829" i="8" s="1"/>
  <c r="F2829" i="8" s="1"/>
  <c r="D2551" i="8"/>
  <c r="E2551" i="8" s="1"/>
  <c r="F2551" i="8" s="1"/>
  <c r="D2375" i="8"/>
  <c r="E2375" i="8" s="1"/>
  <c r="F2375" i="8" s="1"/>
  <c r="D3138" i="8"/>
  <c r="E3138" i="8" s="1"/>
  <c r="D2918" i="8"/>
  <c r="E2918" i="8" s="1"/>
  <c r="D2640" i="8"/>
  <c r="E2640" i="8" s="1"/>
  <c r="D3094" i="8"/>
  <c r="E3094" i="8" s="1"/>
  <c r="D2683" i="8"/>
  <c r="E2683" i="8" s="1"/>
  <c r="F2683" i="8" s="1"/>
  <c r="D2420" i="8"/>
  <c r="E2420" i="8" s="1"/>
  <c r="D2464" i="8"/>
  <c r="E2464" i="8" s="1"/>
  <c r="D3050" i="8"/>
  <c r="E3050" i="8" s="1"/>
  <c r="D2786" i="8"/>
  <c r="E2786" i="8" s="1"/>
  <c r="D2331" i="8"/>
  <c r="E2331" i="8" s="1"/>
  <c r="F2331" i="8" s="1"/>
  <c r="D2508" i="8"/>
  <c r="E2508" i="8" s="1"/>
  <c r="D2376" i="8"/>
  <c r="E2376" i="8" s="1"/>
  <c r="D2684" i="8"/>
  <c r="E2684" i="8" s="1"/>
  <c r="D2596" i="8"/>
  <c r="E2596" i="8" s="1"/>
  <c r="D2067" i="8"/>
  <c r="E2067" i="8" s="1"/>
  <c r="F2067" i="8" s="1"/>
  <c r="D2332" i="8"/>
  <c r="E2332" i="8" s="1"/>
  <c r="D1935" i="8"/>
  <c r="E1935" i="8" s="1"/>
  <c r="F1935" i="8" s="1"/>
  <c r="D2111" i="8"/>
  <c r="E2111" i="8" s="1"/>
  <c r="F2111" i="8" s="1"/>
  <c r="D1980" i="8"/>
  <c r="E1980" i="8" s="1"/>
  <c r="D2463" i="8"/>
  <c r="E2463" i="8" s="1"/>
  <c r="F2463" i="8" s="1"/>
  <c r="D2288" i="8"/>
  <c r="E2288" i="8" s="1"/>
  <c r="D2024" i="8"/>
  <c r="E2024" i="8" s="1"/>
  <c r="D2244" i="8"/>
  <c r="E2244" i="8" s="1"/>
  <c r="D2068" i="8"/>
  <c r="E2068" i="8" s="1"/>
  <c r="D2507" i="8"/>
  <c r="E2507" i="8" s="1"/>
  <c r="F2507" i="8" s="1"/>
  <c r="D1672" i="8"/>
  <c r="E1672" i="8" s="1"/>
  <c r="D1891" i="8"/>
  <c r="E1891" i="8" s="1"/>
  <c r="F1891" i="8" s="1"/>
  <c r="D1936" i="8"/>
  <c r="E1936" i="8" s="1"/>
  <c r="D1759" i="8"/>
  <c r="E1759" i="8" s="1"/>
  <c r="F1759" i="8" s="1"/>
  <c r="D1803" i="8"/>
  <c r="E1803" i="8" s="1"/>
  <c r="F1803" i="8" s="1"/>
  <c r="D1716" i="8"/>
  <c r="E1716" i="8" s="1"/>
  <c r="D2287" i="8"/>
  <c r="E2287" i="8" s="1"/>
  <c r="F2287" i="8" s="1"/>
  <c r="D1848" i="8"/>
  <c r="E1848" i="8" s="1"/>
  <c r="D2156" i="8"/>
  <c r="E2156" i="8" s="1"/>
  <c r="D1628" i="8"/>
  <c r="E1628" i="8" s="1"/>
  <c r="D1496" i="8"/>
  <c r="E1496" i="8" s="1"/>
  <c r="D1760" i="8"/>
  <c r="E1760" i="8" s="1"/>
  <c r="D1407" i="8"/>
  <c r="E1407" i="8" s="1"/>
  <c r="F1407" i="8" s="1"/>
  <c r="D2112" i="8"/>
  <c r="E2112" i="8" s="1"/>
  <c r="D1452" i="8"/>
  <c r="E1452" i="8" s="1"/>
  <c r="D1363" i="8"/>
  <c r="E1363" i="8" s="1"/>
  <c r="F1363" i="8" s="1"/>
  <c r="D1671" i="8"/>
  <c r="E1671" i="8" s="1"/>
  <c r="F1671" i="8" s="1"/>
  <c r="D1715" i="8"/>
  <c r="E1715" i="8" s="1"/>
  <c r="F1715" i="8" s="1"/>
  <c r="D2199" i="8"/>
  <c r="E2199" i="8" s="1"/>
  <c r="F2199" i="8" s="1"/>
  <c r="D1364" i="8"/>
  <c r="E1364" i="8" s="1"/>
  <c r="D1847" i="8"/>
  <c r="E1847" i="8" s="1"/>
  <c r="F1847" i="8" s="1"/>
  <c r="D1583" i="8"/>
  <c r="E1583" i="8" s="1"/>
  <c r="F1583" i="8" s="1"/>
  <c r="D2023" i="8"/>
  <c r="E2023" i="8" s="1"/>
  <c r="F2023" i="8" s="1"/>
  <c r="D1627" i="8"/>
  <c r="E1627" i="8" s="1"/>
  <c r="F1627" i="8" s="1"/>
  <c r="D2243" i="8"/>
  <c r="E2243" i="8" s="1"/>
  <c r="F2243" i="8" s="1"/>
  <c r="D924" i="8"/>
  <c r="E924" i="8" s="1"/>
  <c r="D660" i="8"/>
  <c r="E660" i="8" s="1"/>
  <c r="D1495" i="8"/>
  <c r="E1495" i="8" s="1"/>
  <c r="F1495" i="8" s="1"/>
  <c r="D1099" i="8"/>
  <c r="E1099" i="8" s="1"/>
  <c r="F1099" i="8" s="1"/>
  <c r="D835" i="8"/>
  <c r="E835" i="8" s="1"/>
  <c r="F835" i="8" s="1"/>
  <c r="D1539" i="8"/>
  <c r="E1539" i="8" s="1"/>
  <c r="F1539" i="8" s="1"/>
  <c r="D1320" i="8"/>
  <c r="E1320" i="8" s="1"/>
  <c r="D880" i="8"/>
  <c r="E880" i="8" s="1"/>
  <c r="D1055" i="8"/>
  <c r="E1055" i="8" s="1"/>
  <c r="F1055" i="8" s="1"/>
  <c r="D1319" i="8"/>
  <c r="E1319" i="8" s="1"/>
  <c r="F1319" i="8" s="1"/>
  <c r="D1144" i="8"/>
  <c r="E1144" i="8" s="1"/>
  <c r="D1011" i="8"/>
  <c r="E1011" i="8" s="1"/>
  <c r="F1011" i="8" s="1"/>
  <c r="D1232" i="8"/>
  <c r="E1232" i="8" s="1"/>
  <c r="D836" i="8"/>
  <c r="E836" i="8" s="1"/>
  <c r="D703" i="8"/>
  <c r="E703" i="8" s="1"/>
  <c r="F703" i="8" s="1"/>
  <c r="D616" i="8"/>
  <c r="E616" i="8" s="1"/>
  <c r="D527" i="8"/>
  <c r="E527" i="8" s="1"/>
  <c r="F527" i="8" s="1"/>
  <c r="D923" i="8"/>
  <c r="E923" i="8" s="1"/>
  <c r="F923" i="8" s="1"/>
  <c r="D791" i="8"/>
  <c r="E791" i="8" s="1"/>
  <c r="F791" i="8" s="1"/>
  <c r="D659" i="8"/>
  <c r="E659" i="8" s="1"/>
  <c r="F659" i="8" s="1"/>
  <c r="D572" i="8"/>
  <c r="E572" i="8" s="1"/>
  <c r="D1451" i="8"/>
  <c r="E1451" i="8" s="1"/>
  <c r="F1451" i="8" s="1"/>
  <c r="D748" i="8"/>
  <c r="E748" i="8" s="1"/>
  <c r="D1276" i="8"/>
  <c r="E1276" i="8" s="1"/>
  <c r="D1804" i="8"/>
  <c r="E1804" i="8" s="1"/>
  <c r="D440" i="8"/>
  <c r="E440" i="8" s="1"/>
  <c r="D351" i="8"/>
  <c r="E351" i="8" s="1"/>
  <c r="F351" i="8" s="1"/>
  <c r="D1408" i="8"/>
  <c r="E1408" i="8" s="1"/>
  <c r="D615" i="8"/>
  <c r="E615" i="8" s="1"/>
  <c r="F615" i="8" s="1"/>
  <c r="D571" i="8"/>
  <c r="E571" i="8" s="1"/>
  <c r="F571" i="8" s="1"/>
  <c r="D1892" i="8"/>
  <c r="E1892" i="8" s="1"/>
  <c r="D967" i="8"/>
  <c r="E967" i="8" s="1"/>
  <c r="F967" i="8" s="1"/>
  <c r="D704" i="8"/>
  <c r="E704" i="8" s="1"/>
  <c r="D792" i="8"/>
  <c r="E792" i="8" s="1"/>
  <c r="D1584" i="8"/>
  <c r="E1584" i="8" s="1"/>
  <c r="D1187" i="8"/>
  <c r="E1187" i="8" s="1"/>
  <c r="F1187" i="8" s="1"/>
  <c r="D352" i="8"/>
  <c r="E352" i="8" s="1"/>
  <c r="D176" i="8"/>
  <c r="E176" i="8" s="1"/>
  <c r="D396" i="8"/>
  <c r="E396" i="8" s="1"/>
  <c r="D308" i="8"/>
  <c r="E308" i="8" s="1"/>
  <c r="D87" i="8"/>
  <c r="E87" i="8" s="1"/>
  <c r="F87" i="8" s="1"/>
  <c r="D1100" i="8"/>
  <c r="E1100" i="8" s="1"/>
  <c r="D483" i="8"/>
  <c r="E483" i="8" s="1"/>
  <c r="F483" i="8" s="1"/>
  <c r="D18" i="6"/>
  <c r="E18" i="6" s="1"/>
  <c r="D1012" i="8"/>
  <c r="E1012" i="8" s="1"/>
  <c r="D132" i="8"/>
  <c r="E132" i="8" s="1"/>
  <c r="D439" i="8"/>
  <c r="E439" i="8" s="1"/>
  <c r="F439" i="8" s="1"/>
  <c r="D88" i="8"/>
  <c r="E88" i="8" s="1"/>
  <c r="D263" i="8"/>
  <c r="E263" i="8" s="1"/>
  <c r="F263" i="8" s="1"/>
  <c r="D1056" i="8"/>
  <c r="E1056" i="8" s="1"/>
  <c r="D1231" i="8"/>
  <c r="E1231" i="8" s="1"/>
  <c r="F1231" i="8" s="1"/>
  <c r="D175" i="8"/>
  <c r="E175" i="8" s="1"/>
  <c r="F175" i="8" s="1"/>
  <c r="D1188" i="8"/>
  <c r="E1188" i="8" s="1"/>
  <c r="D264" i="8"/>
  <c r="E264" i="8" s="1"/>
  <c r="E20" i="8"/>
  <c r="D1979" i="8"/>
  <c r="E1979" i="8" s="1"/>
  <c r="F1979" i="8" s="1"/>
  <c r="D528" i="8"/>
  <c r="E528" i="8" s="1"/>
  <c r="D20" i="8"/>
  <c r="D747" i="8"/>
  <c r="E747" i="8" s="1"/>
  <c r="F747" i="8" s="1"/>
  <c r="D395" i="8"/>
  <c r="E395" i="8" s="1"/>
  <c r="F395" i="8" s="1"/>
  <c r="D220" i="8"/>
  <c r="E220" i="8" s="1"/>
  <c r="D17" i="6"/>
  <c r="E17" i="6" s="1"/>
  <c r="F17" i="6" s="1"/>
  <c r="A60" i="8"/>
  <c r="A101" i="7" s="1"/>
  <c r="A66" i="8"/>
  <c r="A107" i="7" s="1"/>
  <c r="D785" i="8"/>
  <c r="E785" i="8" s="1"/>
  <c r="T1128" i="8"/>
  <c r="T1129" i="8" s="1"/>
  <c r="T1130" i="8" s="1"/>
  <c r="F1128" i="8" s="1"/>
  <c r="J1128" i="8" s="1"/>
  <c r="I782" i="8"/>
  <c r="I779" i="8"/>
  <c r="I778" i="8"/>
  <c r="I784" i="8"/>
  <c r="I777" i="8"/>
  <c r="I781" i="8"/>
  <c r="G3127" i="8"/>
  <c r="G3083" i="8"/>
  <c r="G3039" i="8"/>
  <c r="G2863" i="8"/>
  <c r="G2907" i="8"/>
  <c r="G2775" i="8"/>
  <c r="G2629" i="8"/>
  <c r="G2673" i="8"/>
  <c r="G2819" i="8"/>
  <c r="G3171" i="8"/>
  <c r="G2497" i="8"/>
  <c r="G2585" i="8"/>
  <c r="G2717" i="8"/>
  <c r="G2409" i="8"/>
  <c r="G2145" i="8"/>
  <c r="G2365" i="8"/>
  <c r="G2995" i="8"/>
  <c r="G2951" i="8"/>
  <c r="G2233" i="8"/>
  <c r="G2453" i="8"/>
  <c r="G2541" i="8"/>
  <c r="G2277" i="8"/>
  <c r="G2189" i="8"/>
  <c r="G2101" i="8"/>
  <c r="G2057" i="8"/>
  <c r="G2321" i="8"/>
  <c r="G1969" i="8"/>
  <c r="G1925" i="8"/>
  <c r="G1837" i="8"/>
  <c r="G1749" i="8"/>
  <c r="G1793" i="8"/>
  <c r="G1881" i="8"/>
  <c r="G1397" i="8"/>
  <c r="G1617" i="8"/>
  <c r="G1353" i="8"/>
  <c r="G2013" i="8"/>
  <c r="G1485" i="8"/>
  <c r="G1177" i="8"/>
  <c r="G1133" i="8"/>
  <c r="G1265" i="8"/>
  <c r="G1089" i="8"/>
  <c r="G825" i="8"/>
  <c r="G1705" i="8"/>
  <c r="G1309" i="8"/>
  <c r="G1661" i="8"/>
  <c r="G1221" i="8"/>
  <c r="G1045" i="8"/>
  <c r="G913" i="8"/>
  <c r="G517" i="8"/>
  <c r="G1573" i="8"/>
  <c r="G1529" i="8"/>
  <c r="G957" i="8"/>
  <c r="G341" i="8"/>
  <c r="G737" i="8"/>
  <c r="G1441" i="8"/>
  <c r="G869" i="8"/>
  <c r="G297" i="8"/>
  <c r="G561" i="8"/>
  <c r="G429" i="8"/>
  <c r="G253" i="8"/>
  <c r="G3174" i="8"/>
  <c r="G2998" i="8"/>
  <c r="G2720" i="8"/>
  <c r="G2544" i="8"/>
  <c r="G3130" i="8"/>
  <c r="G2588" i="8"/>
  <c r="G3042" i="8"/>
  <c r="G2866" i="8"/>
  <c r="G2954" i="8"/>
  <c r="G2324" i="8"/>
  <c r="G2632" i="8"/>
  <c r="G2280" i="8"/>
  <c r="G2822" i="8"/>
  <c r="G2412" i="8"/>
  <c r="G2456" i="8"/>
  <c r="G2676" i="8"/>
  <c r="G2500" i="8"/>
  <c r="G2910" i="8"/>
  <c r="G3086" i="8"/>
  <c r="G2778" i="8"/>
  <c r="G2148" i="8"/>
  <c r="G2060" i="8"/>
  <c r="G2016" i="8"/>
  <c r="G2104" i="8"/>
  <c r="G2236" i="8"/>
  <c r="G1972" i="8"/>
  <c r="G1928" i="8"/>
  <c r="G1884" i="8"/>
  <c r="G2368" i="8"/>
  <c r="G1752" i="8"/>
  <c r="G1620" i="8"/>
  <c r="G1576" i="8"/>
  <c r="G1312" i="8"/>
  <c r="G1840" i="8"/>
  <c r="G1532" i="8"/>
  <c r="G1268" i="8"/>
  <c r="G1444" i="8"/>
  <c r="G1400" i="8"/>
  <c r="G1048" i="8"/>
  <c r="G1796" i="8"/>
  <c r="G1488" i="8"/>
  <c r="G1004" i="8"/>
  <c r="G960" i="8"/>
  <c r="G1092" i="8"/>
  <c r="G828" i="8"/>
  <c r="G740" i="8"/>
  <c r="G1356" i="8"/>
  <c r="G1708" i="8"/>
  <c r="G1136" i="8"/>
  <c r="G1224" i="8"/>
  <c r="G608" i="8"/>
  <c r="G432" i="8"/>
  <c r="G872" i="8"/>
  <c r="G1180" i="8"/>
  <c r="G784" i="8"/>
  <c r="G344" i="8"/>
  <c r="G256" i="8"/>
  <c r="G300" i="8"/>
  <c r="G564" i="8"/>
  <c r="G212" i="8"/>
  <c r="G2192" i="8"/>
  <c r="G1664" i="8"/>
  <c r="G916" i="8"/>
  <c r="G476" i="8"/>
  <c r="G168" i="8"/>
  <c r="G3175" i="8"/>
  <c r="G2999" i="8"/>
  <c r="G3131" i="8"/>
  <c r="G2955" i="8"/>
  <c r="G2779" i="8"/>
  <c r="G2721" i="8"/>
  <c r="G2823" i="8"/>
  <c r="G2545" i="8"/>
  <c r="G2911" i="8"/>
  <c r="G2677" i="8"/>
  <c r="G2867" i="8"/>
  <c r="G2281" i="8"/>
  <c r="G2017" i="8"/>
  <c r="G3043" i="8"/>
  <c r="G2501" i="8"/>
  <c r="G3087" i="8"/>
  <c r="G2633" i="8"/>
  <c r="G2193" i="8"/>
  <c r="G2369" i="8"/>
  <c r="G2237" i="8"/>
  <c r="G2061" i="8"/>
  <c r="G2149" i="8"/>
  <c r="G2105" i="8"/>
  <c r="G2589" i="8"/>
  <c r="G2413" i="8"/>
  <c r="G1973" i="8"/>
  <c r="G1929" i="8"/>
  <c r="G1753" i="8"/>
  <c r="G2457" i="8"/>
  <c r="G1797" i="8"/>
  <c r="G1533" i="8"/>
  <c r="G1269" i="8"/>
  <c r="G1489" i="8"/>
  <c r="G1621" i="8"/>
  <c r="G1445" i="8"/>
  <c r="G1577" i="8"/>
  <c r="G1885" i="8"/>
  <c r="G2325" i="8"/>
  <c r="G1225" i="8"/>
  <c r="G1005" i="8"/>
  <c r="G961" i="8"/>
  <c r="G1709" i="8"/>
  <c r="G873" i="8"/>
  <c r="G1137" i="8"/>
  <c r="G389" i="8"/>
  <c r="G1093" i="8"/>
  <c r="G741" i="8"/>
  <c r="G1049" i="8"/>
  <c r="G433" i="8"/>
  <c r="G917" i="8"/>
  <c r="G829" i="8"/>
  <c r="G697" i="8"/>
  <c r="G1665" i="8"/>
  <c r="G345" i="8"/>
  <c r="G301" i="8"/>
  <c r="G213" i="8"/>
  <c r="G1357" i="8"/>
  <c r="G1841" i="8"/>
  <c r="G653" i="8"/>
  <c r="G169" i="8"/>
  <c r="G1181" i="8"/>
  <c r="D139" i="8"/>
  <c r="E139" i="8" s="1"/>
  <c r="F139" i="8" s="1"/>
  <c r="D303" i="8"/>
  <c r="E303" i="8" s="1"/>
  <c r="F303" i="8" s="1"/>
  <c r="J303" i="8" s="1"/>
  <c r="D445" i="8"/>
  <c r="E445" i="8" s="1"/>
  <c r="F445" i="8" s="1"/>
  <c r="D215" i="8"/>
  <c r="E215" i="8" s="1"/>
  <c r="F215" i="8" s="1"/>
  <c r="J215" i="8" s="1"/>
  <c r="H3040" i="8"/>
  <c r="H2820" i="8"/>
  <c r="H3084" i="8"/>
  <c r="H2996" i="8"/>
  <c r="H2776" i="8"/>
  <c r="H2908" i="8"/>
  <c r="H2864" i="8"/>
  <c r="H2586" i="8"/>
  <c r="H3128" i="8"/>
  <c r="H2952" i="8"/>
  <c r="H3172" i="8"/>
  <c r="H2630" i="8"/>
  <c r="H2366" i="8"/>
  <c r="H2102" i="8"/>
  <c r="H2322" i="8"/>
  <c r="H2718" i="8"/>
  <c r="H2674" i="8"/>
  <c r="H2278" i="8"/>
  <c r="H2410" i="8"/>
  <c r="H2190" i="8"/>
  <c r="H2146" i="8"/>
  <c r="H2058" i="8"/>
  <c r="H2234" i="8"/>
  <c r="H1926" i="8"/>
  <c r="H1794" i="8"/>
  <c r="H2542" i="8"/>
  <c r="H1970" i="8"/>
  <c r="H1838" i="8"/>
  <c r="H2454" i="8"/>
  <c r="H1750" i="8"/>
  <c r="H2014" i="8"/>
  <c r="H1618" i="8"/>
  <c r="H1354" i="8"/>
  <c r="H1574" i="8"/>
  <c r="H1310" i="8"/>
  <c r="H2498" i="8"/>
  <c r="H1266" i="8"/>
  <c r="H1486" i="8"/>
  <c r="H1090" i="8"/>
  <c r="H1046" i="8"/>
  <c r="H1530" i="8"/>
  <c r="H1002" i="8"/>
  <c r="H1882" i="8"/>
  <c r="H1178" i="8"/>
  <c r="H1706" i="8"/>
  <c r="H914" i="8"/>
  <c r="H474" i="8"/>
  <c r="H826" i="8"/>
  <c r="H1442" i="8"/>
  <c r="H1222" i="8"/>
  <c r="H958" i="8"/>
  <c r="H298" i="8"/>
  <c r="H1398" i="8"/>
  <c r="H430" i="8"/>
  <c r="H694" i="8"/>
  <c r="H1662" i="8"/>
  <c r="H1134" i="8"/>
  <c r="H782" i="8"/>
  <c r="H650" i="8"/>
  <c r="H870" i="8"/>
  <c r="H518" i="8"/>
  <c r="H342" i="8"/>
  <c r="H254" i="8"/>
  <c r="H210" i="8"/>
  <c r="D15" i="6"/>
  <c r="E15" i="6" s="1"/>
  <c r="F15" i="6" s="1"/>
  <c r="D173" i="8"/>
  <c r="E173" i="8" s="1"/>
  <c r="F173" i="8" s="1"/>
  <c r="J173" i="8" s="1"/>
  <c r="D270" i="8"/>
  <c r="E270" i="8" s="1"/>
  <c r="F270" i="8" s="1"/>
  <c r="J270" i="8" s="1"/>
  <c r="H473" i="8"/>
  <c r="Q482" i="8"/>
  <c r="G3166" i="8"/>
  <c r="G2946" i="8"/>
  <c r="G2990" i="8"/>
  <c r="G2858" i="8"/>
  <c r="G3078" i="8"/>
  <c r="G3122" i="8"/>
  <c r="G2712" i="8"/>
  <c r="G2668" i="8"/>
  <c r="G2228" i="8"/>
  <c r="G2770" i="8"/>
  <c r="G2814" i="8"/>
  <c r="G2624" i="8"/>
  <c r="G3034" i="8"/>
  <c r="G2492" i="8"/>
  <c r="G2404" i="8"/>
  <c r="G2536" i="8"/>
  <c r="G2096" i="8"/>
  <c r="G2140" i="8"/>
  <c r="G2184" i="8"/>
  <c r="G1876" i="8"/>
  <c r="G1832" i="8"/>
  <c r="G2008" i="8"/>
  <c r="G1920" i="8"/>
  <c r="G2052" i="8"/>
  <c r="G2580" i="8"/>
  <c r="G1788" i="8"/>
  <c r="G2360" i="8"/>
  <c r="G2902" i="8"/>
  <c r="G2272" i="8"/>
  <c r="G1480" i="8"/>
  <c r="G1216" i="8"/>
  <c r="G1700" i="8"/>
  <c r="G1436" i="8"/>
  <c r="G2448" i="8"/>
  <c r="G1656" i="8"/>
  <c r="G1612" i="8"/>
  <c r="G2316" i="8"/>
  <c r="G1568" i="8"/>
  <c r="G1260" i="8"/>
  <c r="G1392" i="8"/>
  <c r="G1172" i="8"/>
  <c r="G908" i="8"/>
  <c r="G644" i="8"/>
  <c r="G1084" i="8"/>
  <c r="G1128" i="8"/>
  <c r="G600" i="8"/>
  <c r="G1040" i="8"/>
  <c r="G1964" i="8"/>
  <c r="G1524" i="8"/>
  <c r="G776" i="8"/>
  <c r="G732" i="8"/>
  <c r="G512" i="8"/>
  <c r="G160" i="8"/>
  <c r="G556" i="8"/>
  <c r="G1304" i="8"/>
  <c r="G116" i="8"/>
  <c r="G3089" i="8"/>
  <c r="G3045" i="8"/>
  <c r="G2913" i="8"/>
  <c r="G3177" i="8"/>
  <c r="G3133" i="8"/>
  <c r="G2781" i="8"/>
  <c r="G2679" i="8"/>
  <c r="G2957" i="8"/>
  <c r="G2825" i="8"/>
  <c r="G2591" i="8"/>
  <c r="G3001" i="8"/>
  <c r="G2195" i="8"/>
  <c r="G2547" i="8"/>
  <c r="G2503" i="8"/>
  <c r="G2327" i="8"/>
  <c r="G2415" i="8"/>
  <c r="G2723" i="8"/>
  <c r="G2459" i="8"/>
  <c r="G2869" i="8"/>
  <c r="G2635" i="8"/>
  <c r="G2151" i="8"/>
  <c r="G2107" i="8"/>
  <c r="G2371" i="8"/>
  <c r="G2239" i="8"/>
  <c r="G1975" i="8"/>
  <c r="G2283" i="8"/>
  <c r="G1931" i="8"/>
  <c r="G2019" i="8"/>
  <c r="G1667" i="8"/>
  <c r="G2063" i="8"/>
  <c r="G1799" i="8"/>
  <c r="G1887" i="8"/>
  <c r="G1755" i="8"/>
  <c r="G1447" i="8"/>
  <c r="G1711" i="8"/>
  <c r="G1403" i="8"/>
  <c r="G1843" i="8"/>
  <c r="G1623" i="8"/>
  <c r="G1491" i="8"/>
  <c r="G1183" i="8"/>
  <c r="G1579" i="8"/>
  <c r="G875" i="8"/>
  <c r="G611" i="8"/>
  <c r="G1227" i="8"/>
  <c r="G1139" i="8"/>
  <c r="G787" i="8"/>
  <c r="G1315" i="8"/>
  <c r="G699" i="8"/>
  <c r="G1359" i="8"/>
  <c r="G1095" i="8"/>
  <c r="G831" i="8"/>
  <c r="G567" i="8"/>
  <c r="G1271" i="8"/>
  <c r="G1051" i="8"/>
  <c r="G1007" i="8"/>
  <c r="G743" i="8"/>
  <c r="G1535" i="8"/>
  <c r="G127" i="8"/>
  <c r="G919" i="8"/>
  <c r="G479" i="8"/>
  <c r="G83" i="8"/>
  <c r="G655" i="8"/>
  <c r="G391" i="8"/>
  <c r="G3181" i="8"/>
  <c r="G2829" i="8"/>
  <c r="G3005" i="8"/>
  <c r="G3093" i="8"/>
  <c r="G2595" i="8"/>
  <c r="G3049" i="8"/>
  <c r="G2873" i="8"/>
  <c r="G3137" i="8"/>
  <c r="G2917" i="8"/>
  <c r="G2639" i="8"/>
  <c r="G2463" i="8"/>
  <c r="G2551" i="8"/>
  <c r="G2375" i="8"/>
  <c r="G2111" i="8"/>
  <c r="G2507" i="8"/>
  <c r="G2331" i="8"/>
  <c r="G2785" i="8"/>
  <c r="G2961" i="8"/>
  <c r="G2727" i="8"/>
  <c r="G2419" i="8"/>
  <c r="G2683" i="8"/>
  <c r="G2155" i="8"/>
  <c r="G2199" i="8"/>
  <c r="G1891" i="8"/>
  <c r="G1847" i="8"/>
  <c r="G1803" i="8"/>
  <c r="G2287" i="8"/>
  <c r="G1979" i="8"/>
  <c r="G1363" i="8"/>
  <c r="G1671" i="8"/>
  <c r="G1583" i="8"/>
  <c r="G1319" i="8"/>
  <c r="G1715" i="8"/>
  <c r="G2023" i="8"/>
  <c r="G1935" i="8"/>
  <c r="G1627" i="8"/>
  <c r="G1539" i="8"/>
  <c r="G2243" i="8"/>
  <c r="G1495" i="8"/>
  <c r="G1099" i="8"/>
  <c r="G1759" i="8"/>
  <c r="G1055" i="8"/>
  <c r="G1187" i="8"/>
  <c r="G1407" i="8"/>
  <c r="G1143" i="8"/>
  <c r="G1011" i="8"/>
  <c r="G923" i="8"/>
  <c r="G659" i="8"/>
  <c r="G1451" i="8"/>
  <c r="G791" i="8"/>
  <c r="G483" i="8"/>
  <c r="G967" i="8"/>
  <c r="G527" i="8"/>
  <c r="G307" i="8"/>
  <c r="G1275" i="8"/>
  <c r="G2067" i="8"/>
  <c r="G439" i="8"/>
  <c r="G263" i="8"/>
  <c r="G615" i="8"/>
  <c r="G1231" i="8"/>
  <c r="G571" i="8"/>
  <c r="G219" i="8"/>
  <c r="R18" i="6"/>
  <c r="D26" i="6"/>
  <c r="E26" i="6" s="1"/>
  <c r="F26" i="6" s="1"/>
  <c r="R76" i="8"/>
  <c r="Q135" i="8"/>
  <c r="Q160" i="8"/>
  <c r="G257" i="8"/>
  <c r="D695" i="8"/>
  <c r="E695" i="8" s="1"/>
  <c r="F695" i="8" s="1"/>
  <c r="J695" i="8" s="1"/>
  <c r="G820" i="8"/>
  <c r="D23" i="6"/>
  <c r="E23" i="6" s="1"/>
  <c r="F23" i="6" s="1"/>
  <c r="H3147" i="8"/>
  <c r="H3103" i="8"/>
  <c r="H2839" i="8"/>
  <c r="H2737" i="8"/>
  <c r="H2517" i="8"/>
  <c r="H3059" i="8"/>
  <c r="H3191" i="8"/>
  <c r="H2883" i="8"/>
  <c r="H2795" i="8"/>
  <c r="H2297" i="8"/>
  <c r="H2253" i="8"/>
  <c r="H3015" i="8"/>
  <c r="H2605" i="8"/>
  <c r="H2341" i="8"/>
  <c r="H2693" i="8"/>
  <c r="H2429" i="8"/>
  <c r="H2209" i="8"/>
  <c r="H2649" i="8"/>
  <c r="H2473" i="8"/>
  <c r="H2927" i="8"/>
  <c r="H2165" i="8"/>
  <c r="H2077" i="8"/>
  <c r="H2121" i="8"/>
  <c r="H1901" i="8"/>
  <c r="H1857" i="8"/>
  <c r="H1813" i="8"/>
  <c r="H2971" i="8"/>
  <c r="H2033" i="8"/>
  <c r="H1637" i="8"/>
  <c r="H2561" i="8"/>
  <c r="H2385" i="8"/>
  <c r="H1769" i="8"/>
  <c r="H1549" i="8"/>
  <c r="H1285" i="8"/>
  <c r="H1505" i="8"/>
  <c r="H1241" i="8"/>
  <c r="H1681" i="8"/>
  <c r="H1417" i="8"/>
  <c r="H1021" i="8"/>
  <c r="H1725" i="8"/>
  <c r="H977" i="8"/>
  <c r="H1153" i="8"/>
  <c r="H933" i="8"/>
  <c r="H1461" i="8"/>
  <c r="H889" i="8"/>
  <c r="H625" i="8"/>
  <c r="H845" i="8"/>
  <c r="H1109" i="8"/>
  <c r="H669" i="8"/>
  <c r="H581" i="8"/>
  <c r="H713" i="8"/>
  <c r="H757" i="8"/>
  <c r="H229" i="8"/>
  <c r="H1373" i="8"/>
  <c r="H185" i="8"/>
  <c r="H1989" i="8"/>
  <c r="H141" i="8"/>
  <c r="D259" i="8"/>
  <c r="E259" i="8" s="1"/>
  <c r="F259" i="8" s="1"/>
  <c r="J259" i="8" s="1"/>
  <c r="D316" i="8"/>
  <c r="E316" i="8" s="1"/>
  <c r="F316" i="8" s="1"/>
  <c r="D749" i="8"/>
  <c r="E749" i="8" s="1"/>
  <c r="F749" i="8" s="1"/>
  <c r="T908" i="8"/>
  <c r="T909" i="8" s="1"/>
  <c r="T910" i="8" s="1"/>
  <c r="F908" i="8" s="1"/>
  <c r="J908" i="8" s="1"/>
  <c r="R221" i="8"/>
  <c r="R252" i="8"/>
  <c r="R340" i="8"/>
  <c r="H387" i="8"/>
  <c r="Q527" i="8"/>
  <c r="G3055" i="8"/>
  <c r="G3187" i="8"/>
  <c r="G2791" i="8"/>
  <c r="G2835" i="8"/>
  <c r="G2923" i="8"/>
  <c r="G2879" i="8"/>
  <c r="G2557" i="8"/>
  <c r="G3011" i="8"/>
  <c r="G2967" i="8"/>
  <c r="G2733" i="8"/>
  <c r="G3099" i="8"/>
  <c r="G2689" i="8"/>
  <c r="G3143" i="8"/>
  <c r="G2337" i="8"/>
  <c r="G2073" i="8"/>
  <c r="G2601" i="8"/>
  <c r="G2645" i="8"/>
  <c r="G2293" i="8"/>
  <c r="G2513" i="8"/>
  <c r="G2425" i="8"/>
  <c r="G2469" i="8"/>
  <c r="G2205" i="8"/>
  <c r="G2117" i="8"/>
  <c r="G1897" i="8"/>
  <c r="G1765" i="8"/>
  <c r="G1985" i="8"/>
  <c r="G1809" i="8"/>
  <c r="G2381" i="8"/>
  <c r="G2161" i="8"/>
  <c r="G2029" i="8"/>
  <c r="G2249" i="8"/>
  <c r="G1589" i="8"/>
  <c r="G1325" i="8"/>
  <c r="G1677" i="8"/>
  <c r="G1545" i="8"/>
  <c r="G1281" i="8"/>
  <c r="G1853" i="8"/>
  <c r="G1941" i="8"/>
  <c r="G1721" i="8"/>
  <c r="G1633" i="8"/>
  <c r="G1061" i="8"/>
  <c r="G1501" i="8"/>
  <c r="G1017" i="8"/>
  <c r="G1237" i="8"/>
  <c r="G1149" i="8"/>
  <c r="G973" i="8"/>
  <c r="G665" i="8"/>
  <c r="G1193" i="8"/>
  <c r="G1105" i="8"/>
  <c r="G841" i="8"/>
  <c r="G885" i="8"/>
  <c r="G269" i="8"/>
  <c r="G1457" i="8"/>
  <c r="G533" i="8"/>
  <c r="G225" i="8"/>
  <c r="G1369" i="8"/>
  <c r="G1413" i="8"/>
  <c r="G709" i="8"/>
  <c r="G445" i="8"/>
  <c r="G181" i="8"/>
  <c r="R133" i="8"/>
  <c r="D272" i="8"/>
  <c r="E272" i="8" s="1"/>
  <c r="F272" i="8" s="1"/>
  <c r="D349" i="8"/>
  <c r="E349" i="8" s="1"/>
  <c r="F349" i="8" s="1"/>
  <c r="J349" i="8" s="1"/>
  <c r="D436" i="8"/>
  <c r="E436" i="8" s="1"/>
  <c r="F436" i="8" s="1"/>
  <c r="J436" i="8" s="1"/>
  <c r="R527" i="8"/>
  <c r="T556" i="8"/>
  <c r="T557" i="8" s="1"/>
  <c r="T558" i="8" s="1"/>
  <c r="F556" i="8" s="1"/>
  <c r="J556" i="8" s="1"/>
  <c r="T600" i="8"/>
  <c r="T601" i="8" s="1"/>
  <c r="T602" i="8" s="1"/>
  <c r="F600" i="8" s="1"/>
  <c r="J600" i="8" s="1"/>
  <c r="Q798" i="8"/>
  <c r="Q868" i="8"/>
  <c r="Q877" i="8"/>
  <c r="Q1002" i="8"/>
  <c r="Q1109" i="8"/>
  <c r="Q1177" i="8"/>
  <c r="R1364" i="8"/>
  <c r="Z1480" i="8"/>
  <c r="Z1481" i="8" s="1"/>
  <c r="T2228" i="8"/>
  <c r="T2229" i="8" s="1"/>
  <c r="T2230" i="8" s="1"/>
  <c r="F2228" i="8" s="1"/>
  <c r="J2228" i="8" s="1"/>
  <c r="B7" i="7"/>
  <c r="G124" i="8"/>
  <c r="R208" i="8"/>
  <c r="G215" i="8"/>
  <c r="G468" i="8"/>
  <c r="D479" i="8"/>
  <c r="E479" i="8" s="1"/>
  <c r="Q659" i="8"/>
  <c r="H3137" i="8"/>
  <c r="H3049" i="8"/>
  <c r="H3181" i="8"/>
  <c r="H2829" i="8"/>
  <c r="H3005" i="8"/>
  <c r="H3093" i="8"/>
  <c r="H2683" i="8"/>
  <c r="H2917" i="8"/>
  <c r="H2551" i="8"/>
  <c r="H2595" i="8"/>
  <c r="H2507" i="8"/>
  <c r="H2331" i="8"/>
  <c r="H2961" i="8"/>
  <c r="H2785" i="8"/>
  <c r="H2639" i="8"/>
  <c r="H2727" i="8"/>
  <c r="H2419" i="8"/>
  <c r="H2463" i="8"/>
  <c r="H2111" i="8"/>
  <c r="H2155" i="8"/>
  <c r="H1847" i="8"/>
  <c r="H2199" i="8"/>
  <c r="H1891" i="8"/>
  <c r="H1803" i="8"/>
  <c r="H2243" i="8"/>
  <c r="H1979" i="8"/>
  <c r="H2873" i="8"/>
  <c r="H2375" i="8"/>
  <c r="H1671" i="8"/>
  <c r="H1583" i="8"/>
  <c r="H1319" i="8"/>
  <c r="H1715" i="8"/>
  <c r="H2023" i="8"/>
  <c r="H1935" i="8"/>
  <c r="H1627" i="8"/>
  <c r="H1539" i="8"/>
  <c r="H1363" i="8"/>
  <c r="H1759" i="8"/>
  <c r="H1055" i="8"/>
  <c r="H791" i="8"/>
  <c r="H2287" i="8"/>
  <c r="H1187" i="8"/>
  <c r="H1407" i="8"/>
  <c r="H1143" i="8"/>
  <c r="H1011" i="8"/>
  <c r="H2067" i="8"/>
  <c r="H1451" i="8"/>
  <c r="H1231" i="8"/>
  <c r="H923" i="8"/>
  <c r="H659" i="8"/>
  <c r="H1099" i="8"/>
  <c r="H1495" i="8"/>
  <c r="H879" i="8"/>
  <c r="H1275" i="8"/>
  <c r="H483" i="8"/>
  <c r="H967" i="8"/>
  <c r="H439" i="8"/>
  <c r="H527" i="8"/>
  <c r="H263" i="8"/>
  <c r="H615" i="8"/>
  <c r="H571" i="8"/>
  <c r="H219" i="8"/>
  <c r="H747" i="8"/>
  <c r="H79" i="8"/>
  <c r="G165" i="8"/>
  <c r="H204" i="8"/>
  <c r="G210" i="8"/>
  <c r="H215" i="8"/>
  <c r="H292" i="8"/>
  <c r="R296" i="8"/>
  <c r="R352" i="8"/>
  <c r="T380" i="8"/>
  <c r="T381" i="8" s="1"/>
  <c r="T382" i="8" s="1"/>
  <c r="F380" i="8" s="1"/>
  <c r="J380" i="8" s="1"/>
  <c r="Q399" i="8"/>
  <c r="Q401" i="8"/>
  <c r="H468" i="8"/>
  <c r="G481" i="8"/>
  <c r="Q491" i="8"/>
  <c r="D536" i="8"/>
  <c r="E536" i="8" s="1"/>
  <c r="F536" i="8" s="1"/>
  <c r="Z556" i="8"/>
  <c r="Z557" i="8" s="1"/>
  <c r="G577" i="8"/>
  <c r="Z600" i="8"/>
  <c r="Z601" i="8" s="1"/>
  <c r="G605" i="8"/>
  <c r="G652" i="8"/>
  <c r="R659" i="8"/>
  <c r="H665" i="8"/>
  <c r="D668" i="8"/>
  <c r="E668" i="8" s="1"/>
  <c r="F668" i="8" s="1"/>
  <c r="G963" i="8"/>
  <c r="G996" i="8"/>
  <c r="D1019" i="8"/>
  <c r="E1019" i="8" s="1"/>
  <c r="F1019" i="8" s="1"/>
  <c r="D1097" i="8"/>
  <c r="E1097" i="8" s="1"/>
  <c r="F1097" i="8" s="1"/>
  <c r="J1097" i="8" s="1"/>
  <c r="R1187" i="8"/>
  <c r="D1274" i="8"/>
  <c r="E1274" i="8" s="1"/>
  <c r="F1274" i="8" s="1"/>
  <c r="J1274" i="8" s="1"/>
  <c r="G1316" i="8"/>
  <c r="D1624" i="8"/>
  <c r="E1624" i="8" s="1"/>
  <c r="F1624" i="8" s="1"/>
  <c r="J1624" i="8" s="1"/>
  <c r="Q1712" i="8"/>
  <c r="Z2228" i="8"/>
  <c r="Z2229" i="8" s="1"/>
  <c r="E8" i="8"/>
  <c r="D8" i="8"/>
  <c r="F567" i="8"/>
  <c r="J567" i="8" s="1"/>
  <c r="F1183" i="8"/>
  <c r="J1183" i="8" s="1"/>
  <c r="F479" i="8"/>
  <c r="J479" i="8" s="1"/>
  <c r="G3079" i="8"/>
  <c r="G3167" i="8"/>
  <c r="G2903" i="8"/>
  <c r="G2991" i="8"/>
  <c r="G2859" i="8"/>
  <c r="G2947" i="8"/>
  <c r="G2669" i="8"/>
  <c r="G3123" i="8"/>
  <c r="G3035" i="8"/>
  <c r="G2713" i="8"/>
  <c r="G2815" i="8"/>
  <c r="G2449" i="8"/>
  <c r="G2185" i="8"/>
  <c r="G2581" i="8"/>
  <c r="G2405" i="8"/>
  <c r="G2537" i="8"/>
  <c r="G2771" i="8"/>
  <c r="G2625" i="8"/>
  <c r="G2493" i="8"/>
  <c r="G2361" i="8"/>
  <c r="G2097" i="8"/>
  <c r="G2229" i="8"/>
  <c r="G2141" i="8"/>
  <c r="G1965" i="8"/>
  <c r="G2317" i="8"/>
  <c r="G1921" i="8"/>
  <c r="G2009" i="8"/>
  <c r="G2053" i="8"/>
  <c r="G1833" i="8"/>
  <c r="G1789" i="8"/>
  <c r="G2273" i="8"/>
  <c r="G1745" i="8"/>
  <c r="G1437" i="8"/>
  <c r="G1701" i="8"/>
  <c r="G1877" i="8"/>
  <c r="G1657" i="8"/>
  <c r="G1393" i="8"/>
  <c r="G1613" i="8"/>
  <c r="G1305" i="8"/>
  <c r="G1173" i="8"/>
  <c r="G1569" i="8"/>
  <c r="G1349" i="8"/>
  <c r="G1261" i="8"/>
  <c r="G1525" i="8"/>
  <c r="G1481" i="8"/>
  <c r="G1129" i="8"/>
  <c r="G865" i="8"/>
  <c r="G601" i="8"/>
  <c r="G1217" i="8"/>
  <c r="G557" i="8"/>
  <c r="G1085" i="8"/>
  <c r="G953" i="8"/>
  <c r="G777" i="8"/>
  <c r="G1041" i="8"/>
  <c r="G689" i="8"/>
  <c r="G117" i="8"/>
  <c r="G997" i="8"/>
  <c r="G513" i="8"/>
  <c r="G73" i="8"/>
  <c r="G381" i="8"/>
  <c r="G337" i="8"/>
  <c r="G909" i="8"/>
  <c r="G733" i="8"/>
  <c r="G645" i="8"/>
  <c r="H3178" i="8"/>
  <c r="H3046" i="8"/>
  <c r="H3090" i="8"/>
  <c r="H2870" i="8"/>
  <c r="H2724" i="8"/>
  <c r="H3002" i="8"/>
  <c r="H2782" i="8"/>
  <c r="H2636" i="8"/>
  <c r="H2680" i="8"/>
  <c r="H2592" i="8"/>
  <c r="H2958" i="8"/>
  <c r="H2826" i="8"/>
  <c r="H2416" i="8"/>
  <c r="H2152" i="8"/>
  <c r="H3134" i="8"/>
  <c r="H2504" i="8"/>
  <c r="H2460" i="8"/>
  <c r="H2548" i="8"/>
  <c r="H2240" i="8"/>
  <c r="H1932" i="8"/>
  <c r="H2328" i="8"/>
  <c r="H2064" i="8"/>
  <c r="H2284" i="8"/>
  <c r="H2020" i="8"/>
  <c r="H1976" i="8"/>
  <c r="H1888" i="8"/>
  <c r="H1844" i="8"/>
  <c r="H2196" i="8"/>
  <c r="H2914" i="8"/>
  <c r="H2108" i="8"/>
  <c r="H1756" i="8"/>
  <c r="H1712" i="8"/>
  <c r="H1404" i="8"/>
  <c r="H1668" i="8"/>
  <c r="H1360" i="8"/>
  <c r="H1492" i="8"/>
  <c r="H1228" i="8"/>
  <c r="H1140" i="8"/>
  <c r="H1624" i="8"/>
  <c r="H1272" i="8"/>
  <c r="H1096" i="8"/>
  <c r="H1448" i="8"/>
  <c r="H1184" i="8"/>
  <c r="H2372" i="8"/>
  <c r="H1052" i="8"/>
  <c r="H788" i="8"/>
  <c r="H876" i="8"/>
  <c r="H524" i="8"/>
  <c r="H656" i="8"/>
  <c r="H1536" i="8"/>
  <c r="H832" i="8"/>
  <c r="H1316" i="8"/>
  <c r="H1800" i="8"/>
  <c r="H700" i="8"/>
  <c r="H84" i="8"/>
  <c r="H1580" i="8"/>
  <c r="H744" i="8"/>
  <c r="H612" i="8"/>
  <c r="H392" i="8"/>
  <c r="H964" i="8"/>
  <c r="H480" i="8"/>
  <c r="H2871" i="8"/>
  <c r="H3135" i="8"/>
  <c r="H3047" i="8"/>
  <c r="H2637" i="8"/>
  <c r="H2915" i="8"/>
  <c r="H3091" i="8"/>
  <c r="H2783" i="8"/>
  <c r="H2681" i="8"/>
  <c r="H2959" i="8"/>
  <c r="H2725" i="8"/>
  <c r="H3179" i="8"/>
  <c r="H2593" i="8"/>
  <c r="H3003" i="8"/>
  <c r="H2417" i="8"/>
  <c r="H2153" i="8"/>
  <c r="H2827" i="8"/>
  <c r="H2373" i="8"/>
  <c r="H2329" i="8"/>
  <c r="H2505" i="8"/>
  <c r="H2109" i="8"/>
  <c r="H1933" i="8"/>
  <c r="H2461" i="8"/>
  <c r="H2197" i="8"/>
  <c r="H2241" i="8"/>
  <c r="H1889" i="8"/>
  <c r="H2065" i="8"/>
  <c r="H2021" i="8"/>
  <c r="H1977" i="8"/>
  <c r="H1845" i="8"/>
  <c r="H2549" i="8"/>
  <c r="H1801" i="8"/>
  <c r="H1405" i="8"/>
  <c r="H2285" i="8"/>
  <c r="H1713" i="8"/>
  <c r="H1757" i="8"/>
  <c r="H1669" i="8"/>
  <c r="H1361" i="8"/>
  <c r="H1317" i="8"/>
  <c r="H1493" i="8"/>
  <c r="H1097" i="8"/>
  <c r="H833" i="8"/>
  <c r="H1537" i="8"/>
  <c r="H1273" i="8"/>
  <c r="H1185" i="8"/>
  <c r="H1053" i="8"/>
  <c r="H789" i="8"/>
  <c r="H525" i="8"/>
  <c r="H1449" i="8"/>
  <c r="H965" i="8"/>
  <c r="H657" i="8"/>
  <c r="H877" i="8"/>
  <c r="H1009" i="8"/>
  <c r="H921" i="8"/>
  <c r="H349" i="8"/>
  <c r="H1581" i="8"/>
  <c r="H569" i="8"/>
  <c r="H85" i="8"/>
  <c r="H701" i="8"/>
  <c r="H1229" i="8"/>
  <c r="H393" i="8"/>
  <c r="H261" i="8"/>
  <c r="H3180" i="8"/>
  <c r="H3136" i="8"/>
  <c r="H2828" i="8"/>
  <c r="H2682" i="8"/>
  <c r="H2594" i="8"/>
  <c r="H2872" i="8"/>
  <c r="H2916" i="8"/>
  <c r="H3004" i="8"/>
  <c r="H3048" i="8"/>
  <c r="H2550" i="8"/>
  <c r="H2960" i="8"/>
  <c r="H2726" i="8"/>
  <c r="H2374" i="8"/>
  <c r="H2110" i="8"/>
  <c r="H2506" i="8"/>
  <c r="H3092" i="8"/>
  <c r="H2638" i="8"/>
  <c r="H2330" i="8"/>
  <c r="H2198" i="8"/>
  <c r="H2154" i="8"/>
  <c r="H2418" i="8"/>
  <c r="H2286" i="8"/>
  <c r="H1890" i="8"/>
  <c r="H1846" i="8"/>
  <c r="H1802" i="8"/>
  <c r="H1978" i="8"/>
  <c r="H1934" i="8"/>
  <c r="H2784" i="8"/>
  <c r="H2066" i="8"/>
  <c r="H2022" i="8"/>
  <c r="H2242" i="8"/>
  <c r="H1670" i="8"/>
  <c r="H1362" i="8"/>
  <c r="H1714" i="8"/>
  <c r="H1582" i="8"/>
  <c r="H1318" i="8"/>
  <c r="H1538" i="8"/>
  <c r="H1450" i="8"/>
  <c r="H1406" i="8"/>
  <c r="H1098" i="8"/>
  <c r="H2462" i="8"/>
  <c r="H1230" i="8"/>
  <c r="H1186" i="8"/>
  <c r="H1054" i="8"/>
  <c r="H1142" i="8"/>
  <c r="H790" i="8"/>
  <c r="H658" i="8"/>
  <c r="H1626" i="8"/>
  <c r="H482" i="8"/>
  <c r="H878" i="8"/>
  <c r="H1274" i="8"/>
  <c r="H526" i="8"/>
  <c r="H1758" i="8"/>
  <c r="H922" i="8"/>
  <c r="H834" i="8"/>
  <c r="H746" i="8"/>
  <c r="H570" i="8"/>
  <c r="H262" i="8"/>
  <c r="H966" i="8"/>
  <c r="H3140" i="8"/>
  <c r="H3096" i="8"/>
  <c r="H2788" i="8"/>
  <c r="H3184" i="8"/>
  <c r="H3052" i="8"/>
  <c r="H2832" i="8"/>
  <c r="H3008" i="8"/>
  <c r="H2642" i="8"/>
  <c r="H2876" i="8"/>
  <c r="H2554" i="8"/>
  <c r="H2598" i="8"/>
  <c r="H2964" i="8"/>
  <c r="H2290" i="8"/>
  <c r="H2510" i="8"/>
  <c r="H2920" i="8"/>
  <c r="H2378" i="8"/>
  <c r="H2466" i="8"/>
  <c r="H2334" i="8"/>
  <c r="H2730" i="8"/>
  <c r="H2114" i="8"/>
  <c r="H2686" i="8"/>
  <c r="H1806" i="8"/>
  <c r="H2158" i="8"/>
  <c r="H2422" i="8"/>
  <c r="H2246" i="8"/>
  <c r="H1894" i="8"/>
  <c r="H1762" i="8"/>
  <c r="H1850" i="8"/>
  <c r="H2070" i="8"/>
  <c r="H2202" i="8"/>
  <c r="H2026" i="8"/>
  <c r="H1586" i="8"/>
  <c r="H1674" i="8"/>
  <c r="H1542" i="8"/>
  <c r="H1278" i="8"/>
  <c r="H1718" i="8"/>
  <c r="H1938" i="8"/>
  <c r="H1322" i="8"/>
  <c r="H1014" i="8"/>
  <c r="H750" i="8"/>
  <c r="H1190" i="8"/>
  <c r="H1146" i="8"/>
  <c r="H970" i="8"/>
  <c r="H1366" i="8"/>
  <c r="H1498" i="8"/>
  <c r="H1454" i="8"/>
  <c r="H1410" i="8"/>
  <c r="H794" i="8"/>
  <c r="H926" i="8"/>
  <c r="H1102" i="8"/>
  <c r="H838" i="8"/>
  <c r="H530" i="8"/>
  <c r="H618" i="8"/>
  <c r="H266" i="8"/>
  <c r="H1982" i="8"/>
  <c r="H1058" i="8"/>
  <c r="H442" i="8"/>
  <c r="H222" i="8"/>
  <c r="H486" i="8"/>
  <c r="H662" i="8"/>
  <c r="H354" i="8"/>
  <c r="H178" i="8"/>
  <c r="H3102" i="8"/>
  <c r="H2926" i="8"/>
  <c r="H3058" i="8"/>
  <c r="H2794" i="8"/>
  <c r="H2736" i="8"/>
  <c r="H2882" i="8"/>
  <c r="H2838" i="8"/>
  <c r="H2648" i="8"/>
  <c r="H3146" i="8"/>
  <c r="H2692" i="8"/>
  <c r="H2516" i="8"/>
  <c r="H2970" i="8"/>
  <c r="H2208" i="8"/>
  <c r="H2604" i="8"/>
  <c r="H2560" i="8"/>
  <c r="H2428" i="8"/>
  <c r="H2164" i="8"/>
  <c r="H3014" i="8"/>
  <c r="H3190" i="8"/>
  <c r="H2472" i="8"/>
  <c r="H2032" i="8"/>
  <c r="H2384" i="8"/>
  <c r="H2076" i="8"/>
  <c r="H1812" i="8"/>
  <c r="H2120" i="8"/>
  <c r="H2252" i="8"/>
  <c r="H1988" i="8"/>
  <c r="H2296" i="8"/>
  <c r="H2340" i="8"/>
  <c r="H1944" i="8"/>
  <c r="H1460" i="8"/>
  <c r="H1196" i="8"/>
  <c r="H1636" i="8"/>
  <c r="H1416" i="8"/>
  <c r="H1900" i="8"/>
  <c r="H1592" i="8"/>
  <c r="H1680" i="8"/>
  <c r="H1548" i="8"/>
  <c r="H1724" i="8"/>
  <c r="H1328" i="8"/>
  <c r="H1372" i="8"/>
  <c r="H888" i="8"/>
  <c r="H1108" i="8"/>
  <c r="H844" i="8"/>
  <c r="H1064" i="8"/>
  <c r="H580" i="8"/>
  <c r="H800" i="8"/>
  <c r="H1020" i="8"/>
  <c r="H536" i="8"/>
  <c r="H976" i="8"/>
  <c r="H1240" i="8"/>
  <c r="H1768" i="8"/>
  <c r="H624" i="8"/>
  <c r="H140" i="8"/>
  <c r="H360" i="8"/>
  <c r="H448" i="8"/>
  <c r="H1504" i="8"/>
  <c r="H96" i="8"/>
  <c r="H1284" i="8"/>
  <c r="H316" i="8"/>
  <c r="H492" i="8"/>
  <c r="H668" i="8"/>
  <c r="D28" i="6"/>
  <c r="E28" i="6" s="1"/>
  <c r="F28" i="6" s="1"/>
  <c r="T72" i="8"/>
  <c r="T73" i="8" s="1"/>
  <c r="T74" i="8" s="1"/>
  <c r="F72" i="8" s="1"/>
  <c r="J72" i="8" s="1"/>
  <c r="R88" i="8"/>
  <c r="G129" i="8"/>
  <c r="T160" i="8"/>
  <c r="T161" i="8" s="1"/>
  <c r="T162" i="8" s="1"/>
  <c r="F160" i="8" s="1"/>
  <c r="J160" i="8" s="1"/>
  <c r="H165" i="8"/>
  <c r="G173" i="8"/>
  <c r="G184" i="8"/>
  <c r="D261" i="8"/>
  <c r="E261" i="8" s="1"/>
  <c r="F261" i="8" s="1"/>
  <c r="J261" i="8" s="1"/>
  <c r="G272" i="8"/>
  <c r="T336" i="8"/>
  <c r="T337" i="8" s="1"/>
  <c r="T338" i="8" s="1"/>
  <c r="F336" i="8" s="1"/>
  <c r="J336" i="8" s="1"/>
  <c r="G349" i="8"/>
  <c r="D357" i="8"/>
  <c r="E357" i="8" s="1"/>
  <c r="F357" i="8" s="1"/>
  <c r="Q393" i="8"/>
  <c r="G395" i="8"/>
  <c r="H481" i="8"/>
  <c r="H577" i="8"/>
  <c r="H605" i="8"/>
  <c r="D655" i="8"/>
  <c r="E655" i="8" s="1"/>
  <c r="F655" i="8" s="1"/>
  <c r="J655" i="8" s="1"/>
  <c r="H702" i="8"/>
  <c r="Q758" i="8"/>
  <c r="H801" i="8"/>
  <c r="H913" i="8"/>
  <c r="H963" i="8"/>
  <c r="H996" i="8"/>
  <c r="R1497" i="8"/>
  <c r="D2195" i="8"/>
  <c r="E2195" i="8" s="1"/>
  <c r="H3167" i="8"/>
  <c r="H3079" i="8"/>
  <c r="H2903" i="8"/>
  <c r="H2991" i="8"/>
  <c r="H2859" i="8"/>
  <c r="H2947" i="8"/>
  <c r="H2669" i="8"/>
  <c r="H3123" i="8"/>
  <c r="H3035" i="8"/>
  <c r="H2713" i="8"/>
  <c r="H2815" i="8"/>
  <c r="H2493" i="8"/>
  <c r="H2449" i="8"/>
  <c r="H2185" i="8"/>
  <c r="H2405" i="8"/>
  <c r="H2537" i="8"/>
  <c r="H2581" i="8"/>
  <c r="H2625" i="8"/>
  <c r="H2097" i="8"/>
  <c r="H2229" i="8"/>
  <c r="H2141" i="8"/>
  <c r="H1965" i="8"/>
  <c r="H2771" i="8"/>
  <c r="H2317" i="8"/>
  <c r="H1921" i="8"/>
  <c r="H2009" i="8"/>
  <c r="H2273" i="8"/>
  <c r="H2053" i="8"/>
  <c r="H1833" i="8"/>
  <c r="H1789" i="8"/>
  <c r="H2361" i="8"/>
  <c r="H1745" i="8"/>
  <c r="H1437" i="8"/>
  <c r="H1701" i="8"/>
  <c r="H1877" i="8"/>
  <c r="H1657" i="8"/>
  <c r="H1393" i="8"/>
  <c r="H1613" i="8"/>
  <c r="H1305" i="8"/>
  <c r="H1481" i="8"/>
  <c r="H1569" i="8"/>
  <c r="H1261" i="8"/>
  <c r="H1173" i="8"/>
  <c r="H1525" i="8"/>
  <c r="H1129" i="8"/>
  <c r="H865" i="8"/>
  <c r="H1085" i="8"/>
  <c r="H821" i="8"/>
  <c r="H1217" i="8"/>
  <c r="H1349" i="8"/>
  <c r="H557" i="8"/>
  <c r="H909" i="8"/>
  <c r="H513" i="8"/>
  <c r="H425" i="8"/>
  <c r="H1041" i="8"/>
  <c r="H117" i="8"/>
  <c r="H997" i="8"/>
  <c r="H601" i="8"/>
  <c r="H381" i="8"/>
  <c r="H337" i="8"/>
  <c r="H733" i="8"/>
  <c r="H645" i="8"/>
  <c r="H777" i="8"/>
  <c r="H293" i="8"/>
  <c r="G3168" i="8"/>
  <c r="G3080" i="8"/>
  <c r="G3124" i="8"/>
  <c r="G2992" i="8"/>
  <c r="G2860" i="8"/>
  <c r="G3036" i="8"/>
  <c r="G2626" i="8"/>
  <c r="G2948" i="8"/>
  <c r="G2714" i="8"/>
  <c r="G2772" i="8"/>
  <c r="G2816" i="8"/>
  <c r="G2494" i="8"/>
  <c r="G2670" i="8"/>
  <c r="G2406" i="8"/>
  <c r="G2142" i="8"/>
  <c r="G2904" i="8"/>
  <c r="G2362" i="8"/>
  <c r="G2450" i="8"/>
  <c r="G2274" i="8"/>
  <c r="G2054" i="8"/>
  <c r="G2582" i="8"/>
  <c r="G2538" i="8"/>
  <c r="G2230" i="8"/>
  <c r="G2010" i="8"/>
  <c r="G1922" i="8"/>
  <c r="G2318" i="8"/>
  <c r="G1834" i="8"/>
  <c r="G2186" i="8"/>
  <c r="G1746" i="8"/>
  <c r="G1790" i="8"/>
  <c r="G1702" i="8"/>
  <c r="G1394" i="8"/>
  <c r="G1658" i="8"/>
  <c r="G1614" i="8"/>
  <c r="G1350" i="8"/>
  <c r="G1306" i="8"/>
  <c r="G1130" i="8"/>
  <c r="G1878" i="8"/>
  <c r="G1262" i="8"/>
  <c r="G1086" i="8"/>
  <c r="G822" i="8"/>
  <c r="G1570" i="8"/>
  <c r="G1966" i="8"/>
  <c r="G1042" i="8"/>
  <c r="G866" i="8"/>
  <c r="G514" i="8"/>
  <c r="G1174" i="8"/>
  <c r="G1438" i="8"/>
  <c r="G1218" i="8"/>
  <c r="G910" i="8"/>
  <c r="G998" i="8"/>
  <c r="G734" i="8"/>
  <c r="G426" i="8"/>
  <c r="G338" i="8"/>
  <c r="G1482" i="8"/>
  <c r="G778" i="8"/>
  <c r="G954" i="8"/>
  <c r="G470" i="8"/>
  <c r="G382" i="8"/>
  <c r="G294" i="8"/>
  <c r="G690" i="8"/>
  <c r="G250" i="8"/>
  <c r="G3125" i="8"/>
  <c r="G3169" i="8"/>
  <c r="G2817" i="8"/>
  <c r="G2773" i="8"/>
  <c r="G3081" i="8"/>
  <c r="G2715" i="8"/>
  <c r="G2583" i="8"/>
  <c r="G2949" i="8"/>
  <c r="G2861" i="8"/>
  <c r="G2905" i="8"/>
  <c r="G2671" i="8"/>
  <c r="G3037" i="8"/>
  <c r="G2363" i="8"/>
  <c r="G2099" i="8"/>
  <c r="G2539" i="8"/>
  <c r="G2319" i="8"/>
  <c r="G2993" i="8"/>
  <c r="G2451" i="8"/>
  <c r="G2407" i="8"/>
  <c r="G2495" i="8"/>
  <c r="G2143" i="8"/>
  <c r="G2055" i="8"/>
  <c r="G2011" i="8"/>
  <c r="G1791" i="8"/>
  <c r="G2627" i="8"/>
  <c r="G2275" i="8"/>
  <c r="G1967" i="8"/>
  <c r="G1923" i="8"/>
  <c r="G2231" i="8"/>
  <c r="G1835" i="8"/>
  <c r="G2187" i="8"/>
  <c r="G1703" i="8"/>
  <c r="G1879" i="8"/>
  <c r="G1659" i="8"/>
  <c r="G1615" i="8"/>
  <c r="G1351" i="8"/>
  <c r="G1747" i="8"/>
  <c r="G1571" i="8"/>
  <c r="G1307" i="8"/>
  <c r="G1087" i="8"/>
  <c r="G1043" i="8"/>
  <c r="G1263" i="8"/>
  <c r="G999" i="8"/>
  <c r="G867" i="8"/>
  <c r="G1527" i="8"/>
  <c r="G1395" i="8"/>
  <c r="G471" i="8"/>
  <c r="G779" i="8"/>
  <c r="G735" i="8"/>
  <c r="G1175" i="8"/>
  <c r="G1439" i="8"/>
  <c r="G823" i="8"/>
  <c r="G691" i="8"/>
  <c r="G1219" i="8"/>
  <c r="G955" i="8"/>
  <c r="G427" i="8"/>
  <c r="G295" i="8"/>
  <c r="G339" i="8"/>
  <c r="G383" i="8"/>
  <c r="G251" i="8"/>
  <c r="G1483" i="8"/>
  <c r="G911" i="8"/>
  <c r="G207" i="8"/>
  <c r="G3126" i="8"/>
  <c r="G3038" i="8"/>
  <c r="G3170" i="8"/>
  <c r="G2862" i="8"/>
  <c r="G2994" i="8"/>
  <c r="G2540" i="8"/>
  <c r="G2906" i="8"/>
  <c r="G3082" i="8"/>
  <c r="G2950" i="8"/>
  <c r="G2672" i="8"/>
  <c r="G2774" i="8"/>
  <c r="G2320" i="8"/>
  <c r="G2056" i="8"/>
  <c r="G2818" i="8"/>
  <c r="G2496" i="8"/>
  <c r="G2584" i="8"/>
  <c r="G2716" i="8"/>
  <c r="G2100" i="8"/>
  <c r="G2364" i="8"/>
  <c r="G2012" i="8"/>
  <c r="G2408" i="8"/>
  <c r="G2628" i="8"/>
  <c r="G2232" i="8"/>
  <c r="G2452" i="8"/>
  <c r="G1792" i="8"/>
  <c r="G1924" i="8"/>
  <c r="G1704" i="8"/>
  <c r="G2144" i="8"/>
  <c r="G1880" i="8"/>
  <c r="G2276" i="8"/>
  <c r="G2188" i="8"/>
  <c r="G1660" i="8"/>
  <c r="G1572" i="8"/>
  <c r="G1308" i="8"/>
  <c r="G1748" i="8"/>
  <c r="G1528" i="8"/>
  <c r="G1836" i="8"/>
  <c r="G1440" i="8"/>
  <c r="G1352" i="8"/>
  <c r="G1044" i="8"/>
  <c r="G1396" i="8"/>
  <c r="G1000" i="8"/>
  <c r="G1484" i="8"/>
  <c r="G1616" i="8"/>
  <c r="G1088" i="8"/>
  <c r="G736" i="8"/>
  <c r="G428" i="8"/>
  <c r="G868" i="8"/>
  <c r="G780" i="8"/>
  <c r="G1264" i="8"/>
  <c r="G912" i="8"/>
  <c r="G604" i="8"/>
  <c r="G956" i="8"/>
  <c r="G560" i="8"/>
  <c r="G1968" i="8"/>
  <c r="G648" i="8"/>
  <c r="G824" i="8"/>
  <c r="G692" i="8"/>
  <c r="G340" i="8"/>
  <c r="G296" i="8"/>
  <c r="G252" i="8"/>
  <c r="G1132" i="8"/>
  <c r="G384" i="8"/>
  <c r="G208" i="8"/>
  <c r="G1176" i="8"/>
  <c r="G472" i="8"/>
  <c r="D23" i="8"/>
  <c r="D123" i="8"/>
  <c r="E123" i="8" s="1"/>
  <c r="F123" i="8" s="1"/>
  <c r="J123" i="8" s="1"/>
  <c r="H129" i="8"/>
  <c r="H173" i="8"/>
  <c r="H184" i="8"/>
  <c r="Q213" i="8"/>
  <c r="D217" i="8"/>
  <c r="E217" i="8" s="1"/>
  <c r="F217" i="8" s="1"/>
  <c r="J217" i="8" s="1"/>
  <c r="H272" i="8"/>
  <c r="D305" i="8"/>
  <c r="E305" i="8" s="1"/>
  <c r="F305" i="8" s="1"/>
  <c r="J305" i="8" s="1"/>
  <c r="D317" i="8"/>
  <c r="E317" i="8" s="1"/>
  <c r="F317" i="8" s="1"/>
  <c r="D361" i="8"/>
  <c r="E361" i="8" s="1"/>
  <c r="F361" i="8" s="1"/>
  <c r="Z380" i="8"/>
  <c r="Z381" i="8" s="1"/>
  <c r="H395" i="8"/>
  <c r="Q403" i="8"/>
  <c r="Q405" i="8"/>
  <c r="Q428" i="8"/>
  <c r="H436" i="8"/>
  <c r="G603" i="8"/>
  <c r="D617" i="8"/>
  <c r="E617" i="8" s="1"/>
  <c r="F617" i="8" s="1"/>
  <c r="D625" i="8"/>
  <c r="E625" i="8" s="1"/>
  <c r="F625" i="8" s="1"/>
  <c r="G688" i="8"/>
  <c r="G745" i="8"/>
  <c r="G753" i="8"/>
  <c r="D799" i="8"/>
  <c r="E799" i="8" s="1"/>
  <c r="F799" i="8" s="1"/>
  <c r="D1062" i="8"/>
  <c r="E1062" i="8" s="1"/>
  <c r="F1062" i="8" s="1"/>
  <c r="J1062" i="8" s="1"/>
  <c r="H1065" i="8"/>
  <c r="H1260" i="8"/>
  <c r="G1401" i="8"/>
  <c r="G1526" i="8"/>
  <c r="U1550" i="8"/>
  <c r="S1550" i="8"/>
  <c r="F2195" i="8"/>
  <c r="J2195" i="8" s="1"/>
  <c r="G3172" i="8"/>
  <c r="G3040" i="8"/>
  <c r="G3084" i="8"/>
  <c r="G2996" i="8"/>
  <c r="G2776" i="8"/>
  <c r="G2908" i="8"/>
  <c r="G2864" i="8"/>
  <c r="G2586" i="8"/>
  <c r="G3128" i="8"/>
  <c r="G2952" i="8"/>
  <c r="G2718" i="8"/>
  <c r="G2674" i="8"/>
  <c r="G2366" i="8"/>
  <c r="G2102" i="8"/>
  <c r="G2820" i="8"/>
  <c r="G2542" i="8"/>
  <c r="G2322" i="8"/>
  <c r="G2630" i="8"/>
  <c r="G2410" i="8"/>
  <c r="G2190" i="8"/>
  <c r="G2146" i="8"/>
  <c r="G2058" i="8"/>
  <c r="G2278" i="8"/>
  <c r="G2234" i="8"/>
  <c r="G1926" i="8"/>
  <c r="G2498" i="8"/>
  <c r="G1970" i="8"/>
  <c r="G1838" i="8"/>
  <c r="G2454" i="8"/>
  <c r="G1750" i="8"/>
  <c r="G2014" i="8"/>
  <c r="G1794" i="8"/>
  <c r="G1618" i="8"/>
  <c r="G1354" i="8"/>
  <c r="G1574" i="8"/>
  <c r="G1310" i="8"/>
  <c r="G1266" i="8"/>
  <c r="G1398" i="8"/>
  <c r="G1090" i="8"/>
  <c r="G1046" i="8"/>
  <c r="G1486" i="8"/>
  <c r="G1530" i="8"/>
  <c r="G1882" i="8"/>
  <c r="G1178" i="8"/>
  <c r="G1706" i="8"/>
  <c r="G914" i="8"/>
  <c r="G474" i="8"/>
  <c r="G826" i="8"/>
  <c r="G1222" i="8"/>
  <c r="G958" i="8"/>
  <c r="G430" i="8"/>
  <c r="G694" i="8"/>
  <c r="G606" i="8"/>
  <c r="G782" i="8"/>
  <c r="G650" i="8"/>
  <c r="G870" i="8"/>
  <c r="G1002" i="8"/>
  <c r="G298" i="8"/>
  <c r="G518" i="8"/>
  <c r="G342" i="8"/>
  <c r="G254" i="8"/>
  <c r="G1134" i="8"/>
  <c r="D141" i="8"/>
  <c r="E141" i="8" s="1"/>
  <c r="F141" i="8" s="1"/>
  <c r="D262" i="8"/>
  <c r="E262" i="8" s="1"/>
  <c r="F262" i="8" s="1"/>
  <c r="H3175" i="8"/>
  <c r="H2999" i="8"/>
  <c r="H3131" i="8"/>
  <c r="H2501" i="8"/>
  <c r="H2823" i="8"/>
  <c r="H2911" i="8"/>
  <c r="H2677" i="8"/>
  <c r="H2867" i="8"/>
  <c r="H2779" i="8"/>
  <c r="H2589" i="8"/>
  <c r="H2955" i="8"/>
  <c r="H2281" i="8"/>
  <c r="H3043" i="8"/>
  <c r="H2237" i="8"/>
  <c r="H3087" i="8"/>
  <c r="H2721" i="8"/>
  <c r="H2413" i="8"/>
  <c r="H2545" i="8"/>
  <c r="H2457" i="8"/>
  <c r="H2369" i="8"/>
  <c r="H2061" i="8"/>
  <c r="H2149" i="8"/>
  <c r="H2105" i="8"/>
  <c r="H2017" i="8"/>
  <c r="H2193" i="8"/>
  <c r="H1973" i="8"/>
  <c r="H1929" i="8"/>
  <c r="H1621" i="8"/>
  <c r="H1709" i="8"/>
  <c r="H1797" i="8"/>
  <c r="H1533" i="8"/>
  <c r="H1269" i="8"/>
  <c r="H1753" i="8"/>
  <c r="H1489" i="8"/>
  <c r="H1445" i="8"/>
  <c r="H1577" i="8"/>
  <c r="H1885" i="8"/>
  <c r="H1401" i="8"/>
  <c r="H1005" i="8"/>
  <c r="H961" i="8"/>
  <c r="H917" i="8"/>
  <c r="H873" i="8"/>
  <c r="H1137" i="8"/>
  <c r="H2325" i="8"/>
  <c r="H2633" i="8"/>
  <c r="H1093" i="8"/>
  <c r="H741" i="8"/>
  <c r="H785" i="8"/>
  <c r="H609" i="8"/>
  <c r="H1313" i="8"/>
  <c r="H829" i="8"/>
  <c r="H697" i="8"/>
  <c r="H389" i="8"/>
  <c r="H1665" i="8"/>
  <c r="H301" i="8"/>
  <c r="H213" i="8"/>
  <c r="H1357" i="8"/>
  <c r="H1841" i="8"/>
  <c r="H653" i="8"/>
  <c r="H169" i="8"/>
  <c r="H1181" i="8"/>
  <c r="H565" i="8"/>
  <c r="H477" i="8"/>
  <c r="H125" i="8"/>
  <c r="D182" i="8"/>
  <c r="E182" i="8" s="1"/>
  <c r="F182" i="8" s="1"/>
  <c r="J182" i="8" s="1"/>
  <c r="D230" i="8"/>
  <c r="E230" i="8" s="1"/>
  <c r="F230" i="8" s="1"/>
  <c r="J230" i="8" s="1"/>
  <c r="D481" i="8"/>
  <c r="E481" i="8" s="1"/>
  <c r="F481" i="8" s="1"/>
  <c r="J481" i="8" s="1"/>
  <c r="G565" i="8"/>
  <c r="D930" i="8"/>
  <c r="E930" i="8" s="1"/>
  <c r="F930" i="8" s="1"/>
  <c r="J930" i="8" s="1"/>
  <c r="R968" i="8"/>
  <c r="Z1128" i="8"/>
  <c r="Z1129" i="8" s="1"/>
  <c r="H1225" i="8"/>
  <c r="D29" i="8"/>
  <c r="D890" i="8"/>
  <c r="E890" i="8" s="1"/>
  <c r="F890" i="8" s="1"/>
  <c r="J890" i="8" s="1"/>
  <c r="Q1225" i="8"/>
  <c r="Q3141" i="8"/>
  <c r="Q3190" i="8"/>
  <c r="R3138" i="8"/>
  <c r="Q3101" i="8"/>
  <c r="R3170" i="8"/>
  <c r="Q3167" i="8"/>
  <c r="R3137" i="8"/>
  <c r="R3082" i="8"/>
  <c r="Q3133" i="8"/>
  <c r="Q3122" i="8"/>
  <c r="Q3099" i="8"/>
  <c r="Q3082" i="8"/>
  <c r="Q3053" i="8"/>
  <c r="Q2964" i="8"/>
  <c r="Q3086" i="8"/>
  <c r="Q3083" i="8"/>
  <c r="R3050" i="8"/>
  <c r="Q3188" i="8"/>
  <c r="Q3180" i="8"/>
  <c r="R3139" i="8"/>
  <c r="R3183" i="8"/>
  <c r="Q2955" i="8"/>
  <c r="Q2949" i="8"/>
  <c r="Q2919" i="8"/>
  <c r="Q2910" i="8"/>
  <c r="Q2882" i="8"/>
  <c r="R2830" i="8"/>
  <c r="Q2793" i="8"/>
  <c r="R3007" i="8"/>
  <c r="Q3007" i="8"/>
  <c r="Q3000" i="8"/>
  <c r="Q2960" i="8"/>
  <c r="R2950" i="8"/>
  <c r="R2875" i="8"/>
  <c r="R3182" i="8"/>
  <c r="Q3056" i="8"/>
  <c r="R3049" i="8"/>
  <c r="Q3095" i="8"/>
  <c r="Q3093" i="8"/>
  <c r="Q3054" i="8"/>
  <c r="Q3044" i="8"/>
  <c r="R3038" i="8"/>
  <c r="Q3034" i="8"/>
  <c r="Q2915" i="8"/>
  <c r="Q2875" i="8"/>
  <c r="Q2864" i="8"/>
  <c r="R2729" i="8"/>
  <c r="Q2907" i="8"/>
  <c r="Q2872" i="8"/>
  <c r="Q2729" i="8"/>
  <c r="Q2965" i="8"/>
  <c r="Q2959" i="8"/>
  <c r="Q2958" i="8"/>
  <c r="R2917" i="8"/>
  <c r="Q2881" i="8"/>
  <c r="R2831" i="8"/>
  <c r="Q2828" i="8"/>
  <c r="Q2821" i="8"/>
  <c r="R2994" i="8"/>
  <c r="R2962" i="8"/>
  <c r="R2919" i="8"/>
  <c r="R2873" i="8"/>
  <c r="R2829" i="8"/>
  <c r="Q2692" i="8"/>
  <c r="Q2596" i="8"/>
  <c r="Q2580" i="8"/>
  <c r="Q2547" i="8"/>
  <c r="R2507" i="8"/>
  <c r="Q3100" i="8"/>
  <c r="R3051" i="8"/>
  <c r="Q2962" i="8"/>
  <c r="B2977" i="8" s="1"/>
  <c r="B2978" i="8" s="1"/>
  <c r="Q2924" i="8"/>
  <c r="Q2917" i="8"/>
  <c r="R2862" i="8"/>
  <c r="R2685" i="8"/>
  <c r="Q2644" i="8"/>
  <c r="R2641" i="8"/>
  <c r="Q3185" i="8"/>
  <c r="Q2862" i="8"/>
  <c r="Q3173" i="8"/>
  <c r="Q3144" i="8"/>
  <c r="R3093" i="8"/>
  <c r="Q3016" i="8"/>
  <c r="Q2998" i="8"/>
  <c r="Q2995" i="8"/>
  <c r="R3095" i="8"/>
  <c r="Q2686" i="8"/>
  <c r="Q3168" i="8"/>
  <c r="Q3050" i="8"/>
  <c r="Q2996" i="8"/>
  <c r="Q2879" i="8"/>
  <c r="Q2548" i="8"/>
  <c r="Q3124" i="8"/>
  <c r="Q3103" i="8"/>
  <c r="Q3046" i="8"/>
  <c r="Q3014" i="8"/>
  <c r="R3005" i="8"/>
  <c r="Q2927" i="8"/>
  <c r="Q2921" i="8"/>
  <c r="Q2904" i="8"/>
  <c r="Q2789" i="8"/>
  <c r="Q3011" i="8"/>
  <c r="Q2714" i="8"/>
  <c r="Q2865" i="8"/>
  <c r="Q2861" i="8"/>
  <c r="Q2835" i="8"/>
  <c r="R2640" i="8"/>
  <c r="Q2824" i="8"/>
  <c r="R2786" i="8"/>
  <c r="Q2718" i="8"/>
  <c r="R2683" i="8"/>
  <c r="Q2635" i="8"/>
  <c r="Q2604" i="8"/>
  <c r="R2540" i="8"/>
  <c r="Q2500" i="8"/>
  <c r="Q2472" i="8"/>
  <c r="Q2903" i="8"/>
  <c r="R2728" i="8"/>
  <c r="R2552" i="8"/>
  <c r="Q2510" i="8"/>
  <c r="R3181" i="8"/>
  <c r="Q2923" i="8"/>
  <c r="Q2859" i="8"/>
  <c r="Q2792" i="8"/>
  <c r="Q2728" i="8"/>
  <c r="B2743" i="8" s="1"/>
  <c r="Q2690" i="8"/>
  <c r="Q2601" i="8"/>
  <c r="Q2581" i="8"/>
  <c r="Q2552" i="8"/>
  <c r="Q3169" i="8"/>
  <c r="R3006" i="8"/>
  <c r="Q2317" i="8"/>
  <c r="R2287" i="8"/>
  <c r="Q2285" i="8"/>
  <c r="Q2254" i="8"/>
  <c r="Q2234" i="8"/>
  <c r="Q2112" i="8"/>
  <c r="Q2096" i="8"/>
  <c r="Q3078" i="8"/>
  <c r="Q3006" i="8"/>
  <c r="Q2870" i="8"/>
  <c r="Q2515" i="8"/>
  <c r="R2463" i="8"/>
  <c r="R2421" i="8"/>
  <c r="R2232" i="8"/>
  <c r="Q2191" i="8"/>
  <c r="Q2160" i="8"/>
  <c r="R2157" i="8"/>
  <c r="Q2071" i="8"/>
  <c r="Q2023" i="8"/>
  <c r="Q2020" i="8"/>
  <c r="Q2512" i="8"/>
  <c r="Q2456" i="8"/>
  <c r="Q2451" i="8"/>
  <c r="Q2421" i="8"/>
  <c r="R2332" i="8"/>
  <c r="Q3132" i="8"/>
  <c r="Q2991" i="8"/>
  <c r="Q2860" i="8"/>
  <c r="R2785" i="8"/>
  <c r="Q2720" i="8"/>
  <c r="R2672" i="8"/>
  <c r="Q2646" i="8"/>
  <c r="Q2332" i="8"/>
  <c r="Q2283" i="8"/>
  <c r="R2243" i="8"/>
  <c r="Q2210" i="8"/>
  <c r="R2963" i="8"/>
  <c r="R2584" i="8"/>
  <c r="Q3131" i="8"/>
  <c r="Q2906" i="8"/>
  <c r="R2787" i="8"/>
  <c r="Q2641" i="8"/>
  <c r="R2639" i="8"/>
  <c r="R2553" i="8"/>
  <c r="Q2493" i="8"/>
  <c r="Q2465" i="8"/>
  <c r="Q2428" i="8"/>
  <c r="Q2416" i="8"/>
  <c r="R2551" i="8"/>
  <c r="Q2511" i="8"/>
  <c r="Q2815" i="8"/>
  <c r="Q2670" i="8"/>
  <c r="R2628" i="8"/>
  <c r="R2508" i="8"/>
  <c r="R2452" i="8"/>
  <c r="R2906" i="8"/>
  <c r="Q2731" i="8"/>
  <c r="Q2668" i="8"/>
  <c r="Q2649" i="8"/>
  <c r="Q2628" i="8"/>
  <c r="R2408" i="8"/>
  <c r="R2320" i="8"/>
  <c r="Q2288" i="8"/>
  <c r="Q2274" i="8"/>
  <c r="R2201" i="8"/>
  <c r="Q2946" i="8"/>
  <c r="Q2502" i="8"/>
  <c r="Q2418" i="8"/>
  <c r="Q2408" i="8"/>
  <c r="R2376" i="8"/>
  <c r="Q2342" i="8"/>
  <c r="Q2771" i="8"/>
  <c r="Q2682" i="8"/>
  <c r="R2684" i="8"/>
  <c r="R2596" i="8"/>
  <c r="Q2543" i="8"/>
  <c r="Q2905" i="8"/>
  <c r="Q2716" i="8"/>
  <c r="Q2689" i="8"/>
  <c r="Q2592" i="8"/>
  <c r="Q2538" i="8"/>
  <c r="Q2518" i="8"/>
  <c r="R2465" i="8"/>
  <c r="Q2454" i="8"/>
  <c r="Q2713" i="8"/>
  <c r="R2364" i="8"/>
  <c r="R2288" i="8"/>
  <c r="B2303" i="8" s="1"/>
  <c r="Q2838" i="8"/>
  <c r="R2818" i="8"/>
  <c r="Q2782" i="8"/>
  <c r="Q2694" i="8"/>
  <c r="Q2541" i="8"/>
  <c r="Q2458" i="8"/>
  <c r="R2727" i="8"/>
  <c r="Q2684" i="8"/>
  <c r="Q2679" i="8"/>
  <c r="R2595" i="8"/>
  <c r="Q2425" i="8"/>
  <c r="R2716" i="8"/>
  <c r="R2918" i="8"/>
  <c r="B2933" i="8" s="1"/>
  <c r="Q2724" i="8"/>
  <c r="Q2600" i="8"/>
  <c r="R2597" i="8"/>
  <c r="Q2386" i="8"/>
  <c r="R2377" i="8"/>
  <c r="Q2253" i="8"/>
  <c r="Q2240" i="8"/>
  <c r="R2188" i="8"/>
  <c r="Q2158" i="8"/>
  <c r="Q2968" i="8"/>
  <c r="Q2918" i="8"/>
  <c r="Q3148" i="8"/>
  <c r="R3094" i="8"/>
  <c r="R2874" i="8"/>
  <c r="Q2794" i="8"/>
  <c r="Q2430" i="8"/>
  <c r="Q2422" i="8"/>
  <c r="Q3094" i="8"/>
  <c r="B3109" i="8" s="1"/>
  <c r="B3110" i="8" s="1"/>
  <c r="R2496" i="8"/>
  <c r="Q2426" i="8"/>
  <c r="Q2405" i="8"/>
  <c r="Q2629" i="8"/>
  <c r="R2420" i="8"/>
  <c r="B2435" i="8" s="1"/>
  <c r="R1981" i="8"/>
  <c r="Q1944" i="8"/>
  <c r="Q2420" i="8"/>
  <c r="Q2275" i="8"/>
  <c r="R2199" i="8"/>
  <c r="Q2194" i="8"/>
  <c r="Q2185" i="8"/>
  <c r="Q2118" i="8"/>
  <c r="Q2028" i="8"/>
  <c r="R2025" i="8"/>
  <c r="Q1981" i="8"/>
  <c r="Q3047" i="8"/>
  <c r="R2069" i="8"/>
  <c r="R1937" i="8"/>
  <c r="Q2669" i="8"/>
  <c r="Q2496" i="8"/>
  <c r="Q2455" i="8"/>
  <c r="Q2450" i="8"/>
  <c r="Q2406" i="8"/>
  <c r="B2347" i="8"/>
  <c r="Q2318" i="8"/>
  <c r="Q2122" i="8"/>
  <c r="R2112" i="8"/>
  <c r="Q1988" i="8"/>
  <c r="Q1973" i="8"/>
  <c r="R1848" i="8"/>
  <c r="R2774" i="8"/>
  <c r="Q2404" i="8"/>
  <c r="Q2328" i="8"/>
  <c r="R2156" i="8"/>
  <c r="Q2514" i="8"/>
  <c r="R2375" i="8"/>
  <c r="Q2365" i="8"/>
  <c r="R2333" i="8"/>
  <c r="R2331" i="8"/>
  <c r="Q2156" i="8"/>
  <c r="Q2385" i="8"/>
  <c r="Q2375" i="8"/>
  <c r="R2289" i="8"/>
  <c r="Q2913" i="8"/>
  <c r="Q2111" i="8"/>
  <c r="Q2105" i="8"/>
  <c r="Q2100" i="8"/>
  <c r="Q2076" i="8"/>
  <c r="Q2070" i="8"/>
  <c r="Q2029" i="8"/>
  <c r="Q1983" i="8"/>
  <c r="Q1966" i="8"/>
  <c r="Q1857" i="8"/>
  <c r="Q1847" i="8"/>
  <c r="R2068" i="8"/>
  <c r="R1979" i="8"/>
  <c r="Q1767" i="8"/>
  <c r="Q1754" i="8"/>
  <c r="Q1722" i="8"/>
  <c r="Q1705" i="8"/>
  <c r="Q1704" i="8"/>
  <c r="Q1702" i="8"/>
  <c r="Q1681" i="8"/>
  <c r="Q1665" i="8"/>
  <c r="Q1659" i="8"/>
  <c r="R3126" i="8"/>
  <c r="Q2205" i="8"/>
  <c r="Q1902" i="8"/>
  <c r="Q1884" i="8"/>
  <c r="Q1814" i="8"/>
  <c r="Q2499" i="8"/>
  <c r="Q2415" i="8"/>
  <c r="R2200" i="8"/>
  <c r="Q2189" i="8"/>
  <c r="R2144" i="8"/>
  <c r="R1935" i="8"/>
  <c r="Q1895" i="8"/>
  <c r="R1892" i="8"/>
  <c r="R2961" i="8"/>
  <c r="R2245" i="8"/>
  <c r="Q2198" i="8"/>
  <c r="Q2151" i="8"/>
  <c r="Q2097" i="8"/>
  <c r="R2023" i="8"/>
  <c r="Q1935" i="8"/>
  <c r="Q1899" i="8"/>
  <c r="Q1892" i="8"/>
  <c r="R1880" i="8"/>
  <c r="R1804" i="8"/>
  <c r="Q3104" i="8"/>
  <c r="Q2993" i="8"/>
  <c r="R2509" i="8"/>
  <c r="R1968" i="8"/>
  <c r="Q1880" i="8"/>
  <c r="Q2780" i="8"/>
  <c r="Q2591" i="8"/>
  <c r="Q2509" i="8"/>
  <c r="Q2474" i="8"/>
  <c r="Q2467" i="8"/>
  <c r="Q2252" i="8"/>
  <c r="Q2188" i="8"/>
  <c r="Q2157" i="8"/>
  <c r="Q2019" i="8"/>
  <c r="Q1932" i="8"/>
  <c r="R2276" i="8"/>
  <c r="R2024" i="8"/>
  <c r="Q2382" i="8"/>
  <c r="Q2341" i="8"/>
  <c r="Q2319" i="8"/>
  <c r="Q2276" i="8"/>
  <c r="Q2148" i="8"/>
  <c r="Q2110" i="8"/>
  <c r="Q2024" i="8"/>
  <c r="R2012" i="8"/>
  <c r="R1673" i="8"/>
  <c r="R1627" i="8"/>
  <c r="Q2162" i="8"/>
  <c r="R1891" i="8"/>
  <c r="R1849" i="8"/>
  <c r="Q1806" i="8"/>
  <c r="R1761" i="8"/>
  <c r="Q2030" i="8"/>
  <c r="Q1891" i="8"/>
  <c r="Q1843" i="8"/>
  <c r="R1836" i="8"/>
  <c r="Q1761" i="8"/>
  <c r="Q3147" i="8"/>
  <c r="Q2413" i="8"/>
  <c r="Q2329" i="8"/>
  <c r="Q2321" i="8"/>
  <c r="R2100" i="8"/>
  <c r="R2056" i="8"/>
  <c r="Q1925" i="8"/>
  <c r="Q2323" i="8"/>
  <c r="Q2145" i="8"/>
  <c r="Q1978" i="8"/>
  <c r="Q2337" i="8"/>
  <c r="Q2147" i="8"/>
  <c r="Q2120" i="8"/>
  <c r="Q2102" i="8"/>
  <c r="Q2099" i="8"/>
  <c r="Q1939" i="8"/>
  <c r="Q1924" i="8"/>
  <c r="Q2461" i="8"/>
  <c r="Q2449" i="8"/>
  <c r="Q1987" i="8"/>
  <c r="Q1850" i="8"/>
  <c r="Q1838" i="8"/>
  <c r="R1792" i="8"/>
  <c r="Q1769" i="8"/>
  <c r="Q1718" i="8"/>
  <c r="Q1569" i="8"/>
  <c r="R1539" i="8"/>
  <c r="Q1486" i="8"/>
  <c r="R1275" i="8"/>
  <c r="R2464" i="8"/>
  <c r="Q1898" i="8"/>
  <c r="Q1852" i="8"/>
  <c r="Q1802" i="8"/>
  <c r="Q1749" i="8"/>
  <c r="Q1536" i="8"/>
  <c r="Q1501" i="8"/>
  <c r="Q1498" i="8"/>
  <c r="Q1494" i="8"/>
  <c r="R1484" i="8"/>
  <c r="Q1443" i="8"/>
  <c r="R1409" i="8"/>
  <c r="R1220" i="8"/>
  <c r="Q2114" i="8"/>
  <c r="R1936" i="8"/>
  <c r="Q1795" i="8"/>
  <c r="R1672" i="8"/>
  <c r="R1584" i="8"/>
  <c r="Q1502" i="8"/>
  <c r="Q1485" i="8"/>
  <c r="Q1484" i="8"/>
  <c r="Q1482" i="8"/>
  <c r="Q1461" i="8"/>
  <c r="Q1445" i="8"/>
  <c r="R1320" i="8"/>
  <c r="R2155" i="8"/>
  <c r="Q1936" i="8"/>
  <c r="Q1934" i="8"/>
  <c r="Q1922" i="8"/>
  <c r="R1893" i="8"/>
  <c r="Q1889" i="8"/>
  <c r="Q1763" i="8"/>
  <c r="Q1709" i="8"/>
  <c r="Q1682" i="8"/>
  <c r="Q1535" i="8"/>
  <c r="R1495" i="8"/>
  <c r="Q1462" i="8"/>
  <c r="R1231" i="8"/>
  <c r="Q2691" i="8"/>
  <c r="R2244" i="8"/>
  <c r="Q2155" i="8"/>
  <c r="R1980" i="8"/>
  <c r="R1847" i="8"/>
  <c r="R1759" i="8"/>
  <c r="R1716" i="8"/>
  <c r="Q1543" i="8"/>
  <c r="Q1495" i="8"/>
  <c r="Q1492" i="8"/>
  <c r="Q1457" i="8"/>
  <c r="R1440" i="8"/>
  <c r="R1365" i="8"/>
  <c r="R2111" i="8"/>
  <c r="Q1845" i="8"/>
  <c r="Q1680" i="8"/>
  <c r="Q1663" i="8"/>
  <c r="Q1629" i="8"/>
  <c r="Q1577" i="8"/>
  <c r="Q1550" i="8"/>
  <c r="Q1449" i="8"/>
  <c r="Q1946" i="8"/>
  <c r="Q1744" i="8"/>
  <c r="Q1701" i="8"/>
  <c r="Q1669" i="8"/>
  <c r="R1396" i="8"/>
  <c r="Q1901" i="8"/>
  <c r="Q1855" i="8"/>
  <c r="Q1674" i="8"/>
  <c r="Q1658" i="8"/>
  <c r="Q1634" i="8"/>
  <c r="Q1615" i="8"/>
  <c r="Q1590" i="8"/>
  <c r="Q1573" i="8"/>
  <c r="Q1396" i="8"/>
  <c r="R1319" i="8"/>
  <c r="Q1148" i="8"/>
  <c r="R1145" i="8"/>
  <c r="R2419" i="8"/>
  <c r="Q1588" i="8"/>
  <c r="Q1580" i="8"/>
  <c r="Q1570" i="8"/>
  <c r="Q1499" i="8"/>
  <c r="R1408" i="8"/>
  <c r="R2113" i="8"/>
  <c r="Q1716" i="8"/>
  <c r="Q3171" i="8"/>
  <c r="Q2113" i="8"/>
  <c r="Q1929" i="8"/>
  <c r="R1924" i="8"/>
  <c r="R1760" i="8"/>
  <c r="R1748" i="8"/>
  <c r="R1628" i="8"/>
  <c r="Q1544" i="8"/>
  <c r="Q1405" i="8"/>
  <c r="Q2101" i="8"/>
  <c r="Q2065" i="8"/>
  <c r="Q2031" i="8"/>
  <c r="Q1839" i="8"/>
  <c r="Q1760" i="8"/>
  <c r="Q1714" i="8"/>
  <c r="Q2034" i="8"/>
  <c r="Q1896" i="8"/>
  <c r="R1616" i="8"/>
  <c r="R1541" i="8"/>
  <c r="R1233" i="8"/>
  <c r="Q1051" i="8"/>
  <c r="Q1041" i="8"/>
  <c r="R1011" i="8"/>
  <c r="Q1009" i="8"/>
  <c r="Q1846" i="8"/>
  <c r="Q1752" i="8"/>
  <c r="Q1668" i="8"/>
  <c r="Q1620" i="8"/>
  <c r="Q1616" i="8"/>
  <c r="R1585" i="8"/>
  <c r="R1572" i="8"/>
  <c r="R1451" i="8"/>
  <c r="R1276" i="8"/>
  <c r="Q1059" i="8"/>
  <c r="Q1011" i="8"/>
  <c r="Q1008" i="8"/>
  <c r="Q973" i="8"/>
  <c r="Q970" i="8"/>
  <c r="Q966" i="8"/>
  <c r="Q1931" i="8"/>
  <c r="Q1719" i="8"/>
  <c r="R1629" i="8"/>
  <c r="R1583" i="8"/>
  <c r="Q1451" i="8"/>
  <c r="R1056" i="8"/>
  <c r="Q1019" i="8"/>
  <c r="Q1006" i="8"/>
  <c r="Q957" i="8"/>
  <c r="Q917" i="8"/>
  <c r="Q911" i="8"/>
  <c r="Q844" i="8"/>
  <c r="R792" i="8"/>
  <c r="Q710" i="8"/>
  <c r="Q693" i="8"/>
  <c r="Q692" i="8"/>
  <c r="Q690" i="8"/>
  <c r="R2067" i="8"/>
  <c r="R1453" i="8"/>
  <c r="Q1411" i="8"/>
  <c r="Q1361" i="8"/>
  <c r="Q1226" i="8"/>
  <c r="Q1193" i="8"/>
  <c r="Q1056" i="8"/>
  <c r="R967" i="8"/>
  <c r="Q965" i="8"/>
  <c r="Q934" i="8"/>
  <c r="Q914" i="8"/>
  <c r="Q2364" i="8"/>
  <c r="Q2141" i="8"/>
  <c r="R1188" i="8"/>
  <c r="R1101" i="8"/>
  <c r="Q967" i="8"/>
  <c r="Q964" i="8"/>
  <c r="Q929" i="8"/>
  <c r="Q926" i="8"/>
  <c r="Q922" i="8"/>
  <c r="R912" i="8"/>
  <c r="Q871" i="8"/>
  <c r="Q840" i="8"/>
  <c r="R837" i="8"/>
  <c r="Q2298" i="8"/>
  <c r="Q2153" i="8"/>
  <c r="R1528" i="8"/>
  <c r="R1496" i="8"/>
  <c r="R1352" i="8"/>
  <c r="Q1180" i="8"/>
  <c r="R1144" i="8"/>
  <c r="Q1135" i="8"/>
  <c r="Q1131" i="8"/>
  <c r="Q1101" i="8"/>
  <c r="R1012" i="8"/>
  <c r="Q913" i="8"/>
  <c r="Q912" i="8"/>
  <c r="Q910" i="8"/>
  <c r="Q889" i="8"/>
  <c r="Q873" i="8"/>
  <c r="Q1533" i="8"/>
  <c r="R1321" i="8"/>
  <c r="Q1310" i="8"/>
  <c r="Q1268" i="8"/>
  <c r="Q1217" i="8"/>
  <c r="Q1216" i="8"/>
  <c r="Q1194" i="8"/>
  <c r="Q1178" i="8"/>
  <c r="Q1174" i="8"/>
  <c r="Q1147" i="8"/>
  <c r="Q1144" i="8"/>
  <c r="R923" i="8"/>
  <c r="R1805" i="8"/>
  <c r="Q1635" i="8"/>
  <c r="Q1613" i="8"/>
  <c r="Q1223" i="8"/>
  <c r="Q1182" i="8"/>
  <c r="Q1103" i="8"/>
  <c r="Q1099" i="8"/>
  <c r="Q1062" i="8"/>
  <c r="Q1047" i="8"/>
  <c r="R879" i="8"/>
  <c r="Q667" i="8"/>
  <c r="Q663" i="8"/>
  <c r="R573" i="8"/>
  <c r="Q1549" i="8"/>
  <c r="Q1458" i="8"/>
  <c r="Q1440" i="8"/>
  <c r="R1407" i="8"/>
  <c r="Q1306" i="8"/>
  <c r="Q977" i="8"/>
  <c r="Q931" i="8"/>
  <c r="Q928" i="8"/>
  <c r="Q915" i="8"/>
  <c r="Q887" i="8"/>
  <c r="Q879" i="8"/>
  <c r="R749" i="8"/>
  <c r="R692" i="8"/>
  <c r="R660" i="8"/>
  <c r="B675" i="8" s="1"/>
  <c r="Q573" i="8"/>
  <c r="R1717" i="8"/>
  <c r="R1671" i="8"/>
  <c r="Q1632" i="8"/>
  <c r="R1308" i="8"/>
  <c r="Q1236" i="8"/>
  <c r="Q1151" i="8"/>
  <c r="Q1145" i="8"/>
  <c r="Q1089" i="8"/>
  <c r="Q1085" i="8"/>
  <c r="R1044" i="8"/>
  <c r="R1000" i="8"/>
  <c r="R924" i="8"/>
  <c r="Q752" i="8"/>
  <c r="Q749" i="8"/>
  <c r="Q694" i="8"/>
  <c r="Q689" i="8"/>
  <c r="Q660" i="8"/>
  <c r="Q652" i="8"/>
  <c r="Q646" i="8"/>
  <c r="Q626" i="8"/>
  <c r="Q606" i="8"/>
  <c r="Q484" i="8"/>
  <c r="Q1921" i="8"/>
  <c r="R1660" i="8"/>
  <c r="Q1308" i="8"/>
  <c r="R1264" i="8"/>
  <c r="Q1219" i="8"/>
  <c r="Q1198" i="8"/>
  <c r="R1176" i="8"/>
  <c r="Q1140" i="8"/>
  <c r="Q1096" i="8"/>
  <c r="Q1016" i="8"/>
  <c r="Q1004" i="8"/>
  <c r="Q1000" i="8"/>
  <c r="Q924" i="8"/>
  <c r="B939" i="8" s="1"/>
  <c r="R705" i="8"/>
  <c r="R648" i="8"/>
  <c r="Q621" i="8"/>
  <c r="R604" i="8"/>
  <c r="R529" i="8"/>
  <c r="Q443" i="8"/>
  <c r="Q395" i="8"/>
  <c r="Q392" i="8"/>
  <c r="Q2143" i="8"/>
  <c r="Q2077" i="8"/>
  <c r="Q1794" i="8"/>
  <c r="Q1720" i="8"/>
  <c r="R1540" i="8"/>
  <c r="R1143" i="8"/>
  <c r="Q959" i="8"/>
  <c r="Q916" i="8"/>
  <c r="Q874" i="8"/>
  <c r="Q823" i="8"/>
  <c r="Q820" i="8"/>
  <c r="Q792" i="8"/>
  <c r="Q705" i="8"/>
  <c r="Q649" i="8"/>
  <c r="Q648" i="8"/>
  <c r="Q622" i="8"/>
  <c r="Q1369" i="8"/>
  <c r="Q1328" i="8"/>
  <c r="Q1260" i="8"/>
  <c r="Q1186" i="8"/>
  <c r="Q1106" i="8"/>
  <c r="Q1090" i="8"/>
  <c r="Q1086" i="8"/>
  <c r="Q1018" i="8"/>
  <c r="Q955" i="8"/>
  <c r="Q842" i="8"/>
  <c r="R835" i="8"/>
  <c r="R615" i="8"/>
  <c r="Q582" i="8"/>
  <c r="Q562" i="8"/>
  <c r="Q2018" i="8"/>
  <c r="Q1844" i="8"/>
  <c r="Q1321" i="8"/>
  <c r="R1055" i="8"/>
  <c r="Q838" i="8"/>
  <c r="R1715" i="8"/>
  <c r="Q1480" i="8"/>
  <c r="Q1408" i="8"/>
  <c r="Q1324" i="8"/>
  <c r="R1088" i="8"/>
  <c r="R969" i="8"/>
  <c r="R824" i="8"/>
  <c r="Q1725" i="8"/>
  <c r="R1452" i="8"/>
  <c r="Q1414" i="8"/>
  <c r="Q1360" i="8"/>
  <c r="Q1132" i="8"/>
  <c r="R1099" i="8"/>
  <c r="Q1013" i="8"/>
  <c r="R880" i="8"/>
  <c r="Q878" i="8"/>
  <c r="Q836" i="8"/>
  <c r="R616" i="8"/>
  <c r="Q579" i="8"/>
  <c r="Q574" i="8"/>
  <c r="Q515" i="8"/>
  <c r="Q472" i="8"/>
  <c r="Q360" i="8"/>
  <c r="Q308" i="8"/>
  <c r="Q2052" i="8"/>
  <c r="R1704" i="8"/>
  <c r="Q1617" i="8"/>
  <c r="Q1452" i="8"/>
  <c r="Q735" i="8"/>
  <c r="Q645" i="8"/>
  <c r="Q616" i="8"/>
  <c r="Q600" i="8"/>
  <c r="R528" i="8"/>
  <c r="B543" i="8" s="1"/>
  <c r="R483" i="8"/>
  <c r="Q476" i="8"/>
  <c r="Q1721" i="8"/>
  <c r="Q1093" i="8"/>
  <c r="Q875" i="8"/>
  <c r="Q864" i="8"/>
  <c r="R661" i="8"/>
  <c r="R572" i="8"/>
  <c r="B587" i="8" s="1"/>
  <c r="Q528" i="8"/>
  <c r="Q522" i="8"/>
  <c r="Q514" i="8"/>
  <c r="Q475" i="8"/>
  <c r="Q438" i="8"/>
  <c r="Q434" i="8"/>
  <c r="Q394" i="8"/>
  <c r="Q390" i="8"/>
  <c r="Q2326" i="8"/>
  <c r="R1803" i="8"/>
  <c r="Q738" i="8"/>
  <c r="Q661" i="8"/>
  <c r="Q572" i="8"/>
  <c r="Q567" i="8"/>
  <c r="R516" i="8"/>
  <c r="Q2374" i="8"/>
  <c r="Q1667" i="8"/>
  <c r="Q1370" i="8"/>
  <c r="Q1280" i="8"/>
  <c r="R1277" i="8"/>
  <c r="Q1195" i="8"/>
  <c r="Q1410" i="8"/>
  <c r="Q1282" i="8"/>
  <c r="Q1279" i="8"/>
  <c r="Q1172" i="8"/>
  <c r="Q1142" i="8"/>
  <c r="R836" i="8"/>
  <c r="Q802" i="8"/>
  <c r="Q739" i="8"/>
  <c r="Q561" i="8"/>
  <c r="Q557" i="8"/>
  <c r="R397" i="8"/>
  <c r="Q169" i="8"/>
  <c r="Q163" i="8"/>
  <c r="Q133" i="8"/>
  <c r="Q124" i="8"/>
  <c r="Q96" i="8"/>
  <c r="Q1406" i="8"/>
  <c r="R1363" i="8"/>
  <c r="R1132" i="8"/>
  <c r="Q1088" i="8"/>
  <c r="Q795" i="8"/>
  <c r="Q699" i="8"/>
  <c r="R571" i="8"/>
  <c r="Q397" i="8"/>
  <c r="Q388" i="8"/>
  <c r="Q387" i="8"/>
  <c r="Q350" i="8"/>
  <c r="Q259" i="8"/>
  <c r="R219" i="8"/>
  <c r="Q217" i="8"/>
  <c r="Q186" i="8"/>
  <c r="Q166" i="8"/>
  <c r="Q1532" i="8"/>
  <c r="Q1363" i="8"/>
  <c r="R881" i="8"/>
  <c r="Q709" i="8"/>
  <c r="Q571" i="8"/>
  <c r="R440" i="8"/>
  <c r="Q386" i="8"/>
  <c r="Q385" i="8"/>
  <c r="Q354" i="8"/>
  <c r="Q349" i="8"/>
  <c r="Q348" i="8"/>
  <c r="Q346" i="8"/>
  <c r="Q306" i="8"/>
  <c r="Q267" i="8"/>
  <c r="R164" i="8"/>
  <c r="R89" i="8"/>
  <c r="Q27" i="6"/>
  <c r="Q1500" i="8"/>
  <c r="Q1314" i="8"/>
  <c r="Q1311" i="8"/>
  <c r="Q1284" i="8"/>
  <c r="R1189" i="8"/>
  <c r="Q1102" i="8"/>
  <c r="Q1045" i="8"/>
  <c r="Q1042" i="8"/>
  <c r="Q978" i="8"/>
  <c r="Q972" i="8"/>
  <c r="R747" i="8"/>
  <c r="Q477" i="8"/>
  <c r="Q440" i="8"/>
  <c r="Q430" i="8"/>
  <c r="Q400" i="8"/>
  <c r="Q357" i="8"/>
  <c r="Q302" i="8"/>
  <c r="R264" i="8"/>
  <c r="B279" i="8" s="1"/>
  <c r="B280" i="8" s="1"/>
  <c r="Q227" i="8"/>
  <c r="Q214" i="8"/>
  <c r="Q182" i="8"/>
  <c r="Q162" i="8"/>
  <c r="Q952" i="8"/>
  <c r="R925" i="8"/>
  <c r="Q883" i="8"/>
  <c r="Q786" i="8"/>
  <c r="Q747" i="8"/>
  <c r="R704" i="8"/>
  <c r="R617" i="8"/>
  <c r="Q577" i="8"/>
  <c r="Q536" i="8"/>
  <c r="Q492" i="8"/>
  <c r="R484" i="8"/>
  <c r="R472" i="8"/>
  <c r="R351" i="8"/>
  <c r="Q305" i="8"/>
  <c r="Q304" i="8"/>
  <c r="Q264" i="8"/>
  <c r="Q248" i="8"/>
  <c r="Q215" i="8"/>
  <c r="Q205" i="8"/>
  <c r="R175" i="8"/>
  <c r="Q173" i="8"/>
  <c r="Q142" i="8"/>
  <c r="Q122" i="8"/>
  <c r="Q1656" i="8"/>
  <c r="Q670" i="8"/>
  <c r="Q617" i="8"/>
  <c r="Q610" i="8"/>
  <c r="Q534" i="8"/>
  <c r="Q436" i="8"/>
  <c r="R395" i="8"/>
  <c r="Q358" i="8"/>
  <c r="Q351" i="8"/>
  <c r="Q310" i="8"/>
  <c r="R307" i="8"/>
  <c r="Q303" i="8"/>
  <c r="R120" i="8"/>
  <c r="Q79" i="8"/>
  <c r="Q24" i="6"/>
  <c r="Q7" i="6"/>
  <c r="Q6" i="6"/>
  <c r="Q1395" i="8"/>
  <c r="Q1269" i="8"/>
  <c r="Q1141" i="8"/>
  <c r="Q1139" i="8"/>
  <c r="Q1087" i="8"/>
  <c r="Q1063" i="8"/>
  <c r="R1057" i="8"/>
  <c r="Q525" i="8"/>
  <c r="Q521" i="8"/>
  <c r="Q489" i="8"/>
  <c r="Q446" i="8"/>
  <c r="Q432" i="8"/>
  <c r="Q398" i="8"/>
  <c r="Q361" i="8"/>
  <c r="Q307" i="8"/>
  <c r="Q272" i="8"/>
  <c r="R220" i="8"/>
  <c r="Q183" i="8"/>
  <c r="Q1241" i="8"/>
  <c r="Q1105" i="8"/>
  <c r="Q1057" i="8"/>
  <c r="Q1052" i="8"/>
  <c r="Q927" i="8"/>
  <c r="Q833" i="8"/>
  <c r="Q783" i="8"/>
  <c r="Q740" i="8"/>
  <c r="Q700" i="8"/>
  <c r="Q481" i="8"/>
  <c r="Q437" i="8"/>
  <c r="R131" i="8"/>
  <c r="Q129" i="8"/>
  <c r="Q98" i="8"/>
  <c r="Q78" i="8"/>
  <c r="H3168" i="8"/>
  <c r="H3124" i="8"/>
  <c r="H3080" i="8"/>
  <c r="H2992" i="8"/>
  <c r="H2860" i="8"/>
  <c r="H2772" i="8"/>
  <c r="H2948" i="8"/>
  <c r="H2904" i="8"/>
  <c r="H2816" i="8"/>
  <c r="H2714" i="8"/>
  <c r="H2670" i="8"/>
  <c r="H2494" i="8"/>
  <c r="H2362" i="8"/>
  <c r="H2406" i="8"/>
  <c r="H2450" i="8"/>
  <c r="H2626" i="8"/>
  <c r="H3036" i="8"/>
  <c r="H2142" i="8"/>
  <c r="H2274" i="8"/>
  <c r="H2054" i="8"/>
  <c r="H2582" i="8"/>
  <c r="H2538" i="8"/>
  <c r="H2230" i="8"/>
  <c r="H2010" i="8"/>
  <c r="H1878" i="8"/>
  <c r="H1922" i="8"/>
  <c r="H2318" i="8"/>
  <c r="H1834" i="8"/>
  <c r="H2186" i="8"/>
  <c r="H1702" i="8"/>
  <c r="H1658" i="8"/>
  <c r="H1746" i="8"/>
  <c r="H1614" i="8"/>
  <c r="H1350" i="8"/>
  <c r="H1306" i="8"/>
  <c r="H1482" i="8"/>
  <c r="H1262" i="8"/>
  <c r="H1086" i="8"/>
  <c r="H822" i="8"/>
  <c r="H1570" i="8"/>
  <c r="H1966" i="8"/>
  <c r="H1042" i="8"/>
  <c r="H866" i="8"/>
  <c r="H1174" i="8"/>
  <c r="H1438" i="8"/>
  <c r="H1218" i="8"/>
  <c r="H910" i="8"/>
  <c r="H2098" i="8"/>
  <c r="H778" i="8"/>
  <c r="H734" i="8"/>
  <c r="H382" i="8"/>
  <c r="H954" i="8"/>
  <c r="H426" i="8"/>
  <c r="H338" i="8"/>
  <c r="H294" i="8"/>
  <c r="H1790" i="8"/>
  <c r="H690" i="8"/>
  <c r="H1130" i="8"/>
  <c r="H250" i="8"/>
  <c r="H3125" i="8"/>
  <c r="H3081" i="8"/>
  <c r="H2817" i="8"/>
  <c r="H2905" i="8"/>
  <c r="H2861" i="8"/>
  <c r="H2949" i="8"/>
  <c r="H2715" i="8"/>
  <c r="H2671" i="8"/>
  <c r="H3037" i="8"/>
  <c r="H2773" i="8"/>
  <c r="H2539" i="8"/>
  <c r="H2319" i="8"/>
  <c r="H2993" i="8"/>
  <c r="H2451" i="8"/>
  <c r="H3169" i="8"/>
  <c r="H2495" i="8"/>
  <c r="H2627" i="8"/>
  <c r="H2583" i="8"/>
  <c r="H2055" i="8"/>
  <c r="H2011" i="8"/>
  <c r="H1835" i="8"/>
  <c r="H2275" i="8"/>
  <c r="H2099" i="8"/>
  <c r="H2363" i="8"/>
  <c r="H1791" i="8"/>
  <c r="H2187" i="8"/>
  <c r="H1703" i="8"/>
  <c r="H2231" i="8"/>
  <c r="H2407" i="8"/>
  <c r="H1879" i="8"/>
  <c r="H1659" i="8"/>
  <c r="H1615" i="8"/>
  <c r="H1747" i="8"/>
  <c r="H1571" i="8"/>
  <c r="H1307" i="8"/>
  <c r="H2143" i="8"/>
  <c r="H1923" i="8"/>
  <c r="H1351" i="8"/>
  <c r="H1395" i="8"/>
  <c r="H1043" i="8"/>
  <c r="H779" i="8"/>
  <c r="H1263" i="8"/>
  <c r="H999" i="8"/>
  <c r="H867" i="8"/>
  <c r="H1967" i="8"/>
  <c r="H1527" i="8"/>
  <c r="H735" i="8"/>
  <c r="H1175" i="8"/>
  <c r="H1439" i="8"/>
  <c r="H1131" i="8"/>
  <c r="H1087" i="8"/>
  <c r="H823" i="8"/>
  <c r="H691" i="8"/>
  <c r="H1219" i="8"/>
  <c r="H955" i="8"/>
  <c r="H427" i="8"/>
  <c r="H295" i="8"/>
  <c r="H339" i="8"/>
  <c r="H471" i="8"/>
  <c r="H383" i="8"/>
  <c r="H251" i="8"/>
  <c r="H1483" i="8"/>
  <c r="H911" i="8"/>
  <c r="H207" i="8"/>
  <c r="H3170" i="8"/>
  <c r="H2862" i="8"/>
  <c r="H3038" i="8"/>
  <c r="H2994" i="8"/>
  <c r="H2540" i="8"/>
  <c r="H2906" i="8"/>
  <c r="H3082" i="8"/>
  <c r="H2950" i="8"/>
  <c r="H2716" i="8"/>
  <c r="H2672" i="8"/>
  <c r="H2320" i="8"/>
  <c r="H2818" i="8"/>
  <c r="H3126" i="8"/>
  <c r="H2276" i="8"/>
  <c r="H2496" i="8"/>
  <c r="H2774" i="8"/>
  <c r="H2628" i="8"/>
  <c r="H2364" i="8"/>
  <c r="H2408" i="8"/>
  <c r="H2056" i="8"/>
  <c r="H2012" i="8"/>
  <c r="H2452" i="8"/>
  <c r="H2100" i="8"/>
  <c r="H1924" i="8"/>
  <c r="H2144" i="8"/>
  <c r="H1880" i="8"/>
  <c r="H2188" i="8"/>
  <c r="H1704" i="8"/>
  <c r="H1660" i="8"/>
  <c r="H1572" i="8"/>
  <c r="H1308" i="8"/>
  <c r="H1748" i="8"/>
  <c r="H1528" i="8"/>
  <c r="H1264" i="8"/>
  <c r="H1352" i="8"/>
  <c r="H1044" i="8"/>
  <c r="H1440" i="8"/>
  <c r="H1396" i="8"/>
  <c r="H1000" i="8"/>
  <c r="H1484" i="8"/>
  <c r="H1616" i="8"/>
  <c r="H956" i="8"/>
  <c r="H2232" i="8"/>
  <c r="H2584" i="8"/>
  <c r="H736" i="8"/>
  <c r="H868" i="8"/>
  <c r="H780" i="8"/>
  <c r="H1836" i="8"/>
  <c r="H692" i="8"/>
  <c r="H1792" i="8"/>
  <c r="H560" i="8"/>
  <c r="H1968" i="8"/>
  <c r="H648" i="8"/>
  <c r="H1088" i="8"/>
  <c r="H824" i="8"/>
  <c r="H1132" i="8"/>
  <c r="H912" i="8"/>
  <c r="H428" i="8"/>
  <c r="H252" i="8"/>
  <c r="H604" i="8"/>
  <c r="H384" i="8"/>
  <c r="H208" i="8"/>
  <c r="H1176" i="8"/>
  <c r="H472" i="8"/>
  <c r="H164" i="8"/>
  <c r="D19" i="6"/>
  <c r="E19" i="6" s="1"/>
  <c r="F19" i="6" s="1"/>
  <c r="B11" i="7"/>
  <c r="Z72" i="8"/>
  <c r="Z73" i="8" s="1"/>
  <c r="H78" i="8"/>
  <c r="D96" i="8"/>
  <c r="E96" i="8" s="1"/>
  <c r="F96" i="8" s="1"/>
  <c r="Q139" i="8"/>
  <c r="G162" i="8"/>
  <c r="D167" i="8"/>
  <c r="E167" i="8" s="1"/>
  <c r="Q168" i="8"/>
  <c r="Q176" i="8"/>
  <c r="Q224" i="8"/>
  <c r="Q230" i="8"/>
  <c r="T292" i="8"/>
  <c r="T293" i="8" s="1"/>
  <c r="T294" i="8" s="1"/>
  <c r="F292" i="8" s="1"/>
  <c r="J292" i="8" s="1"/>
  <c r="G313" i="8"/>
  <c r="Q318" i="8"/>
  <c r="Z336" i="8"/>
  <c r="Z337" i="8" s="1"/>
  <c r="G424" i="8"/>
  <c r="R428" i="8"/>
  <c r="G477" i="8"/>
  <c r="Q485" i="8"/>
  <c r="D580" i="8"/>
  <c r="E580" i="8" s="1"/>
  <c r="F580" i="8" s="1"/>
  <c r="H603" i="8"/>
  <c r="G646" i="8"/>
  <c r="Q657" i="8"/>
  <c r="H688" i="8"/>
  <c r="H745" i="8"/>
  <c r="G747" i="8"/>
  <c r="G837" i="8"/>
  <c r="D925" i="8"/>
  <c r="E925" i="8" s="1"/>
  <c r="F925" i="8" s="1"/>
  <c r="D973" i="8"/>
  <c r="E973" i="8" s="1"/>
  <c r="F973" i="8" s="1"/>
  <c r="S1022" i="8"/>
  <c r="H1049" i="8"/>
  <c r="G1145" i="8"/>
  <c r="R1232" i="8"/>
  <c r="Q1351" i="8"/>
  <c r="D1362" i="8"/>
  <c r="E1362" i="8" s="1"/>
  <c r="F1362" i="8" s="1"/>
  <c r="J1362" i="8" s="1"/>
  <c r="H1494" i="8"/>
  <c r="H1526" i="8"/>
  <c r="Q1571" i="8"/>
  <c r="D1669" i="8"/>
  <c r="E1669" i="8" s="1"/>
  <c r="F1669" i="8" s="1"/>
  <c r="J1669" i="8" s="1"/>
  <c r="Z116" i="8"/>
  <c r="Z117" i="8" s="1"/>
  <c r="D218" i="8"/>
  <c r="E218" i="8" s="1"/>
  <c r="F218" i="8" s="1"/>
  <c r="J218" i="8" s="1"/>
  <c r="D393" i="8"/>
  <c r="E393" i="8" s="1"/>
  <c r="F393" i="8" s="1"/>
  <c r="J393" i="8" s="1"/>
  <c r="G609" i="8"/>
  <c r="D933" i="8"/>
  <c r="E933" i="8" s="1"/>
  <c r="F933" i="8" s="1"/>
  <c r="H3171" i="8"/>
  <c r="H3127" i="8"/>
  <c r="H3083" i="8"/>
  <c r="H3039" i="8"/>
  <c r="H2863" i="8"/>
  <c r="H2995" i="8"/>
  <c r="H2775" i="8"/>
  <c r="H2717" i="8"/>
  <c r="H2673" i="8"/>
  <c r="H2819" i="8"/>
  <c r="H2585" i="8"/>
  <c r="H2629" i="8"/>
  <c r="H2453" i="8"/>
  <c r="H2365" i="8"/>
  <c r="H2907" i="8"/>
  <c r="H2497" i="8"/>
  <c r="H2277" i="8"/>
  <c r="H2951" i="8"/>
  <c r="H2541" i="8"/>
  <c r="H2233" i="8"/>
  <c r="H2189" i="8"/>
  <c r="H1881" i="8"/>
  <c r="H2145" i="8"/>
  <c r="H2101" i="8"/>
  <c r="H2057" i="8"/>
  <c r="H1925" i="8"/>
  <c r="H2013" i="8"/>
  <c r="H1749" i="8"/>
  <c r="H1793" i="8"/>
  <c r="H2321" i="8"/>
  <c r="H1969" i="8"/>
  <c r="H1837" i="8"/>
  <c r="H1617" i="8"/>
  <c r="H1353" i="8"/>
  <c r="H1485" i="8"/>
  <c r="H1221" i="8"/>
  <c r="H2409" i="8"/>
  <c r="H1573" i="8"/>
  <c r="H1265" i="8"/>
  <c r="H1089" i="8"/>
  <c r="H825" i="8"/>
  <c r="H1705" i="8"/>
  <c r="H1309" i="8"/>
  <c r="H1661" i="8"/>
  <c r="H1045" i="8"/>
  <c r="H1529" i="8"/>
  <c r="H957" i="8"/>
  <c r="H737" i="8"/>
  <c r="H1441" i="8"/>
  <c r="H869" i="8"/>
  <c r="H429" i="8"/>
  <c r="H1177" i="8"/>
  <c r="H1001" i="8"/>
  <c r="H781" i="8"/>
  <c r="H517" i="8"/>
  <c r="H297" i="8"/>
  <c r="H561" i="8"/>
  <c r="H341" i="8"/>
  <c r="H253" i="8"/>
  <c r="H2998" i="8"/>
  <c r="H3130" i="8"/>
  <c r="H3174" i="8"/>
  <c r="H2778" i="8"/>
  <c r="H2676" i="8"/>
  <c r="H2632" i="8"/>
  <c r="H3042" i="8"/>
  <c r="H2866" i="8"/>
  <c r="H3086" i="8"/>
  <c r="H2954" i="8"/>
  <c r="H2544" i="8"/>
  <c r="H2280" i="8"/>
  <c r="H2588" i="8"/>
  <c r="H2412" i="8"/>
  <c r="H2456" i="8"/>
  <c r="H2324" i="8"/>
  <c r="H2910" i="8"/>
  <c r="H2720" i="8"/>
  <c r="H2500" i="8"/>
  <c r="H2148" i="8"/>
  <c r="H2060" i="8"/>
  <c r="H2016" i="8"/>
  <c r="H2104" i="8"/>
  <c r="H2236" i="8"/>
  <c r="H1972" i="8"/>
  <c r="H1928" i="8"/>
  <c r="H1752" i="8"/>
  <c r="H1884" i="8"/>
  <c r="H2822" i="8"/>
  <c r="H2368" i="8"/>
  <c r="H2192" i="8"/>
  <c r="H1576" i="8"/>
  <c r="H1840" i="8"/>
  <c r="H1532" i="8"/>
  <c r="H1268" i="8"/>
  <c r="H1400" i="8"/>
  <c r="H1708" i="8"/>
  <c r="H1664" i="8"/>
  <c r="H1796" i="8"/>
  <c r="H1488" i="8"/>
  <c r="H1004" i="8"/>
  <c r="H740" i="8"/>
  <c r="H1312" i="8"/>
  <c r="H960" i="8"/>
  <c r="H1092" i="8"/>
  <c r="H828" i="8"/>
  <c r="H1444" i="8"/>
  <c r="H1620" i="8"/>
  <c r="H1224" i="8"/>
  <c r="H608" i="8"/>
  <c r="H432" i="8"/>
  <c r="H388" i="8"/>
  <c r="H872" i="8"/>
  <c r="H1180" i="8"/>
  <c r="H784" i="8"/>
  <c r="H344" i="8"/>
  <c r="H256" i="8"/>
  <c r="H1048" i="8"/>
  <c r="H300" i="8"/>
  <c r="H564" i="8"/>
  <c r="H212" i="8"/>
  <c r="H916" i="8"/>
  <c r="H476" i="8"/>
  <c r="H168" i="8"/>
  <c r="H520" i="8"/>
  <c r="D16" i="6"/>
  <c r="E16" i="6" s="1"/>
  <c r="F16" i="6" s="1"/>
  <c r="D186" i="8"/>
  <c r="E186" i="8" s="1"/>
  <c r="F186" i="8" s="1"/>
  <c r="J186" i="8" s="1"/>
  <c r="H345" i="8"/>
  <c r="G473" i="8"/>
  <c r="D577" i="8"/>
  <c r="E577" i="8" s="1"/>
  <c r="F577" i="8" s="1"/>
  <c r="R736" i="8"/>
  <c r="D801" i="8"/>
  <c r="E801" i="8" s="1"/>
  <c r="F801" i="8" s="1"/>
  <c r="Q830" i="8"/>
  <c r="Q449" i="8"/>
  <c r="G204" i="8"/>
  <c r="D274" i="8"/>
  <c r="E274" i="8" s="1"/>
  <c r="F274" i="8" s="1"/>
  <c r="J274" i="8" s="1"/>
  <c r="G292" i="8"/>
  <c r="R868" i="8"/>
  <c r="R956" i="8"/>
  <c r="D966" i="8"/>
  <c r="E966" i="8" s="1"/>
  <c r="F966" i="8" s="1"/>
  <c r="J966" i="8" s="1"/>
  <c r="Q1138" i="8"/>
  <c r="Q1187" i="8"/>
  <c r="G3178" i="8"/>
  <c r="G2914" i="8"/>
  <c r="G3090" i="8"/>
  <c r="G3046" i="8"/>
  <c r="G3002" i="8"/>
  <c r="G2870" i="8"/>
  <c r="G2680" i="8"/>
  <c r="G2636" i="8"/>
  <c r="G2592" i="8"/>
  <c r="G2724" i="8"/>
  <c r="G2782" i="8"/>
  <c r="G2416" i="8"/>
  <c r="G2958" i="8"/>
  <c r="G3134" i="8"/>
  <c r="G2826" i="8"/>
  <c r="G2504" i="8"/>
  <c r="G2372" i="8"/>
  <c r="G2328" i="8"/>
  <c r="G2460" i="8"/>
  <c r="G2196" i="8"/>
  <c r="G2548" i="8"/>
  <c r="G2108" i="8"/>
  <c r="G1976" i="8"/>
  <c r="G2240" i="8"/>
  <c r="G2152" i="8"/>
  <c r="G1932" i="8"/>
  <c r="G2064" i="8"/>
  <c r="G2284" i="8"/>
  <c r="G2020" i="8"/>
  <c r="G1888" i="8"/>
  <c r="G1448" i="8"/>
  <c r="G1844" i="8"/>
  <c r="G1756" i="8"/>
  <c r="G1712" i="8"/>
  <c r="G1404" i="8"/>
  <c r="G1668" i="8"/>
  <c r="G1360" i="8"/>
  <c r="G1492" i="8"/>
  <c r="G1624" i="8"/>
  <c r="G1272" i="8"/>
  <c r="G876" i="8"/>
  <c r="G1096" i="8"/>
  <c r="G832" i="8"/>
  <c r="G1008" i="8"/>
  <c r="G964" i="8"/>
  <c r="G700" i="8"/>
  <c r="G1052" i="8"/>
  <c r="G788" i="8"/>
  <c r="G1228" i="8"/>
  <c r="G656" i="8"/>
  <c r="G1800" i="8"/>
  <c r="G1536" i="8"/>
  <c r="G128" i="8"/>
  <c r="G1184" i="8"/>
  <c r="G84" i="8"/>
  <c r="G1580" i="8"/>
  <c r="G744" i="8"/>
  <c r="G612" i="8"/>
  <c r="G392" i="8"/>
  <c r="Q10" i="6"/>
  <c r="Q17" i="6"/>
  <c r="Q20" i="6"/>
  <c r="G77" i="8"/>
  <c r="D142" i="8"/>
  <c r="E142" i="8" s="1"/>
  <c r="F142" i="8" s="1"/>
  <c r="J142" i="8" s="1"/>
  <c r="H162" i="8"/>
  <c r="R176" i="8"/>
  <c r="S186" i="8"/>
  <c r="Q228" i="8"/>
  <c r="Q251" i="8"/>
  <c r="Q257" i="8"/>
  <c r="G261" i="8"/>
  <c r="Q266" i="8"/>
  <c r="Q270" i="8"/>
  <c r="Q339" i="8"/>
  <c r="G351" i="8"/>
  <c r="G357" i="8"/>
  <c r="D359" i="8"/>
  <c r="E359" i="8" s="1"/>
  <c r="F359" i="8" s="1"/>
  <c r="G386" i="8"/>
  <c r="D392" i="8"/>
  <c r="E392" i="8" s="1"/>
  <c r="F392" i="8" s="1"/>
  <c r="J392" i="8" s="1"/>
  <c r="D435" i="8"/>
  <c r="E435" i="8" s="1"/>
  <c r="F435" i="8" s="1"/>
  <c r="J435" i="8" s="1"/>
  <c r="R439" i="8"/>
  <c r="R441" i="8"/>
  <c r="R485" i="8"/>
  <c r="D492" i="8"/>
  <c r="E492" i="8" s="1"/>
  <c r="F492" i="8" s="1"/>
  <c r="H646" i="8"/>
  <c r="G693" i="8"/>
  <c r="H756" i="8"/>
  <c r="G781" i="8"/>
  <c r="Q784" i="8"/>
  <c r="Q826" i="8"/>
  <c r="G920" i="8"/>
  <c r="Q1094" i="8"/>
  <c r="Q1107" i="8"/>
  <c r="Q1110" i="8"/>
  <c r="H1133" i="8"/>
  <c r="D1223" i="8"/>
  <c r="E1223" i="8" s="1"/>
  <c r="F1223" i="8" s="1"/>
  <c r="J1223" i="8" s="1"/>
  <c r="D1713" i="8"/>
  <c r="E1713" i="8" s="1"/>
  <c r="F1713" i="8" s="1"/>
  <c r="J1713" i="8" s="1"/>
  <c r="E16" i="8"/>
  <c r="D228" i="8"/>
  <c r="E228" i="8" s="1"/>
  <c r="F228" i="8" s="1"/>
  <c r="D306" i="8"/>
  <c r="E306" i="8" s="1"/>
  <c r="F306" i="8" s="1"/>
  <c r="J306" i="8" s="1"/>
  <c r="H493" i="8"/>
  <c r="H3129" i="8"/>
  <c r="H3041" i="8"/>
  <c r="H2997" i="8"/>
  <c r="H3173" i="8"/>
  <c r="H2719" i="8"/>
  <c r="H2543" i="8"/>
  <c r="H2865" i="8"/>
  <c r="H2909" i="8"/>
  <c r="H2675" i="8"/>
  <c r="H2631" i="8"/>
  <c r="H2587" i="8"/>
  <c r="H2821" i="8"/>
  <c r="H3085" i="8"/>
  <c r="H2323" i="8"/>
  <c r="H2059" i="8"/>
  <c r="H2499" i="8"/>
  <c r="H2953" i="8"/>
  <c r="H2411" i="8"/>
  <c r="H2367" i="8"/>
  <c r="H2147" i="8"/>
  <c r="H2015" i="8"/>
  <c r="H2103" i="8"/>
  <c r="H1927" i="8"/>
  <c r="H2455" i="8"/>
  <c r="H2191" i="8"/>
  <c r="H2279" i="8"/>
  <c r="H1839" i="8"/>
  <c r="H1619" i="8"/>
  <c r="H1575" i="8"/>
  <c r="H1311" i="8"/>
  <c r="H2777" i="8"/>
  <c r="H1531" i="8"/>
  <c r="H1795" i="8"/>
  <c r="H1707" i="8"/>
  <c r="H1663" i="8"/>
  <c r="H1883" i="8"/>
  <c r="H2235" i="8"/>
  <c r="H1047" i="8"/>
  <c r="H1399" i="8"/>
  <c r="H1443" i="8"/>
  <c r="H1003" i="8"/>
  <c r="H1355" i="8"/>
  <c r="H1971" i="8"/>
  <c r="H431" i="8"/>
  <c r="H1223" i="8"/>
  <c r="H1179" i="8"/>
  <c r="H827" i="8"/>
  <c r="H915" i="8"/>
  <c r="H739" i="8"/>
  <c r="H783" i="8"/>
  <c r="H1135" i="8"/>
  <c r="H1267" i="8"/>
  <c r="H1751" i="8"/>
  <c r="H1091" i="8"/>
  <c r="H343" i="8"/>
  <c r="H255" i="8"/>
  <c r="H1487" i="8"/>
  <c r="H299" i="8"/>
  <c r="H607" i="8"/>
  <c r="H475" i="8"/>
  <c r="H519" i="8"/>
  <c r="H211" i="8"/>
  <c r="H959" i="8"/>
  <c r="R265" i="8"/>
  <c r="D441" i="8"/>
  <c r="E441" i="8" s="1"/>
  <c r="F441" i="8" s="1"/>
  <c r="D524" i="8"/>
  <c r="E524" i="8" s="1"/>
  <c r="F524" i="8" s="1"/>
  <c r="J524" i="8" s="1"/>
  <c r="R780" i="8"/>
  <c r="D13" i="6"/>
  <c r="E13" i="6" s="1"/>
  <c r="F13" i="6" s="1"/>
  <c r="Q426" i="8"/>
  <c r="Q533" i="8"/>
  <c r="H563" i="8"/>
  <c r="Q624" i="8"/>
  <c r="F3173" i="8"/>
  <c r="J3173" i="8" s="1"/>
  <c r="F871" i="8"/>
  <c r="J871" i="8" s="1"/>
  <c r="F255" i="8"/>
  <c r="J255" i="8" s="1"/>
  <c r="F211" i="8"/>
  <c r="J211" i="8" s="1"/>
  <c r="H3122" i="8"/>
  <c r="H3166" i="8"/>
  <c r="H2946" i="8"/>
  <c r="H2858" i="8"/>
  <c r="H2668" i="8"/>
  <c r="H3078" i="8"/>
  <c r="H2990" i="8"/>
  <c r="H2228" i="8"/>
  <c r="H2770" i="8"/>
  <c r="H2814" i="8"/>
  <c r="H2624" i="8"/>
  <c r="H2902" i="8"/>
  <c r="H2712" i="8"/>
  <c r="H2580" i="8"/>
  <c r="H2448" i="8"/>
  <c r="H2184" i="8"/>
  <c r="H3034" i="8"/>
  <c r="H2492" i="8"/>
  <c r="H2360" i="8"/>
  <c r="H2404" i="8"/>
  <c r="H2096" i="8"/>
  <c r="H2140" i="8"/>
  <c r="H1832" i="8"/>
  <c r="H2008" i="8"/>
  <c r="H1920" i="8"/>
  <c r="H2052" i="8"/>
  <c r="H2316" i="8"/>
  <c r="H1788" i="8"/>
  <c r="H2272" i="8"/>
  <c r="H1480" i="8"/>
  <c r="H1216" i="8"/>
  <c r="H1700" i="8"/>
  <c r="H1436" i="8"/>
  <c r="H2536" i="8"/>
  <c r="H1568" i="8"/>
  <c r="H1744" i="8"/>
  <c r="H1392" i="8"/>
  <c r="H1172" i="8"/>
  <c r="H908" i="8"/>
  <c r="H1128" i="8"/>
  <c r="H864" i="8"/>
  <c r="H1084" i="8"/>
  <c r="H600" i="8"/>
  <c r="H1040" i="8"/>
  <c r="H1304" i="8"/>
  <c r="H556" i="8"/>
  <c r="H1964" i="8"/>
  <c r="H1876" i="8"/>
  <c r="H820" i="8"/>
  <c r="H1656" i="8"/>
  <c r="H1524" i="8"/>
  <c r="H1348" i="8"/>
  <c r="H732" i="8"/>
  <c r="H644" i="8"/>
  <c r="H512" i="8"/>
  <c r="H160" i="8"/>
  <c r="H116" i="8"/>
  <c r="H952" i="8"/>
  <c r="H380" i="8"/>
  <c r="H336" i="8"/>
  <c r="H3089" i="8"/>
  <c r="H3045" i="8"/>
  <c r="H2913" i="8"/>
  <c r="H3133" i="8"/>
  <c r="H2679" i="8"/>
  <c r="H2957" i="8"/>
  <c r="H2635" i="8"/>
  <c r="H2825" i="8"/>
  <c r="H2591" i="8"/>
  <c r="H3001" i="8"/>
  <c r="H2195" i="8"/>
  <c r="H2547" i="8"/>
  <c r="H2503" i="8"/>
  <c r="H2415" i="8"/>
  <c r="H2151" i="8"/>
  <c r="H3177" i="8"/>
  <c r="H2327" i="8"/>
  <c r="H2371" i="8"/>
  <c r="H2239" i="8"/>
  <c r="H1975" i="8"/>
  <c r="H2781" i="8"/>
  <c r="H2723" i="8"/>
  <c r="H2283" i="8"/>
  <c r="H1931" i="8"/>
  <c r="H2019" i="8"/>
  <c r="H2107" i="8"/>
  <c r="H1887" i="8"/>
  <c r="H2063" i="8"/>
  <c r="H2869" i="8"/>
  <c r="H1799" i="8"/>
  <c r="H2459" i="8"/>
  <c r="H1447" i="8"/>
  <c r="H1711" i="8"/>
  <c r="H1667" i="8"/>
  <c r="H1403" i="8"/>
  <c r="H1491" i="8"/>
  <c r="H1579" i="8"/>
  <c r="H1535" i="8"/>
  <c r="H1843" i="8"/>
  <c r="H875" i="8"/>
  <c r="H1095" i="8"/>
  <c r="H831" i="8"/>
  <c r="H1755" i="8"/>
  <c r="H1227" i="8"/>
  <c r="H1139" i="8"/>
  <c r="H787" i="8"/>
  <c r="H1315" i="8"/>
  <c r="H699" i="8"/>
  <c r="H1359" i="8"/>
  <c r="H567" i="8"/>
  <c r="H655" i="8"/>
  <c r="H523" i="8"/>
  <c r="H1623" i="8"/>
  <c r="H1051" i="8"/>
  <c r="H1007" i="8"/>
  <c r="H743" i="8"/>
  <c r="H611" i="8"/>
  <c r="H127" i="8"/>
  <c r="H919" i="8"/>
  <c r="H479" i="8"/>
  <c r="H83" i="8"/>
  <c r="H391" i="8"/>
  <c r="G3052" i="8"/>
  <c r="G3096" i="8"/>
  <c r="G3140" i="8"/>
  <c r="G3184" i="8"/>
  <c r="G2788" i="8"/>
  <c r="G2554" i="8"/>
  <c r="G2832" i="8"/>
  <c r="G3008" i="8"/>
  <c r="G2642" i="8"/>
  <c r="G2876" i="8"/>
  <c r="G2598" i="8"/>
  <c r="G2730" i="8"/>
  <c r="G2334" i="8"/>
  <c r="G2070" i="8"/>
  <c r="G2290" i="8"/>
  <c r="G2510" i="8"/>
  <c r="G2466" i="8"/>
  <c r="G2378" i="8"/>
  <c r="G2246" i="8"/>
  <c r="G2114" i="8"/>
  <c r="G2686" i="8"/>
  <c r="G2158" i="8"/>
  <c r="G1894" i="8"/>
  <c r="G1806" i="8"/>
  <c r="G1762" i="8"/>
  <c r="G2920" i="8"/>
  <c r="G1850" i="8"/>
  <c r="G2202" i="8"/>
  <c r="G1586" i="8"/>
  <c r="G1322" i="8"/>
  <c r="G1674" i="8"/>
  <c r="G1542" i="8"/>
  <c r="G1278" i="8"/>
  <c r="G1718" i="8"/>
  <c r="G1498" i="8"/>
  <c r="G1454" i="8"/>
  <c r="G2026" i="8"/>
  <c r="G1938" i="8"/>
  <c r="G2964" i="8"/>
  <c r="G1410" i="8"/>
  <c r="G1058" i="8"/>
  <c r="G1014" i="8"/>
  <c r="G1190" i="8"/>
  <c r="G1146" i="8"/>
  <c r="G970" i="8"/>
  <c r="G1982" i="8"/>
  <c r="G794" i="8"/>
  <c r="G2422" i="8"/>
  <c r="G926" i="8"/>
  <c r="G706" i="8"/>
  <c r="G750" i="8"/>
  <c r="G838" i="8"/>
  <c r="G530" i="8"/>
  <c r="G618" i="8"/>
  <c r="G266" i="8"/>
  <c r="G1366" i="8"/>
  <c r="G442" i="8"/>
  <c r="G222" i="8"/>
  <c r="G486" i="8"/>
  <c r="G1102" i="8"/>
  <c r="G662" i="8"/>
  <c r="G354" i="8"/>
  <c r="G178" i="8"/>
  <c r="G3102" i="8"/>
  <c r="G3190" i="8"/>
  <c r="G3146" i="8"/>
  <c r="G2926" i="8"/>
  <c r="G3058" i="8"/>
  <c r="G2794" i="8"/>
  <c r="G2882" i="8"/>
  <c r="G2692" i="8"/>
  <c r="G2970" i="8"/>
  <c r="G2208" i="8"/>
  <c r="G2604" i="8"/>
  <c r="G2560" i="8"/>
  <c r="G3014" i="8"/>
  <c r="G2428" i="8"/>
  <c r="G2516" i="8"/>
  <c r="G2252" i="8"/>
  <c r="G2838" i="8"/>
  <c r="G2384" i="8"/>
  <c r="G2472" i="8"/>
  <c r="G2076" i="8"/>
  <c r="G2032" i="8"/>
  <c r="G1944" i="8"/>
  <c r="G1812" i="8"/>
  <c r="G2120" i="8"/>
  <c r="G2340" i="8"/>
  <c r="G1680" i="8"/>
  <c r="G1460" i="8"/>
  <c r="G1636" i="8"/>
  <c r="G1416" i="8"/>
  <c r="G1328" i="8"/>
  <c r="G2296" i="8"/>
  <c r="G1592" i="8"/>
  <c r="G1548" i="8"/>
  <c r="G2736" i="8"/>
  <c r="G1724" i="8"/>
  <c r="G1152" i="8"/>
  <c r="G1372" i="8"/>
  <c r="G2648" i="8"/>
  <c r="G888" i="8"/>
  <c r="G1196" i="8"/>
  <c r="G1504" i="8"/>
  <c r="G624" i="8"/>
  <c r="G1064" i="8"/>
  <c r="G1988" i="8"/>
  <c r="G580" i="8"/>
  <c r="G2164" i="8"/>
  <c r="G1900" i="8"/>
  <c r="G844" i="8"/>
  <c r="G800" i="8"/>
  <c r="G1020" i="8"/>
  <c r="G1856" i="8"/>
  <c r="G756" i="8"/>
  <c r="G976" i="8"/>
  <c r="G404" i="8"/>
  <c r="G1240" i="8"/>
  <c r="G1768" i="8"/>
  <c r="G140" i="8"/>
  <c r="G360" i="8"/>
  <c r="G448" i="8"/>
  <c r="G1108" i="8"/>
  <c r="G96" i="8"/>
  <c r="G1284" i="8"/>
  <c r="G536" i="8"/>
  <c r="G316" i="8"/>
  <c r="G492" i="8"/>
  <c r="B8" i="7"/>
  <c r="B9" i="7" s="1"/>
  <c r="B10" i="7" s="1"/>
  <c r="F2" i="6" s="1"/>
  <c r="Q86" i="8"/>
  <c r="Q127" i="8"/>
  <c r="D837" i="8"/>
  <c r="E837" i="8" s="1"/>
  <c r="F837" i="8" s="1"/>
  <c r="R17" i="6"/>
  <c r="G2963" i="8"/>
  <c r="G3051" i="8"/>
  <c r="G3007" i="8"/>
  <c r="G2919" i="8"/>
  <c r="G3095" i="8"/>
  <c r="G3183" i="8"/>
  <c r="G3139" i="8"/>
  <c r="G2875" i="8"/>
  <c r="G2831" i="8"/>
  <c r="G2509" i="8"/>
  <c r="G2597" i="8"/>
  <c r="G2553" i="8"/>
  <c r="G2465" i="8"/>
  <c r="G2245" i="8"/>
  <c r="G1981" i="8"/>
  <c r="G2685" i="8"/>
  <c r="G2641" i="8"/>
  <c r="G2201" i="8"/>
  <c r="G2787" i="8"/>
  <c r="G2421" i="8"/>
  <c r="G2113" i="8"/>
  <c r="G1937" i="8"/>
  <c r="G2729" i="8"/>
  <c r="G2157" i="8"/>
  <c r="G1893" i="8"/>
  <c r="G1497" i="8"/>
  <c r="G1233" i="8"/>
  <c r="G1629" i="8"/>
  <c r="G2333" i="8"/>
  <c r="G1453" i="8"/>
  <c r="G1805" i="8"/>
  <c r="G2069" i="8"/>
  <c r="G1717" i="8"/>
  <c r="G1585" i="8"/>
  <c r="G2289" i="8"/>
  <c r="G1541" i="8"/>
  <c r="G1321" i="8"/>
  <c r="G2377" i="8"/>
  <c r="G1849" i="8"/>
  <c r="G1673" i="8"/>
  <c r="G1365" i="8"/>
  <c r="G969" i="8"/>
  <c r="G1409" i="8"/>
  <c r="G925" i="8"/>
  <c r="G1277" i="8"/>
  <c r="G881" i="8"/>
  <c r="G1101" i="8"/>
  <c r="G617" i="8"/>
  <c r="G1189" i="8"/>
  <c r="G2025" i="8"/>
  <c r="G1057" i="8"/>
  <c r="G485" i="8"/>
  <c r="G441" i="8"/>
  <c r="G529" i="8"/>
  <c r="G353" i="8"/>
  <c r="G177" i="8"/>
  <c r="G793" i="8"/>
  <c r="G309" i="8"/>
  <c r="G573" i="8"/>
  <c r="G397" i="8"/>
  <c r="G133" i="8"/>
  <c r="D25" i="6"/>
  <c r="E25" i="6" s="1"/>
  <c r="F25" i="6" s="1"/>
  <c r="Q26" i="6"/>
  <c r="H3148" i="8"/>
  <c r="H2840" i="8"/>
  <c r="H3016" i="8"/>
  <c r="H2928" i="8"/>
  <c r="H2606" i="8"/>
  <c r="H2884" i="8"/>
  <c r="H2738" i="8"/>
  <c r="H2474" i="8"/>
  <c r="H2972" i="8"/>
  <c r="H2562" i="8"/>
  <c r="H2694" i="8"/>
  <c r="H2386" i="8"/>
  <c r="H2122" i="8"/>
  <c r="H3192" i="8"/>
  <c r="H2342" i="8"/>
  <c r="H2430" i="8"/>
  <c r="H3104" i="8"/>
  <c r="H3060" i="8"/>
  <c r="H2796" i="8"/>
  <c r="H2298" i="8"/>
  <c r="H2210" i="8"/>
  <c r="H1990" i="8"/>
  <c r="H2518" i="8"/>
  <c r="H2650" i="8"/>
  <c r="H2078" i="8"/>
  <c r="H1814" i="8"/>
  <c r="H1946" i="8"/>
  <c r="H1682" i="8"/>
  <c r="H2034" i="8"/>
  <c r="H1374" i="8"/>
  <c r="H1594" i="8"/>
  <c r="H1330" i="8"/>
  <c r="H1858" i="8"/>
  <c r="H1550" i="8"/>
  <c r="H1286" i="8"/>
  <c r="H1638" i="8"/>
  <c r="H2166" i="8"/>
  <c r="H2254" i="8"/>
  <c r="H1726" i="8"/>
  <c r="H1198" i="8"/>
  <c r="H1110" i="8"/>
  <c r="H1066" i="8"/>
  <c r="H1242" i="8"/>
  <c r="H1902" i="8"/>
  <c r="H1022" i="8"/>
  <c r="H1418" i="8"/>
  <c r="H802" i="8"/>
  <c r="H1506" i="8"/>
  <c r="H758" i="8"/>
  <c r="H494" i="8"/>
  <c r="H714" i="8"/>
  <c r="H846" i="8"/>
  <c r="H1154" i="8"/>
  <c r="H1462" i="8"/>
  <c r="H318" i="8"/>
  <c r="H978" i="8"/>
  <c r="H626" i="8"/>
  <c r="H450" i="8"/>
  <c r="H406" i="8"/>
  <c r="H274" i="8"/>
  <c r="H538" i="8"/>
  <c r="H1770" i="8"/>
  <c r="H230" i="8"/>
  <c r="D5" i="8"/>
  <c r="H77" i="8"/>
  <c r="D83" i="8"/>
  <c r="E83" i="8" s="1"/>
  <c r="F83" i="8" s="1"/>
  <c r="J83" i="8" s="1"/>
  <c r="G87" i="8"/>
  <c r="D89" i="8"/>
  <c r="E89" i="8" s="1"/>
  <c r="F89" i="8" s="1"/>
  <c r="D93" i="8"/>
  <c r="E93" i="8" s="1"/>
  <c r="F93" i="8" s="1"/>
  <c r="G120" i="8"/>
  <c r="G134" i="8"/>
  <c r="Q136" i="8"/>
  <c r="G161" i="8"/>
  <c r="F167" i="8"/>
  <c r="J167" i="8" s="1"/>
  <c r="G172" i="8"/>
  <c r="G217" i="8"/>
  <c r="S230" i="8"/>
  <c r="Q268" i="8"/>
  <c r="Q274" i="8"/>
  <c r="Z292" i="8"/>
  <c r="Z293" i="8" s="1"/>
  <c r="G305" i="8"/>
  <c r="R308" i="8"/>
  <c r="B323" i="8" s="1"/>
  <c r="D348" i="8"/>
  <c r="E348" i="8" s="1"/>
  <c r="F348" i="8" s="1"/>
  <c r="J348" i="8" s="1"/>
  <c r="H351" i="8"/>
  <c r="R384" i="8"/>
  <c r="H386" i="8"/>
  <c r="D431" i="8"/>
  <c r="E431" i="8" s="1"/>
  <c r="F431" i="8" s="1"/>
  <c r="J431" i="8" s="1"/>
  <c r="H470" i="8"/>
  <c r="Q512" i="8"/>
  <c r="Q566" i="8"/>
  <c r="H693" i="8"/>
  <c r="Q750" i="8"/>
  <c r="G821" i="8"/>
  <c r="H920" i="8"/>
  <c r="G1313" i="8"/>
  <c r="G1348" i="8"/>
  <c r="H1394" i="8"/>
  <c r="Q1679" i="8"/>
  <c r="H1945" i="8"/>
  <c r="U758" i="8"/>
  <c r="S758" i="8"/>
  <c r="D3147" i="8"/>
  <c r="E3147" i="8" s="1"/>
  <c r="F3147" i="8" s="1"/>
  <c r="D3173" i="8"/>
  <c r="E3173" i="8" s="1"/>
  <c r="D3100" i="8"/>
  <c r="E3100" i="8" s="1"/>
  <c r="F3100" i="8" s="1"/>
  <c r="J3100" i="8" s="1"/>
  <c r="D3192" i="8"/>
  <c r="E3192" i="8" s="1"/>
  <c r="F3192" i="8" s="1"/>
  <c r="J3192" i="8" s="1"/>
  <c r="D3145" i="8"/>
  <c r="E3145" i="8" s="1"/>
  <c r="F3145" i="8" s="1"/>
  <c r="D3144" i="8"/>
  <c r="E3144" i="8" s="1"/>
  <c r="F3144" i="8" s="1"/>
  <c r="J3144" i="8" s="1"/>
  <c r="D3104" i="8"/>
  <c r="E3104" i="8" s="1"/>
  <c r="F3104" i="8" s="1"/>
  <c r="J3104" i="8" s="1"/>
  <c r="D3091" i="8"/>
  <c r="E3091" i="8" s="1"/>
  <c r="F3091" i="8" s="1"/>
  <c r="J3091" i="8" s="1"/>
  <c r="D3060" i="8"/>
  <c r="E3060" i="8" s="1"/>
  <c r="F3060" i="8" s="1"/>
  <c r="J3060" i="8" s="1"/>
  <c r="T3122" i="8"/>
  <c r="T3123" i="8" s="1"/>
  <c r="T3124" i="8" s="1"/>
  <c r="F3122" i="8" s="1"/>
  <c r="J3122" i="8" s="1"/>
  <c r="D3095" i="8"/>
  <c r="E3095" i="8" s="1"/>
  <c r="F3095" i="8" s="1"/>
  <c r="D3189" i="8"/>
  <c r="E3189" i="8" s="1"/>
  <c r="F3189" i="8" s="1"/>
  <c r="T3078" i="8"/>
  <c r="T3079" i="8" s="1"/>
  <c r="T3080" i="8" s="1"/>
  <c r="F3078" i="8" s="1"/>
  <c r="J3078" i="8" s="1"/>
  <c r="D3059" i="8"/>
  <c r="E3059" i="8" s="1"/>
  <c r="F3059" i="8" s="1"/>
  <c r="T3034" i="8"/>
  <c r="T3035" i="8" s="1"/>
  <c r="T3036" i="8" s="1"/>
  <c r="F3034" i="8" s="1"/>
  <c r="J3034" i="8" s="1"/>
  <c r="D3007" i="8"/>
  <c r="E3007" i="8" s="1"/>
  <c r="F3007" i="8" s="1"/>
  <c r="D2970" i="8"/>
  <c r="E2970" i="8" s="1"/>
  <c r="F2970" i="8" s="1"/>
  <c r="D3188" i="8"/>
  <c r="E3188" i="8" s="1"/>
  <c r="F3188" i="8" s="1"/>
  <c r="J3188" i="8" s="1"/>
  <c r="D3177" i="8"/>
  <c r="E3177" i="8" s="1"/>
  <c r="F3177" i="8" s="1"/>
  <c r="J3177" i="8" s="1"/>
  <c r="T3166" i="8"/>
  <c r="T3167" i="8" s="1"/>
  <c r="T3168" i="8" s="1"/>
  <c r="F3166" i="8" s="1"/>
  <c r="J3166" i="8" s="1"/>
  <c r="D3103" i="8"/>
  <c r="E3103" i="8" s="1"/>
  <c r="F3103" i="8" s="1"/>
  <c r="D3051" i="8"/>
  <c r="E3051" i="8" s="1"/>
  <c r="F3051" i="8" s="1"/>
  <c r="D3129" i="8"/>
  <c r="E3129" i="8" s="1"/>
  <c r="F3129" i="8" s="1"/>
  <c r="J3129" i="8" s="1"/>
  <c r="D3101" i="8"/>
  <c r="E3101" i="8" s="1"/>
  <c r="F3101" i="8" s="1"/>
  <c r="D3056" i="8"/>
  <c r="E3056" i="8" s="1"/>
  <c r="F3056" i="8" s="1"/>
  <c r="J3056" i="8" s="1"/>
  <c r="D3011" i="8"/>
  <c r="E3011" i="8" s="1"/>
  <c r="F3011" i="8" s="1"/>
  <c r="D3134" i="8"/>
  <c r="E3134" i="8" s="1"/>
  <c r="F3134" i="8" s="1"/>
  <c r="J3134" i="8" s="1"/>
  <c r="D3015" i="8"/>
  <c r="E3015" i="8" s="1"/>
  <c r="F3015" i="8" s="1"/>
  <c r="D2958" i="8"/>
  <c r="E2958" i="8" s="1"/>
  <c r="F2958" i="8" s="1"/>
  <c r="J2958" i="8" s="1"/>
  <c r="D2916" i="8"/>
  <c r="E2916" i="8" s="1"/>
  <c r="F2916" i="8" s="1"/>
  <c r="J2916" i="8" s="1"/>
  <c r="D2865" i="8"/>
  <c r="E2865" i="8" s="1"/>
  <c r="F2865" i="8" s="1"/>
  <c r="J2865" i="8" s="1"/>
  <c r="D3190" i="8"/>
  <c r="E3190" i="8" s="1"/>
  <c r="F3190" i="8" s="1"/>
  <c r="D2969" i="8"/>
  <c r="E2969" i="8" s="1"/>
  <c r="F2969" i="8" s="1"/>
  <c r="D2924" i="8"/>
  <c r="E2924" i="8" s="1"/>
  <c r="F2924" i="8" s="1"/>
  <c r="J2924" i="8" s="1"/>
  <c r="D2835" i="8"/>
  <c r="E2835" i="8" s="1"/>
  <c r="F2835" i="8" s="1"/>
  <c r="D3178" i="8"/>
  <c r="E3178" i="8" s="1"/>
  <c r="F3178" i="8" s="1"/>
  <c r="J3178" i="8" s="1"/>
  <c r="Z3122" i="8"/>
  <c r="Z3123" i="8" s="1"/>
  <c r="D3055" i="8"/>
  <c r="E3055" i="8" s="1"/>
  <c r="F3055" i="8" s="1"/>
  <c r="Z3034" i="8"/>
  <c r="Z3035" i="8" s="1"/>
  <c r="D2968" i="8"/>
  <c r="E2968" i="8" s="1"/>
  <c r="F2968" i="8" s="1"/>
  <c r="J2968" i="8" s="1"/>
  <c r="D2957" i="8"/>
  <c r="E2957" i="8" s="1"/>
  <c r="F2957" i="8" s="1"/>
  <c r="J2957" i="8" s="1"/>
  <c r="D2915" i="8"/>
  <c r="E2915" i="8" s="1"/>
  <c r="F2915" i="8" s="1"/>
  <c r="J2915" i="8" s="1"/>
  <c r="D2884" i="8"/>
  <c r="E2884" i="8" s="1"/>
  <c r="F2884" i="8" s="1"/>
  <c r="J2884" i="8" s="1"/>
  <c r="D2881" i="8"/>
  <c r="E2881" i="8" s="1"/>
  <c r="F2881" i="8" s="1"/>
  <c r="D3148" i="8"/>
  <c r="E3148" i="8" s="1"/>
  <c r="F3148" i="8" s="1"/>
  <c r="J3148" i="8" s="1"/>
  <c r="D3146" i="8"/>
  <c r="E3146" i="8" s="1"/>
  <c r="F3146" i="8" s="1"/>
  <c r="D3090" i="8"/>
  <c r="E3090" i="8" s="1"/>
  <c r="F3090" i="8" s="1"/>
  <c r="J3090" i="8" s="1"/>
  <c r="D2972" i="8"/>
  <c r="E2972" i="8" s="1"/>
  <c r="F2972" i="8" s="1"/>
  <c r="J2972" i="8" s="1"/>
  <c r="D3191" i="8"/>
  <c r="E3191" i="8" s="1"/>
  <c r="F3191" i="8" s="1"/>
  <c r="D3085" i="8"/>
  <c r="E3085" i="8" s="1"/>
  <c r="F3085" i="8" s="1"/>
  <c r="J3085" i="8" s="1"/>
  <c r="D3046" i="8"/>
  <c r="E3046" i="8" s="1"/>
  <c r="F3046" i="8" s="1"/>
  <c r="J3046" i="8" s="1"/>
  <c r="D3004" i="8"/>
  <c r="E3004" i="8" s="1"/>
  <c r="F3004" i="8" s="1"/>
  <c r="J3004" i="8" s="1"/>
  <c r="D2879" i="8"/>
  <c r="E2879" i="8" s="1"/>
  <c r="F2879" i="8" s="1"/>
  <c r="D2838" i="8"/>
  <c r="E2838" i="8" s="1"/>
  <c r="F2838" i="8" s="1"/>
  <c r="D2796" i="8"/>
  <c r="E2796" i="8" s="1"/>
  <c r="F2796" i="8" s="1"/>
  <c r="J2796" i="8" s="1"/>
  <c r="D2787" i="8"/>
  <c r="E2787" i="8" s="1"/>
  <c r="F2787" i="8" s="1"/>
  <c r="D2738" i="8"/>
  <c r="E2738" i="8" s="1"/>
  <c r="F2738" i="8" s="1"/>
  <c r="J2738" i="8" s="1"/>
  <c r="D2735" i="8"/>
  <c r="E2735" i="8" s="1"/>
  <c r="F2735" i="8" s="1"/>
  <c r="D3092" i="8"/>
  <c r="E3092" i="8" s="1"/>
  <c r="F3092" i="8" s="1"/>
  <c r="J3092" i="8" s="1"/>
  <c r="D3014" i="8"/>
  <c r="E3014" i="8" s="1"/>
  <c r="F3014" i="8" s="1"/>
  <c r="Z2946" i="8"/>
  <c r="Z2947" i="8" s="1"/>
  <c r="D2927" i="8"/>
  <c r="E2927" i="8" s="1"/>
  <c r="F2927" i="8" s="1"/>
  <c r="D2726" i="8"/>
  <c r="E2726" i="8" s="1"/>
  <c r="F2726" i="8" s="1"/>
  <c r="J2726" i="8" s="1"/>
  <c r="D2777" i="8"/>
  <c r="E2777" i="8" s="1"/>
  <c r="F2777" i="8" s="1"/>
  <c r="J2777" i="8" s="1"/>
  <c r="T2946" i="8"/>
  <c r="T2947" i="8" s="1"/>
  <c r="T2948" i="8" s="1"/>
  <c r="F2946" i="8" s="1"/>
  <c r="J2946" i="8" s="1"/>
  <c r="D3041" i="8"/>
  <c r="E3041" i="8" s="1"/>
  <c r="F3041" i="8" s="1"/>
  <c r="J3041" i="8" s="1"/>
  <c r="D2871" i="8"/>
  <c r="E2871" i="8" s="1"/>
  <c r="F2871" i="8" s="1"/>
  <c r="J2871" i="8" s="1"/>
  <c r="Z2770" i="8"/>
  <c r="Z2771" i="8" s="1"/>
  <c r="D2601" i="8"/>
  <c r="E2601" i="8" s="1"/>
  <c r="F2601" i="8" s="1"/>
  <c r="D3139" i="8"/>
  <c r="E3139" i="8" s="1"/>
  <c r="F3139" i="8" s="1"/>
  <c r="D3133" i="8"/>
  <c r="E3133" i="8" s="1"/>
  <c r="F3133" i="8" s="1"/>
  <c r="J3133" i="8" s="1"/>
  <c r="D3099" i="8"/>
  <c r="E3099" i="8" s="1"/>
  <c r="F3099" i="8" s="1"/>
  <c r="D3057" i="8"/>
  <c r="E3057" i="8" s="1"/>
  <c r="F3057" i="8" s="1"/>
  <c r="D3013" i="8"/>
  <c r="E3013" i="8" s="1"/>
  <c r="F3013" i="8" s="1"/>
  <c r="D2928" i="8"/>
  <c r="E2928" i="8" s="1"/>
  <c r="F2928" i="8" s="1"/>
  <c r="J2928" i="8" s="1"/>
  <c r="D2840" i="8"/>
  <c r="E2840" i="8" s="1"/>
  <c r="F2840" i="8" s="1"/>
  <c r="J2840" i="8" s="1"/>
  <c r="D2733" i="8"/>
  <c r="E2733" i="8" s="1"/>
  <c r="F2733" i="8" s="1"/>
  <c r="D2691" i="8"/>
  <c r="E2691" i="8" s="1"/>
  <c r="F2691" i="8" s="1"/>
  <c r="D2681" i="8"/>
  <c r="E2681" i="8" s="1"/>
  <c r="F2681" i="8" s="1"/>
  <c r="J2681" i="8" s="1"/>
  <c r="D2650" i="8"/>
  <c r="E2650" i="8" s="1"/>
  <c r="F2650" i="8" s="1"/>
  <c r="J2650" i="8" s="1"/>
  <c r="D2647" i="8"/>
  <c r="E2647" i="8" s="1"/>
  <c r="F2647" i="8" s="1"/>
  <c r="D2561" i="8"/>
  <c r="E2561" i="8" s="1"/>
  <c r="F2561" i="8" s="1"/>
  <c r="T2536" i="8"/>
  <c r="T2537" i="8" s="1"/>
  <c r="T2538" i="8" s="1"/>
  <c r="F2536" i="8" s="1"/>
  <c r="J2536" i="8" s="1"/>
  <c r="D2509" i="8"/>
  <c r="E2509" i="8" s="1"/>
  <c r="F2509" i="8" s="1"/>
  <c r="D2997" i="8"/>
  <c r="E2997" i="8" s="1"/>
  <c r="F2997" i="8" s="1"/>
  <c r="J2997" i="8" s="1"/>
  <c r="D3183" i="8"/>
  <c r="E3183" i="8" s="1"/>
  <c r="F3183" i="8" s="1"/>
  <c r="D2926" i="8"/>
  <c r="E2926" i="8" s="1"/>
  <c r="F2926" i="8" s="1"/>
  <c r="D2923" i="8"/>
  <c r="E2923" i="8" s="1"/>
  <c r="F2923" i="8" s="1"/>
  <c r="D2872" i="8"/>
  <c r="E2872" i="8" s="1"/>
  <c r="F2872" i="8" s="1"/>
  <c r="J2872" i="8" s="1"/>
  <c r="Z2858" i="8"/>
  <c r="Z2859" i="8" s="1"/>
  <c r="D2828" i="8"/>
  <c r="E2828" i="8" s="1"/>
  <c r="F2828" i="8" s="1"/>
  <c r="J2828" i="8" s="1"/>
  <c r="D2794" i="8"/>
  <c r="E2794" i="8" s="1"/>
  <c r="F2794" i="8" s="1"/>
  <c r="D2781" i="8"/>
  <c r="E2781" i="8" s="1"/>
  <c r="F2781" i="8" s="1"/>
  <c r="J2781" i="8" s="1"/>
  <c r="D2690" i="8"/>
  <c r="E2690" i="8" s="1"/>
  <c r="F2690" i="8" s="1"/>
  <c r="J2690" i="8" s="1"/>
  <c r="D2646" i="8"/>
  <c r="E2646" i="8" s="1"/>
  <c r="F2646" i="8" s="1"/>
  <c r="J2646" i="8" s="1"/>
  <c r="D2782" i="8"/>
  <c r="E2782" i="8" s="1"/>
  <c r="F2782" i="8" s="1"/>
  <c r="J2782" i="8" s="1"/>
  <c r="D2723" i="8"/>
  <c r="E2723" i="8" s="1"/>
  <c r="F2723" i="8" s="1"/>
  <c r="J2723" i="8" s="1"/>
  <c r="D3045" i="8"/>
  <c r="E3045" i="8" s="1"/>
  <c r="F3045" i="8" s="1"/>
  <c r="J3045" i="8" s="1"/>
  <c r="D2792" i="8"/>
  <c r="E2792" i="8" s="1"/>
  <c r="F2792" i="8" s="1"/>
  <c r="J2792" i="8" s="1"/>
  <c r="D2693" i="8"/>
  <c r="E2693" i="8" s="1"/>
  <c r="F2693" i="8" s="1"/>
  <c r="D2685" i="8"/>
  <c r="E2685" i="8" s="1"/>
  <c r="F2685" i="8" s="1"/>
  <c r="D2679" i="8"/>
  <c r="E2679" i="8" s="1"/>
  <c r="F2679" i="8" s="1"/>
  <c r="J2679" i="8" s="1"/>
  <c r="Z2990" i="8"/>
  <c r="Z2991" i="8" s="1"/>
  <c r="D2971" i="8"/>
  <c r="E2971" i="8" s="1"/>
  <c r="F2971" i="8" s="1"/>
  <c r="D2913" i="8"/>
  <c r="E2913" i="8" s="1"/>
  <c r="F2913" i="8" s="1"/>
  <c r="J2913" i="8" s="1"/>
  <c r="D3135" i="8"/>
  <c r="E3135" i="8" s="1"/>
  <c r="F3135" i="8" s="1"/>
  <c r="J3135" i="8" s="1"/>
  <c r="D3089" i="8"/>
  <c r="E3089" i="8" s="1"/>
  <c r="F3089" i="8" s="1"/>
  <c r="J3089" i="8" s="1"/>
  <c r="D2967" i="8"/>
  <c r="E2967" i="8" s="1"/>
  <c r="F2967" i="8" s="1"/>
  <c r="D2875" i="8"/>
  <c r="E2875" i="8" s="1"/>
  <c r="F2875" i="8" s="1"/>
  <c r="D2836" i="8"/>
  <c r="E2836" i="8" s="1"/>
  <c r="F2836" i="8" s="1"/>
  <c r="J2836" i="8" s="1"/>
  <c r="D3180" i="8"/>
  <c r="E3180" i="8" s="1"/>
  <c r="F3180" i="8" s="1"/>
  <c r="J3180" i="8" s="1"/>
  <c r="D3002" i="8"/>
  <c r="E3002" i="8" s="1"/>
  <c r="F3002" i="8" s="1"/>
  <c r="J3002" i="8" s="1"/>
  <c r="T2990" i="8"/>
  <c r="T2991" i="8" s="1"/>
  <c r="T2992" i="8" s="1"/>
  <c r="F2990" i="8" s="1"/>
  <c r="J2990" i="8" s="1"/>
  <c r="D2870" i="8"/>
  <c r="E2870" i="8" s="1"/>
  <c r="F2870" i="8" s="1"/>
  <c r="J2870" i="8" s="1"/>
  <c r="D3143" i="8"/>
  <c r="E3143" i="8" s="1"/>
  <c r="F3143" i="8" s="1"/>
  <c r="D3136" i="8"/>
  <c r="E3136" i="8" s="1"/>
  <c r="F3136" i="8" s="1"/>
  <c r="J3136" i="8" s="1"/>
  <c r="D2793" i="8"/>
  <c r="E2793" i="8" s="1"/>
  <c r="F2793" i="8" s="1"/>
  <c r="D2638" i="8"/>
  <c r="E2638" i="8" s="1"/>
  <c r="F2638" i="8" s="1"/>
  <c r="J2638" i="8" s="1"/>
  <c r="D2602" i="8"/>
  <c r="E2602" i="8" s="1"/>
  <c r="F2602" i="8" s="1"/>
  <c r="J2602" i="8" s="1"/>
  <c r="D2559" i="8"/>
  <c r="E2559" i="8" s="1"/>
  <c r="F2559" i="8" s="1"/>
  <c r="D2547" i="8"/>
  <c r="E2547" i="8" s="1"/>
  <c r="F2547" i="8" s="1"/>
  <c r="J2547" i="8" s="1"/>
  <c r="D2543" i="8"/>
  <c r="E2543" i="8" s="1"/>
  <c r="F2543" i="8" s="1"/>
  <c r="J2543" i="8" s="1"/>
  <c r="D2469" i="8"/>
  <c r="E2469" i="8" s="1"/>
  <c r="F2469" i="8" s="1"/>
  <c r="D2919" i="8"/>
  <c r="E2919" i="8" s="1"/>
  <c r="F2919" i="8" s="1"/>
  <c r="D2821" i="8"/>
  <c r="E2821" i="8" s="1"/>
  <c r="F2821" i="8" s="1"/>
  <c r="J2821" i="8" s="1"/>
  <c r="D2649" i="8"/>
  <c r="E2649" i="8" s="1"/>
  <c r="F2649" i="8" s="1"/>
  <c r="D2603" i="8"/>
  <c r="E2603" i="8" s="1"/>
  <c r="F2603" i="8" s="1"/>
  <c r="D2597" i="8"/>
  <c r="E2597" i="8" s="1"/>
  <c r="F2597" i="8" s="1"/>
  <c r="Z2580" i="8"/>
  <c r="Z2581" i="8" s="1"/>
  <c r="D2548" i="8"/>
  <c r="E2548" i="8" s="1"/>
  <c r="F2548" i="8" s="1"/>
  <c r="J2548" i="8" s="1"/>
  <c r="D2515" i="8"/>
  <c r="E2515" i="8" s="1"/>
  <c r="F2515" i="8" s="1"/>
  <c r="D2514" i="8"/>
  <c r="E2514" i="8" s="1"/>
  <c r="F2514" i="8" s="1"/>
  <c r="J2514" i="8" s="1"/>
  <c r="D2909" i="8"/>
  <c r="E2909" i="8" s="1"/>
  <c r="F2909" i="8" s="1"/>
  <c r="J2909" i="8" s="1"/>
  <c r="D2783" i="8"/>
  <c r="E2783" i="8" s="1"/>
  <c r="F2783" i="8" s="1"/>
  <c r="J2783" i="8" s="1"/>
  <c r="D2455" i="8"/>
  <c r="E2455" i="8" s="1"/>
  <c r="F2455" i="8" s="1"/>
  <c r="J2455" i="8" s="1"/>
  <c r="D3179" i="8"/>
  <c r="E3179" i="8" s="1"/>
  <c r="F3179" i="8" s="1"/>
  <c r="J3179" i="8" s="1"/>
  <c r="D2724" i="8"/>
  <c r="E2724" i="8" s="1"/>
  <c r="F2724" i="8" s="1"/>
  <c r="J2724" i="8" s="1"/>
  <c r="D2680" i="8"/>
  <c r="E2680" i="8" s="1"/>
  <c r="F2680" i="8" s="1"/>
  <c r="J2680" i="8" s="1"/>
  <c r="Z2624" i="8"/>
  <c r="Z2625" i="8" s="1"/>
  <c r="T2580" i="8"/>
  <c r="T2581" i="8" s="1"/>
  <c r="T2582" i="8" s="1"/>
  <c r="F2580" i="8" s="1"/>
  <c r="J2580" i="8" s="1"/>
  <c r="D2549" i="8"/>
  <c r="E2549" i="8" s="1"/>
  <c r="F2549" i="8" s="1"/>
  <c r="J2549" i="8" s="1"/>
  <c r="D2518" i="8"/>
  <c r="E2518" i="8" s="1"/>
  <c r="F2518" i="8" s="1"/>
  <c r="J2518" i="8" s="1"/>
  <c r="D2795" i="8"/>
  <c r="E2795" i="8" s="1"/>
  <c r="F2795" i="8" s="1"/>
  <c r="D2592" i="8"/>
  <c r="E2592" i="8" s="1"/>
  <c r="F2592" i="8" s="1"/>
  <c r="J2592" i="8" s="1"/>
  <c r="D2591" i="8"/>
  <c r="E2591" i="8" s="1"/>
  <c r="F2591" i="8" s="1"/>
  <c r="J2591" i="8" s="1"/>
  <c r="Z3078" i="8"/>
  <c r="Z3079" i="8" s="1"/>
  <c r="D2953" i="8"/>
  <c r="E2953" i="8" s="1"/>
  <c r="F2953" i="8" s="1"/>
  <c r="J2953" i="8" s="1"/>
  <c r="D2682" i="8"/>
  <c r="E2682" i="8" s="1"/>
  <c r="F2682" i="8" s="1"/>
  <c r="J2682" i="8" s="1"/>
  <c r="D2641" i="8"/>
  <c r="E2641" i="8" s="1"/>
  <c r="F2641" i="8" s="1"/>
  <c r="D2506" i="8"/>
  <c r="E2506" i="8" s="1"/>
  <c r="F2506" i="8" s="1"/>
  <c r="J2506" i="8" s="1"/>
  <c r="D2381" i="8"/>
  <c r="E2381" i="8" s="1"/>
  <c r="F2381" i="8" s="1"/>
  <c r="D2206" i="8"/>
  <c r="E2206" i="8" s="1"/>
  <c r="F2206" i="8" s="1"/>
  <c r="J2206" i="8" s="1"/>
  <c r="D2117" i="8"/>
  <c r="E2117" i="8" s="1"/>
  <c r="F2117" i="8" s="1"/>
  <c r="D3016" i="8"/>
  <c r="E3016" i="8" s="1"/>
  <c r="F3016" i="8" s="1"/>
  <c r="J3016" i="8" s="1"/>
  <c r="D2430" i="8"/>
  <c r="E2430" i="8" s="1"/>
  <c r="F2430" i="8" s="1"/>
  <c r="J2430" i="8" s="1"/>
  <c r="D2427" i="8"/>
  <c r="E2427" i="8" s="1"/>
  <c r="F2427" i="8" s="1"/>
  <c r="D2341" i="8"/>
  <c r="E2341" i="8" s="1"/>
  <c r="F2341" i="8" s="1"/>
  <c r="T2316" i="8"/>
  <c r="T2317" i="8" s="1"/>
  <c r="T2318" i="8" s="1"/>
  <c r="F2316" i="8" s="1"/>
  <c r="J2316" i="8" s="1"/>
  <c r="D2289" i="8"/>
  <c r="E2289" i="8" s="1"/>
  <c r="F2289" i="8" s="1"/>
  <c r="D2252" i="8"/>
  <c r="E2252" i="8" s="1"/>
  <c r="F2252" i="8" s="1"/>
  <c r="D2239" i="8"/>
  <c r="E2239" i="8" s="1"/>
  <c r="F2239" i="8" s="1"/>
  <c r="J2239" i="8" s="1"/>
  <c r="D2197" i="8"/>
  <c r="E2197" i="8" s="1"/>
  <c r="F2197" i="8" s="1"/>
  <c r="J2197" i="8" s="1"/>
  <c r="D2166" i="8"/>
  <c r="E2166" i="8" s="1"/>
  <c r="F2166" i="8" s="1"/>
  <c r="J2166" i="8" s="1"/>
  <c r="D2163" i="8"/>
  <c r="E2163" i="8" s="1"/>
  <c r="F2163" i="8" s="1"/>
  <c r="D2077" i="8"/>
  <c r="E2077" i="8" s="1"/>
  <c r="F2077" i="8" s="1"/>
  <c r="T2052" i="8"/>
  <c r="T2053" i="8" s="1"/>
  <c r="T2054" i="8" s="1"/>
  <c r="F2052" i="8" s="1"/>
  <c r="J2052" i="8" s="1"/>
  <c r="D2025" i="8"/>
  <c r="E2025" i="8" s="1"/>
  <c r="F2025" i="8" s="1"/>
  <c r="D1988" i="8"/>
  <c r="E1988" i="8" s="1"/>
  <c r="F1988" i="8" s="1"/>
  <c r="Z3166" i="8"/>
  <c r="Z3167" i="8" s="1"/>
  <c r="D2737" i="8"/>
  <c r="E2737" i="8" s="1"/>
  <c r="F2737" i="8" s="1"/>
  <c r="D2692" i="8"/>
  <c r="E2692" i="8" s="1"/>
  <c r="F2692" i="8" s="1"/>
  <c r="D2557" i="8"/>
  <c r="E2557" i="8" s="1"/>
  <c r="F2557" i="8" s="1"/>
  <c r="D2473" i="8"/>
  <c r="E2473" i="8" s="1"/>
  <c r="F2473" i="8" s="1"/>
  <c r="D2470" i="8"/>
  <c r="E2470" i="8" s="1"/>
  <c r="F2470" i="8" s="1"/>
  <c r="J2470" i="8" s="1"/>
  <c r="D2418" i="8"/>
  <c r="E2418" i="8" s="1"/>
  <c r="F2418" i="8" s="1"/>
  <c r="J2418" i="8" s="1"/>
  <c r="D2367" i="8"/>
  <c r="E2367" i="8" s="1"/>
  <c r="F2367" i="8" s="1"/>
  <c r="J2367" i="8" s="1"/>
  <c r="Z2272" i="8"/>
  <c r="Z2273" i="8" s="1"/>
  <c r="D3048" i="8"/>
  <c r="E3048" i="8" s="1"/>
  <c r="F3048" i="8" s="1"/>
  <c r="J3048" i="8" s="1"/>
  <c r="D2960" i="8"/>
  <c r="E2960" i="8" s="1"/>
  <c r="F2960" i="8" s="1"/>
  <c r="J2960" i="8" s="1"/>
  <c r="D2694" i="8"/>
  <c r="E2694" i="8" s="1"/>
  <c r="F2694" i="8" s="1"/>
  <c r="J2694" i="8" s="1"/>
  <c r="D2636" i="8"/>
  <c r="E2636" i="8" s="1"/>
  <c r="F2636" i="8" s="1"/>
  <c r="J2636" i="8" s="1"/>
  <c r="D2553" i="8"/>
  <c r="E2553" i="8" s="1"/>
  <c r="F2553" i="8" s="1"/>
  <c r="Z2536" i="8"/>
  <c r="Z2537" i="8" s="1"/>
  <c r="D2471" i="8"/>
  <c r="E2471" i="8" s="1"/>
  <c r="F2471" i="8" s="1"/>
  <c r="D2426" i="8"/>
  <c r="E2426" i="8" s="1"/>
  <c r="F2426" i="8" s="1"/>
  <c r="J2426" i="8" s="1"/>
  <c r="D2337" i="8"/>
  <c r="E2337" i="8" s="1"/>
  <c r="F2337" i="8" s="1"/>
  <c r="D2162" i="8"/>
  <c r="E2162" i="8" s="1"/>
  <c r="F2162" i="8" s="1"/>
  <c r="J2162" i="8" s="1"/>
  <c r="D3058" i="8"/>
  <c r="E3058" i="8" s="1"/>
  <c r="F3058" i="8" s="1"/>
  <c r="D2827" i="8"/>
  <c r="E2827" i="8" s="1"/>
  <c r="F2827" i="8" s="1"/>
  <c r="J2827" i="8" s="1"/>
  <c r="D2837" i="8"/>
  <c r="E2837" i="8" s="1"/>
  <c r="F2837" i="8" s="1"/>
  <c r="D2791" i="8"/>
  <c r="E2791" i="8" s="1"/>
  <c r="F2791" i="8" s="1"/>
  <c r="D2645" i="8"/>
  <c r="E2645" i="8" s="1"/>
  <c r="F2645" i="8" s="1"/>
  <c r="D2516" i="8"/>
  <c r="E2516" i="8" s="1"/>
  <c r="F2516" i="8" s="1"/>
  <c r="D2429" i="8"/>
  <c r="E2429" i="8" s="1"/>
  <c r="F2429" i="8" s="1"/>
  <c r="D2882" i="8"/>
  <c r="E2882" i="8" s="1"/>
  <c r="F2882" i="8" s="1"/>
  <c r="D2831" i="8"/>
  <c r="E2831" i="8" s="1"/>
  <c r="F2831" i="8" s="1"/>
  <c r="D2550" i="8"/>
  <c r="E2550" i="8" s="1"/>
  <c r="F2550" i="8" s="1"/>
  <c r="J2550" i="8" s="1"/>
  <c r="D2925" i="8"/>
  <c r="E2925" i="8" s="1"/>
  <c r="F2925" i="8" s="1"/>
  <c r="D2825" i="8"/>
  <c r="E2825" i="8" s="1"/>
  <c r="F2825" i="8" s="1"/>
  <c r="J2825" i="8" s="1"/>
  <c r="D3003" i="8"/>
  <c r="E3003" i="8" s="1"/>
  <c r="F3003" i="8" s="1"/>
  <c r="J3003" i="8" s="1"/>
  <c r="T2814" i="8"/>
  <c r="T2815" i="8" s="1"/>
  <c r="T2816" i="8" s="1"/>
  <c r="F2814" i="8" s="1"/>
  <c r="J2814" i="8" s="1"/>
  <c r="Z2668" i="8"/>
  <c r="Z2669" i="8" s="1"/>
  <c r="D2839" i="8"/>
  <c r="E2839" i="8" s="1"/>
  <c r="F2839" i="8" s="1"/>
  <c r="D2593" i="8"/>
  <c r="E2593" i="8" s="1"/>
  <c r="F2593" i="8" s="1"/>
  <c r="J2593" i="8" s="1"/>
  <c r="D2562" i="8"/>
  <c r="E2562" i="8" s="1"/>
  <c r="F2562" i="8" s="1"/>
  <c r="J2562" i="8" s="1"/>
  <c r="D2474" i="8"/>
  <c r="E2474" i="8" s="1"/>
  <c r="F2474" i="8" s="1"/>
  <c r="J2474" i="8" s="1"/>
  <c r="D2472" i="8"/>
  <c r="E2472" i="8" s="1"/>
  <c r="F2472" i="8" s="1"/>
  <c r="D2323" i="8"/>
  <c r="E2323" i="8" s="1"/>
  <c r="F2323" i="8" s="1"/>
  <c r="J2323" i="8" s="1"/>
  <c r="D2205" i="8"/>
  <c r="E2205" i="8" s="1"/>
  <c r="F2205" i="8" s="1"/>
  <c r="Z2902" i="8"/>
  <c r="Z2903" i="8" s="1"/>
  <c r="T2624" i="8"/>
  <c r="T2625" i="8" s="1"/>
  <c r="T2626" i="8" s="1"/>
  <c r="F2624" i="8" s="1"/>
  <c r="J2624" i="8" s="1"/>
  <c r="D2517" i="8"/>
  <c r="E2517" i="8" s="1"/>
  <c r="F2517" i="8" s="1"/>
  <c r="D2461" i="8"/>
  <c r="E2461" i="8" s="1"/>
  <c r="F2461" i="8" s="1"/>
  <c r="J2461" i="8" s="1"/>
  <c r="D2411" i="8"/>
  <c r="E2411" i="8" s="1"/>
  <c r="F2411" i="8" s="1"/>
  <c r="J2411" i="8" s="1"/>
  <c r="D3047" i="8"/>
  <c r="E3047" i="8" s="1"/>
  <c r="F3047" i="8" s="1"/>
  <c r="J3047" i="8" s="1"/>
  <c r="D2784" i="8"/>
  <c r="E2784" i="8" s="1"/>
  <c r="F2784" i="8" s="1"/>
  <c r="J2784" i="8" s="1"/>
  <c r="D2734" i="8"/>
  <c r="E2734" i="8" s="1"/>
  <c r="F2734" i="8" s="1"/>
  <c r="J2734" i="8" s="1"/>
  <c r="D2604" i="8"/>
  <c r="E2604" i="8" s="1"/>
  <c r="F2604" i="8" s="1"/>
  <c r="D2513" i="8"/>
  <c r="E2513" i="8" s="1"/>
  <c r="F2513" i="8" s="1"/>
  <c r="D2338" i="8"/>
  <c r="E2338" i="8" s="1"/>
  <c r="F2338" i="8" s="1"/>
  <c r="J2338" i="8" s="1"/>
  <c r="T2902" i="8"/>
  <c r="T2903" i="8" s="1"/>
  <c r="T2904" i="8" s="1"/>
  <c r="F2902" i="8" s="1"/>
  <c r="J2902" i="8" s="1"/>
  <c r="D2880" i="8"/>
  <c r="E2880" i="8" s="1"/>
  <c r="F2880" i="8" s="1"/>
  <c r="J2880" i="8" s="1"/>
  <c r="Z2814" i="8"/>
  <c r="Z2815" i="8" s="1"/>
  <c r="D2826" i="8"/>
  <c r="E2826" i="8" s="1"/>
  <c r="F2826" i="8" s="1"/>
  <c r="J2826" i="8" s="1"/>
  <c r="D2736" i="8"/>
  <c r="E2736" i="8" s="1"/>
  <c r="F2736" i="8" s="1"/>
  <c r="D2637" i="8"/>
  <c r="E2637" i="8" s="1"/>
  <c r="F2637" i="8" s="1"/>
  <c r="J2637" i="8" s="1"/>
  <c r="D2504" i="8"/>
  <c r="E2504" i="8" s="1"/>
  <c r="F2504" i="8" s="1"/>
  <c r="J2504" i="8" s="1"/>
  <c r="T2448" i="8"/>
  <c r="T2449" i="8" s="1"/>
  <c r="T2450" i="8" s="1"/>
  <c r="F2448" i="8" s="1"/>
  <c r="J2448" i="8" s="1"/>
  <c r="D2963" i="8"/>
  <c r="E2963" i="8" s="1"/>
  <c r="F2963" i="8" s="1"/>
  <c r="D2725" i="8"/>
  <c r="E2725" i="8" s="1"/>
  <c r="F2725" i="8" s="1"/>
  <c r="J2725" i="8" s="1"/>
  <c r="D2499" i="8"/>
  <c r="E2499" i="8" s="1"/>
  <c r="F2499" i="8" s="1"/>
  <c r="J2499" i="8" s="1"/>
  <c r="Z2448" i="8"/>
  <c r="Z2449" i="8" s="1"/>
  <c r="T2360" i="8"/>
  <c r="T2361" i="8" s="1"/>
  <c r="T2362" i="8" s="1"/>
  <c r="F2360" i="8" s="1"/>
  <c r="J2360" i="8" s="1"/>
  <c r="D2333" i="8"/>
  <c r="E2333" i="8" s="1"/>
  <c r="F2333" i="8" s="1"/>
  <c r="D2254" i="8"/>
  <c r="E2254" i="8" s="1"/>
  <c r="F2254" i="8" s="1"/>
  <c r="J2254" i="8" s="1"/>
  <c r="D2241" i="8"/>
  <c r="E2241" i="8" s="1"/>
  <c r="F2241" i="8" s="1"/>
  <c r="J2241" i="8" s="1"/>
  <c r="D2869" i="8"/>
  <c r="E2869" i="8" s="1"/>
  <c r="F2869" i="8" s="1"/>
  <c r="J2869" i="8" s="1"/>
  <c r="D2462" i="8"/>
  <c r="E2462" i="8" s="1"/>
  <c r="F2462" i="8" s="1"/>
  <c r="J2462" i="8" s="1"/>
  <c r="T2770" i="8"/>
  <c r="T2771" i="8" s="1"/>
  <c r="T2772" i="8" s="1"/>
  <c r="F2770" i="8" s="1"/>
  <c r="J2770" i="8" s="1"/>
  <c r="D2385" i="8"/>
  <c r="E2385" i="8" s="1"/>
  <c r="F2385" i="8" s="1"/>
  <c r="D2383" i="8"/>
  <c r="E2383" i="8" s="1"/>
  <c r="F2383" i="8" s="1"/>
  <c r="Z2712" i="8"/>
  <c r="Z2713" i="8" s="1"/>
  <c r="D2421" i="8"/>
  <c r="E2421" i="8" s="1"/>
  <c r="F2421" i="8" s="1"/>
  <c r="D2201" i="8"/>
  <c r="E2201" i="8" s="1"/>
  <c r="F2201" i="8" s="1"/>
  <c r="D2883" i="8"/>
  <c r="E2883" i="8" s="1"/>
  <c r="F2883" i="8" s="1"/>
  <c r="D2719" i="8"/>
  <c r="E2719" i="8" s="1"/>
  <c r="F2719" i="8" s="1"/>
  <c r="J2719" i="8" s="1"/>
  <c r="D2606" i="8"/>
  <c r="E2606" i="8" s="1"/>
  <c r="F2606" i="8" s="1"/>
  <c r="J2606" i="8" s="1"/>
  <c r="D2295" i="8"/>
  <c r="E2295" i="8" s="1"/>
  <c r="F2295" i="8" s="1"/>
  <c r="T2712" i="8"/>
  <c r="T2713" i="8" s="1"/>
  <c r="T2714" i="8" s="1"/>
  <c r="F2712" i="8" s="1"/>
  <c r="J2712" i="8" s="1"/>
  <c r="T2668" i="8"/>
  <c r="T2669" i="8" s="1"/>
  <c r="T2670" i="8" s="1"/>
  <c r="F2668" i="8" s="1"/>
  <c r="J2668" i="8" s="1"/>
  <c r="D2503" i="8"/>
  <c r="E2503" i="8" s="1"/>
  <c r="F2503" i="8" s="1"/>
  <c r="J2503" i="8" s="1"/>
  <c r="D2460" i="8"/>
  <c r="E2460" i="8" s="1"/>
  <c r="F2460" i="8" s="1"/>
  <c r="J2460" i="8" s="1"/>
  <c r="D2425" i="8"/>
  <c r="E2425" i="8" s="1"/>
  <c r="F2425" i="8" s="1"/>
  <c r="D2416" i="8"/>
  <c r="E2416" i="8" s="1"/>
  <c r="F2416" i="8" s="1"/>
  <c r="J2416" i="8" s="1"/>
  <c r="D2959" i="8"/>
  <c r="E2959" i="8" s="1"/>
  <c r="F2959" i="8" s="1"/>
  <c r="J2959" i="8" s="1"/>
  <c r="D2635" i="8"/>
  <c r="E2635" i="8" s="1"/>
  <c r="F2635" i="8" s="1"/>
  <c r="J2635" i="8" s="1"/>
  <c r="D3187" i="8"/>
  <c r="E3187" i="8" s="1"/>
  <c r="F3187" i="8" s="1"/>
  <c r="D2279" i="8"/>
  <c r="E2279" i="8" s="1"/>
  <c r="F2279" i="8" s="1"/>
  <c r="J2279" i="8" s="1"/>
  <c r="D2196" i="8"/>
  <c r="E2196" i="8" s="1"/>
  <c r="F2196" i="8" s="1"/>
  <c r="J2196" i="8" s="1"/>
  <c r="D2157" i="8"/>
  <c r="E2157" i="8" s="1"/>
  <c r="F2157" i="8" s="1"/>
  <c r="D2066" i="8"/>
  <c r="E2066" i="8" s="1"/>
  <c r="F2066" i="8" s="1"/>
  <c r="J2066" i="8" s="1"/>
  <c r="D2065" i="8"/>
  <c r="E2065" i="8" s="1"/>
  <c r="F2065" i="8" s="1"/>
  <c r="J2065" i="8" s="1"/>
  <c r="D2064" i="8"/>
  <c r="E2064" i="8" s="1"/>
  <c r="F2064" i="8" s="1"/>
  <c r="J2064" i="8" s="1"/>
  <c r="D2021" i="8"/>
  <c r="E2021" i="8" s="1"/>
  <c r="F2021" i="8" s="1"/>
  <c r="J2021" i="8" s="1"/>
  <c r="D2020" i="8"/>
  <c r="E2020" i="8" s="1"/>
  <c r="F2020" i="8" s="1"/>
  <c r="J2020" i="8" s="1"/>
  <c r="D1978" i="8"/>
  <c r="E1978" i="8" s="1"/>
  <c r="F1978" i="8" s="1"/>
  <c r="J1978" i="8" s="1"/>
  <c r="D1927" i="8"/>
  <c r="E1927" i="8" s="1"/>
  <c r="F1927" i="8" s="1"/>
  <c r="J1927" i="8" s="1"/>
  <c r="D2560" i="8"/>
  <c r="E2560" i="8" s="1"/>
  <c r="F2560" i="8" s="1"/>
  <c r="D2428" i="8"/>
  <c r="E2428" i="8" s="1"/>
  <c r="F2428" i="8" s="1"/>
  <c r="Z2404" i="8"/>
  <c r="Z2405" i="8" s="1"/>
  <c r="D2073" i="8"/>
  <c r="E2073" i="8" s="1"/>
  <c r="F2073" i="8" s="1"/>
  <c r="D2063" i="8"/>
  <c r="E2063" i="8" s="1"/>
  <c r="F2063" i="8" s="1"/>
  <c r="J2063" i="8" s="1"/>
  <c r="D2019" i="8"/>
  <c r="E2019" i="8" s="1"/>
  <c r="F2019" i="8" s="1"/>
  <c r="J2019" i="8" s="1"/>
  <c r="D2386" i="8"/>
  <c r="E2386" i="8" s="1"/>
  <c r="F2386" i="8" s="1"/>
  <c r="J2386" i="8" s="1"/>
  <c r="D2339" i="8"/>
  <c r="E2339" i="8" s="1"/>
  <c r="F2339" i="8" s="1"/>
  <c r="D2120" i="8"/>
  <c r="E2120" i="8" s="1"/>
  <c r="F2120" i="8" s="1"/>
  <c r="D2031" i="8"/>
  <c r="E2031" i="8" s="1"/>
  <c r="F2031" i="8" s="1"/>
  <c r="D1977" i="8"/>
  <c r="E1977" i="8" s="1"/>
  <c r="F1977" i="8" s="1"/>
  <c r="J1977" i="8" s="1"/>
  <c r="D1946" i="8"/>
  <c r="E1946" i="8" s="1"/>
  <c r="F1946" i="8" s="1"/>
  <c r="J1946" i="8" s="1"/>
  <c r="D1943" i="8"/>
  <c r="E1943" i="8" s="1"/>
  <c r="F1943" i="8" s="1"/>
  <c r="T2404" i="8"/>
  <c r="T2405" i="8" s="1"/>
  <c r="T2406" i="8" s="1"/>
  <c r="F2404" i="8" s="1"/>
  <c r="J2404" i="8" s="1"/>
  <c r="D2384" i="8"/>
  <c r="E2384" i="8" s="1"/>
  <c r="F2384" i="8" s="1"/>
  <c r="D2294" i="8"/>
  <c r="E2294" i="8" s="1"/>
  <c r="F2294" i="8" s="1"/>
  <c r="J2294" i="8" s="1"/>
  <c r="D2285" i="8"/>
  <c r="E2285" i="8" s="1"/>
  <c r="F2285" i="8" s="1"/>
  <c r="J2285" i="8" s="1"/>
  <c r="D2151" i="8"/>
  <c r="E2151" i="8" s="1"/>
  <c r="F2151" i="8" s="1"/>
  <c r="J2151" i="8" s="1"/>
  <c r="D2108" i="8"/>
  <c r="E2108" i="8" s="1"/>
  <c r="F2108" i="8" s="1"/>
  <c r="J2108" i="8" s="1"/>
  <c r="D2107" i="8"/>
  <c r="E2107" i="8" s="1"/>
  <c r="F2107" i="8" s="1"/>
  <c r="J2107" i="8" s="1"/>
  <c r="D2034" i="8"/>
  <c r="E2034" i="8" s="1"/>
  <c r="F2034" i="8" s="1"/>
  <c r="J2034" i="8" s="1"/>
  <c r="D2030" i="8"/>
  <c r="E2030" i="8" s="1"/>
  <c r="F2030" i="8" s="1"/>
  <c r="J2030" i="8" s="1"/>
  <c r="D1976" i="8"/>
  <c r="E1976" i="8" s="1"/>
  <c r="F1976" i="8" s="1"/>
  <c r="J1976" i="8" s="1"/>
  <c r="D1934" i="8"/>
  <c r="E1934" i="8" s="1"/>
  <c r="F1934" i="8" s="1"/>
  <c r="J1934" i="8" s="1"/>
  <c r="D1883" i="8"/>
  <c r="E1883" i="8" s="1"/>
  <c r="F1883" i="8" s="1"/>
  <c r="J1883" i="8" s="1"/>
  <c r="D3102" i="8"/>
  <c r="E3102" i="8" s="1"/>
  <c r="F3102" i="8" s="1"/>
  <c r="D2374" i="8"/>
  <c r="E2374" i="8" s="1"/>
  <c r="F2374" i="8" s="1"/>
  <c r="J2374" i="8" s="1"/>
  <c r="D2371" i="8"/>
  <c r="E2371" i="8" s="1"/>
  <c r="F2371" i="8" s="1"/>
  <c r="J2371" i="8" s="1"/>
  <c r="D2327" i="8"/>
  <c r="E2327" i="8" s="1"/>
  <c r="F2327" i="8" s="1"/>
  <c r="J2327" i="8" s="1"/>
  <c r="D2208" i="8"/>
  <c r="E2208" i="8" s="1"/>
  <c r="F2208" i="8" s="1"/>
  <c r="D2152" i="8"/>
  <c r="E2152" i="8" s="1"/>
  <c r="F2152" i="8" s="1"/>
  <c r="J2152" i="8" s="1"/>
  <c r="D2110" i="8"/>
  <c r="E2110" i="8" s="1"/>
  <c r="F2110" i="8" s="1"/>
  <c r="J2110" i="8" s="1"/>
  <c r="D2109" i="8"/>
  <c r="E2109" i="8" s="1"/>
  <c r="F2109" i="8" s="1"/>
  <c r="J2109" i="8" s="1"/>
  <c r="D1987" i="8"/>
  <c r="E1987" i="8" s="1"/>
  <c r="F1987" i="8" s="1"/>
  <c r="D2330" i="8"/>
  <c r="E2330" i="8" s="1"/>
  <c r="F2330" i="8" s="1"/>
  <c r="J2330" i="8" s="1"/>
  <c r="D2250" i="8"/>
  <c r="E2250" i="8" s="1"/>
  <c r="F2250" i="8" s="1"/>
  <c r="J2250" i="8" s="1"/>
  <c r="D2240" i="8"/>
  <c r="E2240" i="8" s="1"/>
  <c r="F2240" i="8" s="1"/>
  <c r="J2240" i="8" s="1"/>
  <c r="D2210" i="8"/>
  <c r="E2210" i="8" s="1"/>
  <c r="F2210" i="8" s="1"/>
  <c r="J2210" i="8" s="1"/>
  <c r="D2165" i="8"/>
  <c r="E2165" i="8" s="1"/>
  <c r="F2165" i="8" s="1"/>
  <c r="D2153" i="8"/>
  <c r="E2153" i="8" s="1"/>
  <c r="F2153" i="8" s="1"/>
  <c r="J2153" i="8" s="1"/>
  <c r="D2689" i="8"/>
  <c r="E2689" i="8" s="1"/>
  <c r="F2689" i="8" s="1"/>
  <c r="D2605" i="8"/>
  <c r="E2605" i="8" s="1"/>
  <c r="F2605" i="8" s="1"/>
  <c r="D2505" i="8"/>
  <c r="E2505" i="8" s="1"/>
  <c r="F2505" i="8" s="1"/>
  <c r="J2505" i="8" s="1"/>
  <c r="D2382" i="8"/>
  <c r="E2382" i="8" s="1"/>
  <c r="F2382" i="8" s="1"/>
  <c r="J2382" i="8" s="1"/>
  <c r="D2297" i="8"/>
  <c r="E2297" i="8" s="1"/>
  <c r="F2297" i="8" s="1"/>
  <c r="T2272" i="8"/>
  <c r="T2273" i="8" s="1"/>
  <c r="T2274" i="8" s="1"/>
  <c r="F2272" i="8" s="1"/>
  <c r="J2272" i="8" s="1"/>
  <c r="D2154" i="8"/>
  <c r="E2154" i="8" s="1"/>
  <c r="F2154" i="8" s="1"/>
  <c r="J2154" i="8" s="1"/>
  <c r="D2147" i="8"/>
  <c r="E2147" i="8" s="1"/>
  <c r="F2147" i="8" s="1"/>
  <c r="J2147" i="8" s="1"/>
  <c r="D2251" i="8"/>
  <c r="E2251" i="8" s="1"/>
  <c r="F2251" i="8" s="1"/>
  <c r="D2033" i="8"/>
  <c r="E2033" i="8" s="1"/>
  <c r="F2033" i="8" s="1"/>
  <c r="D1989" i="8"/>
  <c r="E1989" i="8" s="1"/>
  <c r="F1989" i="8" s="1"/>
  <c r="D1900" i="8"/>
  <c r="E1900" i="8" s="1"/>
  <c r="F1900" i="8" s="1"/>
  <c r="D1839" i="8"/>
  <c r="E1839" i="8" s="1"/>
  <c r="F1839" i="8" s="1"/>
  <c r="J1839" i="8" s="1"/>
  <c r="D1805" i="8"/>
  <c r="E1805" i="8" s="1"/>
  <c r="F1805" i="8" s="1"/>
  <c r="D2372" i="8"/>
  <c r="E2372" i="8" s="1"/>
  <c r="F2372" i="8" s="1"/>
  <c r="J2372" i="8" s="1"/>
  <c r="D1944" i="8"/>
  <c r="E1944" i="8" s="1"/>
  <c r="F1944" i="8" s="1"/>
  <c r="D1849" i="8"/>
  <c r="E1849" i="8" s="1"/>
  <c r="F1849" i="8" s="1"/>
  <c r="D1812" i="8"/>
  <c r="E1812" i="8" s="1"/>
  <c r="F1812" i="8" s="1"/>
  <c r="Z1744" i="8"/>
  <c r="Z1745" i="8" s="1"/>
  <c r="D1668" i="8"/>
  <c r="E1668" i="8" s="1"/>
  <c r="F1668" i="8" s="1"/>
  <c r="J1668" i="8" s="1"/>
  <c r="D2675" i="8"/>
  <c r="E2675" i="8" s="1"/>
  <c r="F2675" i="8" s="1"/>
  <c r="J2675" i="8" s="1"/>
  <c r="Z2360" i="8"/>
  <c r="Z2361" i="8" s="1"/>
  <c r="D2342" i="8"/>
  <c r="E2342" i="8" s="1"/>
  <c r="F2342" i="8" s="1"/>
  <c r="J2342" i="8" s="1"/>
  <c r="Z2140" i="8"/>
  <c r="Z2141" i="8" s="1"/>
  <c r="D2121" i="8"/>
  <c r="E2121" i="8" s="1"/>
  <c r="F2121" i="8" s="1"/>
  <c r="D2119" i="8"/>
  <c r="E2119" i="8" s="1"/>
  <c r="F2119" i="8" s="1"/>
  <c r="D1975" i="8"/>
  <c r="E1975" i="8" s="1"/>
  <c r="F1975" i="8" s="1"/>
  <c r="J1975" i="8" s="1"/>
  <c r="D1941" i="8"/>
  <c r="E1941" i="8" s="1"/>
  <c r="F1941" i="8" s="1"/>
  <c r="D1856" i="8"/>
  <c r="E1856" i="8" s="1"/>
  <c r="F1856" i="8" s="1"/>
  <c r="Z2492" i="8"/>
  <c r="Z2493" i="8" s="1"/>
  <c r="D2298" i="8"/>
  <c r="E2298" i="8" s="1"/>
  <c r="F2298" i="8" s="1"/>
  <c r="J2298" i="8" s="1"/>
  <c r="D2293" i="8"/>
  <c r="E2293" i="8" s="1"/>
  <c r="F2293" i="8" s="1"/>
  <c r="D2253" i="8"/>
  <c r="E2253" i="8" s="1"/>
  <c r="F2253" i="8" s="1"/>
  <c r="D1971" i="8"/>
  <c r="E1971" i="8" s="1"/>
  <c r="F1971" i="8" s="1"/>
  <c r="J1971" i="8" s="1"/>
  <c r="D2329" i="8"/>
  <c r="E2329" i="8" s="1"/>
  <c r="F2329" i="8" s="1"/>
  <c r="J2329" i="8" s="1"/>
  <c r="D2286" i="8"/>
  <c r="E2286" i="8" s="1"/>
  <c r="F2286" i="8" s="1"/>
  <c r="J2286" i="8" s="1"/>
  <c r="D2284" i="8"/>
  <c r="E2284" i="8" s="1"/>
  <c r="F2284" i="8" s="1"/>
  <c r="J2284" i="8" s="1"/>
  <c r="T2140" i="8"/>
  <c r="T2141" i="8" s="1"/>
  <c r="T2142" i="8" s="1"/>
  <c r="F2140" i="8" s="1"/>
  <c r="J2140" i="8" s="1"/>
  <c r="D1931" i="8"/>
  <c r="E1931" i="8" s="1"/>
  <c r="F1931" i="8" s="1"/>
  <c r="J1931" i="8" s="1"/>
  <c r="D2631" i="8"/>
  <c r="E2631" i="8" s="1"/>
  <c r="F2631" i="8" s="1"/>
  <c r="J2631" i="8" s="1"/>
  <c r="T2492" i="8"/>
  <c r="T2493" i="8" s="1"/>
  <c r="T2494" i="8" s="1"/>
  <c r="F2492" i="8" s="1"/>
  <c r="J2492" i="8" s="1"/>
  <c r="D2113" i="8"/>
  <c r="E2113" i="8" s="1"/>
  <c r="F2113" i="8" s="1"/>
  <c r="D2059" i="8"/>
  <c r="E2059" i="8" s="1"/>
  <c r="F2059" i="8" s="1"/>
  <c r="J2059" i="8" s="1"/>
  <c r="D1981" i="8"/>
  <c r="E1981" i="8" s="1"/>
  <c r="F1981" i="8" s="1"/>
  <c r="D1932" i="8"/>
  <c r="E1932" i="8" s="1"/>
  <c r="F1932" i="8" s="1"/>
  <c r="J1932" i="8" s="1"/>
  <c r="D1897" i="8"/>
  <c r="E1897" i="8" s="1"/>
  <c r="F1897" i="8" s="1"/>
  <c r="Z1876" i="8"/>
  <c r="Z1877" i="8" s="1"/>
  <c r="D2235" i="8"/>
  <c r="E2235" i="8" s="1"/>
  <c r="F2235" i="8" s="1"/>
  <c r="J2235" i="8" s="1"/>
  <c r="D2103" i="8"/>
  <c r="E2103" i="8" s="1"/>
  <c r="F2103" i="8" s="1"/>
  <c r="J2103" i="8" s="1"/>
  <c r="D2074" i="8"/>
  <c r="E2074" i="8" s="1"/>
  <c r="F2074" i="8" s="1"/>
  <c r="J2074" i="8" s="1"/>
  <c r="D1758" i="8"/>
  <c r="E1758" i="8" s="1"/>
  <c r="F1758" i="8" s="1"/>
  <c r="J1758" i="8" s="1"/>
  <c r="D1757" i="8"/>
  <c r="E1757" i="8" s="1"/>
  <c r="F1757" i="8" s="1"/>
  <c r="J1757" i="8" s="1"/>
  <c r="D3012" i="8"/>
  <c r="E3012" i="8" s="1"/>
  <c r="F3012" i="8" s="1"/>
  <c r="J3012" i="8" s="1"/>
  <c r="D2191" i="8"/>
  <c r="E2191" i="8" s="1"/>
  <c r="F2191" i="8" s="1"/>
  <c r="J2191" i="8" s="1"/>
  <c r="D2029" i="8"/>
  <c r="E2029" i="8" s="1"/>
  <c r="F2029" i="8" s="1"/>
  <c r="D1942" i="8"/>
  <c r="E1942" i="8" s="1"/>
  <c r="F1942" i="8" s="1"/>
  <c r="J1942" i="8" s="1"/>
  <c r="T1920" i="8"/>
  <c r="T1921" i="8" s="1"/>
  <c r="T1922" i="8" s="1"/>
  <c r="F1920" i="8" s="1"/>
  <c r="J1920" i="8" s="1"/>
  <c r="D1765" i="8"/>
  <c r="E1765" i="8" s="1"/>
  <c r="F1765" i="8" s="1"/>
  <c r="D2118" i="8"/>
  <c r="E2118" i="8" s="1"/>
  <c r="F2118" i="8" s="1"/>
  <c r="J2118" i="8" s="1"/>
  <c r="Z2008" i="8"/>
  <c r="Z2009" i="8" s="1"/>
  <c r="D1901" i="8"/>
  <c r="E1901" i="8" s="1"/>
  <c r="F1901" i="8" s="1"/>
  <c r="D1899" i="8"/>
  <c r="E1899" i="8" s="1"/>
  <c r="F1899" i="8" s="1"/>
  <c r="D1890" i="8"/>
  <c r="E1890" i="8" s="1"/>
  <c r="F1890" i="8" s="1"/>
  <c r="J1890" i="8" s="1"/>
  <c r="D1854" i="8"/>
  <c r="E1854" i="8" s="1"/>
  <c r="F1854" i="8" s="1"/>
  <c r="J1854" i="8" s="1"/>
  <c r="D1845" i="8"/>
  <c r="E1845" i="8" s="1"/>
  <c r="F1845" i="8" s="1"/>
  <c r="J1845" i="8" s="1"/>
  <c r="D2558" i="8"/>
  <c r="E2558" i="8" s="1"/>
  <c r="F2558" i="8" s="1"/>
  <c r="J2558" i="8" s="1"/>
  <c r="D1726" i="8"/>
  <c r="E1726" i="8" s="1"/>
  <c r="F1726" i="8" s="1"/>
  <c r="J1726" i="8" s="1"/>
  <c r="D1723" i="8"/>
  <c r="E1723" i="8" s="1"/>
  <c r="F1723" i="8" s="1"/>
  <c r="D2587" i="8"/>
  <c r="E2587" i="8" s="1"/>
  <c r="F2587" i="8" s="1"/>
  <c r="J2587" i="8" s="1"/>
  <c r="D2417" i="8"/>
  <c r="E2417" i="8" s="1"/>
  <c r="F2417" i="8" s="1"/>
  <c r="J2417" i="8" s="1"/>
  <c r="Z2316" i="8"/>
  <c r="Z2317" i="8" s="1"/>
  <c r="D2076" i="8"/>
  <c r="E2076" i="8" s="1"/>
  <c r="F2076" i="8" s="1"/>
  <c r="T2008" i="8"/>
  <c r="T2009" i="8" s="1"/>
  <c r="T2010" i="8" s="1"/>
  <c r="F2008" i="8" s="1"/>
  <c r="J2008" i="8" s="1"/>
  <c r="D1857" i="8"/>
  <c r="E1857" i="8" s="1"/>
  <c r="F1857" i="8" s="1"/>
  <c r="D1814" i="8"/>
  <c r="E1814" i="8" s="1"/>
  <c r="F1814" i="8" s="1"/>
  <c r="J1814" i="8" s="1"/>
  <c r="D1722" i="8"/>
  <c r="E1722" i="8" s="1"/>
  <c r="F1722" i="8" s="1"/>
  <c r="J1722" i="8" s="1"/>
  <c r="Z1832" i="8"/>
  <c r="Z1833" i="8" s="1"/>
  <c r="D1769" i="8"/>
  <c r="E1769" i="8" s="1"/>
  <c r="F1769" i="8" s="1"/>
  <c r="D2283" i="8"/>
  <c r="E2283" i="8" s="1"/>
  <c r="F2283" i="8" s="1"/>
  <c r="J2283" i="8" s="1"/>
  <c r="D2078" i="8"/>
  <c r="E2078" i="8" s="1"/>
  <c r="F2078" i="8" s="1"/>
  <c r="J2078" i="8" s="1"/>
  <c r="T2858" i="8"/>
  <c r="T2859" i="8" s="1"/>
  <c r="T2860" i="8" s="1"/>
  <c r="F2858" i="8" s="1"/>
  <c r="J2858" i="8" s="1"/>
  <c r="D2249" i="8"/>
  <c r="E2249" i="8" s="1"/>
  <c r="F2249" i="8" s="1"/>
  <c r="Z2184" i="8"/>
  <c r="Z2185" i="8" s="1"/>
  <c r="Z1568" i="8"/>
  <c r="Z1569" i="8" s="1"/>
  <c r="D1492" i="8"/>
  <c r="E1492" i="8" s="1"/>
  <c r="F1492" i="8" s="1"/>
  <c r="J1492" i="8" s="1"/>
  <c r="D1450" i="8"/>
  <c r="E1450" i="8" s="1"/>
  <c r="F1450" i="8" s="1"/>
  <c r="J1450" i="8" s="1"/>
  <c r="D1399" i="8"/>
  <c r="E1399" i="8" s="1"/>
  <c r="F1399" i="8" s="1"/>
  <c r="J1399" i="8" s="1"/>
  <c r="D2245" i="8"/>
  <c r="E2245" i="8" s="1"/>
  <c r="F2245" i="8" s="1"/>
  <c r="D2069" i="8"/>
  <c r="E2069" i="8" s="1"/>
  <c r="F2069" i="8" s="1"/>
  <c r="D1809" i="8"/>
  <c r="E1809" i="8" s="1"/>
  <c r="F1809" i="8" s="1"/>
  <c r="Z1788" i="8"/>
  <c r="Z1789" i="8" s="1"/>
  <c r="D1717" i="8"/>
  <c r="E1717" i="8" s="1"/>
  <c r="F1717" i="8" s="1"/>
  <c r="D1635" i="8"/>
  <c r="E1635" i="8" s="1"/>
  <c r="F1635" i="8" s="1"/>
  <c r="D1458" i="8"/>
  <c r="E1458" i="8" s="1"/>
  <c r="F1458" i="8" s="1"/>
  <c r="J1458" i="8" s="1"/>
  <c r="D1369" i="8"/>
  <c r="E1369" i="8" s="1"/>
  <c r="F1369" i="8" s="1"/>
  <c r="D1194" i="8"/>
  <c r="E1194" i="8" s="1"/>
  <c r="F1194" i="8" s="1"/>
  <c r="J1194" i="8" s="1"/>
  <c r="T2184" i="8"/>
  <c r="T2185" i="8" s="1"/>
  <c r="T2186" i="8" s="1"/>
  <c r="F2184" i="8" s="1"/>
  <c r="J2184" i="8" s="1"/>
  <c r="Z1964" i="8"/>
  <c r="Z1965" i="8" s="1"/>
  <c r="D1725" i="8"/>
  <c r="E1725" i="8" s="1"/>
  <c r="F1725" i="8" s="1"/>
  <c r="D1680" i="8"/>
  <c r="E1680" i="8" s="1"/>
  <c r="F1680" i="8" s="1"/>
  <c r="D1638" i="8"/>
  <c r="E1638" i="8" s="1"/>
  <c r="F1638" i="8" s="1"/>
  <c r="J1638" i="8" s="1"/>
  <c r="D1634" i="8"/>
  <c r="E1634" i="8" s="1"/>
  <c r="F1634" i="8" s="1"/>
  <c r="J1634" i="8" s="1"/>
  <c r="D1593" i="8"/>
  <c r="E1593" i="8" s="1"/>
  <c r="F1593" i="8" s="1"/>
  <c r="T1568" i="8"/>
  <c r="T1569" i="8" s="1"/>
  <c r="T1570" i="8" s="1"/>
  <c r="F1568" i="8" s="1"/>
  <c r="J1568" i="8" s="1"/>
  <c r="D1541" i="8"/>
  <c r="E1541" i="8" s="1"/>
  <c r="F1541" i="8" s="1"/>
  <c r="D1504" i="8"/>
  <c r="E1504" i="8" s="1"/>
  <c r="F1504" i="8" s="1"/>
  <c r="D1491" i="8"/>
  <c r="E1491" i="8" s="1"/>
  <c r="F1491" i="8" s="1"/>
  <c r="J1491" i="8" s="1"/>
  <c r="D1449" i="8"/>
  <c r="E1449" i="8" s="1"/>
  <c r="F1449" i="8" s="1"/>
  <c r="J1449" i="8" s="1"/>
  <c r="D1418" i="8"/>
  <c r="E1418" i="8" s="1"/>
  <c r="F1418" i="8" s="1"/>
  <c r="J1418" i="8" s="1"/>
  <c r="D1415" i="8"/>
  <c r="E1415" i="8" s="1"/>
  <c r="F1415" i="8" s="1"/>
  <c r="D1329" i="8"/>
  <c r="E1329" i="8" s="1"/>
  <c r="F1329" i="8" s="1"/>
  <c r="T1304" i="8"/>
  <c r="T1305" i="8" s="1"/>
  <c r="T1306" i="8" s="1"/>
  <c r="F1304" i="8" s="1"/>
  <c r="J1304" i="8" s="1"/>
  <c r="D1277" i="8"/>
  <c r="E1277" i="8" s="1"/>
  <c r="F1277" i="8" s="1"/>
  <c r="D1240" i="8"/>
  <c r="E1240" i="8" s="1"/>
  <c r="F1240" i="8" s="1"/>
  <c r="D1227" i="8"/>
  <c r="E1227" i="8" s="1"/>
  <c r="F1227" i="8" s="1"/>
  <c r="J1227" i="8" s="1"/>
  <c r="D3001" i="8"/>
  <c r="E3001" i="8" s="1"/>
  <c r="F3001" i="8" s="1"/>
  <c r="J3001" i="8" s="1"/>
  <c r="T1788" i="8"/>
  <c r="T1789" i="8" s="1"/>
  <c r="T1790" i="8" s="1"/>
  <c r="F1788" i="8" s="1"/>
  <c r="J1788" i="8" s="1"/>
  <c r="D1755" i="8"/>
  <c r="E1755" i="8" s="1"/>
  <c r="F1755" i="8" s="1"/>
  <c r="J1755" i="8" s="1"/>
  <c r="Z1524" i="8"/>
  <c r="Z1525" i="8" s="1"/>
  <c r="D1448" i="8"/>
  <c r="E1448" i="8" s="1"/>
  <c r="F1448" i="8" s="1"/>
  <c r="J1448" i="8" s="1"/>
  <c r="D1406" i="8"/>
  <c r="E1406" i="8" s="1"/>
  <c r="F1406" i="8" s="1"/>
  <c r="J1406" i="8" s="1"/>
  <c r="D1355" i="8"/>
  <c r="E1355" i="8" s="1"/>
  <c r="F1355" i="8" s="1"/>
  <c r="J1355" i="8" s="1"/>
  <c r="Z1260" i="8"/>
  <c r="Z1261" i="8" s="1"/>
  <c r="D2373" i="8"/>
  <c r="E2373" i="8" s="1"/>
  <c r="F2373" i="8" s="1"/>
  <c r="J2373" i="8" s="1"/>
  <c r="D2340" i="8"/>
  <c r="E2340" i="8" s="1"/>
  <c r="F2340" i="8" s="1"/>
  <c r="D2207" i="8"/>
  <c r="E2207" i="8" s="1"/>
  <c r="F2207" i="8" s="1"/>
  <c r="D2022" i="8"/>
  <c r="E2022" i="8" s="1"/>
  <c r="F2022" i="8" s="1"/>
  <c r="J2022" i="8" s="1"/>
  <c r="T1964" i="8"/>
  <c r="T1965" i="8" s="1"/>
  <c r="T1966" i="8" s="1"/>
  <c r="F1964" i="8" s="1"/>
  <c r="J1964" i="8" s="1"/>
  <c r="D1888" i="8"/>
  <c r="E1888" i="8" s="1"/>
  <c r="F1888" i="8" s="1"/>
  <c r="J1888" i="8" s="1"/>
  <c r="D1801" i="8"/>
  <c r="E1801" i="8" s="1"/>
  <c r="F1801" i="8" s="1"/>
  <c r="J1801" i="8" s="1"/>
  <c r="D1767" i="8"/>
  <c r="E1767" i="8" s="1"/>
  <c r="F1767" i="8" s="1"/>
  <c r="D1619" i="8"/>
  <c r="E1619" i="8" s="1"/>
  <c r="F1619" i="8" s="1"/>
  <c r="J1619" i="8" s="1"/>
  <c r="D1589" i="8"/>
  <c r="E1589" i="8" s="1"/>
  <c r="F1589" i="8" s="1"/>
  <c r="D1414" i="8"/>
  <c r="E1414" i="8" s="1"/>
  <c r="F1414" i="8" s="1"/>
  <c r="J1414" i="8" s="1"/>
  <c r="D1325" i="8"/>
  <c r="E1325" i="8" s="1"/>
  <c r="F1325" i="8" s="1"/>
  <c r="D2242" i="8"/>
  <c r="E2242" i="8" s="1"/>
  <c r="F2242" i="8" s="1"/>
  <c r="J2242" i="8" s="1"/>
  <c r="D2198" i="8"/>
  <c r="E2198" i="8" s="1"/>
  <c r="F2198" i="8" s="1"/>
  <c r="J2198" i="8" s="1"/>
  <c r="D2032" i="8"/>
  <c r="E2032" i="8" s="1"/>
  <c r="F2032" i="8" s="1"/>
  <c r="D1844" i="8"/>
  <c r="E1844" i="8" s="1"/>
  <c r="F1844" i="8" s="1"/>
  <c r="J1844" i="8" s="1"/>
  <c r="D1811" i="8"/>
  <c r="E1811" i="8" s="1"/>
  <c r="F1811" i="8" s="1"/>
  <c r="D1799" i="8"/>
  <c r="E1799" i="8" s="1"/>
  <c r="F1799" i="8" s="1"/>
  <c r="J1799" i="8" s="1"/>
  <c r="D1756" i="8"/>
  <c r="E1756" i="8" s="1"/>
  <c r="F1756" i="8" s="1"/>
  <c r="J1756" i="8" s="1"/>
  <c r="D1712" i="8"/>
  <c r="E1712" i="8" s="1"/>
  <c r="F1712" i="8" s="1"/>
  <c r="J1712" i="8" s="1"/>
  <c r="D1629" i="8"/>
  <c r="E1629" i="8" s="1"/>
  <c r="F1629" i="8" s="1"/>
  <c r="D1549" i="8"/>
  <c r="E1549" i="8" s="1"/>
  <c r="F1549" i="8" s="1"/>
  <c r="T1524" i="8"/>
  <c r="T1525" i="8" s="1"/>
  <c r="T1526" i="8" s="1"/>
  <c r="F1524" i="8" s="1"/>
  <c r="J1524" i="8" s="1"/>
  <c r="D1497" i="8"/>
  <c r="E1497" i="8" s="1"/>
  <c r="F1497" i="8" s="1"/>
  <c r="D1460" i="8"/>
  <c r="E1460" i="8" s="1"/>
  <c r="F1460" i="8" s="1"/>
  <c r="D1447" i="8"/>
  <c r="E1447" i="8" s="1"/>
  <c r="F1447" i="8" s="1"/>
  <c r="J1447" i="8" s="1"/>
  <c r="D1405" i="8"/>
  <c r="E1405" i="8" s="1"/>
  <c r="F1405" i="8" s="1"/>
  <c r="J1405" i="8" s="1"/>
  <c r="D1374" i="8"/>
  <c r="E1374" i="8" s="1"/>
  <c r="F1374" i="8" s="1"/>
  <c r="J1374" i="8" s="1"/>
  <c r="D1371" i="8"/>
  <c r="E1371" i="8" s="1"/>
  <c r="F1371" i="8" s="1"/>
  <c r="D2914" i="8"/>
  <c r="E2914" i="8" s="1"/>
  <c r="F2914" i="8" s="1"/>
  <c r="J2914" i="8" s="1"/>
  <c r="D2328" i="8"/>
  <c r="E2328" i="8" s="1"/>
  <c r="F2328" i="8" s="1"/>
  <c r="J2328" i="8" s="1"/>
  <c r="D2164" i="8"/>
  <c r="E2164" i="8" s="1"/>
  <c r="F2164" i="8" s="1"/>
  <c r="T2096" i="8"/>
  <c r="T2097" i="8" s="1"/>
  <c r="T2098" i="8" s="1"/>
  <c r="F2096" i="8" s="1"/>
  <c r="J2096" i="8" s="1"/>
  <c r="D1933" i="8"/>
  <c r="E1933" i="8" s="1"/>
  <c r="F1933" i="8" s="1"/>
  <c r="J1933" i="8" s="1"/>
  <c r="D1893" i="8"/>
  <c r="E1893" i="8" s="1"/>
  <c r="F1893" i="8" s="1"/>
  <c r="D1813" i="8"/>
  <c r="E1813" i="8" s="1"/>
  <c r="F1813" i="8" s="1"/>
  <c r="D1673" i="8"/>
  <c r="E1673" i="8" s="1"/>
  <c r="F1673" i="8" s="1"/>
  <c r="D1575" i="8"/>
  <c r="E1575" i="8" s="1"/>
  <c r="F1575" i="8" s="1"/>
  <c r="J1575" i="8" s="1"/>
  <c r="D1537" i="8"/>
  <c r="E1537" i="8" s="1"/>
  <c r="F1537" i="8" s="1"/>
  <c r="J1537" i="8" s="1"/>
  <c r="D1770" i="8"/>
  <c r="E1770" i="8" s="1"/>
  <c r="F1770" i="8" s="1"/>
  <c r="J1770" i="8" s="1"/>
  <c r="D1626" i="8"/>
  <c r="E1626" i="8" s="1"/>
  <c r="F1626" i="8" s="1"/>
  <c r="J1626" i="8" s="1"/>
  <c r="D2648" i="8"/>
  <c r="E2648" i="8" s="1"/>
  <c r="F2648" i="8" s="1"/>
  <c r="D2377" i="8"/>
  <c r="E2377" i="8" s="1"/>
  <c r="F2377" i="8" s="1"/>
  <c r="D1853" i="8"/>
  <c r="E1853" i="8" s="1"/>
  <c r="F1853" i="8" s="1"/>
  <c r="D1810" i="8"/>
  <c r="E1810" i="8" s="1"/>
  <c r="F1810" i="8" s="1"/>
  <c r="J1810" i="8" s="1"/>
  <c r="D1800" i="8"/>
  <c r="E1800" i="8" s="1"/>
  <c r="F1800" i="8" s="1"/>
  <c r="J1800" i="8" s="1"/>
  <c r="D1761" i="8"/>
  <c r="E1761" i="8" s="1"/>
  <c r="F1761" i="8" s="1"/>
  <c r="D1582" i="8"/>
  <c r="E1582" i="8" s="1"/>
  <c r="F1582" i="8" s="1"/>
  <c r="J1582" i="8" s="1"/>
  <c r="D1545" i="8"/>
  <c r="E1545" i="8" s="1"/>
  <c r="F1545" i="8" s="1"/>
  <c r="D1531" i="8"/>
  <c r="E1531" i="8" s="1"/>
  <c r="F1531" i="8" s="1"/>
  <c r="J1531" i="8" s="1"/>
  <c r="D1502" i="8"/>
  <c r="E1502" i="8" s="1"/>
  <c r="F1502" i="8" s="1"/>
  <c r="J1502" i="8" s="1"/>
  <c r="D1461" i="8"/>
  <c r="E1461" i="8" s="1"/>
  <c r="F1461" i="8" s="1"/>
  <c r="D1990" i="8"/>
  <c r="E1990" i="8" s="1"/>
  <c r="F1990" i="8" s="1"/>
  <c r="J1990" i="8" s="1"/>
  <c r="Z1920" i="8"/>
  <c r="Z1921" i="8" s="1"/>
  <c r="D1843" i="8"/>
  <c r="E1843" i="8" s="1"/>
  <c r="F1843" i="8" s="1"/>
  <c r="J1843" i="8" s="1"/>
  <c r="D1795" i="8"/>
  <c r="E1795" i="8" s="1"/>
  <c r="F1795" i="8" s="1"/>
  <c r="J1795" i="8" s="1"/>
  <c r="D1623" i="8"/>
  <c r="E1623" i="8" s="1"/>
  <c r="F1623" i="8" s="1"/>
  <c r="J1623" i="8" s="1"/>
  <c r="D1505" i="8"/>
  <c r="E1505" i="8" s="1"/>
  <c r="F1505" i="8" s="1"/>
  <c r="D1459" i="8"/>
  <c r="E1459" i="8" s="1"/>
  <c r="F1459" i="8" s="1"/>
  <c r="D1359" i="8"/>
  <c r="E1359" i="8" s="1"/>
  <c r="F1359" i="8" s="1"/>
  <c r="J1359" i="8" s="1"/>
  <c r="D1317" i="8"/>
  <c r="E1317" i="8" s="1"/>
  <c r="F1317" i="8" s="1"/>
  <c r="J1317" i="8" s="1"/>
  <c r="D1237" i="8"/>
  <c r="E1237" i="8" s="1"/>
  <c r="F1237" i="8" s="1"/>
  <c r="Z1216" i="8"/>
  <c r="Z1217" i="8" s="1"/>
  <c r="D1185" i="8"/>
  <c r="E1185" i="8" s="1"/>
  <c r="F1185" i="8" s="1"/>
  <c r="J1185" i="8" s="1"/>
  <c r="D1154" i="8"/>
  <c r="E1154" i="8" s="1"/>
  <c r="F1154" i="8" s="1"/>
  <c r="J1154" i="8" s="1"/>
  <c r="D1151" i="8"/>
  <c r="E1151" i="8" s="1"/>
  <c r="F1151" i="8" s="1"/>
  <c r="D1802" i="8"/>
  <c r="E1802" i="8" s="1"/>
  <c r="F1802" i="8" s="1"/>
  <c r="J1802" i="8" s="1"/>
  <c r="D1594" i="8"/>
  <c r="E1594" i="8" s="1"/>
  <c r="F1594" i="8" s="1"/>
  <c r="J1594" i="8" s="1"/>
  <c r="D1538" i="8"/>
  <c r="E1538" i="8" s="1"/>
  <c r="F1538" i="8" s="1"/>
  <c r="J1538" i="8" s="1"/>
  <c r="Z1348" i="8"/>
  <c r="Z1349" i="8" s="1"/>
  <c r="D2729" i="8"/>
  <c r="E2729" i="8" s="1"/>
  <c r="F2729" i="8" s="1"/>
  <c r="D2209" i="8"/>
  <c r="E2209" i="8" s="1"/>
  <c r="F2209" i="8" s="1"/>
  <c r="D1858" i="8"/>
  <c r="E1858" i="8" s="1"/>
  <c r="F1858" i="8" s="1"/>
  <c r="J1858" i="8" s="1"/>
  <c r="D1721" i="8"/>
  <c r="E1721" i="8" s="1"/>
  <c r="F1721" i="8" s="1"/>
  <c r="D1636" i="8"/>
  <c r="E1636" i="8" s="1"/>
  <c r="F1636" i="8" s="1"/>
  <c r="D1633" i="8"/>
  <c r="E1633" i="8" s="1"/>
  <c r="F1633" i="8" s="1"/>
  <c r="D1585" i="8"/>
  <c r="E1585" i="8" s="1"/>
  <c r="F1585" i="8" s="1"/>
  <c r="D2296" i="8"/>
  <c r="E2296" i="8" s="1"/>
  <c r="F2296" i="8" s="1"/>
  <c r="D2075" i="8"/>
  <c r="E2075" i="8" s="1"/>
  <c r="F2075" i="8" s="1"/>
  <c r="D1898" i="8"/>
  <c r="E1898" i="8" s="1"/>
  <c r="F1898" i="8" s="1"/>
  <c r="J1898" i="8" s="1"/>
  <c r="T1876" i="8"/>
  <c r="T1877" i="8" s="1"/>
  <c r="T1878" i="8" s="1"/>
  <c r="F1876" i="8" s="1"/>
  <c r="J1876" i="8" s="1"/>
  <c r="D1855" i="8"/>
  <c r="E1855" i="8" s="1"/>
  <c r="F1855" i="8" s="1"/>
  <c r="D1707" i="8"/>
  <c r="E1707" i="8" s="1"/>
  <c r="F1707" i="8" s="1"/>
  <c r="J1707" i="8" s="1"/>
  <c r="D1682" i="8"/>
  <c r="E1682" i="8" s="1"/>
  <c r="F1682" i="8" s="1"/>
  <c r="J1682" i="8" s="1"/>
  <c r="D1663" i="8"/>
  <c r="E1663" i="8" s="1"/>
  <c r="F1663" i="8" s="1"/>
  <c r="J1663" i="8" s="1"/>
  <c r="D1503" i="8"/>
  <c r="E1503" i="8" s="1"/>
  <c r="F1503" i="8" s="1"/>
  <c r="D1506" i="8"/>
  <c r="E1506" i="8" s="1"/>
  <c r="F1506" i="8" s="1"/>
  <c r="J1506" i="8" s="1"/>
  <c r="D1330" i="8"/>
  <c r="E1330" i="8" s="1"/>
  <c r="F1330" i="8" s="1"/>
  <c r="J1330" i="8" s="1"/>
  <c r="D1195" i="8"/>
  <c r="E1195" i="8" s="1"/>
  <c r="F1195" i="8" s="1"/>
  <c r="D1189" i="8"/>
  <c r="E1189" i="8" s="1"/>
  <c r="F1189" i="8" s="1"/>
  <c r="D1179" i="8"/>
  <c r="E1179" i="8" s="1"/>
  <c r="F1179" i="8" s="1"/>
  <c r="J1179" i="8" s="1"/>
  <c r="D1135" i="8"/>
  <c r="E1135" i="8" s="1"/>
  <c r="F1135" i="8" s="1"/>
  <c r="J1135" i="8" s="1"/>
  <c r="D1105" i="8"/>
  <c r="E1105" i="8" s="1"/>
  <c r="F1105" i="8" s="1"/>
  <c r="D2122" i="8"/>
  <c r="E2122" i="8" s="1"/>
  <c r="F2122" i="8" s="1"/>
  <c r="J2122" i="8" s="1"/>
  <c r="Z2096" i="8"/>
  <c r="Z2097" i="8" s="1"/>
  <c r="D1328" i="8"/>
  <c r="E1328" i="8" s="1"/>
  <c r="F1328" i="8" s="1"/>
  <c r="D1228" i="8"/>
  <c r="E1228" i="8" s="1"/>
  <c r="F1228" i="8" s="1"/>
  <c r="J1228" i="8" s="1"/>
  <c r="D1145" i="8"/>
  <c r="E1145" i="8" s="1"/>
  <c r="F1145" i="8" s="1"/>
  <c r="D1065" i="8"/>
  <c r="E1065" i="8" s="1"/>
  <c r="F1065" i="8" s="1"/>
  <c r="T1040" i="8"/>
  <c r="T1041" i="8" s="1"/>
  <c r="T1042" i="8" s="1"/>
  <c r="F1040" i="8" s="1"/>
  <c r="J1040" i="8" s="1"/>
  <c r="D1013" i="8"/>
  <c r="E1013" i="8" s="1"/>
  <c r="F1013" i="8" s="1"/>
  <c r="D976" i="8"/>
  <c r="E976" i="8" s="1"/>
  <c r="F976" i="8" s="1"/>
  <c r="D963" i="8"/>
  <c r="E963" i="8" s="1"/>
  <c r="F963" i="8" s="1"/>
  <c r="J963" i="8" s="1"/>
  <c r="D1678" i="8"/>
  <c r="E1678" i="8" s="1"/>
  <c r="F1678" i="8" s="1"/>
  <c r="J1678" i="8" s="1"/>
  <c r="D1637" i="8"/>
  <c r="E1637" i="8" s="1"/>
  <c r="F1637" i="8" s="1"/>
  <c r="D1625" i="8"/>
  <c r="E1625" i="8" s="1"/>
  <c r="F1625" i="8" s="1"/>
  <c r="J1625" i="8" s="1"/>
  <c r="Z1612" i="8"/>
  <c r="Z1613" i="8" s="1"/>
  <c r="D1580" i="8"/>
  <c r="E1580" i="8" s="1"/>
  <c r="F1580" i="8" s="1"/>
  <c r="J1580" i="8" s="1"/>
  <c r="D1548" i="8"/>
  <c r="E1548" i="8" s="1"/>
  <c r="F1548" i="8" s="1"/>
  <c r="D1536" i="8"/>
  <c r="E1536" i="8" s="1"/>
  <c r="F1536" i="8" s="1"/>
  <c r="J1536" i="8" s="1"/>
  <c r="Z1304" i="8"/>
  <c r="Z1305" i="8" s="1"/>
  <c r="D1239" i="8"/>
  <c r="E1239" i="8" s="1"/>
  <c r="F1239" i="8" s="1"/>
  <c r="D1091" i="8"/>
  <c r="E1091" i="8" s="1"/>
  <c r="F1091" i="8" s="1"/>
  <c r="J1091" i="8" s="1"/>
  <c r="Z996" i="8"/>
  <c r="Z997" i="8" s="1"/>
  <c r="D920" i="8"/>
  <c r="E920" i="8" s="1"/>
  <c r="F920" i="8" s="1"/>
  <c r="J920" i="8" s="1"/>
  <c r="D878" i="8"/>
  <c r="E878" i="8" s="1"/>
  <c r="F878" i="8" s="1"/>
  <c r="J878" i="8" s="1"/>
  <c r="D827" i="8"/>
  <c r="E827" i="8" s="1"/>
  <c r="F827" i="8" s="1"/>
  <c r="J827" i="8" s="1"/>
  <c r="Z732" i="8"/>
  <c r="Z733" i="8" s="1"/>
  <c r="D656" i="8"/>
  <c r="E656" i="8" s="1"/>
  <c r="F656" i="8" s="1"/>
  <c r="J656" i="8" s="1"/>
  <c r="D2415" i="8"/>
  <c r="E2415" i="8" s="1"/>
  <c r="F2415" i="8" s="1"/>
  <c r="J2415" i="8" s="1"/>
  <c r="D1846" i="8"/>
  <c r="E1846" i="8" s="1"/>
  <c r="F1846" i="8" s="1"/>
  <c r="J1846" i="8" s="1"/>
  <c r="D1546" i="8"/>
  <c r="E1546" i="8" s="1"/>
  <c r="F1546" i="8" s="1"/>
  <c r="J1546" i="8" s="1"/>
  <c r="D1462" i="8"/>
  <c r="E1462" i="8" s="1"/>
  <c r="F1462" i="8" s="1"/>
  <c r="J1462" i="8" s="1"/>
  <c r="D1365" i="8"/>
  <c r="E1365" i="8" s="1"/>
  <c r="F1365" i="8" s="1"/>
  <c r="D1233" i="8"/>
  <c r="E1233" i="8" s="1"/>
  <c r="F1233" i="8" s="1"/>
  <c r="D1229" i="8"/>
  <c r="E1229" i="8" s="1"/>
  <c r="F1229" i="8" s="1"/>
  <c r="J1229" i="8" s="1"/>
  <c r="D1152" i="8"/>
  <c r="E1152" i="8" s="1"/>
  <c r="F1152" i="8" s="1"/>
  <c r="D1061" i="8"/>
  <c r="E1061" i="8" s="1"/>
  <c r="F1061" i="8" s="1"/>
  <c r="D886" i="8"/>
  <c r="E886" i="8" s="1"/>
  <c r="F886" i="8" s="1"/>
  <c r="J886" i="8" s="1"/>
  <c r="D2465" i="8"/>
  <c r="E2465" i="8" s="1"/>
  <c r="F2465" i="8" s="1"/>
  <c r="D2161" i="8"/>
  <c r="E2161" i="8" s="1"/>
  <c r="F2161" i="8" s="1"/>
  <c r="D1937" i="8"/>
  <c r="E1937" i="8" s="1"/>
  <c r="F1937" i="8" s="1"/>
  <c r="T1612" i="8"/>
  <c r="T1613" i="8" s="1"/>
  <c r="T1614" i="8" s="1"/>
  <c r="F1612" i="8" s="1"/>
  <c r="J1612" i="8" s="1"/>
  <c r="D1590" i="8"/>
  <c r="E1590" i="8" s="1"/>
  <c r="F1590" i="8" s="1"/>
  <c r="J1590" i="8" s="1"/>
  <c r="D1360" i="8"/>
  <c r="E1360" i="8" s="1"/>
  <c r="F1360" i="8" s="1"/>
  <c r="J1360" i="8" s="1"/>
  <c r="D1326" i="8"/>
  <c r="E1326" i="8" s="1"/>
  <c r="F1326" i="8" s="1"/>
  <c r="J1326" i="8" s="1"/>
  <c r="D1285" i="8"/>
  <c r="E1285" i="8" s="1"/>
  <c r="F1285" i="8" s="1"/>
  <c r="D1282" i="8"/>
  <c r="E1282" i="8" s="1"/>
  <c r="F1282" i="8" s="1"/>
  <c r="J1282" i="8" s="1"/>
  <c r="D1272" i="8"/>
  <c r="E1272" i="8" s="1"/>
  <c r="F1272" i="8" s="1"/>
  <c r="J1272" i="8" s="1"/>
  <c r="T1216" i="8"/>
  <c r="T1217" i="8" s="1"/>
  <c r="T1218" i="8" s="1"/>
  <c r="F1216" i="8" s="1"/>
  <c r="J1216" i="8" s="1"/>
  <c r="D1198" i="8"/>
  <c r="E1198" i="8" s="1"/>
  <c r="F1198" i="8" s="1"/>
  <c r="J1198" i="8" s="1"/>
  <c r="D1110" i="8"/>
  <c r="E1110" i="8" s="1"/>
  <c r="F1110" i="8" s="1"/>
  <c r="J1110" i="8" s="1"/>
  <c r="D1107" i="8"/>
  <c r="E1107" i="8" s="1"/>
  <c r="F1107" i="8" s="1"/>
  <c r="D1021" i="8"/>
  <c r="E1021" i="8" s="1"/>
  <c r="F1021" i="8" s="1"/>
  <c r="T996" i="8"/>
  <c r="T997" i="8" s="1"/>
  <c r="T998" i="8" s="1"/>
  <c r="F996" i="8" s="1"/>
  <c r="J996" i="8" s="1"/>
  <c r="D969" i="8"/>
  <c r="E969" i="8" s="1"/>
  <c r="F969" i="8" s="1"/>
  <c r="D932" i="8"/>
  <c r="E932" i="8" s="1"/>
  <c r="F932" i="8" s="1"/>
  <c r="D919" i="8"/>
  <c r="E919" i="8" s="1"/>
  <c r="F919" i="8" s="1"/>
  <c r="J919" i="8" s="1"/>
  <c r="D877" i="8"/>
  <c r="E877" i="8" s="1"/>
  <c r="F877" i="8" s="1"/>
  <c r="J877" i="8" s="1"/>
  <c r="D846" i="8"/>
  <c r="E846" i="8" s="1"/>
  <c r="F846" i="8" s="1"/>
  <c r="J846" i="8" s="1"/>
  <c r="D843" i="8"/>
  <c r="E843" i="8" s="1"/>
  <c r="F843" i="8" s="1"/>
  <c r="D1887" i="8"/>
  <c r="E1887" i="8" s="1"/>
  <c r="F1887" i="8" s="1"/>
  <c r="J1887" i="8" s="1"/>
  <c r="D1592" i="8"/>
  <c r="E1592" i="8" s="1"/>
  <c r="F1592" i="8" s="1"/>
  <c r="D1404" i="8"/>
  <c r="E1404" i="8" s="1"/>
  <c r="F1404" i="8" s="1"/>
  <c r="J1404" i="8" s="1"/>
  <c r="D1372" i="8"/>
  <c r="E1372" i="8" s="1"/>
  <c r="F1372" i="8" s="1"/>
  <c r="D1098" i="8"/>
  <c r="E1098" i="8" s="1"/>
  <c r="F1098" i="8" s="1"/>
  <c r="J1098" i="8" s="1"/>
  <c r="D1047" i="8"/>
  <c r="E1047" i="8" s="1"/>
  <c r="F1047" i="8" s="1"/>
  <c r="J1047" i="8" s="1"/>
  <c r="Z952" i="8"/>
  <c r="Z953" i="8" s="1"/>
  <c r="D876" i="8"/>
  <c r="E876" i="8" s="1"/>
  <c r="F876" i="8" s="1"/>
  <c r="J876" i="8" s="1"/>
  <c r="D834" i="8"/>
  <c r="E834" i="8" s="1"/>
  <c r="F834" i="8" s="1"/>
  <c r="J834" i="8" s="1"/>
  <c r="D1714" i="8"/>
  <c r="E1714" i="8" s="1"/>
  <c r="F1714" i="8" s="1"/>
  <c r="J1714" i="8" s="1"/>
  <c r="Z1700" i="8"/>
  <c r="Z1701" i="8" s="1"/>
  <c r="D1670" i="8"/>
  <c r="E1670" i="8" s="1"/>
  <c r="F1670" i="8" s="1"/>
  <c r="J1670" i="8" s="1"/>
  <c r="Z1656" i="8"/>
  <c r="Z1657" i="8" s="1"/>
  <c r="D1550" i="8"/>
  <c r="E1550" i="8" s="1"/>
  <c r="F1550" i="8" s="1"/>
  <c r="J1550" i="8" s="1"/>
  <c r="D1501" i="8"/>
  <c r="E1501" i="8" s="1"/>
  <c r="F1501" i="8" s="1"/>
  <c r="D1493" i="8"/>
  <c r="E1493" i="8" s="1"/>
  <c r="F1493" i="8" s="1"/>
  <c r="J1493" i="8" s="1"/>
  <c r="D1409" i="8"/>
  <c r="E1409" i="8" s="1"/>
  <c r="F1409" i="8" s="1"/>
  <c r="D1283" i="8"/>
  <c r="E1283" i="8" s="1"/>
  <c r="F1283" i="8" s="1"/>
  <c r="D1230" i="8"/>
  <c r="E1230" i="8" s="1"/>
  <c r="F1230" i="8" s="1"/>
  <c r="J1230" i="8" s="1"/>
  <c r="D1106" i="8"/>
  <c r="E1106" i="8" s="1"/>
  <c r="F1106" i="8" s="1"/>
  <c r="J1106" i="8" s="1"/>
  <c r="D1017" i="8"/>
  <c r="E1017" i="8" s="1"/>
  <c r="F1017" i="8" s="1"/>
  <c r="D842" i="8"/>
  <c r="E842" i="8" s="1"/>
  <c r="F842" i="8" s="1"/>
  <c r="J842" i="8" s="1"/>
  <c r="D1681" i="8"/>
  <c r="E1681" i="8" s="1"/>
  <c r="F1681" i="8" s="1"/>
  <c r="D1547" i="8"/>
  <c r="E1547" i="8" s="1"/>
  <c r="F1547" i="8" s="1"/>
  <c r="D1457" i="8"/>
  <c r="E1457" i="8" s="1"/>
  <c r="F1457" i="8" s="1"/>
  <c r="D1361" i="8"/>
  <c r="E1361" i="8" s="1"/>
  <c r="F1361" i="8" s="1"/>
  <c r="J1361" i="8" s="1"/>
  <c r="D1267" i="8"/>
  <c r="E1267" i="8" s="1"/>
  <c r="F1267" i="8" s="1"/>
  <c r="J1267" i="8" s="1"/>
  <c r="D875" i="8"/>
  <c r="E875" i="8" s="1"/>
  <c r="F875" i="8" s="1"/>
  <c r="J875" i="8" s="1"/>
  <c r="Z820" i="8"/>
  <c r="Z821" i="8" s="1"/>
  <c r="D793" i="8"/>
  <c r="E793" i="8" s="1"/>
  <c r="F793" i="8" s="1"/>
  <c r="T776" i="8"/>
  <c r="T777" i="8" s="1"/>
  <c r="T778" i="8" s="1"/>
  <c r="F776" i="8" s="1"/>
  <c r="J776" i="8" s="1"/>
  <c r="D746" i="8"/>
  <c r="E746" i="8" s="1"/>
  <c r="F746" i="8" s="1"/>
  <c r="J746" i="8" s="1"/>
  <c r="D613" i="8"/>
  <c r="E613" i="8" s="1"/>
  <c r="F613" i="8" s="1"/>
  <c r="J613" i="8" s="1"/>
  <c r="D582" i="8"/>
  <c r="E582" i="8" s="1"/>
  <c r="F582" i="8" s="1"/>
  <c r="J582" i="8" s="1"/>
  <c r="D579" i="8"/>
  <c r="E579" i="8" s="1"/>
  <c r="F579" i="8" s="1"/>
  <c r="D1581" i="8"/>
  <c r="E1581" i="8" s="1"/>
  <c r="F1581" i="8" s="1"/>
  <c r="J1581" i="8" s="1"/>
  <c r="D1373" i="8"/>
  <c r="E1373" i="8" s="1"/>
  <c r="F1373" i="8" s="1"/>
  <c r="D1370" i="8"/>
  <c r="E1370" i="8" s="1"/>
  <c r="F1370" i="8" s="1"/>
  <c r="J1370" i="8" s="1"/>
  <c r="D1271" i="8"/>
  <c r="E1271" i="8" s="1"/>
  <c r="F1271" i="8" s="1"/>
  <c r="J1271" i="8" s="1"/>
  <c r="D1184" i="8"/>
  <c r="E1184" i="8" s="1"/>
  <c r="F1184" i="8" s="1"/>
  <c r="J1184" i="8" s="1"/>
  <c r="D1109" i="8"/>
  <c r="E1109" i="8" s="1"/>
  <c r="F1109" i="8" s="1"/>
  <c r="D1057" i="8"/>
  <c r="E1057" i="8" s="1"/>
  <c r="F1057" i="8" s="1"/>
  <c r="D922" i="8"/>
  <c r="E922" i="8" s="1"/>
  <c r="F922" i="8" s="1"/>
  <c r="J922" i="8" s="1"/>
  <c r="D885" i="8"/>
  <c r="E885" i="8" s="1"/>
  <c r="F885" i="8" s="1"/>
  <c r="D745" i="8"/>
  <c r="E745" i="8" s="1"/>
  <c r="F745" i="8" s="1"/>
  <c r="J745" i="8" s="1"/>
  <c r="D744" i="8"/>
  <c r="E744" i="8" s="1"/>
  <c r="F744" i="8" s="1"/>
  <c r="J744" i="8" s="1"/>
  <c r="D713" i="8"/>
  <c r="E713" i="8" s="1"/>
  <c r="F713" i="8" s="1"/>
  <c r="D709" i="8"/>
  <c r="E709" i="8" s="1"/>
  <c r="F709" i="8" s="1"/>
  <c r="Z688" i="8"/>
  <c r="Z689" i="8" s="1"/>
  <c r="D612" i="8"/>
  <c r="E612" i="8" s="1"/>
  <c r="F612" i="8" s="1"/>
  <c r="J612" i="8" s="1"/>
  <c r="D1985" i="8"/>
  <c r="E1985" i="8" s="1"/>
  <c r="F1985" i="8" s="1"/>
  <c r="T1832" i="8"/>
  <c r="T1833" i="8" s="1"/>
  <c r="T1834" i="8" s="1"/>
  <c r="F1832" i="8" s="1"/>
  <c r="J1832" i="8" s="1"/>
  <c r="D1724" i="8"/>
  <c r="E1724" i="8" s="1"/>
  <c r="F1724" i="8" s="1"/>
  <c r="D1591" i="8"/>
  <c r="E1591" i="8" s="1"/>
  <c r="F1591" i="8" s="1"/>
  <c r="D1413" i="8"/>
  <c r="E1413" i="8" s="1"/>
  <c r="F1413" i="8" s="1"/>
  <c r="D1311" i="8"/>
  <c r="E1311" i="8" s="1"/>
  <c r="F1311" i="8" s="1"/>
  <c r="J1311" i="8" s="1"/>
  <c r="D1241" i="8"/>
  <c r="E1241" i="8" s="1"/>
  <c r="F1241" i="8" s="1"/>
  <c r="D1142" i="8"/>
  <c r="E1142" i="8" s="1"/>
  <c r="F1142" i="8" s="1"/>
  <c r="J1142" i="8" s="1"/>
  <c r="T820" i="8"/>
  <c r="T821" i="8" s="1"/>
  <c r="T822" i="8" s="1"/>
  <c r="F820" i="8" s="1"/>
  <c r="J820" i="8" s="1"/>
  <c r="D743" i="8"/>
  <c r="E743" i="8" s="1"/>
  <c r="F743" i="8" s="1"/>
  <c r="J743" i="8" s="1"/>
  <c r="D702" i="8"/>
  <c r="E702" i="8" s="1"/>
  <c r="F702" i="8" s="1"/>
  <c r="J702" i="8" s="1"/>
  <c r="D578" i="8"/>
  <c r="E578" i="8" s="1"/>
  <c r="F578" i="8" s="1"/>
  <c r="J578" i="8" s="1"/>
  <c r="D489" i="8"/>
  <c r="E489" i="8" s="1"/>
  <c r="F489" i="8" s="1"/>
  <c r="D1286" i="8"/>
  <c r="E1286" i="8" s="1"/>
  <c r="F1286" i="8" s="1"/>
  <c r="J1286" i="8" s="1"/>
  <c r="D1281" i="8"/>
  <c r="E1281" i="8" s="1"/>
  <c r="F1281" i="8" s="1"/>
  <c r="T1260" i="8"/>
  <c r="T1261" i="8" s="1"/>
  <c r="T1262" i="8" s="1"/>
  <c r="F1260" i="8" s="1"/>
  <c r="J1260" i="8" s="1"/>
  <c r="D1197" i="8"/>
  <c r="E1197" i="8" s="1"/>
  <c r="F1197" i="8" s="1"/>
  <c r="D1150" i="8"/>
  <c r="E1150" i="8" s="1"/>
  <c r="F1150" i="8" s="1"/>
  <c r="J1150" i="8" s="1"/>
  <c r="D1066" i="8"/>
  <c r="E1066" i="8" s="1"/>
  <c r="F1066" i="8" s="1"/>
  <c r="J1066" i="8" s="1"/>
  <c r="D1008" i="8"/>
  <c r="E1008" i="8" s="1"/>
  <c r="F1008" i="8" s="1"/>
  <c r="J1008" i="8" s="1"/>
  <c r="D974" i="8"/>
  <c r="E974" i="8" s="1"/>
  <c r="F974" i="8" s="1"/>
  <c r="J974" i="8" s="1"/>
  <c r="D964" i="8"/>
  <c r="E964" i="8" s="1"/>
  <c r="F964" i="8" s="1"/>
  <c r="J964" i="8" s="1"/>
  <c r="D802" i="8"/>
  <c r="E802" i="8" s="1"/>
  <c r="F802" i="8" s="1"/>
  <c r="J802" i="8" s="1"/>
  <c r="D701" i="8"/>
  <c r="E701" i="8" s="1"/>
  <c r="F701" i="8" s="1"/>
  <c r="J701" i="8" s="1"/>
  <c r="D700" i="8"/>
  <c r="E700" i="8" s="1"/>
  <c r="F700" i="8" s="1"/>
  <c r="J700" i="8" s="1"/>
  <c r="T688" i="8"/>
  <c r="T689" i="8" s="1"/>
  <c r="T690" i="8" s="1"/>
  <c r="F688" i="8" s="1"/>
  <c r="J688" i="8" s="1"/>
  <c r="D669" i="8"/>
  <c r="E669" i="8" s="1"/>
  <c r="F669" i="8" s="1"/>
  <c r="D665" i="8"/>
  <c r="E665" i="8" s="1"/>
  <c r="F665" i="8" s="1"/>
  <c r="D624" i="8"/>
  <c r="E624" i="8" s="1"/>
  <c r="F624" i="8" s="1"/>
  <c r="D611" i="8"/>
  <c r="E611" i="8" s="1"/>
  <c r="F611" i="8" s="1"/>
  <c r="J611" i="8" s="1"/>
  <c r="D569" i="8"/>
  <c r="E569" i="8" s="1"/>
  <c r="F569" i="8" s="1"/>
  <c r="J569" i="8" s="1"/>
  <c r="D538" i="8"/>
  <c r="E538" i="8" s="1"/>
  <c r="F538" i="8" s="1"/>
  <c r="J538" i="8" s="1"/>
  <c r="D535" i="8"/>
  <c r="E535" i="8" s="1"/>
  <c r="F535" i="8" s="1"/>
  <c r="D449" i="8"/>
  <c r="E449" i="8" s="1"/>
  <c r="F449" i="8" s="1"/>
  <c r="T424" i="8"/>
  <c r="T425" i="8" s="1"/>
  <c r="T426" i="8" s="1"/>
  <c r="F424" i="8" s="1"/>
  <c r="J424" i="8" s="1"/>
  <c r="D397" i="8"/>
  <c r="E397" i="8" s="1"/>
  <c r="F397" i="8" s="1"/>
  <c r="D360" i="8"/>
  <c r="E360" i="8" s="1"/>
  <c r="F360" i="8" s="1"/>
  <c r="D1889" i="8"/>
  <c r="E1889" i="8" s="1"/>
  <c r="F1889" i="8" s="1"/>
  <c r="J1889" i="8" s="1"/>
  <c r="Z1392" i="8"/>
  <c r="Z1393" i="8" s="1"/>
  <c r="Z1172" i="8"/>
  <c r="Z1173" i="8" s="1"/>
  <c r="D1139" i="8"/>
  <c r="E1139" i="8" s="1"/>
  <c r="F1139" i="8" s="1"/>
  <c r="J1139" i="8" s="1"/>
  <c r="D1052" i="8"/>
  <c r="E1052" i="8" s="1"/>
  <c r="F1052" i="8" s="1"/>
  <c r="J1052" i="8" s="1"/>
  <c r="D977" i="8"/>
  <c r="E977" i="8" s="1"/>
  <c r="F977" i="8" s="1"/>
  <c r="D881" i="8"/>
  <c r="E881" i="8" s="1"/>
  <c r="F881" i="8" s="1"/>
  <c r="D790" i="8"/>
  <c r="E790" i="8" s="1"/>
  <c r="F790" i="8" s="1"/>
  <c r="J790" i="8" s="1"/>
  <c r="D788" i="8"/>
  <c r="E788" i="8" s="1"/>
  <c r="F788" i="8" s="1"/>
  <c r="J788" i="8" s="1"/>
  <c r="D787" i="8"/>
  <c r="E787" i="8" s="1"/>
  <c r="F787" i="8" s="1"/>
  <c r="J787" i="8" s="1"/>
  <c r="D755" i="8"/>
  <c r="E755" i="8" s="1"/>
  <c r="F755" i="8" s="1"/>
  <c r="Z644" i="8"/>
  <c r="Z645" i="8" s="1"/>
  <c r="D568" i="8"/>
  <c r="E568" i="8" s="1"/>
  <c r="F568" i="8" s="1"/>
  <c r="J568" i="8" s="1"/>
  <c r="D526" i="8"/>
  <c r="E526" i="8" s="1"/>
  <c r="F526" i="8" s="1"/>
  <c r="J526" i="8" s="1"/>
  <c r="T1656" i="8"/>
  <c r="T1657" i="8" s="1"/>
  <c r="T1658" i="8" s="1"/>
  <c r="F1656" i="8" s="1"/>
  <c r="J1656" i="8" s="1"/>
  <c r="D1321" i="8"/>
  <c r="E1321" i="8" s="1"/>
  <c r="F1321" i="8" s="1"/>
  <c r="D1315" i="8"/>
  <c r="E1315" i="8" s="1"/>
  <c r="F1315" i="8" s="1"/>
  <c r="J1315" i="8" s="1"/>
  <c r="D1193" i="8"/>
  <c r="E1193" i="8" s="1"/>
  <c r="F1193" i="8" s="1"/>
  <c r="D1101" i="8"/>
  <c r="E1101" i="8" s="1"/>
  <c r="F1101" i="8" s="1"/>
  <c r="D1064" i="8"/>
  <c r="E1064" i="8" s="1"/>
  <c r="F1064" i="8" s="1"/>
  <c r="Z864" i="8"/>
  <c r="Z865" i="8" s="1"/>
  <c r="D789" i="8"/>
  <c r="E789" i="8" s="1"/>
  <c r="F789" i="8" s="1"/>
  <c r="J789" i="8" s="1"/>
  <c r="D754" i="8"/>
  <c r="E754" i="8" s="1"/>
  <c r="F754" i="8" s="1"/>
  <c r="J754" i="8" s="1"/>
  <c r="D699" i="8"/>
  <c r="E699" i="8" s="1"/>
  <c r="F699" i="8" s="1"/>
  <c r="J699" i="8" s="1"/>
  <c r="D658" i="8"/>
  <c r="E658" i="8" s="1"/>
  <c r="F658" i="8" s="1"/>
  <c r="J658" i="8" s="1"/>
  <c r="D534" i="8"/>
  <c r="E534" i="8" s="1"/>
  <c r="F534" i="8" s="1"/>
  <c r="J534" i="8" s="1"/>
  <c r="D1679" i="8"/>
  <c r="E1679" i="8" s="1"/>
  <c r="F1679" i="8" s="1"/>
  <c r="Z1436" i="8"/>
  <c r="Z1437" i="8" s="1"/>
  <c r="Z908" i="8"/>
  <c r="Z909" i="8" s="1"/>
  <c r="D2459" i="8"/>
  <c r="E2459" i="8" s="1"/>
  <c r="F2459" i="8" s="1"/>
  <c r="J2459" i="8" s="1"/>
  <c r="T1436" i="8"/>
  <c r="T1437" i="8" s="1"/>
  <c r="T1438" i="8" s="1"/>
  <c r="F1436" i="8" s="1"/>
  <c r="J1436" i="8" s="1"/>
  <c r="T1348" i="8"/>
  <c r="T1349" i="8" s="1"/>
  <c r="T1350" i="8" s="1"/>
  <c r="F1348" i="8" s="1"/>
  <c r="J1348" i="8" s="1"/>
  <c r="D1318" i="8"/>
  <c r="E1318" i="8" s="1"/>
  <c r="F1318" i="8" s="1"/>
  <c r="J1318" i="8" s="1"/>
  <c r="D931" i="8"/>
  <c r="E931" i="8" s="1"/>
  <c r="F931" i="8" s="1"/>
  <c r="D887" i="8"/>
  <c r="E887" i="8" s="1"/>
  <c r="F887" i="8" s="1"/>
  <c r="D841" i="8"/>
  <c r="E841" i="8" s="1"/>
  <c r="F841" i="8" s="1"/>
  <c r="D833" i="8"/>
  <c r="E833" i="8" s="1"/>
  <c r="F833" i="8" s="1"/>
  <c r="J833" i="8" s="1"/>
  <c r="D758" i="8"/>
  <c r="E758" i="8" s="1"/>
  <c r="F758" i="8" s="1"/>
  <c r="J758" i="8" s="1"/>
  <c r="Z2052" i="8"/>
  <c r="Z2053" i="8" s="1"/>
  <c r="D1494" i="8"/>
  <c r="E1494" i="8" s="1"/>
  <c r="F1494" i="8" s="1"/>
  <c r="J1494" i="8" s="1"/>
  <c r="D1403" i="8"/>
  <c r="E1403" i="8" s="1"/>
  <c r="F1403" i="8" s="1"/>
  <c r="J1403" i="8" s="1"/>
  <c r="T1392" i="8"/>
  <c r="T1393" i="8" s="1"/>
  <c r="T1394" i="8" s="1"/>
  <c r="F1392" i="8" s="1"/>
  <c r="J1392" i="8" s="1"/>
  <c r="D1327" i="8"/>
  <c r="E1327" i="8" s="1"/>
  <c r="F1327" i="8" s="1"/>
  <c r="D1196" i="8"/>
  <c r="E1196" i="8" s="1"/>
  <c r="F1196" i="8" s="1"/>
  <c r="D1149" i="8"/>
  <c r="E1149" i="8" s="1"/>
  <c r="F1149" i="8" s="1"/>
  <c r="D1096" i="8"/>
  <c r="E1096" i="8" s="1"/>
  <c r="F1096" i="8" s="1"/>
  <c r="J1096" i="8" s="1"/>
  <c r="D889" i="8"/>
  <c r="E889" i="8" s="1"/>
  <c r="F889" i="8" s="1"/>
  <c r="T864" i="8"/>
  <c r="T865" i="8" s="1"/>
  <c r="T866" i="8" s="1"/>
  <c r="F864" i="8" s="1"/>
  <c r="J864" i="8" s="1"/>
  <c r="D800" i="8"/>
  <c r="E800" i="8" s="1"/>
  <c r="F800" i="8" s="1"/>
  <c r="D783" i="8"/>
  <c r="E783" i="8" s="1"/>
  <c r="F783" i="8" s="1"/>
  <c r="J783" i="8" s="1"/>
  <c r="D756" i="8"/>
  <c r="E756" i="8" s="1"/>
  <c r="F756" i="8" s="1"/>
  <c r="D607" i="8"/>
  <c r="E607" i="8" s="1"/>
  <c r="F607" i="8" s="1"/>
  <c r="J607" i="8" s="1"/>
  <c r="D570" i="8"/>
  <c r="E570" i="8" s="1"/>
  <c r="F570" i="8" s="1"/>
  <c r="J570" i="8" s="1"/>
  <c r="D525" i="8"/>
  <c r="E525" i="8" s="1"/>
  <c r="F525" i="8" s="1"/>
  <c r="J525" i="8" s="1"/>
  <c r="D490" i="8"/>
  <c r="E490" i="8" s="1"/>
  <c r="F490" i="8" s="1"/>
  <c r="J490" i="8" s="1"/>
  <c r="D447" i="8"/>
  <c r="E447" i="8" s="1"/>
  <c r="F447" i="8" s="1"/>
  <c r="D406" i="8"/>
  <c r="E406" i="8" s="1"/>
  <c r="F406" i="8" s="1"/>
  <c r="J406" i="8" s="1"/>
  <c r="D402" i="8"/>
  <c r="E402" i="8" s="1"/>
  <c r="F402" i="8" s="1"/>
  <c r="J402" i="8" s="1"/>
  <c r="D313" i="8"/>
  <c r="E313" i="8" s="1"/>
  <c r="F313" i="8" s="1"/>
  <c r="D1766" i="8"/>
  <c r="E1766" i="8" s="1"/>
  <c r="F1766" i="8" s="1"/>
  <c r="J1766" i="8" s="1"/>
  <c r="D1003" i="8"/>
  <c r="E1003" i="8" s="1"/>
  <c r="F1003" i="8" s="1"/>
  <c r="J1003" i="8" s="1"/>
  <c r="D921" i="8"/>
  <c r="E921" i="8" s="1"/>
  <c r="F921" i="8" s="1"/>
  <c r="J921" i="8" s="1"/>
  <c r="D845" i="8"/>
  <c r="E845" i="8" s="1"/>
  <c r="F845" i="8" s="1"/>
  <c r="D537" i="8"/>
  <c r="E537" i="8" s="1"/>
  <c r="F537" i="8" s="1"/>
  <c r="D519" i="8"/>
  <c r="E519" i="8" s="1"/>
  <c r="F519" i="8" s="1"/>
  <c r="J519" i="8" s="1"/>
  <c r="T512" i="8"/>
  <c r="T513" i="8" s="1"/>
  <c r="T514" i="8" s="1"/>
  <c r="F512" i="8" s="1"/>
  <c r="J512" i="8" s="1"/>
  <c r="D494" i="8"/>
  <c r="E494" i="8" s="1"/>
  <c r="F494" i="8" s="1"/>
  <c r="J494" i="8" s="1"/>
  <c r="D446" i="8"/>
  <c r="E446" i="8" s="1"/>
  <c r="F446" i="8" s="1"/>
  <c r="J446" i="8" s="1"/>
  <c r="T1700" i="8"/>
  <c r="T1701" i="8" s="1"/>
  <c r="T1702" i="8" s="1"/>
  <c r="F1700" i="8" s="1"/>
  <c r="J1700" i="8" s="1"/>
  <c r="D1579" i="8"/>
  <c r="E1579" i="8" s="1"/>
  <c r="F1579" i="8" s="1"/>
  <c r="J1579" i="8" s="1"/>
  <c r="D1417" i="8"/>
  <c r="E1417" i="8" s="1"/>
  <c r="F1417" i="8" s="1"/>
  <c r="D1316" i="8"/>
  <c r="E1316" i="8" s="1"/>
  <c r="F1316" i="8" s="1"/>
  <c r="J1316" i="8" s="1"/>
  <c r="D1140" i="8"/>
  <c r="E1140" i="8" s="1"/>
  <c r="F1140" i="8" s="1"/>
  <c r="J1140" i="8" s="1"/>
  <c r="Z1084" i="8"/>
  <c r="Z1085" i="8" s="1"/>
  <c r="D1053" i="8"/>
  <c r="E1053" i="8" s="1"/>
  <c r="F1053" i="8" s="1"/>
  <c r="J1053" i="8" s="1"/>
  <c r="D710" i="8"/>
  <c r="E710" i="8" s="1"/>
  <c r="F710" i="8" s="1"/>
  <c r="J710" i="8" s="1"/>
  <c r="D657" i="8"/>
  <c r="E657" i="8" s="1"/>
  <c r="F657" i="8" s="1"/>
  <c r="J657" i="8" s="1"/>
  <c r="D450" i="8"/>
  <c r="E450" i="8" s="1"/>
  <c r="F450" i="8" s="1"/>
  <c r="J450" i="8" s="1"/>
  <c r="D1711" i="8"/>
  <c r="E1711" i="8" s="1"/>
  <c r="F1711" i="8" s="1"/>
  <c r="J1711" i="8" s="1"/>
  <c r="D965" i="8"/>
  <c r="E965" i="8" s="1"/>
  <c r="F965" i="8" s="1"/>
  <c r="J965" i="8" s="1"/>
  <c r="D831" i="8"/>
  <c r="E831" i="8" s="1"/>
  <c r="F831" i="8" s="1"/>
  <c r="J831" i="8" s="1"/>
  <c r="D667" i="8"/>
  <c r="E667" i="8" s="1"/>
  <c r="F667" i="8" s="1"/>
  <c r="D651" i="8"/>
  <c r="E651" i="8" s="1"/>
  <c r="F651" i="8" s="1"/>
  <c r="J651" i="8" s="1"/>
  <c r="T1744" i="8"/>
  <c r="T1745" i="8" s="1"/>
  <c r="T1746" i="8" s="1"/>
  <c r="F1744" i="8" s="1"/>
  <c r="J1744" i="8" s="1"/>
  <c r="D1273" i="8"/>
  <c r="E1273" i="8" s="1"/>
  <c r="F1273" i="8" s="1"/>
  <c r="J1273" i="8" s="1"/>
  <c r="D1238" i="8"/>
  <c r="E1238" i="8" s="1"/>
  <c r="F1238" i="8" s="1"/>
  <c r="J1238" i="8" s="1"/>
  <c r="T1084" i="8"/>
  <c r="T1085" i="8" s="1"/>
  <c r="T1086" i="8" s="1"/>
  <c r="F1084" i="8" s="1"/>
  <c r="J1084" i="8" s="1"/>
  <c r="D1009" i="8"/>
  <c r="E1009" i="8" s="1"/>
  <c r="F1009" i="8" s="1"/>
  <c r="J1009" i="8" s="1"/>
  <c r="T952" i="8"/>
  <c r="T953" i="8" s="1"/>
  <c r="T954" i="8" s="1"/>
  <c r="F952" i="8" s="1"/>
  <c r="J952" i="8" s="1"/>
  <c r="D1945" i="8"/>
  <c r="E1945" i="8" s="1"/>
  <c r="F1945" i="8" s="1"/>
  <c r="D1768" i="8"/>
  <c r="E1768" i="8" s="1"/>
  <c r="F1768" i="8" s="1"/>
  <c r="T1480" i="8"/>
  <c r="T1481" i="8" s="1"/>
  <c r="T1482" i="8" s="1"/>
  <c r="F1480" i="8" s="1"/>
  <c r="J1480" i="8" s="1"/>
  <c r="Z1040" i="8"/>
  <c r="Z1041" i="8" s="1"/>
  <c r="D714" i="8"/>
  <c r="E714" i="8" s="1"/>
  <c r="F714" i="8" s="1"/>
  <c r="J714" i="8" s="1"/>
  <c r="D705" i="8"/>
  <c r="E705" i="8" s="1"/>
  <c r="F705" i="8" s="1"/>
  <c r="D661" i="8"/>
  <c r="E661" i="8" s="1"/>
  <c r="F661" i="8" s="1"/>
  <c r="D493" i="8"/>
  <c r="E493" i="8" s="1"/>
  <c r="F493" i="8" s="1"/>
  <c r="D485" i="8"/>
  <c r="E485" i="8" s="1"/>
  <c r="F485" i="8" s="1"/>
  <c r="D482" i="8"/>
  <c r="E482" i="8" s="1"/>
  <c r="F482" i="8" s="1"/>
  <c r="J482" i="8" s="1"/>
  <c r="D405" i="8"/>
  <c r="E405" i="8" s="1"/>
  <c r="F405" i="8" s="1"/>
  <c r="Z248" i="8"/>
  <c r="Z249" i="8" s="1"/>
  <c r="D172" i="8"/>
  <c r="E172" i="8" s="1"/>
  <c r="F172" i="8" s="1"/>
  <c r="J172" i="8" s="1"/>
  <c r="D130" i="8"/>
  <c r="E130" i="8" s="1"/>
  <c r="F130" i="8" s="1"/>
  <c r="J130" i="8" s="1"/>
  <c r="D79" i="8"/>
  <c r="E79" i="8" s="1"/>
  <c r="F79" i="8" s="1"/>
  <c r="J79" i="8" s="1"/>
  <c r="D1986" i="8"/>
  <c r="E1986" i="8" s="1"/>
  <c r="F1986" i="8" s="1"/>
  <c r="J1986" i="8" s="1"/>
  <c r="D1018" i="8"/>
  <c r="E1018" i="8" s="1"/>
  <c r="F1018" i="8" s="1"/>
  <c r="J1018" i="8" s="1"/>
  <c r="D1010" i="8"/>
  <c r="E1010" i="8" s="1"/>
  <c r="F1010" i="8" s="1"/>
  <c r="J1010" i="8" s="1"/>
  <c r="D563" i="8"/>
  <c r="E563" i="8" s="1"/>
  <c r="F563" i="8" s="1"/>
  <c r="J563" i="8" s="1"/>
  <c r="D437" i="8"/>
  <c r="E437" i="8" s="1"/>
  <c r="F437" i="8" s="1"/>
  <c r="J437" i="8" s="1"/>
  <c r="D138" i="8"/>
  <c r="E138" i="8" s="1"/>
  <c r="F138" i="8" s="1"/>
  <c r="J138" i="8" s="1"/>
  <c r="D753" i="8"/>
  <c r="E753" i="8" s="1"/>
  <c r="F753" i="8" s="1"/>
  <c r="D491" i="8"/>
  <c r="E491" i="8" s="1"/>
  <c r="F491" i="8" s="1"/>
  <c r="D362" i="8"/>
  <c r="E362" i="8" s="1"/>
  <c r="F362" i="8" s="1"/>
  <c r="J362" i="8" s="1"/>
  <c r="D315" i="8"/>
  <c r="E315" i="8" s="1"/>
  <c r="F315" i="8" s="1"/>
  <c r="D273" i="8"/>
  <c r="E273" i="8" s="1"/>
  <c r="F273" i="8" s="1"/>
  <c r="T248" i="8"/>
  <c r="T249" i="8" s="1"/>
  <c r="T250" i="8" s="1"/>
  <c r="F248" i="8" s="1"/>
  <c r="J248" i="8" s="1"/>
  <c r="D221" i="8"/>
  <c r="E221" i="8" s="1"/>
  <c r="F221" i="8" s="1"/>
  <c r="D184" i="8"/>
  <c r="E184" i="8" s="1"/>
  <c r="F184" i="8" s="1"/>
  <c r="D171" i="8"/>
  <c r="E171" i="8" s="1"/>
  <c r="F171" i="8" s="1"/>
  <c r="J171" i="8" s="1"/>
  <c r="D129" i="8"/>
  <c r="E129" i="8" s="1"/>
  <c r="F129" i="8" s="1"/>
  <c r="J129" i="8" s="1"/>
  <c r="D98" i="8"/>
  <c r="E98" i="8" s="1"/>
  <c r="F98" i="8" s="1"/>
  <c r="J98" i="8" s="1"/>
  <c r="D95" i="8"/>
  <c r="E95" i="8" s="1"/>
  <c r="F95" i="8" s="1"/>
  <c r="D14" i="6"/>
  <c r="E14" i="6" s="1"/>
  <c r="F14" i="6" s="1"/>
  <c r="D1751" i="8"/>
  <c r="E1751" i="8" s="1"/>
  <c r="F1751" i="8" s="1"/>
  <c r="J1751" i="8" s="1"/>
  <c r="D1242" i="8"/>
  <c r="E1242" i="8" s="1"/>
  <c r="F1242" i="8" s="1"/>
  <c r="J1242" i="8" s="1"/>
  <c r="D1007" i="8"/>
  <c r="E1007" i="8" s="1"/>
  <c r="F1007" i="8" s="1"/>
  <c r="J1007" i="8" s="1"/>
  <c r="D975" i="8"/>
  <c r="E975" i="8" s="1"/>
  <c r="F975" i="8" s="1"/>
  <c r="D934" i="8"/>
  <c r="E934" i="8" s="1"/>
  <c r="F934" i="8" s="1"/>
  <c r="J934" i="8" s="1"/>
  <c r="D798" i="8"/>
  <c r="E798" i="8" s="1"/>
  <c r="F798" i="8" s="1"/>
  <c r="J798" i="8" s="1"/>
  <c r="D614" i="8"/>
  <c r="E614" i="8" s="1"/>
  <c r="F614" i="8" s="1"/>
  <c r="J614" i="8" s="1"/>
  <c r="D529" i="8"/>
  <c r="E529" i="8" s="1"/>
  <c r="F529" i="8" s="1"/>
  <c r="D438" i="8"/>
  <c r="E438" i="8" s="1"/>
  <c r="F438" i="8" s="1"/>
  <c r="J438" i="8" s="1"/>
  <c r="D318" i="8"/>
  <c r="E318" i="8" s="1"/>
  <c r="F318" i="8" s="1"/>
  <c r="J318" i="8" s="1"/>
  <c r="D314" i="8"/>
  <c r="E314" i="8" s="1"/>
  <c r="F314" i="8" s="1"/>
  <c r="J314" i="8" s="1"/>
  <c r="Z204" i="8"/>
  <c r="Z205" i="8" s="1"/>
  <c r="D128" i="8"/>
  <c r="E128" i="8" s="1"/>
  <c r="F128" i="8" s="1"/>
  <c r="J128" i="8" s="1"/>
  <c r="D86" i="8"/>
  <c r="E86" i="8" s="1"/>
  <c r="F86" i="8" s="1"/>
  <c r="J86" i="8" s="1"/>
  <c r="D1535" i="8"/>
  <c r="E1535" i="8" s="1"/>
  <c r="F1535" i="8" s="1"/>
  <c r="J1535" i="8" s="1"/>
  <c r="D1153" i="8"/>
  <c r="E1153" i="8" s="1"/>
  <c r="F1153" i="8" s="1"/>
  <c r="D757" i="8"/>
  <c r="E757" i="8" s="1"/>
  <c r="F757" i="8" s="1"/>
  <c r="D626" i="8"/>
  <c r="E626" i="8" s="1"/>
  <c r="F626" i="8" s="1"/>
  <c r="J626" i="8" s="1"/>
  <c r="D622" i="8"/>
  <c r="E622" i="8" s="1"/>
  <c r="F622" i="8" s="1"/>
  <c r="J622" i="8" s="1"/>
  <c r="D269" i="8"/>
  <c r="E269" i="8" s="1"/>
  <c r="F269" i="8" s="1"/>
  <c r="D94" i="8"/>
  <c r="E94" i="8" s="1"/>
  <c r="F94" i="8" s="1"/>
  <c r="J94" i="8" s="1"/>
  <c r="D2015" i="8"/>
  <c r="E2015" i="8" s="1"/>
  <c r="F2015" i="8" s="1"/>
  <c r="J2015" i="8" s="1"/>
  <c r="D844" i="8"/>
  <c r="E844" i="8" s="1"/>
  <c r="F844" i="8" s="1"/>
  <c r="D711" i="8"/>
  <c r="E711" i="8" s="1"/>
  <c r="F711" i="8" s="1"/>
  <c r="Z424" i="8"/>
  <c r="Z425" i="8" s="1"/>
  <c r="D403" i="8"/>
  <c r="E403" i="8" s="1"/>
  <c r="F403" i="8" s="1"/>
  <c r="D353" i="8"/>
  <c r="E353" i="8" s="1"/>
  <c r="F353" i="8" s="1"/>
  <c r="D229" i="8"/>
  <c r="E229" i="8" s="1"/>
  <c r="F229" i="8" s="1"/>
  <c r="T204" i="8"/>
  <c r="T205" i="8" s="1"/>
  <c r="T206" i="8" s="1"/>
  <c r="F204" i="8" s="1"/>
  <c r="J204" i="8" s="1"/>
  <c r="D177" i="8"/>
  <c r="E177" i="8" s="1"/>
  <c r="F177" i="8" s="1"/>
  <c r="D140" i="8"/>
  <c r="E140" i="8" s="1"/>
  <c r="F140" i="8" s="1"/>
  <c r="D127" i="8"/>
  <c r="E127" i="8" s="1"/>
  <c r="F127" i="8" s="1"/>
  <c r="J127" i="8" s="1"/>
  <c r="D85" i="8"/>
  <c r="E85" i="8" s="1"/>
  <c r="F85" i="8" s="1"/>
  <c r="J85" i="8" s="1"/>
  <c r="E23" i="8"/>
  <c r="D2594" i="8"/>
  <c r="E2594" i="8" s="1"/>
  <c r="F2594" i="8" s="1"/>
  <c r="J2594" i="8" s="1"/>
  <c r="D1453" i="8"/>
  <c r="E1453" i="8" s="1"/>
  <c r="F1453" i="8" s="1"/>
  <c r="D1186" i="8"/>
  <c r="E1186" i="8" s="1"/>
  <c r="F1186" i="8" s="1"/>
  <c r="J1186" i="8" s="1"/>
  <c r="D1020" i="8"/>
  <c r="E1020" i="8" s="1"/>
  <c r="F1020" i="8" s="1"/>
  <c r="D978" i="8"/>
  <c r="E978" i="8" s="1"/>
  <c r="F978" i="8" s="1"/>
  <c r="J978" i="8" s="1"/>
  <c r="D475" i="8"/>
  <c r="E475" i="8" s="1"/>
  <c r="F475" i="8" s="1"/>
  <c r="J475" i="8" s="1"/>
  <c r="Z468" i="8"/>
  <c r="Z469" i="8" s="1"/>
  <c r="D343" i="8"/>
  <c r="E343" i="8" s="1"/>
  <c r="F343" i="8" s="1"/>
  <c r="J343" i="8" s="1"/>
  <c r="D299" i="8"/>
  <c r="E299" i="8" s="1"/>
  <c r="F299" i="8" s="1"/>
  <c r="J299" i="8" s="1"/>
  <c r="D255" i="8"/>
  <c r="E255" i="8" s="1"/>
  <c r="Z160" i="8"/>
  <c r="Z161" i="8" s="1"/>
  <c r="D84" i="8"/>
  <c r="E84" i="8" s="1"/>
  <c r="F84" i="8" s="1"/>
  <c r="J84" i="8" s="1"/>
  <c r="D1487" i="8"/>
  <c r="E1487" i="8" s="1"/>
  <c r="F1487" i="8" s="1"/>
  <c r="J1487" i="8" s="1"/>
  <c r="D1443" i="8"/>
  <c r="E1443" i="8" s="1"/>
  <c r="F1443" i="8" s="1"/>
  <c r="J1443" i="8" s="1"/>
  <c r="D1284" i="8"/>
  <c r="E1284" i="8" s="1"/>
  <c r="F1284" i="8" s="1"/>
  <c r="D1095" i="8"/>
  <c r="E1095" i="8" s="1"/>
  <c r="F1095" i="8" s="1"/>
  <c r="J1095" i="8" s="1"/>
  <c r="D739" i="8"/>
  <c r="E739" i="8" s="1"/>
  <c r="F739" i="8" s="1"/>
  <c r="J739" i="8" s="1"/>
  <c r="D533" i="8"/>
  <c r="E533" i="8" s="1"/>
  <c r="F533" i="8" s="1"/>
  <c r="D448" i="8"/>
  <c r="E448" i="8" s="1"/>
  <c r="F448" i="8" s="1"/>
  <c r="D309" i="8"/>
  <c r="E309" i="8" s="1"/>
  <c r="F309" i="8" s="1"/>
  <c r="D225" i="8"/>
  <c r="E225" i="8" s="1"/>
  <c r="F225" i="8" s="1"/>
  <c r="Q18" i="6"/>
  <c r="H2791" i="8"/>
  <c r="H3055" i="8"/>
  <c r="H2835" i="8"/>
  <c r="H3011" i="8"/>
  <c r="H2733" i="8"/>
  <c r="H3143" i="8"/>
  <c r="H3099" i="8"/>
  <c r="H2689" i="8"/>
  <c r="H2967" i="8"/>
  <c r="H2601" i="8"/>
  <c r="H2557" i="8"/>
  <c r="H2645" i="8"/>
  <c r="H2293" i="8"/>
  <c r="H2879" i="8"/>
  <c r="H3187" i="8"/>
  <c r="H2425" i="8"/>
  <c r="H2337" i="8"/>
  <c r="H2469" i="8"/>
  <c r="H2513" i="8"/>
  <c r="H2205" i="8"/>
  <c r="H2117" i="8"/>
  <c r="H1809" i="8"/>
  <c r="H2923" i="8"/>
  <c r="H1897" i="8"/>
  <c r="H1765" i="8"/>
  <c r="H1985" i="8"/>
  <c r="H2381" i="8"/>
  <c r="H2161" i="8"/>
  <c r="H2029" i="8"/>
  <c r="H1853" i="8"/>
  <c r="H2249" i="8"/>
  <c r="H1589" i="8"/>
  <c r="H1677" i="8"/>
  <c r="H1545" i="8"/>
  <c r="H1281" i="8"/>
  <c r="H1941" i="8"/>
  <c r="H1721" i="8"/>
  <c r="H1633" i="8"/>
  <c r="H1369" i="8"/>
  <c r="H1501" i="8"/>
  <c r="H1017" i="8"/>
  <c r="H753" i="8"/>
  <c r="H1237" i="8"/>
  <c r="H1149" i="8"/>
  <c r="H973" i="8"/>
  <c r="H1413" i="8"/>
  <c r="H1193" i="8"/>
  <c r="H1105" i="8"/>
  <c r="H841" i="8"/>
  <c r="H2073" i="8"/>
  <c r="H1325" i="8"/>
  <c r="H269" i="8"/>
  <c r="H1457" i="8"/>
  <c r="H533" i="8"/>
  <c r="H225" i="8"/>
  <c r="H1061" i="8"/>
  <c r="H709" i="8"/>
  <c r="H445" i="8"/>
  <c r="H181" i="8"/>
  <c r="H357" i="8"/>
  <c r="Q707" i="8"/>
  <c r="D1022" i="8"/>
  <c r="E1022" i="8" s="1"/>
  <c r="F1022" i="8" s="1"/>
  <c r="J1022" i="8" s="1"/>
  <c r="Q1228" i="8"/>
  <c r="Q11" i="6"/>
  <c r="G3179" i="8"/>
  <c r="G3135" i="8"/>
  <c r="G2871" i="8"/>
  <c r="G2725" i="8"/>
  <c r="G3047" i="8"/>
  <c r="G2637" i="8"/>
  <c r="G2915" i="8"/>
  <c r="G3091" i="8"/>
  <c r="G2783" i="8"/>
  <c r="G2959" i="8"/>
  <c r="G2549" i="8"/>
  <c r="G2593" i="8"/>
  <c r="G2417" i="8"/>
  <c r="G2153" i="8"/>
  <c r="G2827" i="8"/>
  <c r="G3003" i="8"/>
  <c r="G2505" i="8"/>
  <c r="G2461" i="8"/>
  <c r="G2373" i="8"/>
  <c r="G2285" i="8"/>
  <c r="G2109" i="8"/>
  <c r="G1933" i="8"/>
  <c r="G2197" i="8"/>
  <c r="G2241" i="8"/>
  <c r="G2329" i="8"/>
  <c r="G1889" i="8"/>
  <c r="G2021" i="8"/>
  <c r="G1977" i="8"/>
  <c r="G1801" i="8"/>
  <c r="G1405" i="8"/>
  <c r="G1713" i="8"/>
  <c r="G1757" i="8"/>
  <c r="G1669" i="8"/>
  <c r="G1361" i="8"/>
  <c r="G1141" i="8"/>
  <c r="G1845" i="8"/>
  <c r="G1493" i="8"/>
  <c r="G1229" i="8"/>
  <c r="G2065" i="8"/>
  <c r="G1317" i="8"/>
  <c r="G1097" i="8"/>
  <c r="G701" i="8"/>
  <c r="G569" i="8"/>
  <c r="G789" i="8"/>
  <c r="G525" i="8"/>
  <c r="G1449" i="8"/>
  <c r="G965" i="8"/>
  <c r="G657" i="8"/>
  <c r="G1185" i="8"/>
  <c r="G877" i="8"/>
  <c r="G833" i="8"/>
  <c r="G2681" i="8"/>
  <c r="G921" i="8"/>
  <c r="G1273" i="8"/>
  <c r="G1009" i="8"/>
  <c r="G1053" i="8"/>
  <c r="G85" i="8"/>
  <c r="Q88" i="8"/>
  <c r="H124" i="8"/>
  <c r="D24" i="6"/>
  <c r="E24" i="6" s="1"/>
  <c r="F24" i="6" s="1"/>
  <c r="H87" i="8"/>
  <c r="H120" i="8"/>
  <c r="H123" i="8"/>
  <c r="Q126" i="8"/>
  <c r="H128" i="8"/>
  <c r="H134" i="8"/>
  <c r="H161" i="8"/>
  <c r="H172" i="8"/>
  <c r="Q184" i="8"/>
  <c r="G209" i="8"/>
  <c r="H217" i="8"/>
  <c r="D227" i="8"/>
  <c r="E227" i="8" s="1"/>
  <c r="F227" i="8" s="1"/>
  <c r="Q253" i="8"/>
  <c r="D265" i="8"/>
  <c r="E265" i="8" s="1"/>
  <c r="F265" i="8" s="1"/>
  <c r="H305" i="8"/>
  <c r="H317" i="8"/>
  <c r="H361" i="8"/>
  <c r="D394" i="8"/>
  <c r="E394" i="8" s="1"/>
  <c r="F394" i="8" s="1"/>
  <c r="J394" i="8" s="1"/>
  <c r="D404" i="8"/>
  <c r="E404" i="8" s="1"/>
  <c r="F404" i="8" s="1"/>
  <c r="H438" i="8"/>
  <c r="T468" i="8"/>
  <c r="T469" i="8" s="1"/>
  <c r="T470" i="8" s="1"/>
  <c r="F468" i="8" s="1"/>
  <c r="J468" i="8" s="1"/>
  <c r="Q494" i="8"/>
  <c r="Z512" i="8"/>
  <c r="Z513" i="8" s="1"/>
  <c r="Q516" i="8"/>
  <c r="G520" i="8"/>
  <c r="Q531" i="8"/>
  <c r="Q580" i="8"/>
  <c r="D623" i="8"/>
  <c r="E623" i="8" s="1"/>
  <c r="F623" i="8" s="1"/>
  <c r="G703" i="8"/>
  <c r="T732" i="8"/>
  <c r="T733" i="8" s="1"/>
  <c r="T734" i="8" s="1"/>
  <c r="F732" i="8" s="1"/>
  <c r="J732" i="8" s="1"/>
  <c r="Q753" i="8"/>
  <c r="H776" i="8"/>
  <c r="G835" i="8"/>
  <c r="G864" i="8"/>
  <c r="Q866" i="8"/>
  <c r="Q1065" i="8"/>
  <c r="H1136" i="8"/>
  <c r="Q1359" i="8"/>
  <c r="Q1621" i="8"/>
  <c r="H1625" i="8"/>
  <c r="Q1938" i="8"/>
  <c r="Q1942" i="8"/>
  <c r="G664" i="8"/>
  <c r="H749" i="8"/>
  <c r="U978" i="8"/>
  <c r="S978" i="8"/>
  <c r="H92" i="8"/>
  <c r="G400" i="8"/>
  <c r="H1192" i="8"/>
  <c r="H312" i="8"/>
  <c r="U934" i="8"/>
  <c r="S934" i="8"/>
  <c r="H3183" i="8"/>
  <c r="H3051" i="8"/>
  <c r="H2963" i="8"/>
  <c r="H2919" i="8"/>
  <c r="H3095" i="8"/>
  <c r="H2875" i="8"/>
  <c r="H3007" i="8"/>
  <c r="H2729" i="8"/>
  <c r="H2509" i="8"/>
  <c r="H3139" i="8"/>
  <c r="H2465" i="8"/>
  <c r="H2245" i="8"/>
  <c r="H2201" i="8"/>
  <c r="H2831" i="8"/>
  <c r="H2685" i="8"/>
  <c r="H2597" i="8"/>
  <c r="H2421" i="8"/>
  <c r="H2641" i="8"/>
  <c r="H2553" i="8"/>
  <c r="H2787" i="8"/>
  <c r="H2113" i="8"/>
  <c r="H1981" i="8"/>
  <c r="H1937" i="8"/>
  <c r="H2333" i="8"/>
  <c r="H2157" i="8"/>
  <c r="H1893" i="8"/>
  <c r="H2289" i="8"/>
  <c r="H1497" i="8"/>
  <c r="H1233" i="8"/>
  <c r="H1629" i="8"/>
  <c r="H1453" i="8"/>
  <c r="H2069" i="8"/>
  <c r="H1717" i="8"/>
  <c r="H1541" i="8"/>
  <c r="H1321" i="8"/>
  <c r="H1805" i="8"/>
  <c r="H1409" i="8"/>
  <c r="H925" i="8"/>
  <c r="H1585" i="8"/>
  <c r="H881" i="8"/>
  <c r="H1101" i="8"/>
  <c r="H617" i="8"/>
  <c r="H1365" i="8"/>
  <c r="H837" i="8"/>
  <c r="H573" i="8"/>
  <c r="H1189" i="8"/>
  <c r="H2025" i="8"/>
  <c r="H1057" i="8"/>
  <c r="H485" i="8"/>
  <c r="H441" i="8"/>
  <c r="H969" i="8"/>
  <c r="H1761" i="8"/>
  <c r="H1013" i="8"/>
  <c r="G3142" i="8"/>
  <c r="G3054" i="8"/>
  <c r="G3098" i="8"/>
  <c r="G3186" i="8"/>
  <c r="G2644" i="8"/>
  <c r="G2834" i="8"/>
  <c r="G2600" i="8"/>
  <c r="G2512" i="8"/>
  <c r="G2878" i="8"/>
  <c r="G2248" i="8"/>
  <c r="G2790" i="8"/>
  <c r="G2204" i="8"/>
  <c r="G3010" i="8"/>
  <c r="G2922" i="8"/>
  <c r="G2556" i="8"/>
  <c r="G2468" i="8"/>
  <c r="G2336" i="8"/>
  <c r="G2966" i="8"/>
  <c r="G2292" i="8"/>
  <c r="G2160" i="8"/>
  <c r="G2380" i="8"/>
  <c r="G2424" i="8"/>
  <c r="G1852" i="8"/>
  <c r="G1984" i="8"/>
  <c r="G2688" i="8"/>
  <c r="G1808" i="8"/>
  <c r="G1500" i="8"/>
  <c r="G1236" i="8"/>
  <c r="G1720" i="8"/>
  <c r="G1896" i="8"/>
  <c r="G1632" i="8"/>
  <c r="G1456" i="8"/>
  <c r="G2072" i="8"/>
  <c r="G1676" i="8"/>
  <c r="G2732" i="8"/>
  <c r="G1192" i="8"/>
  <c r="G1280" i="8"/>
  <c r="G1324" i="8"/>
  <c r="G928" i="8"/>
  <c r="G1940" i="8"/>
  <c r="G1368" i="8"/>
  <c r="G884" i="8"/>
  <c r="G1148" i="8"/>
  <c r="G796" i="8"/>
  <c r="G1764" i="8"/>
  <c r="G972" i="8"/>
  <c r="G1588" i="8"/>
  <c r="G1544" i="8"/>
  <c r="G620" i="8"/>
  <c r="G576" i="8"/>
  <c r="G1412" i="8"/>
  <c r="G2116" i="8"/>
  <c r="G532" i="8"/>
  <c r="G1104" i="8"/>
  <c r="G752" i="8"/>
  <c r="G708" i="8"/>
  <c r="G2028" i="8"/>
  <c r="G488" i="8"/>
  <c r="G840" i="8"/>
  <c r="H309" i="8"/>
  <c r="H3186" i="8"/>
  <c r="H3142" i="8"/>
  <c r="H3054" i="8"/>
  <c r="H3098" i="8"/>
  <c r="H2966" i="8"/>
  <c r="H2834" i="8"/>
  <c r="H2688" i="8"/>
  <c r="H3010" i="8"/>
  <c r="H2644" i="8"/>
  <c r="H2512" i="8"/>
  <c r="H2878" i="8"/>
  <c r="H2790" i="8"/>
  <c r="H2204" i="8"/>
  <c r="H2732" i="8"/>
  <c r="H2468" i="8"/>
  <c r="H2922" i="8"/>
  <c r="H2556" i="8"/>
  <c r="H2292" i="8"/>
  <c r="H2248" i="8"/>
  <c r="H2160" i="8"/>
  <c r="H2380" i="8"/>
  <c r="H2336" i="8"/>
  <c r="H2424" i="8"/>
  <c r="H1676" i="8"/>
  <c r="H2072" i="8"/>
  <c r="H1984" i="8"/>
  <c r="H1808" i="8"/>
  <c r="H2600" i="8"/>
  <c r="H1500" i="8"/>
  <c r="H1720" i="8"/>
  <c r="H1896" i="8"/>
  <c r="H1632" i="8"/>
  <c r="H1456" i="8"/>
  <c r="H1412" i="8"/>
  <c r="H1940" i="8"/>
  <c r="H1852" i="8"/>
  <c r="H1280" i="8"/>
  <c r="H1324" i="8"/>
  <c r="H928" i="8"/>
  <c r="H664" i="8"/>
  <c r="H1368" i="8"/>
  <c r="H884" i="8"/>
  <c r="H1764" i="8"/>
  <c r="H972" i="8"/>
  <c r="H1588" i="8"/>
  <c r="H1544" i="8"/>
  <c r="H620" i="8"/>
  <c r="H576" i="8"/>
  <c r="H1060" i="8"/>
  <c r="H2116" i="8"/>
  <c r="H1016" i="8"/>
  <c r="H1104" i="8"/>
  <c r="H752" i="8"/>
  <c r="H708" i="8"/>
  <c r="H2028" i="8"/>
  <c r="H488" i="8"/>
  <c r="H444" i="8"/>
  <c r="H400" i="8"/>
  <c r="H840" i="8"/>
  <c r="H796" i="8"/>
  <c r="S142" i="8"/>
  <c r="G356" i="8"/>
  <c r="H793" i="8"/>
  <c r="H1849" i="8"/>
  <c r="H353" i="8"/>
  <c r="H356" i="8"/>
  <c r="H2377" i="8"/>
  <c r="H180" i="8"/>
  <c r="B851" i="8"/>
  <c r="U1286" i="8"/>
  <c r="S1286" i="8"/>
  <c r="B1775" i="8"/>
  <c r="S582" i="8"/>
  <c r="U1154" i="8"/>
  <c r="S1154" i="8"/>
  <c r="B1951" i="8"/>
  <c r="B1952" i="8" s="1"/>
  <c r="U1198" i="8"/>
  <c r="S1198" i="8"/>
  <c r="U2122" i="8"/>
  <c r="S2122" i="8"/>
  <c r="U1682" i="8"/>
  <c r="S1682" i="8"/>
  <c r="B1907" i="8"/>
  <c r="S1902" i="8"/>
  <c r="U1902" i="8"/>
  <c r="S2078" i="8"/>
  <c r="U2078" i="8"/>
  <c r="S1462" i="8"/>
  <c r="B2127" i="8"/>
  <c r="U1990" i="8"/>
  <c r="S1990" i="8"/>
  <c r="U3148" i="8"/>
  <c r="S3148" i="8"/>
  <c r="U2166" i="8"/>
  <c r="S2166" i="8"/>
  <c r="B2039" i="8"/>
  <c r="U2210" i="8"/>
  <c r="S2210" i="8"/>
  <c r="U2518" i="8"/>
  <c r="S2518" i="8"/>
  <c r="B2699" i="8"/>
  <c r="B2700" i="8" s="1"/>
  <c r="U2650" i="8"/>
  <c r="S2650" i="8"/>
  <c r="U2562" i="8"/>
  <c r="S2562" i="8"/>
  <c r="S2606" i="8"/>
  <c r="B2567" i="8"/>
  <c r="K22" i="11"/>
  <c r="H22" i="11"/>
  <c r="U3016" i="8"/>
  <c r="S3016" i="8"/>
  <c r="H28" i="11"/>
  <c r="E28" i="11"/>
  <c r="U2884" i="8"/>
  <c r="S2884" i="8"/>
  <c r="K20" i="11"/>
  <c r="E20" i="11"/>
  <c r="H8" i="11"/>
  <c r="B16" i="7" l="1"/>
  <c r="B17" i="7" s="1"/>
  <c r="B2611" i="8"/>
  <c r="B2612" i="8" s="1"/>
  <c r="B3021" i="8"/>
  <c r="B367" i="8"/>
  <c r="B807" i="8"/>
  <c r="B937" i="8"/>
  <c r="B2259" i="8"/>
  <c r="B2260" i="8" s="1"/>
  <c r="B2264" i="8" s="1"/>
  <c r="B2655" i="8"/>
  <c r="B2656" i="8" s="1"/>
  <c r="B2660" i="8" s="1"/>
  <c r="B1071" i="8"/>
  <c r="B497" i="8"/>
  <c r="B1069" i="8"/>
  <c r="B3019" i="8"/>
  <c r="B409" i="8"/>
  <c r="B805" i="8"/>
  <c r="B629" i="8"/>
  <c r="B673" i="8"/>
  <c r="B2843" i="8"/>
  <c r="B585" i="8"/>
  <c r="B1641" i="8"/>
  <c r="B3065" i="8"/>
  <c r="B103" i="8"/>
  <c r="B1025" i="8"/>
  <c r="B981" i="8"/>
  <c r="B2213" i="8"/>
  <c r="B2037" i="8"/>
  <c r="B2389" i="8"/>
  <c r="B2565" i="8"/>
  <c r="B676" i="8"/>
  <c r="B680" i="8" s="1"/>
  <c r="I10" i="6"/>
  <c r="I7" i="6"/>
  <c r="B2568" i="8"/>
  <c r="B2572" i="8" s="1"/>
  <c r="R2547" i="8" s="1"/>
  <c r="B544" i="8"/>
  <c r="Q9" i="6"/>
  <c r="Q569" i="8"/>
  <c r="Q1190" i="8"/>
  <c r="Q262" i="8"/>
  <c r="Q3130" i="8"/>
  <c r="Q3079" i="8"/>
  <c r="Q3139" i="8"/>
  <c r="Q3043" i="8"/>
  <c r="Q2871" i="8"/>
  <c r="Q2840" i="8"/>
  <c r="Q3134" i="8"/>
  <c r="Q2505" i="8"/>
  <c r="Q2675" i="8"/>
  <c r="Q2869" i="8"/>
  <c r="Q2914" i="8"/>
  <c r="Q2883" i="8"/>
  <c r="Q2536" i="8"/>
  <c r="Q3080" i="8"/>
  <c r="Q2736" i="8"/>
  <c r="Q2719" i="8"/>
  <c r="Q2551" i="8"/>
  <c r="Q2587" i="8"/>
  <c r="Q1985" i="8"/>
  <c r="Q2250" i="8"/>
  <c r="Q2316" i="8"/>
  <c r="Q2605" i="8"/>
  <c r="Q2333" i="8"/>
  <c r="Q2462" i="8"/>
  <c r="Q2423" i="8"/>
  <c r="Q2590" i="8"/>
  <c r="Q2419" i="8"/>
  <c r="B2434" i="8" s="1"/>
  <c r="Q2550" i="8"/>
  <c r="Q2585" i="8"/>
  <c r="Q2379" i="8"/>
  <c r="Q2121" i="8"/>
  <c r="Q2816" i="8"/>
  <c r="Q1811" i="8"/>
  <c r="Q2192" i="8"/>
  <c r="Q2064" i="8"/>
  <c r="Q2207" i="8"/>
  <c r="Q1879" i="8"/>
  <c r="Q1883" i="8"/>
  <c r="Q1882" i="8"/>
  <c r="Q2289" i="8"/>
  <c r="Q2022" i="8"/>
  <c r="Q2236" i="8"/>
  <c r="Q1980" i="8"/>
  <c r="Q1546" i="8"/>
  <c r="Q1678" i="8"/>
  <c r="Q1222" i="8"/>
  <c r="Q1765" i="8"/>
  <c r="Q1238" i="8"/>
  <c r="Q1672" i="8"/>
  <c r="B1687" i="8" s="1"/>
  <c r="B1688" i="8" s="1"/>
  <c r="B1692" i="8" s="1"/>
  <c r="Q1548" i="8"/>
  <c r="Q1401" i="8"/>
  <c r="Q1455" i="8"/>
  <c r="Q1748" i="8"/>
  <c r="Q1266" i="8"/>
  <c r="Q1448" i="8"/>
  <c r="Q1585" i="8"/>
  <c r="Q974" i="8"/>
  <c r="Q653" i="8"/>
  <c r="Q1150" i="8"/>
  <c r="Q1329" i="8"/>
  <c r="Q128" i="8"/>
  <c r="Q493" i="8"/>
  <c r="Q301" i="8"/>
  <c r="Q960" i="8"/>
  <c r="Q3128" i="8"/>
  <c r="Q3005" i="8"/>
  <c r="B3020" i="8" s="1"/>
  <c r="Q3039" i="8"/>
  <c r="Q2952" i="8"/>
  <c r="Q3036" i="8"/>
  <c r="Q2833" i="8"/>
  <c r="Q3178" i="8"/>
  <c r="Q2957" i="8"/>
  <c r="Q3096" i="8"/>
  <c r="Q2790" i="8"/>
  <c r="Q2866" i="8"/>
  <c r="Q2837" i="8"/>
  <c r="Q3102" i="8"/>
  <c r="Q2788" i="8"/>
  <c r="Q2715" i="8"/>
  <c r="Q2678" i="8"/>
  <c r="Q2517" i="8"/>
  <c r="Q2911" i="8"/>
  <c r="Q2232" i="8"/>
  <c r="B2258" i="8" s="1"/>
  <c r="Q2273" i="8"/>
  <c r="Q2556" i="8"/>
  <c r="Q2999" i="8"/>
  <c r="Q2417" i="8"/>
  <c r="Q2371" i="8"/>
  <c r="Q2320" i="8"/>
  <c r="Q3183" i="8"/>
  <c r="Q2513" i="8"/>
  <c r="Q2498" i="8"/>
  <c r="Q2874" i="8"/>
  <c r="B2889" i="8" s="1"/>
  <c r="B2890" i="8" s="1"/>
  <c r="Q2008" i="8"/>
  <c r="Q2362" i="8"/>
  <c r="Q2297" i="8"/>
  <c r="Q2072" i="8"/>
  <c r="Q2184" i="8"/>
  <c r="Q2108" i="8"/>
  <c r="Q2410" i="8"/>
  <c r="Q1788" i="8"/>
  <c r="Q2378" i="8"/>
  <c r="Q1878" i="8"/>
  <c r="Q1848" i="8"/>
  <c r="B1863" i="8" s="1"/>
  <c r="B1864" i="8" s="1"/>
  <c r="B1861" i="8" s="1"/>
  <c r="Q2142" i="8"/>
  <c r="Q1885" i="8"/>
  <c r="Q2150" i="8"/>
  <c r="Q3045" i="8"/>
  <c r="Q1528" i="8"/>
  <c r="Q1624" i="8"/>
  <c r="Q2107" i="8"/>
  <c r="Q1412" i="8"/>
  <c r="Q1220" i="8"/>
  <c r="B1246" i="8" s="1"/>
  <c r="Q1627" i="8"/>
  <c r="B1642" i="8" s="1"/>
  <c r="Q2063" i="8"/>
  <c r="Q1368" i="8"/>
  <c r="Q1441" i="8"/>
  <c r="Q1362" i="8"/>
  <c r="Q1281" i="8"/>
  <c r="Q1367" i="8"/>
  <c r="Q1628" i="8"/>
  <c r="B1643" i="8" s="1"/>
  <c r="Q1143" i="8"/>
  <c r="Q1355" i="8"/>
  <c r="Q1572" i="8"/>
  <c r="Q956" i="8"/>
  <c r="Q2495" i="8"/>
  <c r="Q1040" i="8"/>
  <c r="Q1175" i="8"/>
  <c r="Q211" i="8"/>
  <c r="Q519" i="8"/>
  <c r="Q1239" i="8"/>
  <c r="Q2203" i="8"/>
  <c r="Q1046" i="8"/>
  <c r="Q3127" i="8"/>
  <c r="Q3002" i="8"/>
  <c r="Q3035" i="8"/>
  <c r="Q2830" i="8"/>
  <c r="B2845" i="8" s="1"/>
  <c r="B2846" i="8" s="1"/>
  <c r="B2850" i="8" s="1"/>
  <c r="Q3010" i="8"/>
  <c r="Q2826" i="8"/>
  <c r="Q3172" i="8"/>
  <c r="Q2953" i="8"/>
  <c r="Q2555" i="8"/>
  <c r="Q2773" i="8"/>
  <c r="Q2603" i="8"/>
  <c r="Q2734" i="8"/>
  <c r="Q3055" i="8"/>
  <c r="Q2683" i="8"/>
  <c r="Q2645" i="8"/>
  <c r="Q2376" i="8"/>
  <c r="B2391" i="8" s="1"/>
  <c r="Q2424" i="8"/>
  <c r="Q2648" i="8"/>
  <c r="Q2230" i="8"/>
  <c r="Q2506" i="8"/>
  <c r="Q2737" i="8"/>
  <c r="Q3041" i="8"/>
  <c r="Q2363" i="8"/>
  <c r="Q2293" i="8"/>
  <c r="Q3089" i="8"/>
  <c r="Q2473" i="8"/>
  <c r="Q2336" i="8"/>
  <c r="Q2414" i="8"/>
  <c r="Q2561" i="8"/>
  <c r="Q2206" i="8"/>
  <c r="Q2281" i="8"/>
  <c r="Q2642" i="8"/>
  <c r="Q2062" i="8"/>
  <c r="Q2161" i="8"/>
  <c r="Q2322" i="8"/>
  <c r="Q1755" i="8"/>
  <c r="Q2373" i="8"/>
  <c r="Q1807" i="8"/>
  <c r="Q1840" i="8"/>
  <c r="Q2026" i="8"/>
  <c r="Q1881" i="8"/>
  <c r="Q2152" i="8"/>
  <c r="Q2140" i="8"/>
  <c r="Q2468" i="8"/>
  <c r="Q1526" i="8"/>
  <c r="Q1622" i="8"/>
  <c r="Q2059" i="8"/>
  <c r="Q1547" i="8"/>
  <c r="Q1218" i="8"/>
  <c r="Q1584" i="8"/>
  <c r="Q2015" i="8"/>
  <c r="Q2296" i="8"/>
  <c r="Q1326" i="8"/>
  <c r="Q1263" i="8"/>
  <c r="Q1353" i="8"/>
  <c r="Q1745" i="8"/>
  <c r="Q2361" i="8"/>
  <c r="Q1100" i="8"/>
  <c r="Q1318" i="8"/>
  <c r="Q1530" i="8"/>
  <c r="Q954" i="8"/>
  <c r="Q1007" i="8"/>
  <c r="Q1154" i="8"/>
  <c r="Q517" i="8"/>
  <c r="Q76" i="8"/>
  <c r="Q362" i="8"/>
  <c r="Q1322" i="8"/>
  <c r="Q3174" i="8"/>
  <c r="Q2967" i="8"/>
  <c r="Q3184" i="8"/>
  <c r="Q2814" i="8"/>
  <c r="Q3004" i="8"/>
  <c r="Q2818" i="8"/>
  <c r="B2844" i="8" s="1"/>
  <c r="Q3048" i="8"/>
  <c r="Q2922" i="8"/>
  <c r="Q3049" i="8"/>
  <c r="B3064" i="8" s="1"/>
  <c r="Q2507" i="8"/>
  <c r="Q2772" i="8"/>
  <c r="Q2727" i="8"/>
  <c r="Q3008" i="8"/>
  <c r="Q2781" i="8"/>
  <c r="Q2636" i="8"/>
  <c r="Q2627" i="8"/>
  <c r="Q2360" i="8"/>
  <c r="Q2602" i="8"/>
  <c r="Q2209" i="8"/>
  <c r="Q2241" i="8"/>
  <c r="Q2492" i="8"/>
  <c r="Q2639" i="8"/>
  <c r="B2654" i="8" s="1"/>
  <c r="Q2920" i="8"/>
  <c r="Q2339" i="8"/>
  <c r="Q2963" i="8"/>
  <c r="Q3057" i="8"/>
  <c r="Q2277" i="8"/>
  <c r="Q2448" i="8"/>
  <c r="Q2334" i="8"/>
  <c r="Q2377" i="8"/>
  <c r="Q1972" i="8"/>
  <c r="Q2199" i="8"/>
  <c r="Q2231" i="8"/>
  <c r="Q2469" i="8"/>
  <c r="Q2712" i="8"/>
  <c r="Q2117" i="8"/>
  <c r="Q2243" i="8"/>
  <c r="Q2916" i="8"/>
  <c r="Q1834" i="8"/>
  <c r="Q1877" i="8"/>
  <c r="Q2073" i="8"/>
  <c r="Q2370" i="8"/>
  <c r="Q1505" i="8"/>
  <c r="Q1612" i="8"/>
  <c r="Q1976" i="8"/>
  <c r="Q1323" i="8"/>
  <c r="Q1534" i="8"/>
  <c r="Q1197" i="8"/>
  <c r="Q1568" i="8"/>
  <c r="Q2409" i="8"/>
  <c r="Q2196" i="8"/>
  <c r="Q1276" i="8"/>
  <c r="B1291" i="8" s="1"/>
  <c r="Q1192" i="8"/>
  <c r="Q1319" i="8"/>
  <c r="Q1664" i="8"/>
  <c r="Q2280" i="8"/>
  <c r="Q1084" i="8"/>
  <c r="Q1459" i="8"/>
  <c r="Q933" i="8"/>
  <c r="Q1798" i="8"/>
  <c r="Q997" i="8"/>
  <c r="Q1136" i="8"/>
  <c r="Q131" i="8"/>
  <c r="Q218" i="8"/>
  <c r="Q3140" i="8"/>
  <c r="Q3142" i="8"/>
  <c r="Q3037" i="8"/>
  <c r="Q2732" i="8"/>
  <c r="Q2827" i="8"/>
  <c r="Q2537" i="8"/>
  <c r="Q2674" i="8"/>
  <c r="Q2863" i="8"/>
  <c r="Q2632" i="8"/>
  <c r="Q2650" i="8"/>
  <c r="Q1982" i="8"/>
  <c r="Q2972" i="8"/>
  <c r="Q2928" i="8"/>
  <c r="Q2381" i="8"/>
  <c r="Q2372" i="8"/>
  <c r="Q2593" i="8"/>
  <c r="Q2251" i="8"/>
  <c r="Q2902" i="8"/>
  <c r="Q2237" i="8"/>
  <c r="Q2990" i="8"/>
  <c r="Q2187" i="8"/>
  <c r="Q2115" i="8"/>
  <c r="Q1803" i="8"/>
  <c r="Q2248" i="8"/>
  <c r="Q2144" i="8"/>
  <c r="B2170" i="8" s="1"/>
  <c r="Q2116" i="8"/>
  <c r="Q2647" i="8"/>
  <c r="Q1800" i="8"/>
  <c r="Q1851" i="8"/>
  <c r="Q1974" i="8"/>
  <c r="Q1715" i="8"/>
  <c r="B1730" i="8" s="1"/>
  <c r="Q1626" i="8"/>
  <c r="Q1799" i="8"/>
  <c r="Q1400" i="8"/>
  <c r="Q1675" i="8"/>
  <c r="Q1927" i="8"/>
  <c r="Q1975" i="8"/>
  <c r="Q1710" i="8"/>
  <c r="Q1436" i="8"/>
  <c r="Q1592" i="8"/>
  <c r="Q881" i="8"/>
  <c r="Q1402" i="8"/>
  <c r="Q1614" i="8"/>
  <c r="Q2294" i="8"/>
  <c r="Q1092" i="8"/>
  <c r="Q1747" i="8"/>
  <c r="Q963" i="8"/>
  <c r="Q1022" i="8"/>
  <c r="Q695" i="8"/>
  <c r="Q1048" i="8"/>
  <c r="Q468" i="8"/>
  <c r="Q1130" i="8"/>
  <c r="Q618" i="8"/>
  <c r="Q1456" i="8"/>
  <c r="Q604" i="8"/>
  <c r="Q1014" i="8"/>
  <c r="Q1447" i="8"/>
  <c r="Q2021" i="8"/>
  <c r="Q745" i="8"/>
  <c r="Q1365" i="8"/>
  <c r="Q1662" i="8"/>
  <c r="Q486" i="8"/>
  <c r="Q932" i="8"/>
  <c r="Q832" i="8"/>
  <c r="Q479" i="8"/>
  <c r="Q1354" i="8"/>
  <c r="Q316" i="8"/>
  <c r="Q666" i="8"/>
  <c r="Q174" i="8"/>
  <c r="Q165" i="8"/>
  <c r="Q737" i="8"/>
  <c r="Q21" i="6"/>
  <c r="Q222" i="8"/>
  <c r="Q3137" i="8"/>
  <c r="Q3090" i="8"/>
  <c r="Q3136" i="8"/>
  <c r="Q3003" i="8"/>
  <c r="Q2822" i="8"/>
  <c r="Q2504" i="8"/>
  <c r="Q3175" i="8"/>
  <c r="Q2839" i="8"/>
  <c r="Q2589" i="8"/>
  <c r="Q2776" i="8"/>
  <c r="Q2540" i="8"/>
  <c r="B2566" i="8" s="1"/>
  <c r="Q2858" i="8"/>
  <c r="Q2637" i="8"/>
  <c r="Q2558" i="8"/>
  <c r="Q2926" i="8"/>
  <c r="Q2733" i="8"/>
  <c r="Q2368" i="8"/>
  <c r="Q2867" i="8"/>
  <c r="Q2197" i="8"/>
  <c r="Q3125" i="8"/>
  <c r="Q2471" i="8"/>
  <c r="Q2562" i="8"/>
  <c r="Q2244" i="8"/>
  <c r="Q2208" i="8"/>
  <c r="Q2884" i="8"/>
  <c r="Q2166" i="8"/>
  <c r="Q2774" i="8"/>
  <c r="Q2278" i="8"/>
  <c r="Q2369" i="8"/>
  <c r="Q2542" i="8"/>
  <c r="Q2103" i="8"/>
  <c r="Q2060" i="8"/>
  <c r="Q2292" i="8"/>
  <c r="Q1770" i="8"/>
  <c r="Q1849" i="8"/>
  <c r="Q1941" i="8"/>
  <c r="Q1708" i="8"/>
  <c r="Q1579" i="8"/>
  <c r="Q1792" i="8"/>
  <c r="Q2497" i="8"/>
  <c r="Q1372" i="8"/>
  <c r="Q1630" i="8"/>
  <c r="Q1856" i="8"/>
  <c r="Q1886" i="8"/>
  <c r="Q1676" i="8"/>
  <c r="Q1415" i="8"/>
  <c r="Q2149" i="8"/>
  <c r="Q1619" i="8"/>
  <c r="Q1574" i="8"/>
  <c r="Q872" i="8"/>
  <c r="Q1393" i="8"/>
  <c r="Q1581" i="8"/>
  <c r="Q2164" i="8"/>
  <c r="Q1064" i="8"/>
  <c r="Q1677" i="8"/>
  <c r="Q953" i="8"/>
  <c r="Q1020" i="8"/>
  <c r="Q1403" i="8"/>
  <c r="Q2016" i="8"/>
  <c r="Q1129" i="8"/>
  <c r="Q614" i="8"/>
  <c r="Q1398" i="8"/>
  <c r="Q602" i="8"/>
  <c r="Q971" i="8"/>
  <c r="Q1371" i="8"/>
  <c r="Q1796" i="8"/>
  <c r="Q1184" i="8"/>
  <c r="Q1357" i="8"/>
  <c r="Q483" i="8"/>
  <c r="Q886" i="8"/>
  <c r="Q801" i="8"/>
  <c r="Q292" i="8"/>
  <c r="Q662" i="8"/>
  <c r="Q733" i="8"/>
  <c r="Q164" i="8"/>
  <c r="Q298" i="8"/>
  <c r="Q3085" i="8"/>
  <c r="Q3052" i="8"/>
  <c r="Q3091" i="8"/>
  <c r="Q3001" i="8"/>
  <c r="Q336" i="8"/>
  <c r="Q254" i="8"/>
  <c r="Q314" i="8"/>
  <c r="Q95" i="8"/>
  <c r="Q3186" i="8"/>
  <c r="Q3040" i="8"/>
  <c r="Q2951" i="8"/>
  <c r="Q3123" i="8"/>
  <c r="Q2820" i="8"/>
  <c r="Q3051" i="8"/>
  <c r="Q2795" i="8"/>
  <c r="Q2464" i="8"/>
  <c r="B2479" i="8" s="1"/>
  <c r="B2480" i="8" s="1"/>
  <c r="B2484" i="8" s="1"/>
  <c r="Q2685" i="8"/>
  <c r="Q3187" i="8"/>
  <c r="Q2677" i="8"/>
  <c r="Q2501" i="8"/>
  <c r="Q2834" i="8"/>
  <c r="Q2586" i="8"/>
  <c r="Q2330" i="8"/>
  <c r="Q2721" i="8"/>
  <c r="Q2876" i="8"/>
  <c r="Q2630" i="8"/>
  <c r="Q3189" i="8"/>
  <c r="Q2235" i="8"/>
  <c r="Q2778" i="8"/>
  <c r="Q2186" i="8"/>
  <c r="Q2078" i="8"/>
  <c r="Q2453" i="8"/>
  <c r="Q2238" i="8"/>
  <c r="Q2146" i="8"/>
  <c r="Q2154" i="8"/>
  <c r="Q2074" i="8"/>
  <c r="Q2011" i="8"/>
  <c r="Q1657" i="8"/>
  <c r="Q1841" i="8"/>
  <c r="Q1888" i="8"/>
  <c r="Q1578" i="8"/>
  <c r="Q1623" i="8"/>
  <c r="Q2104" i="8"/>
  <c r="Q1283" i="8"/>
  <c r="Q1525" i="8"/>
  <c r="Q1808" i="8"/>
  <c r="Q1793" i="8"/>
  <c r="Q1618" i="8"/>
  <c r="Q2057" i="8"/>
  <c r="Q1460" i="8"/>
  <c r="Q1503" i="8"/>
  <c r="Q1413" i="8"/>
  <c r="Q1358" i="8"/>
  <c r="Q1446" i="8"/>
  <c r="Q2033" i="8"/>
  <c r="Q975" i="8"/>
  <c r="Q1496" i="8"/>
  <c r="B1511" i="8" s="1"/>
  <c r="B1512" i="8" s="1"/>
  <c r="B1516" i="8" s="1"/>
  <c r="Q921" i="8"/>
  <c r="Q781" i="8"/>
  <c r="Q1185" i="8"/>
  <c r="Q625" i="8"/>
  <c r="Q958" i="8"/>
  <c r="Q1832" i="8"/>
  <c r="Q1050" i="8"/>
  <c r="Q563" i="8"/>
  <c r="Q1330" i="8"/>
  <c r="Q565" i="8"/>
  <c r="Q884" i="8"/>
  <c r="Q1232" i="8"/>
  <c r="B1247" i="8" s="1"/>
  <c r="B1248" i="8" s="1"/>
  <c r="B1252" i="8" s="1"/>
  <c r="Q1576" i="8"/>
  <c r="Q644" i="8"/>
  <c r="Q1146" i="8"/>
  <c r="Q1091" i="8"/>
  <c r="Q474" i="8"/>
  <c r="Q711" i="8"/>
  <c r="Q787" i="8"/>
  <c r="Q312" i="8"/>
  <c r="Q923" i="8"/>
  <c r="B938" i="8" s="1"/>
  <c r="Q249" i="8"/>
  <c r="Q523" i="8"/>
  <c r="Q92" i="8"/>
  <c r="Q664" i="8"/>
  <c r="Q141" i="8"/>
  <c r="Q342" i="8"/>
  <c r="Q734" i="8"/>
  <c r="Q296" i="8"/>
  <c r="Q3084" i="8"/>
  <c r="Q3038" i="8"/>
  <c r="Q3179" i="8"/>
  <c r="Q2950" i="8"/>
  <c r="Q3097" i="8"/>
  <c r="Q2819" i="8"/>
  <c r="Q3042" i="8"/>
  <c r="Q2966" i="8"/>
  <c r="Q2868" i="8"/>
  <c r="Q2994" i="8"/>
  <c r="Q2969" i="8"/>
  <c r="Q2606" i="8"/>
  <c r="Q2466" i="8"/>
  <c r="Q2831" i="8"/>
  <c r="Q2503" i="8"/>
  <c r="Q2633" i="8"/>
  <c r="Q2676" i="8"/>
  <c r="Q2823" i="8"/>
  <c r="Q2624" i="8"/>
  <c r="Q2204" i="8"/>
  <c r="Q2775" i="8"/>
  <c r="Q2163" i="8"/>
  <c r="Q2075" i="8"/>
  <c r="Q2427" i="8"/>
  <c r="Q2202" i="8"/>
  <c r="Q2068" i="8"/>
  <c r="B2083" i="8" s="1"/>
  <c r="B2084" i="8" s="1"/>
  <c r="B2088" i="8" s="1"/>
  <c r="Q2014" i="8"/>
  <c r="Q1836" i="8"/>
  <c r="B1862" i="8" s="1"/>
  <c r="Q1529" i="8"/>
  <c r="Q1537" i="8"/>
  <c r="Q1587" i="8"/>
  <c r="Q2056" i="8"/>
  <c r="Q1270" i="8"/>
  <c r="Q1713" i="8"/>
  <c r="Q1583" i="8"/>
  <c r="B1598" i="8" s="1"/>
  <c r="Q1312" i="8"/>
  <c r="Q1969" i="8"/>
  <c r="Q1437" i="8"/>
  <c r="Q1407" i="8"/>
  <c r="Q1438" i="8"/>
  <c r="Q1366" i="8"/>
  <c r="Q755" i="8"/>
  <c r="Q1313" i="8"/>
  <c r="Q1933" i="8"/>
  <c r="Q962" i="8"/>
  <c r="Q1373" i="8"/>
  <c r="Q890" i="8"/>
  <c r="Q777" i="8"/>
  <c r="Q1134" i="8"/>
  <c r="Q609" i="8"/>
  <c r="Q1768" i="8"/>
  <c r="Q1044" i="8"/>
  <c r="B1070" i="8" s="1"/>
  <c r="Q532" i="8"/>
  <c r="Q1264" i="8"/>
  <c r="Q559" i="8"/>
  <c r="Q882" i="8"/>
  <c r="Q1527" i="8"/>
  <c r="Q623" i="8"/>
  <c r="Q1066" i="8"/>
  <c r="Q999" i="8"/>
  <c r="Q473" i="8"/>
  <c r="Q665" i="8"/>
  <c r="Q779" i="8"/>
  <c r="Q271" i="8"/>
  <c r="Q876" i="8"/>
  <c r="Q445" i="8"/>
  <c r="Q658" i="8"/>
  <c r="Q125" i="8"/>
  <c r="Q575" i="8"/>
  <c r="Q789" i="8"/>
  <c r="Q345" i="8"/>
  <c r="Q3088" i="8"/>
  <c r="Q2948" i="8"/>
  <c r="Q3060" i="8"/>
  <c r="Q3145" i="8"/>
  <c r="Q3009" i="8"/>
  <c r="Q2880" i="8"/>
  <c r="Q2777" i="8"/>
  <c r="Q2992" i="8"/>
  <c r="Q2956" i="8"/>
  <c r="Q2640" i="8"/>
  <c r="Q3013" i="8"/>
  <c r="Q2584" i="8"/>
  <c r="B2610" i="8" s="1"/>
  <c r="Q2335" i="8"/>
  <c r="Q2463" i="8"/>
  <c r="Q2997" i="8"/>
  <c r="Q2631" i="8"/>
  <c r="Q2672" i="8"/>
  <c r="B2698" i="8" s="1"/>
  <c r="Q2559" i="8"/>
  <c r="Q2272" i="8"/>
  <c r="Q2671" i="8"/>
  <c r="Q2693" i="8"/>
  <c r="Q2032" i="8"/>
  <c r="Q2025" i="8"/>
  <c r="Q2069" i="8"/>
  <c r="Q2411" i="8"/>
  <c r="Q2119" i="8"/>
  <c r="Q1964" i="8"/>
  <c r="Q2066" i="8"/>
  <c r="Q2027" i="8"/>
  <c r="Q1986" i="8"/>
  <c r="Q1943" i="8"/>
  <c r="Q1897" i="8"/>
  <c r="Q1625" i="8"/>
  <c r="Q1804" i="8"/>
  <c r="B1819" i="8" s="1"/>
  <c r="B1820" i="8" s="1"/>
  <c r="B1824" i="8" s="1"/>
  <c r="Q1764" i="8"/>
  <c r="Q1489" i="8"/>
  <c r="Q1506" i="8"/>
  <c r="Q1539" i="8"/>
  <c r="Q1989" i="8"/>
  <c r="Q1221" i="8"/>
  <c r="Q1493" i="8"/>
  <c r="Q1750" i="8"/>
  <c r="Q1707" i="8"/>
  <c r="Q1417" i="8"/>
  <c r="Q1179" i="8"/>
  <c r="Q1762" i="8"/>
  <c r="Q1418" i="8"/>
  <c r="Q1309" i="8"/>
  <c r="Q1356" i="8"/>
  <c r="Q742" i="8"/>
  <c r="Q1240" i="8"/>
  <c r="Q1104" i="8"/>
  <c r="Q1638" i="8"/>
  <c r="Q930" i="8"/>
  <c r="Q1352" i="8"/>
  <c r="Q870" i="8"/>
  <c r="Q696" i="8"/>
  <c r="Q1060" i="8"/>
  <c r="Q603" i="8"/>
  <c r="Q839" i="8"/>
  <c r="B940" i="8"/>
  <c r="B3154" i="8"/>
  <c r="B368" i="8"/>
  <c r="B3198" i="8"/>
  <c r="Q380" i="8"/>
  <c r="Q1191" i="8"/>
  <c r="Q441" i="8"/>
  <c r="B454" i="8" s="1"/>
  <c r="Q85" i="8"/>
  <c r="Q161" i="8"/>
  <c r="Q81" i="8"/>
  <c r="Q530" i="8"/>
  <c r="Q704" i="8"/>
  <c r="B719" i="8" s="1"/>
  <c r="B720" i="8" s="1"/>
  <c r="Q347" i="8"/>
  <c r="Q969" i="8"/>
  <c r="Q480" i="8"/>
  <c r="Q744" i="8"/>
  <c r="Q429" i="8"/>
  <c r="Q185" i="8"/>
  <c r="Q1497" i="8"/>
  <c r="Q1061" i="8"/>
  <c r="Q741" i="8"/>
  <c r="Q620" i="8"/>
  <c r="Q831" i="8"/>
  <c r="Q613" i="8"/>
  <c r="Q1374" i="8"/>
  <c r="Q1176" i="8"/>
  <c r="B1202" i="8" s="1"/>
  <c r="Q650" i="8"/>
  <c r="Q1481" i="8"/>
  <c r="Q797" i="8"/>
  <c r="Q1706" i="8"/>
  <c r="Q1700" i="8"/>
  <c r="Q1756" i="8"/>
  <c r="Q1188" i="8"/>
  <c r="Q1015" i="8"/>
  <c r="Q1149" i="8"/>
  <c r="Q1285" i="8"/>
  <c r="Q1661" i="8"/>
  <c r="Q1670" i="8"/>
  <c r="Q2009" i="8"/>
  <c r="Q2055" i="8"/>
  <c r="Q1229" i="8"/>
  <c r="Q2061" i="8"/>
  <c r="Q1242" i="8"/>
  <c r="Q1416" i="8"/>
  <c r="Q1977" i="8"/>
  <c r="Q2470" i="8"/>
  <c r="Q2200" i="8"/>
  <c r="Q1945" i="8"/>
  <c r="Q1810" i="8"/>
  <c r="Q2247" i="8"/>
  <c r="Q2947" i="8"/>
  <c r="Q2279" i="8"/>
  <c r="Q2912" i="8"/>
  <c r="Q2193" i="8"/>
  <c r="Q2549" i="8"/>
  <c r="Q3135" i="8"/>
  <c r="Q2242" i="8"/>
  <c r="Q2327" i="8"/>
  <c r="Q2560" i="8"/>
  <c r="Q3012" i="8"/>
  <c r="Q2688" i="8"/>
  <c r="Q2735" i="8"/>
  <c r="Q3015" i="8"/>
  <c r="Q3092" i="8"/>
  <c r="Q2970" i="8"/>
  <c r="Q3138" i="8"/>
  <c r="B3153" i="8" s="1"/>
  <c r="Q210" i="8"/>
  <c r="I4" i="6"/>
  <c r="Q180" i="8"/>
  <c r="B588" i="8"/>
  <c r="B592" i="8" s="1"/>
  <c r="Q1152" i="8"/>
  <c r="Q439" i="8"/>
  <c r="Q171" i="8"/>
  <c r="Q97" i="8"/>
  <c r="Q568" i="8"/>
  <c r="Q130" i="8"/>
  <c r="Q754" i="8"/>
  <c r="Q1189" i="8"/>
  <c r="Q524" i="8"/>
  <c r="Q123" i="8"/>
  <c r="Q865" i="8"/>
  <c r="Q448" i="8"/>
  <c r="Q206" i="8"/>
  <c r="Q1545" i="8"/>
  <c r="Q1097" i="8"/>
  <c r="Q601" i="8"/>
  <c r="Q827" i="8"/>
  <c r="Q713" i="8"/>
  <c r="Q1540" i="8"/>
  <c r="Q1350" i="8"/>
  <c r="Q651" i="8"/>
  <c r="Q1524" i="8"/>
  <c r="Q829" i="8"/>
  <c r="Q732" i="8"/>
  <c r="Q1751" i="8"/>
  <c r="Q1711" i="8"/>
  <c r="Q2106" i="8"/>
  <c r="Q1274" i="8"/>
  <c r="Q1594" i="8"/>
  <c r="Q1108" i="8"/>
  <c r="Q1196" i="8"/>
  <c r="Q1724" i="8"/>
  <c r="Q1262" i="8"/>
  <c r="Q2109" i="8"/>
  <c r="Q1230" i="8"/>
  <c r="Q1273" i="8"/>
  <c r="Q1444" i="8"/>
  <c r="Q1990" i="8"/>
  <c r="Q1797" i="8"/>
  <c r="Q2054" i="8"/>
  <c r="Q2239" i="8"/>
  <c r="Q1965" i="8"/>
  <c r="Q1853" i="8"/>
  <c r="Q2908" i="8"/>
  <c r="Q2201" i="8"/>
  <c r="B2214" i="8" s="1"/>
  <c r="Q2286" i="8"/>
  <c r="Q2228" i="8"/>
  <c r="Q2325" i="8"/>
  <c r="Q2634" i="8"/>
  <c r="Q2233" i="8"/>
  <c r="Q2246" i="8"/>
  <c r="Q2545" i="8"/>
  <c r="Q2557" i="8"/>
  <c r="Q3182" i="8"/>
  <c r="B3197" i="8" s="1"/>
  <c r="Q3098" i="8"/>
  <c r="Q2722" i="8"/>
  <c r="Q2787" i="8"/>
  <c r="Q3058" i="8"/>
  <c r="Q3081" i="8"/>
  <c r="Q82" i="8"/>
  <c r="Q843" i="8"/>
  <c r="B1908" i="8"/>
  <c r="B1912" i="8" s="1"/>
  <c r="B1028" i="8"/>
  <c r="B1032" i="8" s="1"/>
  <c r="Q391" i="8"/>
  <c r="B1072" i="8"/>
  <c r="B1076" i="8" s="1"/>
  <c r="Q75" i="8"/>
  <c r="Q204" i="8"/>
  <c r="Q118" i="8"/>
  <c r="Q706" i="8"/>
  <c r="Q134" i="8"/>
  <c r="Q925" i="8"/>
  <c r="Q404" i="8"/>
  <c r="Q8" i="6"/>
  <c r="Q619" i="8"/>
  <c r="Q538" i="8"/>
  <c r="Q208" i="8"/>
  <c r="B234" i="8" s="1"/>
  <c r="Q1633" i="8"/>
  <c r="Q1137" i="8"/>
  <c r="Q880" i="8"/>
  <c r="B895" i="8" s="1"/>
  <c r="B896" i="8" s="1"/>
  <c r="B900" i="8" s="1"/>
  <c r="Q1003" i="8"/>
  <c r="Q688" i="8"/>
  <c r="Q1575" i="8"/>
  <c r="Q1488" i="8"/>
  <c r="Q697" i="8"/>
  <c r="Q1531" i="8"/>
  <c r="Q1791" i="8"/>
  <c r="Q1746" i="8"/>
  <c r="Q2516" i="8"/>
  <c r="Q1327" i="8"/>
  <c r="Q1153" i="8"/>
  <c r="Q1233" i="8"/>
  <c r="Q1758" i="8"/>
  <c r="Q1726" i="8"/>
  <c r="Q1261" i="8"/>
  <c r="Q1234" i="8"/>
  <c r="Q1453" i="8"/>
  <c r="Q1920" i="8"/>
  <c r="Q1876" i="8"/>
  <c r="Q2165" i="8"/>
  <c r="Q1979" i="8"/>
  <c r="Q1858" i="8"/>
  <c r="Q2291" i="8"/>
  <c r="Q1940" i="8"/>
  <c r="Q2290" i="8"/>
  <c r="Q2338" i="8"/>
  <c r="Q3181" i="8"/>
  <c r="Q2229" i="8"/>
  <c r="Q2457" i="8"/>
  <c r="Q2553" i="8"/>
  <c r="Q3177" i="8"/>
  <c r="Q2282" i="8"/>
  <c r="Q2249" i="8"/>
  <c r="Q2680" i="8"/>
  <c r="Q2582" i="8"/>
  <c r="Q2673" i="8"/>
  <c r="Q2717" i="8"/>
  <c r="Q2723" i="8"/>
  <c r="Q2784" i="8"/>
  <c r="Q3192" i="8"/>
  <c r="Q3191" i="8"/>
  <c r="Q3176" i="8"/>
  <c r="Q3166" i="8"/>
  <c r="Q74" i="8"/>
  <c r="B852" i="8"/>
  <c r="B856" i="8" s="1"/>
  <c r="Q654" i="8"/>
  <c r="Q352" i="8"/>
  <c r="Q425" i="8"/>
  <c r="Q220" i="8"/>
  <c r="Q120" i="8"/>
  <c r="B146" i="8" s="1"/>
  <c r="Q824" i="8"/>
  <c r="Q137" i="8"/>
  <c r="Q1017" i="8"/>
  <c r="Q431" i="8"/>
  <c r="Q28" i="6"/>
  <c r="Q668" i="8"/>
  <c r="Q178" i="8"/>
  <c r="Q1181" i="8"/>
  <c r="Q209" i="8"/>
  <c r="Q799" i="8"/>
  <c r="Q1394" i="8"/>
  <c r="Q702" i="8"/>
  <c r="Q908" i="8"/>
  <c r="Q748" i="8"/>
  <c r="Q1005" i="8"/>
  <c r="Q708" i="8"/>
  <c r="Q1970" i="8"/>
  <c r="Q776" i="8"/>
  <c r="Q1805" i="8"/>
  <c r="B1818" i="8" s="1"/>
  <c r="Q800" i="8"/>
  <c r="Q1491" i="8"/>
  <c r="Q1790" i="8"/>
  <c r="Q1231" i="8"/>
  <c r="Q1753" i="8"/>
  <c r="Q1404" i="8"/>
  <c r="Q1399" i="8"/>
  <c r="Q1271" i="8"/>
  <c r="Q2407" i="8"/>
  <c r="Q1237" i="8"/>
  <c r="Q1305" i="8"/>
  <c r="Q1483" i="8"/>
  <c r="Q2058" i="8"/>
  <c r="Q1930" i="8"/>
  <c r="Q1887" i="8"/>
  <c r="Q2245" i="8"/>
  <c r="Q2460" i="8"/>
  <c r="Q2010" i="8"/>
  <c r="B2304" i="8"/>
  <c r="Q1900" i="8"/>
  <c r="Q1971" i="8"/>
  <c r="Q2380" i="8"/>
  <c r="Q2539" i="8"/>
  <c r="Q2546" i="8"/>
  <c r="Q2459" i="8"/>
  <c r="Q2452" i="8"/>
  <c r="Q2594" i="8"/>
  <c r="Q2783" i="8"/>
  <c r="Q2295" i="8"/>
  <c r="Q2284" i="8"/>
  <c r="Q2583" i="8"/>
  <c r="Q2687" i="8"/>
  <c r="Q2725" i="8"/>
  <c r="Q2825" i="8"/>
  <c r="Q3087" i="8"/>
  <c r="Q3170" i="8"/>
  <c r="B3196" i="8" s="1"/>
  <c r="I5" i="6"/>
  <c r="Q1542" i="8"/>
  <c r="Q313" i="8"/>
  <c r="Q121" i="8"/>
  <c r="Q835" i="8"/>
  <c r="Q172" i="8"/>
  <c r="Q1095" i="8"/>
  <c r="Q435" i="8"/>
  <c r="Q80" i="8"/>
  <c r="Q181" i="8"/>
  <c r="Q1224" i="8"/>
  <c r="Q612" i="8"/>
  <c r="Q226" i="8"/>
  <c r="Q888" i="8"/>
  <c r="Q1487" i="8"/>
  <c r="Q746" i="8"/>
  <c r="Q1001" i="8"/>
  <c r="Q778" i="8"/>
  <c r="Q1043" i="8"/>
  <c r="Q712" i="8"/>
  <c r="Q529" i="8"/>
  <c r="B542" i="8" s="1"/>
  <c r="Q1582" i="8"/>
  <c r="Q756" i="8"/>
  <c r="Q1671" i="8"/>
  <c r="Q785" i="8"/>
  <c r="Q828" i="8"/>
  <c r="Q1397" i="8"/>
  <c r="Q1631" i="8"/>
  <c r="Q1267" i="8"/>
  <c r="Q1703" i="8"/>
  <c r="Q1789" i="8"/>
  <c r="Q1812" i="8"/>
  <c r="Q1636" i="8"/>
  <c r="Q1304" i="8"/>
  <c r="Q1272" i="8"/>
  <c r="Q1315" i="8"/>
  <c r="Q1591" i="8"/>
  <c r="Q2098" i="8"/>
  <c r="Q1968" i="8"/>
  <c r="B1994" i="8" s="1"/>
  <c r="Q2383" i="8"/>
  <c r="Q2013" i="8"/>
  <c r="Q2324" i="8"/>
  <c r="Q1928" i="8"/>
  <c r="Q1984" i="8"/>
  <c r="Q2597" i="8"/>
  <c r="Q2595" i="8"/>
  <c r="Q2494" i="8"/>
  <c r="Q2508" i="8"/>
  <c r="B2523" i="8" s="1"/>
  <c r="B2524" i="8" s="1"/>
  <c r="Q2598" i="8"/>
  <c r="Q2954" i="8"/>
  <c r="Q2287" i="8"/>
  <c r="B3022" i="8"/>
  <c r="B3026" i="8" s="1"/>
  <c r="Q2730" i="8"/>
  <c r="Q2925" i="8"/>
  <c r="Q2726" i="8"/>
  <c r="Q2829" i="8"/>
  <c r="Q2770" i="8"/>
  <c r="Q2878" i="8"/>
  <c r="Q3143" i="8"/>
  <c r="Q3129" i="8"/>
  <c r="Q72" i="8"/>
  <c r="Q341" i="8"/>
  <c r="Q1316" i="8"/>
  <c r="Q90" i="8"/>
  <c r="Q976" i="8"/>
  <c r="Q382" i="8"/>
  <c r="Q317" i="8"/>
  <c r="Q138" i="8"/>
  <c r="Q841" i="8"/>
  <c r="Q175" i="8"/>
  <c r="Q1490" i="8"/>
  <c r="Q89" i="8"/>
  <c r="Q788" i="8"/>
  <c r="Q216" i="8"/>
  <c r="Q1235" i="8"/>
  <c r="Q615" i="8"/>
  <c r="Q258" i="8"/>
  <c r="Q961" i="8"/>
  <c r="Q1504" i="8"/>
  <c r="Q757" i="8"/>
  <c r="Q1173" i="8"/>
  <c r="Q790" i="8"/>
  <c r="Q1055" i="8"/>
  <c r="Q821" i="8"/>
  <c r="Q581" i="8"/>
  <c r="Q1593" i="8"/>
  <c r="Q919" i="8"/>
  <c r="Q1717" i="8"/>
  <c r="Q1053" i="8"/>
  <c r="Q834" i="8"/>
  <c r="Q576" i="8"/>
  <c r="Q996" i="8"/>
  <c r="Q837" i="8"/>
  <c r="B850" i="8" s="1"/>
  <c r="Q1801" i="8"/>
  <c r="Q647" i="8"/>
  <c r="Q1278" i="8"/>
  <c r="Q1541" i="8"/>
  <c r="Q1757" i="8"/>
  <c r="Q1809" i="8"/>
  <c r="Q1890" i="8"/>
  <c r="Q1450" i="8"/>
  <c r="Q1320" i="8"/>
  <c r="B1335" i="8" s="1"/>
  <c r="B1336" i="8" s="1"/>
  <c r="B1340" i="8" s="1"/>
  <c r="Q1409" i="8"/>
  <c r="B1422" i="8" s="1"/>
  <c r="Q1275" i="8"/>
  <c r="Q1348" i="8"/>
  <c r="Q1833" i="8"/>
  <c r="Q2012" i="8"/>
  <c r="B2038" i="8" s="1"/>
  <c r="Q2429" i="8"/>
  <c r="Q1835" i="8"/>
  <c r="Q2017" i="8"/>
  <c r="Q2195" i="8"/>
  <c r="Q2331" i="8"/>
  <c r="Q1937" i="8"/>
  <c r="Q2643" i="8"/>
  <c r="Q2625" i="8"/>
  <c r="Q2367" i="8"/>
  <c r="Q2554" i="8"/>
  <c r="Q2626" i="8"/>
  <c r="Q2961" i="8"/>
  <c r="B2976" i="8" s="1"/>
  <c r="Q2384" i="8"/>
  <c r="Q3059" i="8"/>
  <c r="Q2786" i="8"/>
  <c r="B2801" i="8" s="1"/>
  <c r="B2802" i="8" s="1"/>
  <c r="B2806" i="8" s="1"/>
  <c r="Q2738" i="8"/>
  <c r="Q2817" i="8"/>
  <c r="Q2836" i="8"/>
  <c r="Q2785" i="8"/>
  <c r="B2800" i="8" s="1"/>
  <c r="Q2909" i="8"/>
  <c r="Q487" i="8"/>
  <c r="Q447" i="8"/>
  <c r="B2040" i="8"/>
  <c r="B2044" i="8" s="1"/>
  <c r="Q1926" i="8"/>
  <c r="B324" i="8"/>
  <c r="Q356" i="8"/>
  <c r="Q1277" i="8"/>
  <c r="Q389" i="8"/>
  <c r="Q170" i="8"/>
  <c r="Q1049" i="8"/>
  <c r="Q223" i="8"/>
  <c r="Q1586" i="8"/>
  <c r="Q119" i="8"/>
  <c r="Q909" i="8"/>
  <c r="Q219" i="8"/>
  <c r="Q1317" i="8"/>
  <c r="Q655" i="8"/>
  <c r="Q384" i="8"/>
  <c r="B410" i="8" s="1"/>
  <c r="Q1054" i="8"/>
  <c r="Q1538" i="8"/>
  <c r="Q846" i="8"/>
  <c r="Q1392" i="8"/>
  <c r="Q796" i="8"/>
  <c r="Q822" i="8"/>
  <c r="Q605" i="8"/>
  <c r="Q1660" i="8"/>
  <c r="Q920" i="8"/>
  <c r="Q1766" i="8"/>
  <c r="Q1058" i="8"/>
  <c r="Q869" i="8"/>
  <c r="Q607" i="8"/>
  <c r="Q1012" i="8"/>
  <c r="B1027" i="8" s="1"/>
  <c r="Q867" i="8"/>
  <c r="Q2067" i="8"/>
  <c r="B2082" i="8" s="1"/>
  <c r="Q669" i="8"/>
  <c r="Q1307" i="8"/>
  <c r="Q1759" i="8"/>
  <c r="Q1837" i="8"/>
  <c r="Q1666" i="8"/>
  <c r="Q1454" i="8"/>
  <c r="Q1442" i="8"/>
  <c r="Q1439" i="8"/>
  <c r="Q1364" i="8"/>
  <c r="B1379" i="8" s="1"/>
  <c r="B1380" i="8" s="1"/>
  <c r="Q1842" i="8"/>
  <c r="Q2159" i="8"/>
  <c r="Q1893" i="8"/>
  <c r="B1906" i="8" s="1"/>
  <c r="Q1854" i="8"/>
  <c r="Q2053" i="8"/>
  <c r="Q1813" i="8"/>
  <c r="Q2340" i="8"/>
  <c r="Q1967" i="8"/>
  <c r="Q2796" i="8"/>
  <c r="Q2544" i="8"/>
  <c r="Q2681" i="8"/>
  <c r="Q2638" i="8"/>
  <c r="Q2588" i="8"/>
  <c r="Q2599" i="8"/>
  <c r="Q2366" i="8"/>
  <c r="Q2190" i="8"/>
  <c r="Q2412" i="8"/>
  <c r="Q3126" i="8"/>
  <c r="B3152" i="8" s="1"/>
  <c r="Q2832" i="8"/>
  <c r="Q2779" i="8"/>
  <c r="Q2877" i="8"/>
  <c r="Q2971" i="8"/>
  <c r="Q2873" i="8"/>
  <c r="B2888" i="8" s="1"/>
  <c r="Q2791" i="8"/>
  <c r="Q3146" i="8"/>
  <c r="Q23" i="6"/>
  <c r="B2934" i="8"/>
  <c r="B2938" i="8" s="1"/>
  <c r="B189" i="8"/>
  <c r="B1465" i="8"/>
  <c r="B541" i="8"/>
  <c r="B2345" i="8"/>
  <c r="G80" i="8"/>
  <c r="G696" i="8"/>
  <c r="G388" i="8"/>
  <c r="B2348" i="8"/>
  <c r="B2352" i="8" s="1"/>
  <c r="G78" i="8"/>
  <c r="G1442" i="8"/>
  <c r="G1662" i="8"/>
  <c r="G562" i="8"/>
  <c r="G166" i="8"/>
  <c r="G122" i="8"/>
  <c r="G738" i="8"/>
  <c r="I914" i="8"/>
  <c r="I910" i="8"/>
  <c r="I909" i="8"/>
  <c r="I911" i="8"/>
  <c r="I916" i="8"/>
  <c r="I913" i="8"/>
  <c r="I2632" i="8"/>
  <c r="I2630" i="8"/>
  <c r="I2629" i="8"/>
  <c r="I2625" i="8"/>
  <c r="I2627" i="8"/>
  <c r="I2626" i="8"/>
  <c r="I2998" i="8"/>
  <c r="I2996" i="8"/>
  <c r="I2995" i="8"/>
  <c r="I2991" i="8"/>
  <c r="I2992" i="8"/>
  <c r="I2993" i="8"/>
  <c r="I2187" i="8"/>
  <c r="I2192" i="8"/>
  <c r="I2189" i="8"/>
  <c r="I2190" i="8"/>
  <c r="I2186" i="8"/>
  <c r="I2185" i="8"/>
  <c r="I251" i="8"/>
  <c r="I254" i="8"/>
  <c r="I253" i="8"/>
  <c r="I250" i="8"/>
  <c r="I256" i="8"/>
  <c r="I249" i="8"/>
  <c r="I2493" i="8"/>
  <c r="I2500" i="8"/>
  <c r="I2497" i="8"/>
  <c r="I2495" i="8"/>
  <c r="I2494" i="8"/>
  <c r="I2498" i="8"/>
  <c r="I1437" i="8"/>
  <c r="I1438" i="8"/>
  <c r="I1442" i="8"/>
  <c r="I1444" i="8"/>
  <c r="I1439" i="8"/>
  <c r="I1441" i="8"/>
  <c r="I1532" i="8"/>
  <c r="I1527" i="8"/>
  <c r="I1525" i="8"/>
  <c r="I1530" i="8"/>
  <c r="I1529" i="8"/>
  <c r="I1526" i="8"/>
  <c r="I2903" i="8"/>
  <c r="I2905" i="8"/>
  <c r="I2904" i="8"/>
  <c r="I2907" i="8"/>
  <c r="I2908" i="8"/>
  <c r="I2910" i="8"/>
  <c r="I1884" i="8"/>
  <c r="I1877" i="8"/>
  <c r="I1882" i="8"/>
  <c r="I1879" i="8"/>
  <c r="I1881" i="8"/>
  <c r="I1878" i="8"/>
  <c r="I212" i="8"/>
  <c r="I207" i="8"/>
  <c r="I210" i="8"/>
  <c r="I205" i="8"/>
  <c r="I206" i="8"/>
  <c r="I209" i="8"/>
  <c r="B2894" i="8"/>
  <c r="B372" i="8"/>
  <c r="I1571" i="8"/>
  <c r="I1574" i="8"/>
  <c r="I1573" i="8"/>
  <c r="I1570" i="8"/>
  <c r="I1576" i="8"/>
  <c r="I1569" i="8"/>
  <c r="I960" i="8"/>
  <c r="I957" i="8"/>
  <c r="I958" i="8"/>
  <c r="I953" i="8"/>
  <c r="I954" i="8"/>
  <c r="I955" i="8"/>
  <c r="B3114" i="8"/>
  <c r="B944" i="8"/>
  <c r="B2308" i="8"/>
  <c r="B328" i="8"/>
  <c r="B3158" i="8"/>
  <c r="O3145" i="8"/>
  <c r="O3132" i="8"/>
  <c r="O3182" i="8"/>
  <c r="O3190" i="8"/>
  <c r="O3126" i="8"/>
  <c r="O3102" i="8"/>
  <c r="O3098" i="8"/>
  <c r="O3095" i="8"/>
  <c r="O3148" i="8"/>
  <c r="O3140" i="8"/>
  <c r="O3183" i="8"/>
  <c r="O3096" i="8"/>
  <c r="O3093" i="8"/>
  <c r="O3057" i="8"/>
  <c r="O3044" i="8"/>
  <c r="O2994" i="8"/>
  <c r="O2971" i="8"/>
  <c r="O3186" i="8"/>
  <c r="O3170" i="8"/>
  <c r="O3104" i="8"/>
  <c r="O3141" i="8"/>
  <c r="O3094" i="8"/>
  <c r="O3049" i="8"/>
  <c r="O3009" i="8"/>
  <c r="O3103" i="8"/>
  <c r="O3058" i="8"/>
  <c r="O3051" i="8"/>
  <c r="O3013" i="8"/>
  <c r="O2963" i="8"/>
  <c r="O2874" i="8"/>
  <c r="O2966" i="8"/>
  <c r="O2922" i="8"/>
  <c r="O2833" i="8"/>
  <c r="O3184" i="8"/>
  <c r="O3176" i="8"/>
  <c r="O2970" i="8"/>
  <c r="O2955" i="8"/>
  <c r="O2919" i="8"/>
  <c r="O2882" i="8"/>
  <c r="O3142" i="8"/>
  <c r="O3043" i="8"/>
  <c r="O2962" i="8"/>
  <c r="O2839" i="8"/>
  <c r="O2788" i="8"/>
  <c r="O2736" i="8"/>
  <c r="O3088" i="8"/>
  <c r="O3038" i="8"/>
  <c r="O2956" i="8"/>
  <c r="O2906" i="8"/>
  <c r="O2883" i="8"/>
  <c r="O2785" i="8"/>
  <c r="O3138" i="8"/>
  <c r="O3101" i="8"/>
  <c r="O3054" i="8"/>
  <c r="O2967" i="8"/>
  <c r="O2875" i="8"/>
  <c r="O2818" i="8"/>
  <c r="O2791" i="8"/>
  <c r="O3192" i="8"/>
  <c r="O3143" i="8"/>
  <c r="O3099" i="8"/>
  <c r="O3097" i="8"/>
  <c r="O3060" i="8"/>
  <c r="O3015" i="8"/>
  <c r="O3059" i="8"/>
  <c r="O3011" i="8"/>
  <c r="O3007" i="8"/>
  <c r="O2921" i="8"/>
  <c r="O2912" i="8"/>
  <c r="O2831" i="8"/>
  <c r="O2794" i="8"/>
  <c r="O2779" i="8"/>
  <c r="O2738" i="8"/>
  <c r="O2599" i="8"/>
  <c r="O2551" i="8"/>
  <c r="O2513" i="8"/>
  <c r="O2510" i="8"/>
  <c r="O3147" i="8"/>
  <c r="O2877" i="8"/>
  <c r="O2648" i="8"/>
  <c r="O2559" i="8"/>
  <c r="O2546" i="8"/>
  <c r="O2964" i="8"/>
  <c r="O3000" i="8"/>
  <c r="O2917" i="8"/>
  <c r="O2873" i="8"/>
  <c r="O2829" i="8"/>
  <c r="O2722" i="8"/>
  <c r="O2688" i="8"/>
  <c r="O2644" i="8"/>
  <c r="O3185" i="8"/>
  <c r="O3191" i="8"/>
  <c r="O3082" i="8"/>
  <c r="O3008" i="8"/>
  <c r="O2823" i="8"/>
  <c r="O2677" i="8"/>
  <c r="O2642" i="8"/>
  <c r="O2639" i="8"/>
  <c r="O2633" i="8"/>
  <c r="O2606" i="8"/>
  <c r="O3137" i="8"/>
  <c r="O2950" i="8"/>
  <c r="O2793" i="8"/>
  <c r="O2780" i="8"/>
  <c r="O2731" i="8"/>
  <c r="O2729" i="8"/>
  <c r="O2716" i="8"/>
  <c r="O3175" i="8"/>
  <c r="O3053" i="8"/>
  <c r="O3010" i="8"/>
  <c r="O2881" i="8"/>
  <c r="O2868" i="8"/>
  <c r="O3146" i="8"/>
  <c r="O3050" i="8"/>
  <c r="O2879" i="8"/>
  <c r="O3016" i="8"/>
  <c r="O3014" i="8"/>
  <c r="O2795" i="8"/>
  <c r="O3139" i="8"/>
  <c r="O2689" i="8"/>
  <c r="O2672" i="8"/>
  <c r="O2650" i="8"/>
  <c r="O2595" i="8"/>
  <c r="O2554" i="8"/>
  <c r="O2512" i="8"/>
  <c r="O2467" i="8"/>
  <c r="O2926" i="8"/>
  <c r="O2878" i="8"/>
  <c r="O2867" i="8"/>
  <c r="O2692" i="8"/>
  <c r="O2598" i="8"/>
  <c r="O2516" i="8"/>
  <c r="O2830" i="8"/>
  <c r="O2589" i="8"/>
  <c r="O2464" i="8"/>
  <c r="O3055" i="8"/>
  <c r="O2969" i="8"/>
  <c r="O2837" i="8"/>
  <c r="O2835" i="8"/>
  <c r="O2730" i="8"/>
  <c r="O2687" i="8"/>
  <c r="O2685" i="8"/>
  <c r="O2560" i="8"/>
  <c r="O2507" i="8"/>
  <c r="O3005" i="8"/>
  <c r="O2824" i="8"/>
  <c r="O2790" i="8"/>
  <c r="O2732" i="8"/>
  <c r="O2640" i="8"/>
  <c r="O2604" i="8"/>
  <c r="O2474" i="8"/>
  <c r="O2471" i="8"/>
  <c r="O2379" i="8"/>
  <c r="O2331" i="8"/>
  <c r="O2293" i="8"/>
  <c r="O2290" i="8"/>
  <c r="O2204" i="8"/>
  <c r="O2115" i="8"/>
  <c r="O2067" i="8"/>
  <c r="O2694" i="8"/>
  <c r="O2634" i="8"/>
  <c r="O2562" i="8"/>
  <c r="O2468" i="8"/>
  <c r="O2428" i="8"/>
  <c r="O2339" i="8"/>
  <c r="O2326" i="8"/>
  <c r="O2276" i="8"/>
  <c r="O2253" i="8"/>
  <c r="O2237" i="8"/>
  <c r="O2201" i="8"/>
  <c r="O2164" i="8"/>
  <c r="O2075" i="8"/>
  <c r="O2062" i="8"/>
  <c r="O2012" i="8"/>
  <c r="O1989" i="8"/>
  <c r="O3006" i="8"/>
  <c r="O2683" i="8"/>
  <c r="O2584" i="8"/>
  <c r="O2545" i="8"/>
  <c r="O2517" i="8"/>
  <c r="O2376" i="8"/>
  <c r="O2254" i="8"/>
  <c r="O2515" i="8"/>
  <c r="O2424" i="8"/>
  <c r="O2335" i="8"/>
  <c r="O2287" i="8"/>
  <c r="O2249" i="8"/>
  <c r="O2246" i="8"/>
  <c r="O2160" i="8"/>
  <c r="O3181" i="8"/>
  <c r="O2862" i="8"/>
  <c r="O2796" i="8"/>
  <c r="O2774" i="8"/>
  <c r="O2693" i="8"/>
  <c r="O2628" i="8"/>
  <c r="O2473" i="8"/>
  <c r="O2458" i="8"/>
  <c r="O2972" i="8"/>
  <c r="O2928" i="8"/>
  <c r="O2925" i="8"/>
  <c r="O2735" i="8"/>
  <c r="O2603" i="8"/>
  <c r="O2508" i="8"/>
  <c r="O3187" i="8"/>
  <c r="O3052" i="8"/>
  <c r="O2911" i="8"/>
  <c r="O2884" i="8"/>
  <c r="O2596" i="8"/>
  <c r="O2337" i="8"/>
  <c r="O2325" i="8"/>
  <c r="O3131" i="8"/>
  <c r="O3087" i="8"/>
  <c r="O2787" i="8"/>
  <c r="O2727" i="8"/>
  <c r="O2721" i="8"/>
  <c r="O2641" i="8"/>
  <c r="O2425" i="8"/>
  <c r="O2647" i="8"/>
  <c r="O2413" i="8"/>
  <c r="O2334" i="8"/>
  <c r="O2188" i="8"/>
  <c r="O2728" i="8"/>
  <c r="O2557" i="8"/>
  <c r="O2421" i="8"/>
  <c r="O2332" i="8"/>
  <c r="O2296" i="8"/>
  <c r="O2923" i="8"/>
  <c r="O2920" i="8"/>
  <c r="O2789" i="8"/>
  <c r="O2649" i="8"/>
  <c r="O2452" i="8"/>
  <c r="O2423" i="8"/>
  <c r="O2288" i="8"/>
  <c r="O2876" i="8"/>
  <c r="O2832" i="8"/>
  <c r="O2786" i="8"/>
  <c r="O2678" i="8"/>
  <c r="O2502" i="8"/>
  <c r="O2840" i="8"/>
  <c r="O2838" i="8"/>
  <c r="O2733" i="8"/>
  <c r="O2561" i="8"/>
  <c r="O2556" i="8"/>
  <c r="O2463" i="8"/>
  <c r="O2469" i="8"/>
  <c r="O2429" i="8"/>
  <c r="O2427" i="8"/>
  <c r="O2243" i="8"/>
  <c r="O2737" i="8"/>
  <c r="O2553" i="8"/>
  <c r="O2419" i="8"/>
  <c r="O2684" i="8"/>
  <c r="O2518" i="8"/>
  <c r="O2340" i="8"/>
  <c r="O2320" i="8"/>
  <c r="O2199" i="8"/>
  <c r="O2163" i="8"/>
  <c r="O3189" i="8"/>
  <c r="O2999" i="8"/>
  <c r="O2834" i="8"/>
  <c r="O2466" i="8"/>
  <c r="O2408" i="8"/>
  <c r="O2965" i="8"/>
  <c r="O2918" i="8"/>
  <c r="O2600" i="8"/>
  <c r="O2590" i="8"/>
  <c r="O2386" i="8"/>
  <c r="O2381" i="8"/>
  <c r="O2686" i="8"/>
  <c r="O2643" i="8"/>
  <c r="O2597" i="8"/>
  <c r="O2414" i="8"/>
  <c r="O2384" i="8"/>
  <c r="O2927" i="8"/>
  <c r="O2509" i="8"/>
  <c r="O2248" i="8"/>
  <c r="O2165" i="8"/>
  <c r="O2071" i="8"/>
  <c r="O2068" i="8"/>
  <c r="O2061" i="8"/>
  <c r="O1936" i="8"/>
  <c r="O2472" i="8"/>
  <c r="O2378" i="8"/>
  <c r="O2341" i="8"/>
  <c r="O2155" i="8"/>
  <c r="O2149" i="8"/>
  <c r="O2117" i="8"/>
  <c r="O2105" i="8"/>
  <c r="O2077" i="8"/>
  <c r="O2017" i="8"/>
  <c r="O2430" i="8"/>
  <c r="O2380" i="8"/>
  <c r="O2295" i="8"/>
  <c r="O2208" i="8"/>
  <c r="O2158" i="8"/>
  <c r="O2121" i="8"/>
  <c r="O2032" i="8"/>
  <c r="O1944" i="8"/>
  <c r="O2605" i="8"/>
  <c r="O2420" i="8"/>
  <c r="O2251" i="8"/>
  <c r="O2194" i="8"/>
  <c r="O2028" i="8"/>
  <c r="O1981" i="8"/>
  <c r="O1892" i="8"/>
  <c r="O2511" i="8"/>
  <c r="O2422" i="8"/>
  <c r="O2336" i="8"/>
  <c r="O2297" i="8"/>
  <c r="O2166" i="8"/>
  <c r="O2112" i="8"/>
  <c r="O2078" i="8"/>
  <c r="O2025" i="8"/>
  <c r="O1984" i="8"/>
  <c r="O2496" i="8"/>
  <c r="O2281" i="8"/>
  <c r="O2122" i="8"/>
  <c r="O2069" i="8"/>
  <c r="O2377" i="8"/>
  <c r="O2056" i="8"/>
  <c r="O1990" i="8"/>
  <c r="O1985" i="8"/>
  <c r="O1939" i="8"/>
  <c r="O1891" i="8"/>
  <c r="O1806" i="8"/>
  <c r="O1798" i="8"/>
  <c r="O2203" i="8"/>
  <c r="O2193" i="8"/>
  <c r="O2034" i="8"/>
  <c r="O1973" i="8"/>
  <c r="O1937" i="8"/>
  <c r="O1929" i="8"/>
  <c r="O1901" i="8"/>
  <c r="O1850" i="8"/>
  <c r="O1809" i="8"/>
  <c r="O1803" i="8"/>
  <c r="O1726" i="8"/>
  <c r="O2207" i="8"/>
  <c r="O2161" i="8"/>
  <c r="O2111" i="8"/>
  <c r="O2100" i="8"/>
  <c r="O2076" i="8"/>
  <c r="O2070" i="8"/>
  <c r="O2029" i="8"/>
  <c r="O1983" i="8"/>
  <c r="O1857" i="8"/>
  <c r="O1847" i="8"/>
  <c r="O1813" i="8"/>
  <c r="O1759" i="8"/>
  <c r="O2369" i="8"/>
  <c r="O2333" i="8"/>
  <c r="O2156" i="8"/>
  <c r="O2072" i="8"/>
  <c r="O1858" i="8"/>
  <c r="O1853" i="8"/>
  <c r="O2205" i="8"/>
  <c r="O1988" i="8"/>
  <c r="O1979" i="8"/>
  <c r="O1945" i="8"/>
  <c r="O1902" i="8"/>
  <c r="O1814" i="8"/>
  <c r="O2457" i="8"/>
  <c r="O2027" i="8"/>
  <c r="O1895" i="8"/>
  <c r="O2244" i="8"/>
  <c r="O2144" i="8"/>
  <c r="O1880" i="8"/>
  <c r="O2385" i="8"/>
  <c r="O2157" i="8"/>
  <c r="O1855" i="8"/>
  <c r="O1808" i="8"/>
  <c r="O1769" i="8"/>
  <c r="O1763" i="8"/>
  <c r="O1760" i="8"/>
  <c r="O2501" i="8"/>
  <c r="O2252" i="8"/>
  <c r="O2210" i="8"/>
  <c r="O2202" i="8"/>
  <c r="O1893" i="8"/>
  <c r="O1717" i="8"/>
  <c r="O1660" i="8"/>
  <c r="O1633" i="8"/>
  <c r="O1630" i="8"/>
  <c r="O2292" i="8"/>
  <c r="O2289" i="8"/>
  <c r="O2026" i="8"/>
  <c r="O1897" i="8"/>
  <c r="O1797" i="8"/>
  <c r="O1767" i="8"/>
  <c r="O1754" i="8"/>
  <c r="O1724" i="8"/>
  <c r="O1720" i="8"/>
  <c r="O2601" i="8"/>
  <c r="O2024" i="8"/>
  <c r="O1935" i="8"/>
  <c r="O1885" i="8"/>
  <c r="O1770" i="8"/>
  <c r="O1968" i="8"/>
  <c r="O1930" i="8"/>
  <c r="O1851" i="8"/>
  <c r="O2465" i="8"/>
  <c r="O2245" i="8"/>
  <c r="O2209" i="8"/>
  <c r="O2023" i="8"/>
  <c r="O2298" i="8"/>
  <c r="O2159" i="8"/>
  <c r="O1946" i="8"/>
  <c r="O1896" i="8"/>
  <c r="O1753" i="8"/>
  <c r="O1748" i="8"/>
  <c r="O1723" i="8"/>
  <c r="O1629" i="8"/>
  <c r="O1550" i="8"/>
  <c r="O1408" i="8"/>
  <c r="O2552" i="8"/>
  <c r="O1886" i="8"/>
  <c r="O1677" i="8"/>
  <c r="O1636" i="8"/>
  <c r="O1632" i="8"/>
  <c r="O1583" i="8"/>
  <c r="O1545" i="8"/>
  <c r="O1542" i="8"/>
  <c r="O1456" i="8"/>
  <c r="O1367" i="8"/>
  <c r="O1319" i="8"/>
  <c r="O1281" i="8"/>
  <c r="O1278" i="8"/>
  <c r="O1192" i="8"/>
  <c r="O2383" i="8"/>
  <c r="O2370" i="8"/>
  <c r="O2120" i="8"/>
  <c r="O1924" i="8"/>
  <c r="O1842" i="8"/>
  <c r="O1804" i="8"/>
  <c r="O1718" i="8"/>
  <c r="O1715" i="8"/>
  <c r="O1591" i="8"/>
  <c r="O1578" i="8"/>
  <c r="O1528" i="8"/>
  <c r="O1505" i="8"/>
  <c r="O1489" i="8"/>
  <c r="O1453" i="8"/>
  <c r="O1416" i="8"/>
  <c r="O1327" i="8"/>
  <c r="O1314" i="8"/>
  <c r="O1264" i="8"/>
  <c r="O1241" i="8"/>
  <c r="O1225" i="8"/>
  <c r="O2645" i="8"/>
  <c r="O2150" i="8"/>
  <c r="O1987" i="8"/>
  <c r="O1900" i="8"/>
  <c r="O1681" i="8"/>
  <c r="O1622" i="8"/>
  <c r="O1506" i="8"/>
  <c r="O1364" i="8"/>
  <c r="O1242" i="8"/>
  <c r="O2291" i="8"/>
  <c r="O1974" i="8"/>
  <c r="O1941" i="8"/>
  <c r="O1852" i="8"/>
  <c r="O1792" i="8"/>
  <c r="O1761" i="8"/>
  <c r="O1665" i="8"/>
  <c r="O1587" i="8"/>
  <c r="O1539" i="8"/>
  <c r="O1501" i="8"/>
  <c r="O1498" i="8"/>
  <c r="O1412" i="8"/>
  <c r="O1323" i="8"/>
  <c r="O1275" i="8"/>
  <c r="O1237" i="8"/>
  <c r="O1234" i="8"/>
  <c r="O2114" i="8"/>
  <c r="O1943" i="8"/>
  <c r="O1765" i="8"/>
  <c r="O1547" i="8"/>
  <c r="O1534" i="8"/>
  <c r="O1484" i="8"/>
  <c r="O1461" i="8"/>
  <c r="O1445" i="8"/>
  <c r="O1409" i="8"/>
  <c r="O1372" i="8"/>
  <c r="O2018" i="8"/>
  <c r="O1938" i="8"/>
  <c r="O1704" i="8"/>
  <c r="O1627" i="8"/>
  <c r="O1503" i="8"/>
  <c r="O1496" i="8"/>
  <c r="O1462" i="8"/>
  <c r="O1452" i="8"/>
  <c r="O2961" i="8"/>
  <c r="O2342" i="8"/>
  <c r="O2691" i="8"/>
  <c r="O2282" i="8"/>
  <c r="O1680" i="8"/>
  <c r="O1577" i="8"/>
  <c r="O1548" i="8"/>
  <c r="O1369" i="8"/>
  <c r="O1666" i="8"/>
  <c r="O1410" i="8"/>
  <c r="O1284" i="8"/>
  <c r="O1233" i="8"/>
  <c r="O1189" i="8"/>
  <c r="O1152" i="8"/>
  <c r="O2247" i="8"/>
  <c r="O1710" i="8"/>
  <c r="O1676" i="8"/>
  <c r="O1672" i="8"/>
  <c r="O1417" i="8"/>
  <c r="O1401" i="8"/>
  <c r="O1276" i="8"/>
  <c r="O1980" i="8"/>
  <c r="O1940" i="8"/>
  <c r="O1674" i="8"/>
  <c r="O2116" i="8"/>
  <c r="O1849" i="8"/>
  <c r="O1812" i="8"/>
  <c r="O1588" i="8"/>
  <c r="O1499" i="8"/>
  <c r="O1455" i="8"/>
  <c r="O2119" i="8"/>
  <c r="O1762" i="8"/>
  <c r="O1716" i="8"/>
  <c r="O1805" i="8"/>
  <c r="O1725" i="8"/>
  <c r="O1675" i="8"/>
  <c r="O1497" i="8"/>
  <c r="O1396" i="8"/>
  <c r="O1324" i="8"/>
  <c r="O1322" i="8"/>
  <c r="O1283" i="8"/>
  <c r="O1103" i="8"/>
  <c r="O1055" i="8"/>
  <c r="O1017" i="8"/>
  <c r="O1014" i="8"/>
  <c r="O1415" i="8"/>
  <c r="O1235" i="8"/>
  <c r="O1190" i="8"/>
  <c r="O1187" i="8"/>
  <c r="O1146" i="8"/>
  <c r="O1063" i="8"/>
  <c r="O1050" i="8"/>
  <c r="O1000" i="8"/>
  <c r="O977" i="8"/>
  <c r="O961" i="8"/>
  <c r="O2238" i="8"/>
  <c r="O1541" i="8"/>
  <c r="O1407" i="8"/>
  <c r="O1285" i="8"/>
  <c r="O1143" i="8"/>
  <c r="O1100" i="8"/>
  <c r="O978" i="8"/>
  <c r="O836" i="8"/>
  <c r="O714" i="8"/>
  <c r="O1811" i="8"/>
  <c r="O1616" i="8"/>
  <c r="O1592" i="8"/>
  <c r="O1368" i="8"/>
  <c r="O1270" i="8"/>
  <c r="O1196" i="8"/>
  <c r="O1149" i="8"/>
  <c r="O1059" i="8"/>
  <c r="O1011" i="8"/>
  <c r="O973" i="8"/>
  <c r="O970" i="8"/>
  <c r="O884" i="8"/>
  <c r="O1719" i="8"/>
  <c r="O1585" i="8"/>
  <c r="O1572" i="8"/>
  <c r="O1459" i="8"/>
  <c r="O1451" i="8"/>
  <c r="O1413" i="8"/>
  <c r="O1366" i="8"/>
  <c r="O1231" i="8"/>
  <c r="O1153" i="8"/>
  <c r="O1108" i="8"/>
  <c r="O1019" i="8"/>
  <c r="O1006" i="8"/>
  <c r="O956" i="8"/>
  <c r="O933" i="8"/>
  <c r="O917" i="8"/>
  <c r="O881" i="8"/>
  <c r="O844" i="8"/>
  <c r="O1899" i="8"/>
  <c r="O1764" i="8"/>
  <c r="O1682" i="8"/>
  <c r="O1594" i="8"/>
  <c r="O1543" i="8"/>
  <c r="O1411" i="8"/>
  <c r="O1402" i="8"/>
  <c r="O1358" i="8"/>
  <c r="O1313" i="8"/>
  <c r="O1240" i="8"/>
  <c r="O1226" i="8"/>
  <c r="O1193" i="8"/>
  <c r="O1056" i="8"/>
  <c r="O934" i="8"/>
  <c r="O792" i="8"/>
  <c r="O2364" i="8"/>
  <c r="O1848" i="8"/>
  <c r="O1807" i="8"/>
  <c r="O1631" i="8"/>
  <c r="O1446" i="8"/>
  <c r="O1329" i="8"/>
  <c r="O1154" i="8"/>
  <c r="O1104" i="8"/>
  <c r="O1015" i="8"/>
  <c r="O967" i="8"/>
  <c r="O929" i="8"/>
  <c r="O926" i="8"/>
  <c r="O840" i="8"/>
  <c r="O1638" i="8"/>
  <c r="O1621" i="8"/>
  <c r="O1105" i="8"/>
  <c r="O968" i="8"/>
  <c r="O794" i="8"/>
  <c r="O791" i="8"/>
  <c r="O736" i="8"/>
  <c r="O707" i="8"/>
  <c r="O704" i="8"/>
  <c r="O617" i="8"/>
  <c r="O580" i="8"/>
  <c r="O1365" i="8"/>
  <c r="O1321" i="8"/>
  <c r="O1110" i="8"/>
  <c r="O1093" i="8"/>
  <c r="O975" i="8"/>
  <c r="O918" i="8"/>
  <c r="O889" i="8"/>
  <c r="O868" i="8"/>
  <c r="O841" i="8"/>
  <c r="O800" i="8"/>
  <c r="O780" i="8"/>
  <c r="O741" i="8"/>
  <c r="O711" i="8"/>
  <c r="O2540" i="8"/>
  <c r="O2375" i="8"/>
  <c r="O1836" i="8"/>
  <c r="O1635" i="8"/>
  <c r="O1182" i="8"/>
  <c r="O1099" i="8"/>
  <c r="O1022" i="8"/>
  <c r="O1020" i="8"/>
  <c r="O667" i="8"/>
  <c r="O663" i="8"/>
  <c r="O576" i="8"/>
  <c r="O487" i="8"/>
  <c r="O2073" i="8"/>
  <c r="O2033" i="8"/>
  <c r="O1549" i="8"/>
  <c r="O1495" i="8"/>
  <c r="O1440" i="8"/>
  <c r="O1060" i="8"/>
  <c r="O931" i="8"/>
  <c r="O928" i="8"/>
  <c r="O887" i="8"/>
  <c r="O879" i="8"/>
  <c r="O837" i="8"/>
  <c r="O785" i="8"/>
  <c r="O692" i="8"/>
  <c r="O625" i="8"/>
  <c r="O609" i="8"/>
  <c r="O573" i="8"/>
  <c r="O536" i="8"/>
  <c r="O447" i="8"/>
  <c r="O434" i="8"/>
  <c r="O384" i="8"/>
  <c r="O361" i="8"/>
  <c r="O2106" i="8"/>
  <c r="O1236" i="8"/>
  <c r="O1151" i="8"/>
  <c r="O1145" i="8"/>
  <c r="O1058" i="8"/>
  <c r="O962" i="8"/>
  <c r="O890" i="8"/>
  <c r="O839" i="8"/>
  <c r="O829" i="8"/>
  <c r="O797" i="8"/>
  <c r="O752" i="8"/>
  <c r="O749" i="8"/>
  <c r="O660" i="8"/>
  <c r="O626" i="8"/>
  <c r="O1768" i="8"/>
  <c r="O1671" i="8"/>
  <c r="O1584" i="8"/>
  <c r="O1352" i="8"/>
  <c r="O1308" i="8"/>
  <c r="O1198" i="8"/>
  <c r="O1188" i="8"/>
  <c r="O1147" i="8"/>
  <c r="O1044" i="8"/>
  <c r="O1016" i="8"/>
  <c r="O1012" i="8"/>
  <c r="O924" i="8"/>
  <c r="O756" i="8"/>
  <c r="O697" i="8"/>
  <c r="O621" i="8"/>
  <c r="O618" i="8"/>
  <c r="O532" i="8"/>
  <c r="O1500" i="8"/>
  <c r="O1374" i="8"/>
  <c r="O1144" i="8"/>
  <c r="O1094" i="8"/>
  <c r="O1049" i="8"/>
  <c r="O885" i="8"/>
  <c r="O1363" i="8"/>
  <c r="O1138" i="8"/>
  <c r="O1057" i="8"/>
  <c r="O1021" i="8"/>
  <c r="O976" i="8"/>
  <c r="O786" i="8"/>
  <c r="O1533" i="8"/>
  <c r="O1371" i="8"/>
  <c r="O2555" i="8"/>
  <c r="O1005" i="8"/>
  <c r="O648" i="8"/>
  <c r="O566" i="8"/>
  <c r="O444" i="8"/>
  <c r="O400" i="8"/>
  <c r="O311" i="8"/>
  <c r="O1286" i="8"/>
  <c r="O1191" i="8"/>
  <c r="O1088" i="8"/>
  <c r="O1064" i="8"/>
  <c r="O969" i="8"/>
  <c r="O824" i="8"/>
  <c r="O669" i="8"/>
  <c r="O581" i="8"/>
  <c r="O492" i="8"/>
  <c r="O448" i="8"/>
  <c r="O1320" i="8"/>
  <c r="O1132" i="8"/>
  <c r="O1013" i="8"/>
  <c r="O971" i="8"/>
  <c r="O796" i="8"/>
  <c r="O748" i="8"/>
  <c r="O713" i="8"/>
  <c r="O623" i="8"/>
  <c r="O620" i="8"/>
  <c r="O579" i="8"/>
  <c r="O574" i="8"/>
  <c r="O472" i="8"/>
  <c r="O2200" i="8"/>
  <c r="O1721" i="8"/>
  <c r="O1544" i="8"/>
  <c r="O1373" i="8"/>
  <c r="O1066" i="8"/>
  <c r="O882" i="8"/>
  <c r="O880" i="8"/>
  <c r="O616" i="8"/>
  <c r="O1357" i="8"/>
  <c r="O846" i="8"/>
  <c r="O757" i="8"/>
  <c r="O1982" i="8"/>
  <c r="O1637" i="8"/>
  <c r="O1457" i="8"/>
  <c r="O1454" i="8"/>
  <c r="O1239" i="8"/>
  <c r="O1232" i="8"/>
  <c r="O793" i="8"/>
  <c r="O604" i="8"/>
  <c r="O531" i="8"/>
  <c r="O527" i="8"/>
  <c r="O494" i="8"/>
  <c r="O442" i="8"/>
  <c r="O360" i="8"/>
  <c r="O230" i="8"/>
  <c r="O88" i="8"/>
  <c r="O1841" i="8"/>
  <c r="O1328" i="8"/>
  <c r="O750" i="8"/>
  <c r="O533" i="8"/>
  <c r="O488" i="8"/>
  <c r="O309" i="8"/>
  <c r="O263" i="8"/>
  <c r="O225" i="8"/>
  <c r="O222" i="8"/>
  <c r="O136" i="8"/>
  <c r="O1504" i="8"/>
  <c r="O1279" i="8"/>
  <c r="O1061" i="8"/>
  <c r="O802" i="8"/>
  <c r="O795" i="8"/>
  <c r="O653" i="8"/>
  <c r="O397" i="8"/>
  <c r="O312" i="8"/>
  <c r="O271" i="8"/>
  <c r="O258" i="8"/>
  <c r="O208" i="8"/>
  <c r="O185" i="8"/>
  <c r="O169" i="8"/>
  <c r="O133" i="8"/>
  <c r="O96" i="8"/>
  <c r="O923" i="8"/>
  <c r="O709" i="8"/>
  <c r="O615" i="8"/>
  <c r="O538" i="8"/>
  <c r="O486" i="8"/>
  <c r="O316" i="8"/>
  <c r="O186" i="8"/>
  <c r="O1460" i="8"/>
  <c r="O1195" i="8"/>
  <c r="O1181" i="8"/>
  <c r="O1176" i="8"/>
  <c r="O874" i="8"/>
  <c r="O838" i="8"/>
  <c r="O662" i="8"/>
  <c r="O571" i="8"/>
  <c r="O445" i="8"/>
  <c r="O354" i="8"/>
  <c r="O346" i="8"/>
  <c r="O267" i="8"/>
  <c r="O219" i="8"/>
  <c r="O181" i="8"/>
  <c r="O178" i="8"/>
  <c r="O92" i="8"/>
  <c r="O2113" i="8"/>
  <c r="O1102" i="8"/>
  <c r="O972" i="8"/>
  <c r="O747" i="8"/>
  <c r="O668" i="8"/>
  <c r="O664" i="8"/>
  <c r="O619" i="8"/>
  <c r="O565" i="8"/>
  <c r="O484" i="8"/>
  <c r="O477" i="8"/>
  <c r="O440" i="8"/>
  <c r="O357" i="8"/>
  <c r="O302" i="8"/>
  <c r="O227" i="8"/>
  <c r="O214" i="8"/>
  <c r="O164" i="8"/>
  <c r="O141" i="8"/>
  <c r="O125" i="8"/>
  <c r="O89" i="8"/>
  <c r="O28" i="6"/>
  <c r="B41" i="7" s="1"/>
  <c r="O1540" i="8"/>
  <c r="O1330" i="8"/>
  <c r="O888" i="8"/>
  <c r="O883" i="8"/>
  <c r="O742" i="8"/>
  <c r="O577" i="8"/>
  <c r="O575" i="8"/>
  <c r="O443" i="8"/>
  <c r="O404" i="8"/>
  <c r="O264" i="8"/>
  <c r="O142" i="8"/>
  <c r="O1856" i="8"/>
  <c r="O1593" i="8"/>
  <c r="O1586" i="8"/>
  <c r="O1490" i="8"/>
  <c r="O1220" i="8"/>
  <c r="O925" i="8"/>
  <c r="O706" i="8"/>
  <c r="O670" i="8"/>
  <c r="O610" i="8"/>
  <c r="O528" i="8"/>
  <c r="O395" i="8"/>
  <c r="O351" i="8"/>
  <c r="O310" i="8"/>
  <c r="O223" i="8"/>
  <c r="O175" i="8"/>
  <c r="O137" i="8"/>
  <c r="O134" i="8"/>
  <c r="O1628" i="8"/>
  <c r="O799" i="8"/>
  <c r="O582" i="8"/>
  <c r="O390" i="8"/>
  <c r="O355" i="8"/>
  <c r="O313" i="8"/>
  <c r="O132" i="8"/>
  <c r="O1269" i="8"/>
  <c r="O450" i="8"/>
  <c r="O353" i="8"/>
  <c r="O6" i="6"/>
  <c r="O755" i="8"/>
  <c r="O401" i="8"/>
  <c r="O912" i="8"/>
  <c r="O659" i="8"/>
  <c r="O352" i="8"/>
  <c r="O131" i="8"/>
  <c r="O27" i="6"/>
  <c r="O624" i="8"/>
  <c r="O1065" i="8"/>
  <c r="O753" i="8"/>
  <c r="O708" i="8"/>
  <c r="O572" i="8"/>
  <c r="O516" i="8"/>
  <c r="O483" i="8"/>
  <c r="O272" i="8"/>
  <c r="O220" i="8"/>
  <c r="O184" i="8"/>
  <c r="O170" i="8"/>
  <c r="O126" i="8"/>
  <c r="O1197" i="8"/>
  <c r="O1709" i="8"/>
  <c r="O1679" i="8"/>
  <c r="O801" i="8"/>
  <c r="O522" i="8"/>
  <c r="O308" i="8"/>
  <c r="O274" i="8"/>
  <c r="O268" i="8"/>
  <c r="O26" i="6"/>
  <c r="O20" i="6"/>
  <c r="O758" i="8"/>
  <c r="O82" i="8"/>
  <c r="O11" i="6"/>
  <c r="G9" i="4"/>
  <c r="G9" i="6" s="1"/>
  <c r="O97" i="8"/>
  <c r="O1277" i="8"/>
  <c r="O1107" i="8"/>
  <c r="O665" i="8"/>
  <c r="O266" i="8"/>
  <c r="O257" i="8"/>
  <c r="O228" i="8"/>
  <c r="O180" i="8"/>
  <c r="O90" i="8"/>
  <c r="O17" i="6"/>
  <c r="O2031" i="8"/>
  <c r="O1148" i="8"/>
  <c r="O485" i="8"/>
  <c r="O441" i="8"/>
  <c r="O439" i="8"/>
  <c r="O318" i="8"/>
  <c r="O224" i="8"/>
  <c r="O176" i="8"/>
  <c r="O139" i="8"/>
  <c r="O23" i="6"/>
  <c r="O530" i="8"/>
  <c r="O428" i="8"/>
  <c r="O405" i="8"/>
  <c r="O403" i="8"/>
  <c r="O362" i="8"/>
  <c r="O301" i="8"/>
  <c r="O213" i="8"/>
  <c r="O927" i="8"/>
  <c r="O843" i="8"/>
  <c r="O712" i="8"/>
  <c r="O491" i="8"/>
  <c r="O296" i="8"/>
  <c r="O2232" i="8"/>
  <c r="O1109" i="8"/>
  <c r="O661" i="8"/>
  <c r="O449" i="8"/>
  <c r="O307" i="8"/>
  <c r="O1280" i="8"/>
  <c r="O389" i="8"/>
  <c r="O345" i="8"/>
  <c r="O521" i="8"/>
  <c r="O493" i="8"/>
  <c r="O489" i="8"/>
  <c r="O399" i="8"/>
  <c r="O183" i="8"/>
  <c r="O135" i="8"/>
  <c r="O95" i="8"/>
  <c r="O356" i="8"/>
  <c r="O76" i="8"/>
  <c r="O21" i="6"/>
  <c r="O18" i="6"/>
  <c r="O1137" i="8"/>
  <c r="O1101" i="8"/>
  <c r="O830" i="8"/>
  <c r="O654" i="8"/>
  <c r="O177" i="8"/>
  <c r="O25" i="6"/>
  <c r="O22" i="6"/>
  <c r="O1325" i="8"/>
  <c r="O537" i="8"/>
  <c r="O406" i="8"/>
  <c r="O91" i="8"/>
  <c r="O932" i="8"/>
  <c r="O873" i="8"/>
  <c r="O529" i="8"/>
  <c r="O359" i="8"/>
  <c r="O269" i="8"/>
  <c r="O98" i="8"/>
  <c r="O12" i="6"/>
  <c r="O1894" i="8"/>
  <c r="O81" i="8"/>
  <c r="O535" i="8"/>
  <c r="O705" i="8"/>
  <c r="O1673" i="8"/>
  <c r="O751" i="8"/>
  <c r="O273" i="8"/>
  <c r="O179" i="8"/>
  <c r="O560" i="8"/>
  <c r="O140" i="8"/>
  <c r="O93" i="8"/>
  <c r="O19" i="6"/>
  <c r="O478" i="8"/>
  <c r="O221" i="8"/>
  <c r="O317" i="8"/>
  <c r="O229" i="8"/>
  <c r="O1589" i="8"/>
  <c r="O835" i="8"/>
  <c r="O315" i="8"/>
  <c r="O252" i="8"/>
  <c r="O120" i="8"/>
  <c r="O340" i="8"/>
  <c r="O703" i="8"/>
  <c r="O87" i="8"/>
  <c r="O265" i="8"/>
  <c r="O398" i="8"/>
  <c r="O845" i="8"/>
  <c r="O698" i="8"/>
  <c r="O433" i="8"/>
  <c r="O396" i="8"/>
  <c r="O1418" i="8"/>
  <c r="I16" i="4"/>
  <c r="G16" i="6" s="1"/>
  <c r="B548" i="8"/>
  <c r="B1956" i="8"/>
  <c r="B2982" i="8"/>
  <c r="I168" i="8"/>
  <c r="I162" i="8"/>
  <c r="I165" i="8"/>
  <c r="I163" i="8"/>
  <c r="I166" i="8"/>
  <c r="I161" i="8"/>
  <c r="I735" i="8"/>
  <c r="I740" i="8"/>
  <c r="I734" i="8"/>
  <c r="I738" i="8"/>
  <c r="I737" i="8"/>
  <c r="I733" i="8"/>
  <c r="I1221" i="8"/>
  <c r="I1222" i="8"/>
  <c r="I1217" i="8"/>
  <c r="I1218" i="8"/>
  <c r="I1219" i="8"/>
  <c r="I1224" i="8"/>
  <c r="I117" i="8"/>
  <c r="I121" i="8"/>
  <c r="I124" i="8"/>
  <c r="I118" i="8"/>
  <c r="I119" i="8"/>
  <c r="I122" i="8"/>
  <c r="I1838" i="8"/>
  <c r="I1835" i="8"/>
  <c r="I1840" i="8"/>
  <c r="I1837" i="8"/>
  <c r="I1833" i="8"/>
  <c r="I1834" i="8"/>
  <c r="I1965" i="8"/>
  <c r="I1972" i="8"/>
  <c r="I1970" i="8"/>
  <c r="I1969" i="8"/>
  <c r="I1967" i="8"/>
  <c r="I1966" i="8"/>
  <c r="B2215" i="8"/>
  <c r="B2216" i="8" s="1"/>
  <c r="I2016" i="8"/>
  <c r="I2011" i="8"/>
  <c r="I2010" i="8"/>
  <c r="I2014" i="8"/>
  <c r="I2009" i="8"/>
  <c r="I2013" i="8"/>
  <c r="B2616" i="8"/>
  <c r="I601" i="8"/>
  <c r="I602" i="8"/>
  <c r="I608" i="8"/>
  <c r="I603" i="8"/>
  <c r="I605" i="8"/>
  <c r="I606" i="8"/>
  <c r="B2528" i="8"/>
  <c r="I865" i="8"/>
  <c r="I866" i="8"/>
  <c r="I872" i="8"/>
  <c r="I869" i="8"/>
  <c r="I867" i="8"/>
  <c r="I870" i="8"/>
  <c r="B16" i="5"/>
  <c r="B13" i="5"/>
  <c r="B14" i="5" s="1"/>
  <c r="B22" i="7"/>
  <c r="I300" i="8"/>
  <c r="I294" i="8"/>
  <c r="I298" i="8"/>
  <c r="I297" i="8"/>
  <c r="I293" i="8"/>
  <c r="I295" i="8"/>
  <c r="I691" i="8"/>
  <c r="I694" i="8"/>
  <c r="I690" i="8"/>
  <c r="I693" i="8"/>
  <c r="I689" i="8"/>
  <c r="I696" i="8"/>
  <c r="I1658" i="8"/>
  <c r="I1657" i="8"/>
  <c r="I1664" i="8"/>
  <c r="I1662" i="8"/>
  <c r="I1661" i="8"/>
  <c r="I1659" i="8"/>
  <c r="I2319" i="8"/>
  <c r="I2322" i="8"/>
  <c r="I2324" i="8"/>
  <c r="I2317" i="8"/>
  <c r="I2318" i="8"/>
  <c r="I2321" i="8"/>
  <c r="I2405" i="8"/>
  <c r="I2409" i="8"/>
  <c r="I2410" i="8"/>
  <c r="I2412" i="8"/>
  <c r="I2406" i="8"/>
  <c r="I2407" i="8"/>
  <c r="I2859" i="8"/>
  <c r="I2861" i="8"/>
  <c r="I2860" i="8"/>
  <c r="I2866" i="8"/>
  <c r="I2863" i="8"/>
  <c r="I2864" i="8"/>
  <c r="B3202" i="8"/>
  <c r="I473" i="8"/>
  <c r="I470" i="8"/>
  <c r="I474" i="8"/>
  <c r="I471" i="8"/>
  <c r="I476" i="8"/>
  <c r="I469" i="8"/>
  <c r="I1089" i="8"/>
  <c r="I1086" i="8"/>
  <c r="I1085" i="8"/>
  <c r="I1087" i="8"/>
  <c r="I1092" i="8"/>
  <c r="I1090" i="8"/>
  <c r="I1393" i="8"/>
  <c r="I1394" i="8"/>
  <c r="I1395" i="8"/>
  <c r="I1397" i="8"/>
  <c r="I1400" i="8"/>
  <c r="I1398" i="8"/>
  <c r="B1159" i="8"/>
  <c r="B1160" i="8" s="1"/>
  <c r="B284" i="8"/>
  <c r="I2676" i="8"/>
  <c r="I2671" i="8"/>
  <c r="I2670" i="8"/>
  <c r="I2669" i="8"/>
  <c r="I2674" i="8"/>
  <c r="I2673" i="8"/>
  <c r="I821" i="8"/>
  <c r="I828" i="8"/>
  <c r="I826" i="8"/>
  <c r="I825" i="8"/>
  <c r="I823" i="8"/>
  <c r="I822" i="8"/>
  <c r="I1708" i="8"/>
  <c r="I1701" i="8"/>
  <c r="I1706" i="8"/>
  <c r="I1705" i="8"/>
  <c r="I1703" i="8"/>
  <c r="I1702" i="8"/>
  <c r="I1921" i="8"/>
  <c r="I1928" i="8"/>
  <c r="I1926" i="8"/>
  <c r="I1925" i="8"/>
  <c r="I1923" i="8"/>
  <c r="I1922" i="8"/>
  <c r="I1268" i="8"/>
  <c r="I1265" i="8"/>
  <c r="I1262" i="8"/>
  <c r="I1266" i="8"/>
  <c r="I1263" i="8"/>
  <c r="I1261" i="8"/>
  <c r="I2454" i="8"/>
  <c r="I2453" i="8"/>
  <c r="I2456" i="8"/>
  <c r="I2451" i="8"/>
  <c r="I2449" i="8"/>
  <c r="I2450" i="8"/>
  <c r="B455" i="8"/>
  <c r="B456" i="8" s="1"/>
  <c r="B1423" i="8"/>
  <c r="B1424" i="8" s="1"/>
  <c r="I2718" i="8"/>
  <c r="I2714" i="8"/>
  <c r="I2713" i="8"/>
  <c r="I2717" i="8"/>
  <c r="I2720" i="8"/>
  <c r="I2715" i="8"/>
  <c r="I2142" i="8"/>
  <c r="I2141" i="8"/>
  <c r="I2148" i="8"/>
  <c r="I2146" i="8"/>
  <c r="I2145" i="8"/>
  <c r="I2143" i="8"/>
  <c r="I2820" i="8"/>
  <c r="I2816" i="8"/>
  <c r="I2817" i="8"/>
  <c r="I2819" i="8"/>
  <c r="I2815" i="8"/>
  <c r="I2822" i="8"/>
  <c r="I3171" i="8"/>
  <c r="I3168" i="8"/>
  <c r="I3169" i="8"/>
  <c r="I3174" i="8"/>
  <c r="I3172" i="8"/>
  <c r="I3167" i="8"/>
  <c r="I427" i="8"/>
  <c r="I430" i="8"/>
  <c r="I429" i="8"/>
  <c r="I425" i="8"/>
  <c r="I432" i="8"/>
  <c r="I426" i="8"/>
  <c r="I1043" i="8"/>
  <c r="I1046" i="8"/>
  <c r="I1045" i="8"/>
  <c r="I1042" i="8"/>
  <c r="I1041" i="8"/>
  <c r="I1048" i="8"/>
  <c r="I2055" i="8"/>
  <c r="I2054" i="8"/>
  <c r="I2060" i="8"/>
  <c r="I2058" i="8"/>
  <c r="I2057" i="8"/>
  <c r="I2053" i="8"/>
  <c r="I1004" i="8"/>
  <c r="I999" i="8"/>
  <c r="I1002" i="8"/>
  <c r="I998" i="8"/>
  <c r="I1001" i="8"/>
  <c r="I997" i="8"/>
  <c r="I1618" i="8"/>
  <c r="I1617" i="8"/>
  <c r="I1614" i="8"/>
  <c r="I1613" i="8"/>
  <c r="I1620" i="8"/>
  <c r="I1615" i="8"/>
  <c r="I339" i="8"/>
  <c r="I338" i="8"/>
  <c r="I342" i="8"/>
  <c r="I341" i="8"/>
  <c r="I337" i="8"/>
  <c r="I344" i="8"/>
  <c r="B64" i="5"/>
  <c r="B1555" i="8"/>
  <c r="B1556" i="8" s="1"/>
  <c r="I2951" i="8"/>
  <c r="I2952" i="8"/>
  <c r="I2949" i="8"/>
  <c r="I2954" i="8"/>
  <c r="I2948" i="8"/>
  <c r="I2947" i="8"/>
  <c r="I1129" i="8"/>
  <c r="I1131" i="8"/>
  <c r="I1136" i="8"/>
  <c r="I1134" i="8"/>
  <c r="I1130" i="8"/>
  <c r="I1133" i="8"/>
  <c r="I1173" i="8"/>
  <c r="I1178" i="8"/>
  <c r="I1174" i="8"/>
  <c r="I1175" i="8"/>
  <c r="I1180" i="8"/>
  <c r="I1177" i="8"/>
  <c r="I2365" i="8"/>
  <c r="I2362" i="8"/>
  <c r="I2366" i="8"/>
  <c r="I2363" i="8"/>
  <c r="I2361" i="8"/>
  <c r="I2368" i="8"/>
  <c r="I557" i="8"/>
  <c r="I564" i="8"/>
  <c r="I561" i="8"/>
  <c r="I558" i="8"/>
  <c r="I559" i="8"/>
  <c r="I562" i="8"/>
  <c r="I2280" i="8"/>
  <c r="I2277" i="8"/>
  <c r="I2274" i="8"/>
  <c r="I2275" i="8"/>
  <c r="I2273" i="8"/>
  <c r="I2278" i="8"/>
  <c r="I652" i="8"/>
  <c r="I645" i="8"/>
  <c r="I646" i="8"/>
  <c r="I650" i="8"/>
  <c r="I647" i="8"/>
  <c r="I649" i="8"/>
  <c r="I1353" i="8"/>
  <c r="I1350" i="8"/>
  <c r="I1351" i="8"/>
  <c r="I1349" i="8"/>
  <c r="I1354" i="8"/>
  <c r="I1356" i="8"/>
  <c r="I73" i="8"/>
  <c r="I77" i="8"/>
  <c r="I78" i="8"/>
  <c r="I80" i="8"/>
  <c r="I75" i="8"/>
  <c r="I74" i="8"/>
  <c r="B2704" i="8"/>
  <c r="B70" i="5"/>
  <c r="B54" i="5"/>
  <c r="I1488" i="8"/>
  <c r="I1482" i="8"/>
  <c r="I1481" i="8"/>
  <c r="I1483" i="8"/>
  <c r="I1486" i="8"/>
  <c r="I1485" i="8"/>
  <c r="B55" i="5"/>
  <c r="B1510" i="8"/>
  <c r="B1378" i="8"/>
  <c r="B2478" i="8"/>
  <c r="B2522" i="8"/>
  <c r="B1731" i="8"/>
  <c r="B1732" i="8" s="1"/>
  <c r="B982" i="8"/>
  <c r="B2932" i="8"/>
  <c r="B63" i="5"/>
  <c r="B62" i="5"/>
  <c r="B66" i="5"/>
  <c r="B104" i="8"/>
  <c r="B25" i="5"/>
  <c r="B3066" i="8"/>
  <c r="B2436" i="8"/>
  <c r="B808" i="8"/>
  <c r="B2392" i="8"/>
  <c r="B1644" i="8"/>
  <c r="B2128" i="8"/>
  <c r="B1776" i="8"/>
  <c r="B2744" i="8"/>
  <c r="B1292" i="8"/>
  <c r="I1794" i="8"/>
  <c r="I1793" i="8"/>
  <c r="I1796" i="8"/>
  <c r="I1791" i="8"/>
  <c r="I1789" i="8"/>
  <c r="I1790" i="8"/>
  <c r="I1752" i="8"/>
  <c r="I1749" i="8"/>
  <c r="I1745" i="8"/>
  <c r="I1747" i="8"/>
  <c r="I1746" i="8"/>
  <c r="I1750" i="8"/>
  <c r="B191" i="8"/>
  <c r="B192" i="8" s="1"/>
  <c r="B499" i="8"/>
  <c r="B500" i="8" s="1"/>
  <c r="I1307" i="8"/>
  <c r="I1310" i="8"/>
  <c r="I1309" i="8"/>
  <c r="I1306" i="8"/>
  <c r="I1312" i="8"/>
  <c r="I1305" i="8"/>
  <c r="I3125" i="8"/>
  <c r="I3128" i="8"/>
  <c r="I3124" i="8"/>
  <c r="I3127" i="8"/>
  <c r="I3130" i="8"/>
  <c r="I3123" i="8"/>
  <c r="B1203" i="8"/>
  <c r="B1204" i="8" s="1"/>
  <c r="B2171" i="8"/>
  <c r="B2172" i="8" s="1"/>
  <c r="B674" i="8"/>
  <c r="I517" i="8"/>
  <c r="I518" i="8"/>
  <c r="I513" i="8"/>
  <c r="I520" i="8"/>
  <c r="I514" i="8"/>
  <c r="I515" i="8"/>
  <c r="B631" i="8"/>
  <c r="B632" i="8" s="1"/>
  <c r="B1599" i="8"/>
  <c r="B1600" i="8" s="1"/>
  <c r="B1290" i="8"/>
  <c r="B1466" i="8"/>
  <c r="I2775" i="8"/>
  <c r="I2772" i="8"/>
  <c r="I2776" i="8"/>
  <c r="I2773" i="8"/>
  <c r="I2778" i="8"/>
  <c r="I2771" i="8"/>
  <c r="B47" i="5"/>
  <c r="B11" i="5"/>
  <c r="B12" i="5"/>
  <c r="B51" i="5"/>
  <c r="B50" i="5"/>
  <c r="B15" i="5"/>
  <c r="B2742" i="8"/>
  <c r="B1509" i="8"/>
  <c r="B1553" i="8"/>
  <c r="B1905" i="8"/>
  <c r="B61" i="5"/>
  <c r="B46" i="5"/>
  <c r="B145" i="8"/>
  <c r="B1289" i="8"/>
  <c r="B2741" i="8"/>
  <c r="B3107" i="8"/>
  <c r="B24" i="5"/>
  <c r="B1774" i="8"/>
  <c r="B1950" i="8"/>
  <c r="B2346" i="8"/>
  <c r="B2126" i="8"/>
  <c r="B365" i="8"/>
  <c r="B893" i="8"/>
  <c r="B1685" i="8"/>
  <c r="B2477" i="8"/>
  <c r="B58" i="5"/>
  <c r="B630" i="8"/>
  <c r="B101" i="8"/>
  <c r="B1993" i="8"/>
  <c r="B1817" i="8"/>
  <c r="B1729" i="8"/>
  <c r="B2301" i="8"/>
  <c r="B2653" i="8"/>
  <c r="B3195" i="8"/>
  <c r="B41" i="2"/>
  <c r="B42" i="2" s="1"/>
  <c r="K922" i="8" s="1"/>
  <c r="L922" i="8" s="1"/>
  <c r="B30" i="5"/>
  <c r="B29" i="5"/>
  <c r="B4" i="5" s="1"/>
  <c r="B27" i="5"/>
  <c r="B38" i="5" s="1"/>
  <c r="B498" i="8"/>
  <c r="B2390" i="8"/>
  <c r="B1245" i="8"/>
  <c r="B849" i="8"/>
  <c r="B1113" i="8"/>
  <c r="B1333" i="8"/>
  <c r="B2081" i="8"/>
  <c r="B2169" i="8"/>
  <c r="B3151" i="8"/>
  <c r="B1554" i="8"/>
  <c r="B717" i="8"/>
  <c r="B1201" i="8"/>
  <c r="B1949" i="8"/>
  <c r="B2887" i="8"/>
  <c r="B235" i="8"/>
  <c r="B236" i="8" s="1"/>
  <c r="B1467" i="8"/>
  <c r="B1468" i="8" s="1"/>
  <c r="B42" i="5"/>
  <c r="B71" i="5"/>
  <c r="B894" i="8"/>
  <c r="B3108" i="8"/>
  <c r="B233" i="8"/>
  <c r="B2257" i="8"/>
  <c r="B2799" i="8"/>
  <c r="B2697" i="8"/>
  <c r="B1995" i="8"/>
  <c r="B1996" i="8" s="1"/>
  <c r="I388" i="8"/>
  <c r="I383" i="8"/>
  <c r="I382" i="8"/>
  <c r="I381" i="8"/>
  <c r="I386" i="8"/>
  <c r="I385" i="8"/>
  <c r="B69" i="5"/>
  <c r="B43" i="5"/>
  <c r="B1026" i="8"/>
  <c r="B1773" i="8"/>
  <c r="B2521" i="8"/>
  <c r="I2101" i="8"/>
  <c r="I2098" i="8"/>
  <c r="I2104" i="8"/>
  <c r="I2102" i="8"/>
  <c r="I2099" i="8"/>
  <c r="I2097" i="8"/>
  <c r="I2539" i="8"/>
  <c r="I2544" i="8"/>
  <c r="I2537" i="8"/>
  <c r="I2542" i="8"/>
  <c r="I2541" i="8"/>
  <c r="I2538" i="8"/>
  <c r="I2585" i="8"/>
  <c r="I2582" i="8"/>
  <c r="I2586" i="8"/>
  <c r="I2588" i="8"/>
  <c r="I2581" i="8"/>
  <c r="I2583" i="8"/>
  <c r="I3037" i="8"/>
  <c r="I3040" i="8"/>
  <c r="I3042" i="8"/>
  <c r="I3035" i="8"/>
  <c r="I3036" i="8"/>
  <c r="I3039" i="8"/>
  <c r="I2236" i="8"/>
  <c r="I2229" i="8"/>
  <c r="I2233" i="8"/>
  <c r="I2230" i="8"/>
  <c r="I2234" i="8"/>
  <c r="I2231" i="8"/>
  <c r="B56" i="5"/>
  <c r="B57" i="5"/>
  <c r="B453" i="8"/>
  <c r="B321" i="8"/>
  <c r="B2609" i="8"/>
  <c r="B2975" i="8"/>
  <c r="I3081" i="8"/>
  <c r="I3086" i="8"/>
  <c r="I3079" i="8"/>
  <c r="I3084" i="8"/>
  <c r="I3080" i="8"/>
  <c r="I3083" i="8"/>
  <c r="J5" i="6"/>
  <c r="J4" i="6"/>
  <c r="J3" i="6"/>
  <c r="J16" i="6"/>
  <c r="J15" i="6"/>
  <c r="J14" i="6"/>
  <c r="J13" i="6"/>
  <c r="J2" i="6"/>
  <c r="J10" i="6"/>
  <c r="J9" i="6"/>
  <c r="J8" i="6"/>
  <c r="J7" i="6"/>
  <c r="J28" i="6"/>
  <c r="J24" i="6"/>
  <c r="B48" i="5"/>
  <c r="B49" i="5"/>
  <c r="B53" i="5" s="1"/>
  <c r="Q1894" i="8"/>
  <c r="Q1098" i="8"/>
  <c r="Q751" i="8"/>
  <c r="R703" i="8"/>
  <c r="Q701" i="8"/>
  <c r="Q691" i="8"/>
  <c r="Q570" i="8"/>
  <c r="B44" i="5"/>
  <c r="Q293" i="8"/>
  <c r="Q265" i="8"/>
  <c r="Q252" i="8"/>
  <c r="B278" i="8" s="1"/>
  <c r="Q221" i="8"/>
  <c r="Q179" i="8"/>
  <c r="Q73" i="8"/>
  <c r="Q1183" i="8"/>
  <c r="Q825" i="8"/>
  <c r="Q736" i="8"/>
  <c r="B762" i="8" s="1"/>
  <c r="R560" i="8"/>
  <c r="B586" i="8" s="1"/>
  <c r="Q556" i="8"/>
  <c r="Q535" i="8"/>
  <c r="Q255" i="8"/>
  <c r="Q299" i="8"/>
  <c r="Q471" i="8"/>
  <c r="Q1723" i="8"/>
  <c r="Q968" i="8"/>
  <c r="B983" i="8" s="1"/>
  <c r="B984" i="8" s="1"/>
  <c r="R791" i="8"/>
  <c r="Q780" i="8"/>
  <c r="Q558" i="8"/>
  <c r="R396" i="8"/>
  <c r="B411" i="8" s="1"/>
  <c r="B412" i="8" s="1"/>
  <c r="Q433" i="8"/>
  <c r="Q273" i="8"/>
  <c r="R177" i="8"/>
  <c r="B190" i="8" s="1"/>
  <c r="Q93" i="8"/>
  <c r="Q469" i="8"/>
  <c r="Q383" i="8"/>
  <c r="Q340" i="8"/>
  <c r="Q77" i="8"/>
  <c r="Q478" i="8"/>
  <c r="Q396" i="8"/>
  <c r="Q260" i="8"/>
  <c r="Q25" i="6"/>
  <c r="Q1923" i="8"/>
  <c r="Q918" i="8"/>
  <c r="Q885" i="8"/>
  <c r="Q845" i="8"/>
  <c r="Q578" i="8"/>
  <c r="Q1637" i="8"/>
  <c r="Q1589" i="8"/>
  <c r="Q1325" i="8"/>
  <c r="Q1021" i="8"/>
  <c r="Q794" i="8"/>
  <c r="Q791" i="8"/>
  <c r="Q714" i="8"/>
  <c r="Q656" i="8"/>
  <c r="Q611" i="8"/>
  <c r="Q560" i="8"/>
  <c r="Q526" i="8"/>
  <c r="Q359" i="8"/>
  <c r="Q353" i="8"/>
  <c r="Q250" i="8"/>
  <c r="Q225" i="8"/>
  <c r="Q16" i="6"/>
  <c r="Q344" i="8"/>
  <c r="Q1286" i="8"/>
  <c r="R309" i="8"/>
  <c r="B322" i="8" s="1"/>
  <c r="Q140" i="8"/>
  <c r="Q14" i="6"/>
  <c r="R6" i="6"/>
  <c r="Q998" i="8"/>
  <c r="Q337" i="8"/>
  <c r="Q300" i="8"/>
  <c r="R263" i="8"/>
  <c r="R1013" i="8"/>
  <c r="Q167" i="8"/>
  <c r="Q15" i="6"/>
  <c r="R1100" i="8"/>
  <c r="Q297" i="8"/>
  <c r="Q294" i="8"/>
  <c r="Q212" i="8"/>
  <c r="R19" i="6"/>
  <c r="Q782" i="8"/>
  <c r="Q444" i="8"/>
  <c r="Q19" i="6"/>
  <c r="Q1673" i="8"/>
  <c r="B1686" i="8" s="1"/>
  <c r="Q470" i="8"/>
  <c r="R793" i="8"/>
  <c r="Q518" i="8"/>
  <c r="R132" i="8"/>
  <c r="Q116" i="8"/>
  <c r="R748" i="8"/>
  <c r="B763" i="8" s="1"/>
  <c r="B764" i="8" s="1"/>
  <c r="Q406" i="8"/>
  <c r="Q1265" i="8"/>
  <c r="Q338" i="8"/>
  <c r="Q309" i="8"/>
  <c r="Q295" i="8"/>
  <c r="Q261" i="8"/>
  <c r="Q4" i="6"/>
  <c r="Q564" i="8"/>
  <c r="Q520" i="8"/>
  <c r="Q488" i="8"/>
  <c r="Q315" i="8"/>
  <c r="Q1128" i="8"/>
  <c r="Q793" i="8"/>
  <c r="Q83" i="8"/>
  <c r="Q450" i="8"/>
  <c r="Q177" i="8"/>
  <c r="Q537" i="8"/>
  <c r="Q91" i="8"/>
  <c r="Q1349" i="8"/>
  <c r="Q743" i="8"/>
  <c r="Q608" i="8"/>
  <c r="Q442" i="8"/>
  <c r="Q427" i="8"/>
  <c r="Q207" i="8"/>
  <c r="Q22" i="6"/>
  <c r="Q117" i="8"/>
  <c r="Q84" i="8"/>
  <c r="Q698" i="8"/>
  <c r="Q3" i="6"/>
  <c r="Q132" i="8"/>
  <c r="Q13" i="6"/>
  <c r="Q94" i="8"/>
  <c r="Q1227" i="8"/>
  <c r="Q1010" i="8"/>
  <c r="Q490" i="8"/>
  <c r="Q424" i="8"/>
  <c r="Q402" i="8"/>
  <c r="Q381" i="8"/>
  <c r="Q355" i="8"/>
  <c r="Q269" i="8"/>
  <c r="R87" i="8"/>
  <c r="B102" i="8" s="1"/>
  <c r="Q12" i="6"/>
  <c r="Q87" i="8"/>
  <c r="Q263" i="8"/>
  <c r="Q2" i="6"/>
  <c r="Q229" i="8"/>
  <c r="Q5" i="6"/>
  <c r="Q1133" i="8"/>
  <c r="Q256" i="8"/>
  <c r="R353" i="8"/>
  <c r="Q703" i="8"/>
  <c r="Q513" i="8"/>
  <c r="Q343" i="8"/>
  <c r="Q311" i="8"/>
  <c r="B1158" i="8"/>
  <c r="B1114" i="8"/>
  <c r="B1377" i="8"/>
  <c r="B1421" i="8"/>
  <c r="B2931" i="8"/>
  <c r="B1334" i="8"/>
  <c r="B2302" i="8"/>
  <c r="B2125" i="8"/>
  <c r="B1597" i="8"/>
  <c r="B3063" i="8"/>
  <c r="B277" i="8"/>
  <c r="B59" i="5"/>
  <c r="B80" i="5" s="1"/>
  <c r="B60" i="5"/>
  <c r="B761" i="8"/>
  <c r="B1157" i="8"/>
  <c r="R2542" i="8" l="1"/>
  <c r="R2539" i="8"/>
  <c r="R2558" i="8"/>
  <c r="R2550" i="8"/>
  <c r="R2562" i="8"/>
  <c r="R2544" i="8"/>
  <c r="R2541" i="8"/>
  <c r="B1868" i="8"/>
  <c r="K1846" i="8" s="1"/>
  <c r="L1846" i="8" s="1"/>
  <c r="K250" i="8"/>
  <c r="L250" i="8" s="1"/>
  <c r="M250" i="8" s="1"/>
  <c r="N250" i="8" s="1"/>
  <c r="K644" i="8"/>
  <c r="L644" i="8" s="1"/>
  <c r="M644" i="8" s="1"/>
  <c r="N644" i="8" s="1"/>
  <c r="K2627" i="8"/>
  <c r="L2627" i="8" s="1"/>
  <c r="M2627" i="8" s="1"/>
  <c r="N2627" i="8" s="1"/>
  <c r="K2581" i="8"/>
  <c r="L2581" i="8" s="1"/>
  <c r="M2581" i="8" s="1"/>
  <c r="N2581" i="8" s="1"/>
  <c r="K909" i="8"/>
  <c r="L909" i="8" s="1"/>
  <c r="M909" i="8" s="1"/>
  <c r="K1487" i="8"/>
  <c r="L1487" i="8" s="1"/>
  <c r="M1487" i="8" s="1"/>
  <c r="N1487" i="8" s="1"/>
  <c r="K2870" i="8"/>
  <c r="L2870" i="8" s="1"/>
  <c r="M2870" i="8" s="1"/>
  <c r="N2870" i="8" s="1"/>
  <c r="K2951" i="8"/>
  <c r="L2951" i="8" s="1"/>
  <c r="M2951" i="8" s="1"/>
  <c r="N2951" i="8" s="1"/>
  <c r="K1062" i="8"/>
  <c r="L1062" i="8" s="1"/>
  <c r="M1062" i="8" s="1"/>
  <c r="N1062" i="8" s="1"/>
  <c r="K3144" i="8"/>
  <c r="L3144" i="8" s="1"/>
  <c r="M3144" i="8" s="1"/>
  <c r="N3144" i="8" s="1"/>
  <c r="K2065" i="8"/>
  <c r="L2065" i="8" s="1"/>
  <c r="M2065" i="8" s="1"/>
  <c r="N2065" i="8" s="1"/>
  <c r="R2055" i="8"/>
  <c r="R2057" i="8"/>
  <c r="R2060" i="8"/>
  <c r="R2053" i="8"/>
  <c r="R2074" i="8"/>
  <c r="R2059" i="8"/>
  <c r="R2066" i="8"/>
  <c r="R2054" i="8"/>
  <c r="R2065" i="8"/>
  <c r="R2058" i="8"/>
  <c r="R2078" i="8"/>
  <c r="R2063" i="8"/>
  <c r="K2908" i="8"/>
  <c r="L2908" i="8" s="1"/>
  <c r="M2908" i="8" s="1"/>
  <c r="N2908" i="8" s="1"/>
  <c r="K2903" i="8"/>
  <c r="L2903" i="8" s="1"/>
  <c r="M2903" i="8" s="1"/>
  <c r="N2903" i="8" s="1"/>
  <c r="K3136" i="8"/>
  <c r="L3136" i="8" s="1"/>
  <c r="M3136" i="8" s="1"/>
  <c r="N3136" i="8" s="1"/>
  <c r="K2669" i="8"/>
  <c r="L2669" i="8" s="1"/>
  <c r="M2669" i="8" s="1"/>
  <c r="K292" i="8"/>
  <c r="L292" i="8" s="1"/>
  <c r="M292" i="8" s="1"/>
  <c r="N292" i="8" s="1"/>
  <c r="K2957" i="8"/>
  <c r="L2957" i="8" s="1"/>
  <c r="M2957" i="8" s="1"/>
  <c r="B806" i="8"/>
  <c r="K2544" i="8"/>
  <c r="L2544" i="8" s="1"/>
  <c r="M2544" i="8" s="1"/>
  <c r="N2544" i="8" s="1"/>
  <c r="K1879" i="8"/>
  <c r="L1879" i="8" s="1"/>
  <c r="M1879" i="8" s="1"/>
  <c r="N1879" i="8" s="1"/>
  <c r="K2792" i="8"/>
  <c r="L2792" i="8" s="1"/>
  <c r="M2792" i="8" s="1"/>
  <c r="N2792" i="8" s="1"/>
  <c r="K568" i="8"/>
  <c r="L568" i="8" s="1"/>
  <c r="M568" i="8" s="1"/>
  <c r="N568" i="8" s="1"/>
  <c r="K299" i="8"/>
  <c r="L299" i="8" s="1"/>
  <c r="M299" i="8" s="1"/>
  <c r="N299" i="8" s="1"/>
  <c r="K2342" i="8"/>
  <c r="L2342" i="8" s="1"/>
  <c r="M2342" i="8" s="1"/>
  <c r="N2342" i="8" s="1"/>
  <c r="K2646" i="8"/>
  <c r="L2646" i="8" s="1"/>
  <c r="M2646" i="8" s="1"/>
  <c r="N2646" i="8" s="1"/>
  <c r="K3192" i="8"/>
  <c r="L3192" i="8" s="1"/>
  <c r="M3192" i="8" s="1"/>
  <c r="K1502" i="8"/>
  <c r="L1502" i="8" s="1"/>
  <c r="M1502" i="8" s="1"/>
  <c r="N1502" i="8" s="1"/>
  <c r="K2323" i="8"/>
  <c r="L2323" i="8" s="1"/>
  <c r="M2323" i="8" s="1"/>
  <c r="N2323" i="8" s="1"/>
  <c r="K1506" i="8"/>
  <c r="L1506" i="8" s="1"/>
  <c r="M1506" i="8" s="1"/>
  <c r="N1506" i="8" s="1"/>
  <c r="K2884" i="8"/>
  <c r="L2884" i="8" s="1"/>
  <c r="M2884" i="8" s="1"/>
  <c r="N2884" i="8" s="1"/>
  <c r="K2826" i="8"/>
  <c r="L2826" i="8" s="1"/>
  <c r="M2826" i="8" s="1"/>
  <c r="K1304" i="8"/>
  <c r="L1304" i="8" s="1"/>
  <c r="M1304" i="8" s="1"/>
  <c r="N1304" i="8" s="1"/>
  <c r="B366" i="8"/>
  <c r="K348" i="8" s="1"/>
  <c r="L348" i="8" s="1"/>
  <c r="K2587" i="8"/>
  <c r="L2587" i="8" s="1"/>
  <c r="M2587" i="8" s="1"/>
  <c r="K2827" i="8"/>
  <c r="L2827" i="8" s="1"/>
  <c r="M2827" i="8" s="1"/>
  <c r="K1946" i="8"/>
  <c r="L1946" i="8" s="1"/>
  <c r="K2828" i="8"/>
  <c r="L2828" i="8" s="1"/>
  <c r="M2828" i="8" s="1"/>
  <c r="N2828" i="8" s="1"/>
  <c r="K2454" i="8"/>
  <c r="L2454" i="8" s="1"/>
  <c r="M2454" i="8" s="1"/>
  <c r="N2454" i="8" s="1"/>
  <c r="K253" i="8"/>
  <c r="L253" i="8" s="1"/>
  <c r="M253" i="8" s="1"/>
  <c r="N253" i="8" s="1"/>
  <c r="K999" i="8"/>
  <c r="L999" i="8" s="1"/>
  <c r="M999" i="8" s="1"/>
  <c r="N999" i="8" s="1"/>
  <c r="K2606" i="8"/>
  <c r="L2606" i="8" s="1"/>
  <c r="M2606" i="8" s="1"/>
  <c r="N2606" i="8" s="1"/>
  <c r="K2461" i="8"/>
  <c r="L2461" i="8" s="1"/>
  <c r="M2461" i="8" s="1"/>
  <c r="N2461" i="8" s="1"/>
  <c r="B1115" i="8"/>
  <c r="B1116" i="8" s="1"/>
  <c r="B1120" i="8" s="1"/>
  <c r="K1092" i="8" s="1"/>
  <c r="L1092" i="8" s="1"/>
  <c r="K820" i="8"/>
  <c r="L820" i="8" s="1"/>
  <c r="M820" i="8" s="1"/>
  <c r="N820" i="8" s="1"/>
  <c r="K2499" i="8"/>
  <c r="L2499" i="8" s="1"/>
  <c r="M2499" i="8" s="1"/>
  <c r="N2499" i="8" s="1"/>
  <c r="K864" i="8"/>
  <c r="L864" i="8" s="1"/>
  <c r="M864" i="8" s="1"/>
  <c r="N864" i="8" s="1"/>
  <c r="K1221" i="8"/>
  <c r="L1221" i="8" s="1"/>
  <c r="M1221" i="8" s="1"/>
  <c r="N1221" i="8" s="1"/>
  <c r="K911" i="8"/>
  <c r="L911" i="8" s="1"/>
  <c r="M911" i="8" s="1"/>
  <c r="N911" i="8" s="1"/>
  <c r="K3135" i="8"/>
  <c r="L3135" i="8" s="1"/>
  <c r="M3135" i="8" s="1"/>
  <c r="K1845" i="8"/>
  <c r="L1845" i="8" s="1"/>
  <c r="M1845" i="8" s="1"/>
  <c r="N1845" i="8" s="1"/>
  <c r="K1789" i="8"/>
  <c r="L1789" i="8" s="1"/>
  <c r="M1789" i="8" s="1"/>
  <c r="N1789" i="8" s="1"/>
  <c r="K251" i="8"/>
  <c r="L251" i="8" s="1"/>
  <c r="M251" i="8" s="1"/>
  <c r="N251" i="8" s="1"/>
  <c r="R2537" i="8"/>
  <c r="R2549" i="8"/>
  <c r="R2538" i="8"/>
  <c r="R2543" i="8"/>
  <c r="K2682" i="8"/>
  <c r="L2682" i="8" s="1"/>
  <c r="M2682" i="8" s="1"/>
  <c r="N2682" i="8" s="1"/>
  <c r="K2909" i="8"/>
  <c r="L2909" i="8" s="1"/>
  <c r="M2909" i="8" s="1"/>
  <c r="N2909" i="8" s="1"/>
  <c r="K2946" i="8"/>
  <c r="L2946" i="8" s="1"/>
  <c r="M2946" i="8" s="1"/>
  <c r="N2946" i="8" s="1"/>
  <c r="K3148" i="8"/>
  <c r="L3148" i="8" s="1"/>
  <c r="M3148" i="8" s="1"/>
  <c r="N3148" i="8" s="1"/>
  <c r="K2585" i="8"/>
  <c r="L2585" i="8" s="1"/>
  <c r="M2585" i="8" s="1"/>
  <c r="N2585" i="8" s="1"/>
  <c r="K1316" i="8"/>
  <c r="L1316" i="8" s="1"/>
  <c r="M1316" i="8" s="1"/>
  <c r="N1316" i="8" s="1"/>
  <c r="K2866" i="8"/>
  <c r="L2866" i="8" s="1"/>
  <c r="M2866" i="8" s="1"/>
  <c r="N2866" i="8" s="1"/>
  <c r="K869" i="8"/>
  <c r="L869" i="8" s="1"/>
  <c r="M869" i="8" s="1"/>
  <c r="N869" i="8" s="1"/>
  <c r="K318" i="8"/>
  <c r="L318" i="8" s="1"/>
  <c r="M318" i="8" s="1"/>
  <c r="N318" i="8" s="1"/>
  <c r="K1493" i="8"/>
  <c r="L1493" i="8" s="1"/>
  <c r="M1493" i="8" s="1"/>
  <c r="N1493" i="8" s="1"/>
  <c r="K870" i="8"/>
  <c r="L870" i="8" s="1"/>
  <c r="M870" i="8" s="1"/>
  <c r="N870" i="8" s="1"/>
  <c r="K2869" i="8"/>
  <c r="L2869" i="8" s="1"/>
  <c r="M2869" i="8" s="1"/>
  <c r="N2869" i="8" s="1"/>
  <c r="K1931" i="8"/>
  <c r="L1931" i="8" s="1"/>
  <c r="K2078" i="8"/>
  <c r="L2078" i="8" s="1"/>
  <c r="M2078" i="8" s="1"/>
  <c r="N2078" i="8" s="1"/>
  <c r="K2781" i="8"/>
  <c r="L2781" i="8" s="1"/>
  <c r="M2781" i="8" s="1"/>
  <c r="N2781" i="8" s="1"/>
  <c r="K2537" i="8"/>
  <c r="L2537" i="8" s="1"/>
  <c r="M2537" i="8" s="1"/>
  <c r="N2537" i="8" s="1"/>
  <c r="K314" i="8"/>
  <c r="L314" i="8" s="1"/>
  <c r="M314" i="8" s="1"/>
  <c r="N314" i="8" s="1"/>
  <c r="K525" i="8"/>
  <c r="L525" i="8" s="1"/>
  <c r="M525" i="8" s="1"/>
  <c r="N525" i="8" s="1"/>
  <c r="K2020" i="8"/>
  <c r="L2020" i="8" s="1"/>
  <c r="M2020" i="8" s="1"/>
  <c r="N2020" i="8" s="1"/>
  <c r="K2456" i="8"/>
  <c r="L2456" i="8" s="1"/>
  <c r="M2456" i="8" s="1"/>
  <c r="N2456" i="8" s="1"/>
  <c r="K1307" i="8"/>
  <c r="L1307" i="8" s="1"/>
  <c r="M1307" i="8" s="1"/>
  <c r="N1307" i="8" s="1"/>
  <c r="K2016" i="8"/>
  <c r="L2016" i="8" s="1"/>
  <c r="M2016" i="8" s="1"/>
  <c r="N2016" i="8" s="1"/>
  <c r="K1482" i="8"/>
  <c r="L1482" i="8" s="1"/>
  <c r="M1482" i="8" s="1"/>
  <c r="N1482" i="8" s="1"/>
  <c r="K1330" i="8"/>
  <c r="L1330" i="8" s="1"/>
  <c r="M1330" i="8" s="1"/>
  <c r="N1330" i="8" s="1"/>
  <c r="K2254" i="8"/>
  <c r="L2254" i="8" s="1"/>
  <c r="M2254" i="8" s="1"/>
  <c r="N2254" i="8" s="1"/>
  <c r="K2954" i="8"/>
  <c r="L2954" i="8" s="1"/>
  <c r="M2954" i="8" s="1"/>
  <c r="N2954" i="8" s="1"/>
  <c r="K3127" i="8"/>
  <c r="L3127" i="8" s="1"/>
  <c r="M3127" i="8" s="1"/>
  <c r="N3127" i="8" s="1"/>
  <c r="K582" i="8"/>
  <c r="L582" i="8" s="1"/>
  <c r="M582" i="8" s="1"/>
  <c r="N582" i="8" s="1"/>
  <c r="K2538" i="8"/>
  <c r="L2538" i="8" s="1"/>
  <c r="M2538" i="8" s="1"/>
  <c r="K3086" i="8"/>
  <c r="L3086" i="8" s="1"/>
  <c r="M3086" i="8" s="1"/>
  <c r="N3086" i="8" s="1"/>
  <c r="K3169" i="8"/>
  <c r="L3169" i="8" s="1"/>
  <c r="M3169" i="8" s="1"/>
  <c r="N3169" i="8" s="1"/>
  <c r="K1925" i="8"/>
  <c r="L1925" i="8" s="1"/>
  <c r="K2817" i="8"/>
  <c r="L2817" i="8" s="1"/>
  <c r="M2817" i="8" s="1"/>
  <c r="N2817" i="8" s="1"/>
  <c r="K2034" i="8"/>
  <c r="L2034" i="8" s="1"/>
  <c r="M2034" i="8" s="1"/>
  <c r="N2034" i="8" s="1"/>
  <c r="K921" i="8"/>
  <c r="L921" i="8" s="1"/>
  <c r="M921" i="8" s="1"/>
  <c r="K876" i="8"/>
  <c r="L876" i="8" s="1"/>
  <c r="M876" i="8" s="1"/>
  <c r="N876" i="8" s="1"/>
  <c r="K2865" i="8"/>
  <c r="L2865" i="8" s="1"/>
  <c r="M2865" i="8" s="1"/>
  <c r="N2865" i="8" s="1"/>
  <c r="K997" i="8"/>
  <c r="L997" i="8" s="1"/>
  <c r="M997" i="8" s="1"/>
  <c r="N997" i="8" s="1"/>
  <c r="K1312" i="8"/>
  <c r="L1312" i="8" s="1"/>
  <c r="M1312" i="8" s="1"/>
  <c r="N1312" i="8" s="1"/>
  <c r="K1883" i="8"/>
  <c r="L1883" i="8" s="1"/>
  <c r="M1883" i="8" s="1"/>
  <c r="N1883" i="8" s="1"/>
  <c r="K2635" i="8"/>
  <c r="L2635" i="8" s="1"/>
  <c r="M2635" i="8" s="1"/>
  <c r="N2635" i="8" s="1"/>
  <c r="K2275" i="8"/>
  <c r="L2275" i="8" s="1"/>
  <c r="M2275" i="8" s="1"/>
  <c r="N2275" i="8" s="1"/>
  <c r="K1242" i="8"/>
  <c r="L1242" i="8" s="1"/>
  <c r="M1242" i="8" s="1"/>
  <c r="N1242" i="8" s="1"/>
  <c r="K2280" i="8"/>
  <c r="L2280" i="8" s="1"/>
  <c r="K2820" i="8"/>
  <c r="L2820" i="8" s="1"/>
  <c r="M2820" i="8" s="1"/>
  <c r="N2820" i="8" s="1"/>
  <c r="K2329" i="8"/>
  <c r="L2329" i="8" s="1"/>
  <c r="M2329" i="8" s="1"/>
  <c r="N2329" i="8" s="1"/>
  <c r="K2968" i="8"/>
  <c r="L2968" i="8" s="1"/>
  <c r="M2968" i="8" s="1"/>
  <c r="N2968" i="8" s="1"/>
  <c r="K1840" i="8"/>
  <c r="L1840" i="8" s="1"/>
  <c r="M1840" i="8" s="1"/>
  <c r="N1840" i="8" s="1"/>
  <c r="K2286" i="8"/>
  <c r="L2286" i="8" s="1"/>
  <c r="K2030" i="8"/>
  <c r="L2030" i="8" s="1"/>
  <c r="M2030" i="8" s="1"/>
  <c r="K2864" i="8"/>
  <c r="L2864" i="8" s="1"/>
  <c r="M2864" i="8" s="1"/>
  <c r="N2864" i="8" s="1"/>
  <c r="B81" i="5"/>
  <c r="K304" i="8"/>
  <c r="L304" i="8" s="1"/>
  <c r="M304" i="8" s="1"/>
  <c r="N304" i="8" s="1"/>
  <c r="K2053" i="8"/>
  <c r="L2053" i="8" s="1"/>
  <c r="M2053" i="8" s="1"/>
  <c r="K2234" i="8"/>
  <c r="L2234" i="8" s="1"/>
  <c r="M2234" i="8" s="1"/>
  <c r="N2234" i="8" s="1"/>
  <c r="K2052" i="8"/>
  <c r="L2052" i="8" s="1"/>
  <c r="M2052" i="8" s="1"/>
  <c r="N2052" i="8" s="1"/>
  <c r="K2321" i="8"/>
  <c r="L2321" i="8" s="1"/>
  <c r="M2321" i="8" s="1"/>
  <c r="N2321" i="8" s="1"/>
  <c r="K261" i="8"/>
  <c r="L261" i="8" s="1"/>
  <c r="M261" i="8" s="1"/>
  <c r="N261" i="8" s="1"/>
  <c r="K1656" i="8"/>
  <c r="L1656" i="8" s="1"/>
  <c r="K1682" i="8"/>
  <c r="L1682" i="8" s="1"/>
  <c r="K1662" i="8"/>
  <c r="L1662" i="8" s="1"/>
  <c r="K1664" i="8"/>
  <c r="L1664" i="8" s="1"/>
  <c r="K1670" i="8"/>
  <c r="L1670" i="8" s="1"/>
  <c r="K347" i="8"/>
  <c r="L347" i="8" s="1"/>
  <c r="K344" i="8"/>
  <c r="L344" i="8" s="1"/>
  <c r="K342" i="8"/>
  <c r="L342" i="8" s="1"/>
  <c r="K1184" i="8"/>
  <c r="L1184" i="8" s="1"/>
  <c r="B724" i="8"/>
  <c r="K689" i="8" s="1"/>
  <c r="L689" i="8" s="1"/>
  <c r="K3089" i="8"/>
  <c r="L3089" i="8" s="1"/>
  <c r="R2776" i="8"/>
  <c r="R2771" i="8"/>
  <c r="R2781" i="8"/>
  <c r="R2784" i="8"/>
  <c r="R2772" i="8"/>
  <c r="R2773" i="8"/>
  <c r="R2792" i="8"/>
  <c r="R2796" i="8"/>
  <c r="R2778" i="8"/>
  <c r="R2783" i="8"/>
  <c r="R2777" i="8"/>
  <c r="R2775" i="8"/>
  <c r="K2231" i="8"/>
  <c r="L2231" i="8" s="1"/>
  <c r="K1858" i="8"/>
  <c r="L1858" i="8" s="1"/>
  <c r="K2638" i="8"/>
  <c r="L2638" i="8" s="1"/>
  <c r="K2629" i="8"/>
  <c r="L2629" i="8" s="1"/>
  <c r="K1041" i="8"/>
  <c r="L1041" i="8" s="1"/>
  <c r="K1922" i="8"/>
  <c r="L1922" i="8" s="1"/>
  <c r="K1934" i="8"/>
  <c r="L1934" i="8" s="1"/>
  <c r="K1942" i="8"/>
  <c r="L1942" i="8" s="1"/>
  <c r="K2283" i="8"/>
  <c r="L2283" i="8" s="1"/>
  <c r="K2671" i="8"/>
  <c r="L2671" i="8" s="1"/>
  <c r="K2294" i="8"/>
  <c r="L2294" i="8" s="1"/>
  <c r="K1923" i="8"/>
  <c r="L1923" i="8" s="1"/>
  <c r="B1428" i="8"/>
  <c r="K1397" i="8" s="1"/>
  <c r="L1397" i="8" s="1"/>
  <c r="K2690" i="8"/>
  <c r="L2690" i="8" s="1"/>
  <c r="K557" i="8"/>
  <c r="L557" i="8" s="1"/>
  <c r="K1788" i="8"/>
  <c r="L1788" i="8" s="1"/>
  <c r="B460" i="8"/>
  <c r="K429" i="8" s="1"/>
  <c r="L429" i="8" s="1"/>
  <c r="K1888" i="8"/>
  <c r="L1888" i="8" s="1"/>
  <c r="B718" i="8"/>
  <c r="K2470" i="8"/>
  <c r="L2470" i="8" s="1"/>
  <c r="K259" i="8"/>
  <c r="L259" i="8" s="1"/>
  <c r="K2455" i="8"/>
  <c r="L2455" i="8" s="1"/>
  <c r="K3124" i="8"/>
  <c r="L3124" i="8" s="1"/>
  <c r="K2650" i="8"/>
  <c r="L2650" i="8" s="1"/>
  <c r="K306" i="8"/>
  <c r="L306" i="8" s="1"/>
  <c r="K919" i="8"/>
  <c r="L919" i="8" s="1"/>
  <c r="K1876" i="8"/>
  <c r="L1876" i="8" s="1"/>
  <c r="K2858" i="8"/>
  <c r="L2858" i="8" s="1"/>
  <c r="K2593" i="8"/>
  <c r="L2593" i="8" s="1"/>
  <c r="K2591" i="8"/>
  <c r="L2591" i="8" s="1"/>
  <c r="K2668" i="8"/>
  <c r="L2668" i="8" s="1"/>
  <c r="K1048" i="8"/>
  <c r="L1048" i="8" s="1"/>
  <c r="K1722" i="8"/>
  <c r="L1722" i="8" s="1"/>
  <c r="K916" i="8"/>
  <c r="L916" i="8" s="1"/>
  <c r="K1217" i="8"/>
  <c r="L1217" i="8" s="1"/>
  <c r="K2586" i="8"/>
  <c r="L2586" i="8" s="1"/>
  <c r="K822" i="8"/>
  <c r="L822" i="8" s="1"/>
  <c r="K2993" i="8"/>
  <c r="L2993" i="8" s="1"/>
  <c r="K2778" i="8"/>
  <c r="L2778" i="8" s="1"/>
  <c r="K1928" i="8"/>
  <c r="L1928" i="8" s="1"/>
  <c r="K2539" i="8"/>
  <c r="L2539" i="8" s="1"/>
  <c r="K1878" i="8"/>
  <c r="L1878" i="8" s="1"/>
  <c r="K1667" i="8"/>
  <c r="L1667" i="8" s="1"/>
  <c r="K2952" i="8"/>
  <c r="L2952" i="8" s="1"/>
  <c r="K1045" i="8"/>
  <c r="L1045" i="8" s="1"/>
  <c r="K567" i="8"/>
  <c r="L567" i="8" s="1"/>
  <c r="K1668" i="8"/>
  <c r="L1668" i="8" s="1"/>
  <c r="K832" i="8"/>
  <c r="L832" i="8" s="1"/>
  <c r="K696" i="8"/>
  <c r="L696" i="8" s="1"/>
  <c r="K3168" i="8"/>
  <c r="L3168" i="8" s="1"/>
  <c r="K2055" i="8"/>
  <c r="L2055" i="8" s="1"/>
  <c r="K2558" i="8"/>
  <c r="L2558" i="8" s="1"/>
  <c r="K2910" i="8"/>
  <c r="L2910" i="8" s="1"/>
  <c r="K2679" i="8"/>
  <c r="L2679" i="8" s="1"/>
  <c r="K2680" i="8"/>
  <c r="L2680" i="8" s="1"/>
  <c r="K519" i="8"/>
  <c r="L519" i="8" s="1"/>
  <c r="K2913" i="8"/>
  <c r="L2913" i="8" s="1"/>
  <c r="K255" i="8"/>
  <c r="L255" i="8" s="1"/>
  <c r="K1311" i="8"/>
  <c r="L1311" i="8" s="1"/>
  <c r="K2019" i="8"/>
  <c r="L2019" i="8" s="1"/>
  <c r="K2059" i="8"/>
  <c r="L2059" i="8" s="1"/>
  <c r="K3122" i="8"/>
  <c r="L3122" i="8" s="1"/>
  <c r="K2514" i="8"/>
  <c r="L2514" i="8" s="1"/>
  <c r="K520" i="8"/>
  <c r="L520" i="8" s="1"/>
  <c r="K655" i="8"/>
  <c r="L655" i="8" s="1"/>
  <c r="K998" i="8"/>
  <c r="L998" i="8" s="1"/>
  <c r="K871" i="8"/>
  <c r="L871" i="8" s="1"/>
  <c r="K1315" i="8"/>
  <c r="L1315" i="8" s="1"/>
  <c r="K2240" i="8"/>
  <c r="L2240" i="8" s="1"/>
  <c r="K1810" i="8"/>
  <c r="L1810" i="8" s="1"/>
  <c r="K3090" i="8"/>
  <c r="L3090" i="8" s="1"/>
  <c r="K295" i="8"/>
  <c r="L295" i="8" s="1"/>
  <c r="K1839" i="8"/>
  <c r="L1839" i="8" s="1"/>
  <c r="K833" i="8"/>
  <c r="L833" i="8" s="1"/>
  <c r="K650" i="8"/>
  <c r="L650" i="8" s="1"/>
  <c r="K3172" i="8"/>
  <c r="L3172" i="8" s="1"/>
  <c r="K2277" i="8"/>
  <c r="L2277" i="8" s="1"/>
  <c r="K1658" i="8"/>
  <c r="L1658" i="8" s="1"/>
  <c r="K256" i="8"/>
  <c r="L256" i="8" s="1"/>
  <c r="K2319" i="8"/>
  <c r="L2319" i="8" s="1"/>
  <c r="K2673" i="8"/>
  <c r="L2673" i="8" s="1"/>
  <c r="K1306" i="8"/>
  <c r="L1306" i="8" s="1"/>
  <c r="K2274" i="8"/>
  <c r="L2274" i="8" s="1"/>
  <c r="K3123" i="8"/>
  <c r="L3123" i="8" s="1"/>
  <c r="K1838" i="8"/>
  <c r="L1838" i="8" s="1"/>
  <c r="K1844" i="8"/>
  <c r="L1844" i="8" s="1"/>
  <c r="K2626" i="8"/>
  <c r="L2626" i="8" s="1"/>
  <c r="K1488" i="8"/>
  <c r="L1488" i="8" s="1"/>
  <c r="K294" i="8"/>
  <c r="L294" i="8" s="1"/>
  <c r="K2242" i="8"/>
  <c r="L2242" i="8" s="1"/>
  <c r="K562" i="8"/>
  <c r="L562" i="8" s="1"/>
  <c r="K1889" i="8"/>
  <c r="L1889" i="8" s="1"/>
  <c r="K1794" i="8"/>
  <c r="L1794" i="8" s="1"/>
  <c r="K914" i="8"/>
  <c r="L914" i="8" s="1"/>
  <c r="K2863" i="8"/>
  <c r="L2863" i="8" s="1"/>
  <c r="K2773" i="8"/>
  <c r="L2773" i="8" s="1"/>
  <c r="K2492" i="8"/>
  <c r="L2492" i="8" s="1"/>
  <c r="K2822" i="8"/>
  <c r="L2822" i="8" s="1"/>
  <c r="K3080" i="8"/>
  <c r="L3080" i="8" s="1"/>
  <c r="K274" i="8"/>
  <c r="L274" i="8" s="1"/>
  <c r="K2518" i="8"/>
  <c r="L2518" i="8" s="1"/>
  <c r="K2588" i="8"/>
  <c r="L2588" i="8" s="1"/>
  <c r="K1834" i="8"/>
  <c r="L1834" i="8" s="1"/>
  <c r="K1791" i="8"/>
  <c r="L1791" i="8" s="1"/>
  <c r="K1833" i="8"/>
  <c r="L1833" i="8" s="1"/>
  <c r="K2674" i="8"/>
  <c r="L2674" i="8" s="1"/>
  <c r="K2819" i="8"/>
  <c r="L2819" i="8" s="1"/>
  <c r="K2972" i="8"/>
  <c r="L2972" i="8" s="1"/>
  <c r="K2235" i="8"/>
  <c r="L2235" i="8" s="1"/>
  <c r="K248" i="8"/>
  <c r="L248" i="8" s="1"/>
  <c r="K336" i="8"/>
  <c r="L336" i="8" s="1"/>
  <c r="K831" i="8"/>
  <c r="L831" i="8" s="1"/>
  <c r="K2506" i="8"/>
  <c r="L2506" i="8" s="1"/>
  <c r="K1326" i="8"/>
  <c r="L1326" i="8" s="1"/>
  <c r="K2915" i="8"/>
  <c r="L2915" i="8" s="1"/>
  <c r="K1801" i="8"/>
  <c r="L1801" i="8" s="1"/>
  <c r="K2316" i="8"/>
  <c r="L2316" i="8" s="1"/>
  <c r="K570" i="8"/>
  <c r="L570" i="8" s="1"/>
  <c r="K2548" i="8"/>
  <c r="L2548" i="8" s="1"/>
  <c r="K1229" i="8"/>
  <c r="L1229" i="8" s="1"/>
  <c r="K657" i="8"/>
  <c r="L657" i="8" s="1"/>
  <c r="K2549" i="8"/>
  <c r="L2549" i="8" s="1"/>
  <c r="K2330" i="8"/>
  <c r="L2330" i="8" s="1"/>
  <c r="K350" i="8"/>
  <c r="L350" i="8" s="1"/>
  <c r="K358" i="8"/>
  <c r="L358" i="8" s="1"/>
  <c r="K1008" i="8"/>
  <c r="L1008" i="8" s="1"/>
  <c r="K2541" i="8"/>
  <c r="L2541" i="8" s="1"/>
  <c r="K1002" i="8"/>
  <c r="L1002" i="8" s="1"/>
  <c r="K1481" i="8"/>
  <c r="L1481" i="8" s="1"/>
  <c r="K262" i="8"/>
  <c r="L262" i="8" s="1"/>
  <c r="K1043" i="8"/>
  <c r="L1043" i="8" s="1"/>
  <c r="K2583" i="8"/>
  <c r="L2583" i="8" s="1"/>
  <c r="K2550" i="8"/>
  <c r="L2550" i="8" s="1"/>
  <c r="K3167" i="8"/>
  <c r="L3167" i="8" s="1"/>
  <c r="K1492" i="8"/>
  <c r="L1492" i="8" s="1"/>
  <c r="K249" i="8"/>
  <c r="L249" i="8" s="1"/>
  <c r="K1881" i="8"/>
  <c r="L1881" i="8" s="1"/>
  <c r="K1790" i="8"/>
  <c r="L1790" i="8" s="1"/>
  <c r="K1884" i="8"/>
  <c r="L1884" i="8" s="1"/>
  <c r="K821" i="8"/>
  <c r="L821" i="8" s="1"/>
  <c r="K1877" i="8"/>
  <c r="L1877" i="8" s="1"/>
  <c r="K3104" i="8"/>
  <c r="L3104" i="8" s="1"/>
  <c r="K1007" i="8"/>
  <c r="L1007" i="8" s="1"/>
  <c r="K2992" i="8"/>
  <c r="L2992" i="8" s="1"/>
  <c r="K2504" i="8"/>
  <c r="L2504" i="8" s="1"/>
  <c r="K910" i="8"/>
  <c r="L910" i="8" s="1"/>
  <c r="K1222" i="8"/>
  <c r="L1222" i="8" s="1"/>
  <c r="K3092" i="8"/>
  <c r="L3092" i="8" s="1"/>
  <c r="K2860" i="8"/>
  <c r="L2860" i="8" s="1"/>
  <c r="K556" i="8"/>
  <c r="L556" i="8" s="1"/>
  <c r="K1933" i="8"/>
  <c r="L1933" i="8" s="1"/>
  <c r="K1052" i="8"/>
  <c r="L1052" i="8" s="1"/>
  <c r="K2324" i="8"/>
  <c r="L2324" i="8" s="1"/>
  <c r="K1219" i="8"/>
  <c r="L1219" i="8" s="1"/>
  <c r="K2676" i="8"/>
  <c r="L2676" i="8" s="1"/>
  <c r="K886" i="8"/>
  <c r="L886" i="8" s="1"/>
  <c r="K2905" i="8"/>
  <c r="L2905" i="8" s="1"/>
  <c r="K2960" i="8"/>
  <c r="L2960" i="8" s="1"/>
  <c r="K2772" i="8"/>
  <c r="L2772" i="8" s="1"/>
  <c r="K2230" i="8"/>
  <c r="L2230" i="8" s="1"/>
  <c r="K2298" i="8"/>
  <c r="L2298" i="8" s="1"/>
  <c r="K1309" i="8"/>
  <c r="L1309" i="8" s="1"/>
  <c r="K1793" i="8"/>
  <c r="L1793" i="8" s="1"/>
  <c r="K297" i="8"/>
  <c r="L297" i="8" s="1"/>
  <c r="K2013" i="8"/>
  <c r="L2013" i="8" s="1"/>
  <c r="K1317" i="8"/>
  <c r="L1317" i="8" s="1"/>
  <c r="K2594" i="8"/>
  <c r="L2594" i="8" s="1"/>
  <c r="K2279" i="8"/>
  <c r="L2279" i="8" s="1"/>
  <c r="K2317" i="8"/>
  <c r="L2317" i="8" s="1"/>
  <c r="K337" i="8"/>
  <c r="L337" i="8" s="1"/>
  <c r="K1227" i="8"/>
  <c r="L1227" i="8" s="1"/>
  <c r="K2958" i="8"/>
  <c r="L2958" i="8" s="1"/>
  <c r="K1480" i="8"/>
  <c r="L1480" i="8" s="1"/>
  <c r="K1536" i="8"/>
  <c r="L1536" i="8" s="1"/>
  <c r="K2543" i="8"/>
  <c r="L2543" i="8" s="1"/>
  <c r="K534" i="8"/>
  <c r="L534" i="8" s="1"/>
  <c r="K2796" i="8"/>
  <c r="L2796" i="8" s="1"/>
  <c r="K1318" i="8"/>
  <c r="L1318" i="8" s="1"/>
  <c r="K563" i="8"/>
  <c r="L563" i="8" s="1"/>
  <c r="K1669" i="8"/>
  <c r="L1669" i="8" s="1"/>
  <c r="K1238" i="8"/>
  <c r="L1238" i="8" s="1"/>
  <c r="K2327" i="8"/>
  <c r="L2327" i="8" s="1"/>
  <c r="K1890" i="8"/>
  <c r="L1890" i="8" s="1"/>
  <c r="K538" i="8"/>
  <c r="L538" i="8" s="1"/>
  <c r="K518" i="8"/>
  <c r="L518" i="8" s="1"/>
  <c r="K823" i="8"/>
  <c r="L823" i="8" s="1"/>
  <c r="K260" i="8"/>
  <c r="L260" i="8" s="1"/>
  <c r="K305" i="8"/>
  <c r="L305" i="8" s="1"/>
  <c r="K1483" i="8"/>
  <c r="L1483" i="8" s="1"/>
  <c r="K2776" i="8"/>
  <c r="L2776" i="8" s="1"/>
  <c r="K2670" i="8"/>
  <c r="L2670" i="8" s="1"/>
  <c r="K2872" i="8"/>
  <c r="L2872" i="8" s="1"/>
  <c r="K2815" i="8"/>
  <c r="L2815" i="8" s="1"/>
  <c r="K2959" i="8"/>
  <c r="L2959" i="8" s="1"/>
  <c r="K2285" i="8"/>
  <c r="L2285" i="8" s="1"/>
  <c r="K2060" i="8"/>
  <c r="L2060" i="8" s="1"/>
  <c r="K2495" i="8"/>
  <c r="L2495" i="8" s="1"/>
  <c r="K2322" i="8"/>
  <c r="L2322" i="8" s="1"/>
  <c r="K2914" i="8"/>
  <c r="L2914" i="8" s="1"/>
  <c r="K2338" i="8"/>
  <c r="L2338" i="8" s="1"/>
  <c r="K2694" i="8"/>
  <c r="L2694" i="8" s="1"/>
  <c r="K3128" i="8"/>
  <c r="L3128" i="8" s="1"/>
  <c r="K2503" i="8"/>
  <c r="L2503" i="8" s="1"/>
  <c r="K2058" i="8"/>
  <c r="L2058" i="8" s="1"/>
  <c r="K1927" i="8"/>
  <c r="L1927" i="8" s="1"/>
  <c r="K834" i="8"/>
  <c r="L834" i="8" s="1"/>
  <c r="K878" i="8"/>
  <c r="L878" i="8" s="1"/>
  <c r="K303" i="8"/>
  <c r="L303" i="8" s="1"/>
  <c r="K2602" i="8"/>
  <c r="L2602" i="8" s="1"/>
  <c r="K3079" i="8"/>
  <c r="L3079" i="8" s="1"/>
  <c r="K3085" i="8"/>
  <c r="L3085" i="8" s="1"/>
  <c r="K1228" i="8"/>
  <c r="L1228" i="8" s="1"/>
  <c r="K1223" i="8"/>
  <c r="L1223" i="8" s="1"/>
  <c r="K2947" i="8"/>
  <c r="L2947" i="8" s="1"/>
  <c r="K2916" i="8"/>
  <c r="L2916" i="8" s="1"/>
  <c r="K2902" i="8"/>
  <c r="L2902" i="8" s="1"/>
  <c r="K3129" i="8"/>
  <c r="L3129" i="8" s="1"/>
  <c r="K2474" i="8"/>
  <c r="L2474" i="8" s="1"/>
  <c r="K1018" i="8"/>
  <c r="L1018" i="8" s="1"/>
  <c r="K2460" i="8"/>
  <c r="L2460" i="8" s="1"/>
  <c r="K2063" i="8"/>
  <c r="L2063" i="8" s="1"/>
  <c r="K2582" i="8"/>
  <c r="L2582" i="8" s="1"/>
  <c r="K1920" i="8"/>
  <c r="L1920" i="8" s="1"/>
  <c r="K2777" i="8"/>
  <c r="L2777" i="8" s="1"/>
  <c r="K569" i="8"/>
  <c r="L569" i="8" s="1"/>
  <c r="K825" i="8"/>
  <c r="L825" i="8" s="1"/>
  <c r="K877" i="8"/>
  <c r="L877" i="8" s="1"/>
  <c r="K2008" i="8"/>
  <c r="L2008" i="8" s="1"/>
  <c r="K2996" i="8"/>
  <c r="L2996" i="8" s="1"/>
  <c r="K1046" i="8"/>
  <c r="L1046" i="8" s="1"/>
  <c r="K1004" i="8"/>
  <c r="L1004" i="8" s="1"/>
  <c r="K2453" i="8"/>
  <c r="L2453" i="8" s="1"/>
  <c r="K1040" i="8"/>
  <c r="L1040" i="8" s="1"/>
  <c r="K1022" i="8"/>
  <c r="L1022" i="8" s="1"/>
  <c r="K1491" i="8"/>
  <c r="L1491" i="8" s="1"/>
  <c r="K2907" i="8"/>
  <c r="L2907" i="8" s="1"/>
  <c r="K2840" i="8"/>
  <c r="L2840" i="8" s="1"/>
  <c r="K2681" i="8"/>
  <c r="L2681" i="8" s="1"/>
  <c r="K2991" i="8"/>
  <c r="L2991" i="8" s="1"/>
  <c r="K1657" i="8"/>
  <c r="L1657" i="8" s="1"/>
  <c r="K2632" i="8"/>
  <c r="L2632" i="8" s="1"/>
  <c r="K2449" i="8"/>
  <c r="L2449" i="8" s="1"/>
  <c r="K3091" i="8"/>
  <c r="L3091" i="8" s="1"/>
  <c r="K1003" i="8"/>
  <c r="L1003" i="8" s="1"/>
  <c r="K1932" i="8"/>
  <c r="L1932" i="8" s="1"/>
  <c r="K2821" i="8"/>
  <c r="L2821" i="8" s="1"/>
  <c r="K2284" i="8"/>
  <c r="L2284" i="8" s="1"/>
  <c r="K1796" i="8"/>
  <c r="L1796" i="8" s="1"/>
  <c r="K2009" i="8"/>
  <c r="L2009" i="8" s="1"/>
  <c r="K2014" i="8"/>
  <c r="L2014" i="8" s="1"/>
  <c r="K1926" i="8"/>
  <c r="L1926" i="8" s="1"/>
  <c r="K300" i="8"/>
  <c r="L300" i="8" s="1"/>
  <c r="K524" i="8"/>
  <c r="L524" i="8" s="1"/>
  <c r="K2547" i="8"/>
  <c r="L2547" i="8" s="1"/>
  <c r="K3100" i="8"/>
  <c r="L3100" i="8" s="1"/>
  <c r="K1678" i="8"/>
  <c r="L1678" i="8" s="1"/>
  <c r="K1887" i="8"/>
  <c r="L1887" i="8" s="1"/>
  <c r="K2272" i="8"/>
  <c r="L2272" i="8" s="1"/>
  <c r="K1802" i="8"/>
  <c r="L1802" i="8" s="1"/>
  <c r="K915" i="8"/>
  <c r="L915" i="8" s="1"/>
  <c r="K512" i="8"/>
  <c r="L512" i="8" s="1"/>
  <c r="K658" i="8"/>
  <c r="L658" i="8" s="1"/>
  <c r="K2783" i="8"/>
  <c r="L2783" i="8" s="1"/>
  <c r="K666" i="8"/>
  <c r="L666" i="8" s="1"/>
  <c r="K2505" i="8"/>
  <c r="L2505" i="8" s="1"/>
  <c r="K1009" i="8"/>
  <c r="L1009" i="8" s="1"/>
  <c r="K2784" i="8"/>
  <c r="L2784" i="8" s="1"/>
  <c r="K3180" i="8"/>
  <c r="L3180" i="8" s="1"/>
  <c r="K2494" i="8"/>
  <c r="L2494" i="8" s="1"/>
  <c r="K1310" i="8"/>
  <c r="L1310" i="8" s="1"/>
  <c r="K2493" i="8"/>
  <c r="L2493" i="8" s="1"/>
  <c r="K2250" i="8"/>
  <c r="L2250" i="8" s="1"/>
  <c r="K2562" i="8"/>
  <c r="L2562" i="8" s="1"/>
  <c r="K3133" i="8"/>
  <c r="L3133" i="8" s="1"/>
  <c r="K3173" i="8"/>
  <c r="L3173" i="8" s="1"/>
  <c r="K513" i="8"/>
  <c r="L513" i="8" s="1"/>
  <c r="K2229" i="8"/>
  <c r="L2229" i="8" s="1"/>
  <c r="K2948" i="8"/>
  <c r="L2948" i="8" s="1"/>
  <c r="K1054" i="8"/>
  <c r="L1054" i="8" s="1"/>
  <c r="K1835" i="8"/>
  <c r="L1835" i="8" s="1"/>
  <c r="K270" i="8"/>
  <c r="L270" i="8" s="1"/>
  <c r="K514" i="8"/>
  <c r="L514" i="8" s="1"/>
  <c r="K2580" i="8"/>
  <c r="L2580" i="8" s="1"/>
  <c r="K1882" i="8"/>
  <c r="L1882" i="8" s="1"/>
  <c r="K2010" i="8"/>
  <c r="L2010" i="8" s="1"/>
  <c r="K2451" i="8"/>
  <c r="L2451" i="8" s="1"/>
  <c r="K1494" i="8"/>
  <c r="L1494" i="8" s="1"/>
  <c r="K890" i="8"/>
  <c r="L890" i="8" s="1"/>
  <c r="K3179" i="8"/>
  <c r="L3179" i="8" s="1"/>
  <c r="K2825" i="8"/>
  <c r="L2825" i="8" s="1"/>
  <c r="K526" i="8"/>
  <c r="L526" i="8" s="1"/>
  <c r="K2953" i="8"/>
  <c r="L2953" i="8" s="1"/>
  <c r="K865" i="8"/>
  <c r="L865" i="8" s="1"/>
  <c r="K2022" i="8"/>
  <c r="L2022" i="8" s="1"/>
  <c r="K866" i="8"/>
  <c r="L866" i="8" s="1"/>
  <c r="K3002" i="8"/>
  <c r="L3002" i="8" s="1"/>
  <c r="K846" i="8"/>
  <c r="L846" i="8" s="1"/>
  <c r="K872" i="8"/>
  <c r="L872" i="8" s="1"/>
  <c r="K2273" i="8"/>
  <c r="L2273" i="8" s="1"/>
  <c r="K3081" i="8"/>
  <c r="L3081" i="8" s="1"/>
  <c r="K2625" i="8"/>
  <c r="L2625" i="8" s="1"/>
  <c r="K2637" i="8"/>
  <c r="L2637" i="8" s="1"/>
  <c r="K2592" i="8"/>
  <c r="L2592" i="8" s="1"/>
  <c r="K1795" i="8"/>
  <c r="L1795" i="8" s="1"/>
  <c r="K564" i="8"/>
  <c r="L564" i="8" s="1"/>
  <c r="K1216" i="8"/>
  <c r="L1216" i="8" s="1"/>
  <c r="K1663" i="8"/>
  <c r="L1663" i="8" s="1"/>
  <c r="K920" i="8"/>
  <c r="L920" i="8" s="1"/>
  <c r="K1921" i="8"/>
  <c r="L1921" i="8" s="1"/>
  <c r="K2500" i="8"/>
  <c r="L2500" i="8" s="1"/>
  <c r="K2054" i="8"/>
  <c r="L2054" i="8" s="1"/>
  <c r="K2836" i="8"/>
  <c r="L2836" i="8" s="1"/>
  <c r="K2675" i="8"/>
  <c r="L2675" i="8" s="1"/>
  <c r="K2928" i="8"/>
  <c r="L2928" i="8" s="1"/>
  <c r="K2278" i="8"/>
  <c r="L2278" i="8" s="1"/>
  <c r="K3166" i="8"/>
  <c r="L3166" i="8" s="1"/>
  <c r="K3083" i="8"/>
  <c r="L3083" i="8" s="1"/>
  <c r="K1661" i="8"/>
  <c r="L1661" i="8" s="1"/>
  <c r="K3125" i="8"/>
  <c r="L3125" i="8" s="1"/>
  <c r="K298" i="8"/>
  <c r="L298" i="8" s="1"/>
  <c r="K2859" i="8"/>
  <c r="L2859" i="8" s="1"/>
  <c r="K908" i="8"/>
  <c r="L908" i="8" s="1"/>
  <c r="K2462" i="8"/>
  <c r="L2462" i="8" s="1"/>
  <c r="K2782" i="8"/>
  <c r="L2782" i="8" s="1"/>
  <c r="K2328" i="8"/>
  <c r="L2328" i="8" s="1"/>
  <c r="K934" i="8"/>
  <c r="L934" i="8" s="1"/>
  <c r="K293" i="8"/>
  <c r="L293" i="8" s="1"/>
  <c r="K1814" i="8"/>
  <c r="L1814" i="8" s="1"/>
  <c r="K1051" i="8"/>
  <c r="L1051" i="8" s="1"/>
  <c r="K2814" i="8"/>
  <c r="L2814" i="8" s="1"/>
  <c r="K930" i="8"/>
  <c r="L930" i="8" s="1"/>
  <c r="R1493" i="8"/>
  <c r="R1491" i="8"/>
  <c r="R1488" i="8"/>
  <c r="R1485" i="8"/>
  <c r="R1494" i="8"/>
  <c r="R1483" i="8"/>
  <c r="R1487" i="8"/>
  <c r="R1486" i="8"/>
  <c r="R1502" i="8"/>
  <c r="R1506" i="8"/>
  <c r="R1481" i="8"/>
  <c r="R1482" i="8"/>
  <c r="R2991" i="8"/>
  <c r="R3003" i="8"/>
  <c r="R2998" i="8"/>
  <c r="R2995" i="8"/>
  <c r="R3001" i="8"/>
  <c r="R3012" i="8"/>
  <c r="R2993" i="8"/>
  <c r="R2997" i="8"/>
  <c r="R3016" i="8"/>
  <c r="R3004" i="8"/>
  <c r="R2992" i="8"/>
  <c r="R2996" i="8"/>
  <c r="K996" i="8"/>
  <c r="L996" i="8" s="1"/>
  <c r="B52" i="5"/>
  <c r="B15" i="7" s="1"/>
  <c r="K3084" i="8"/>
  <c r="L3084" i="8" s="1"/>
  <c r="G3180" i="8"/>
  <c r="G2872" i="8"/>
  <c r="G3136" i="8"/>
  <c r="G2828" i="8"/>
  <c r="G3004" i="8"/>
  <c r="G2682" i="8"/>
  <c r="G3048" i="8"/>
  <c r="G2550" i="8"/>
  <c r="G2594" i="8"/>
  <c r="G2462" i="8"/>
  <c r="G2960" i="8"/>
  <c r="G2726" i="8"/>
  <c r="G2374" i="8"/>
  <c r="G2784" i="8"/>
  <c r="G2506" i="8"/>
  <c r="G2242" i="8"/>
  <c r="G2916" i="8"/>
  <c r="G3092" i="8"/>
  <c r="G2418" i="8"/>
  <c r="G2638" i="8"/>
  <c r="G1934" i="8"/>
  <c r="G2110" i="8"/>
  <c r="G2330" i="8"/>
  <c r="G1890" i="8"/>
  <c r="G2198" i="8"/>
  <c r="G2154" i="8"/>
  <c r="G2286" i="8"/>
  <c r="G1846" i="8"/>
  <c r="G2066" i="8"/>
  <c r="G1406" i="8"/>
  <c r="G2022" i="8"/>
  <c r="G1670" i="8"/>
  <c r="G1362" i="8"/>
  <c r="G1714" i="8"/>
  <c r="G1978" i="8"/>
  <c r="G1802" i="8"/>
  <c r="G1318" i="8"/>
  <c r="G1450" i="8"/>
  <c r="G1098" i="8"/>
  <c r="G834" i="8"/>
  <c r="G1230" i="8"/>
  <c r="G1186" i="8"/>
  <c r="G1054" i="8"/>
  <c r="G790" i="8"/>
  <c r="G1142" i="8"/>
  <c r="G658" i="8"/>
  <c r="G1626" i="8"/>
  <c r="G878" i="8"/>
  <c r="G1582" i="8"/>
  <c r="G526" i="8"/>
  <c r="G1758" i="8"/>
  <c r="G922" i="8"/>
  <c r="G1494" i="8"/>
  <c r="G614" i="8"/>
  <c r="G438" i="8"/>
  <c r="G86" i="8"/>
  <c r="G1538" i="8"/>
  <c r="G746" i="8"/>
  <c r="G570" i="8"/>
  <c r="G262" i="8"/>
  <c r="G966" i="8"/>
  <c r="G1274" i="8"/>
  <c r="G702" i="8"/>
  <c r="G306" i="8"/>
  <c r="G218" i="8"/>
  <c r="G130" i="8"/>
  <c r="G174" i="8"/>
  <c r="G482" i="8"/>
  <c r="G350" i="8"/>
  <c r="G1010" i="8"/>
  <c r="G394" i="8"/>
  <c r="B2396" i="8"/>
  <c r="K2361" i="8" s="1"/>
  <c r="L2361" i="8" s="1"/>
  <c r="B1736" i="8"/>
  <c r="K1703" i="8" s="1"/>
  <c r="L1703" i="8" s="1"/>
  <c r="B812" i="8"/>
  <c r="K783" i="8" s="1"/>
  <c r="L783" i="8" s="1"/>
  <c r="K558" i="8"/>
  <c r="L558" i="8" s="1"/>
  <c r="R1042" i="8"/>
  <c r="R1043" i="8"/>
  <c r="R1062" i="8"/>
  <c r="R1048" i="8"/>
  <c r="R1041" i="8"/>
  <c r="R1066" i="8"/>
  <c r="R1051" i="8"/>
  <c r="R1054" i="8"/>
  <c r="R1053" i="8"/>
  <c r="R1046" i="8"/>
  <c r="R1047" i="8"/>
  <c r="R1045" i="8"/>
  <c r="K2631" i="8"/>
  <c r="L2631" i="8" s="1"/>
  <c r="K867" i="8"/>
  <c r="L867" i="8" s="1"/>
  <c r="K3188" i="8"/>
  <c r="L3188" i="8" s="1"/>
  <c r="K3177" i="8"/>
  <c r="L3177" i="8" s="1"/>
  <c r="K559" i="8"/>
  <c r="L559" i="8" s="1"/>
  <c r="K2011" i="8"/>
  <c r="L2011" i="8" s="1"/>
  <c r="K3174" i="8"/>
  <c r="L3174" i="8" s="1"/>
  <c r="K1485" i="8"/>
  <c r="L1485" i="8" s="1"/>
  <c r="K561" i="8"/>
  <c r="L561" i="8" s="1"/>
  <c r="K3130" i="8"/>
  <c r="L3130" i="8" s="1"/>
  <c r="K254" i="8"/>
  <c r="L254" i="8" s="1"/>
  <c r="K2904" i="8"/>
  <c r="L2904" i="8" s="1"/>
  <c r="K2998" i="8"/>
  <c r="L2998" i="8" s="1"/>
  <c r="K1180" i="8"/>
  <c r="L1180" i="8" s="1"/>
  <c r="K2880" i="8"/>
  <c r="L2880" i="8" s="1"/>
  <c r="K3134" i="8"/>
  <c r="L3134" i="8" s="1"/>
  <c r="K338" i="8"/>
  <c r="L338" i="8" s="1"/>
  <c r="R1837" i="8"/>
  <c r="R1839" i="8"/>
  <c r="R1838" i="8"/>
  <c r="R1833" i="8"/>
  <c r="R1834" i="8"/>
  <c r="R1840" i="8"/>
  <c r="R1858" i="8"/>
  <c r="R1854" i="8"/>
  <c r="R1845" i="8"/>
  <c r="K578" i="8"/>
  <c r="L578" i="8" s="1"/>
  <c r="K2064" i="8"/>
  <c r="L2064" i="8" s="1"/>
  <c r="B2132" i="8"/>
  <c r="K2104" i="8" s="1"/>
  <c r="L2104" i="8" s="1"/>
  <c r="R342" i="8"/>
  <c r="R343" i="8"/>
  <c r="R344" i="8"/>
  <c r="R338" i="8"/>
  <c r="R337" i="8"/>
  <c r="R362" i="8"/>
  <c r="R350" i="8"/>
  <c r="R347" i="8"/>
  <c r="R339" i="8"/>
  <c r="R341" i="8"/>
  <c r="R358" i="8"/>
  <c r="R349" i="8"/>
  <c r="R2231" i="8"/>
  <c r="R2233" i="8"/>
  <c r="R2250" i="8"/>
  <c r="R2241" i="8"/>
  <c r="R2230" i="8"/>
  <c r="R2235" i="8"/>
  <c r="R2254" i="8"/>
  <c r="R2239" i="8"/>
  <c r="R2229" i="8"/>
  <c r="R2236" i="8"/>
  <c r="R2234" i="8"/>
  <c r="R2242" i="8"/>
  <c r="B1648" i="8"/>
  <c r="K1614" i="8" s="1"/>
  <c r="L1614" i="8" s="1"/>
  <c r="K2241" i="8"/>
  <c r="L2241" i="8" s="1"/>
  <c r="K2770" i="8"/>
  <c r="L2770" i="8" s="1"/>
  <c r="K2624" i="8"/>
  <c r="L2624" i="8" s="1"/>
  <c r="K515" i="8"/>
  <c r="L515" i="8" s="1"/>
  <c r="K2630" i="8"/>
  <c r="L2630" i="8" s="1"/>
  <c r="K828" i="8"/>
  <c r="L828" i="8" s="1"/>
  <c r="R877" i="8"/>
  <c r="R878" i="8"/>
  <c r="R872" i="8"/>
  <c r="R886" i="8"/>
  <c r="R869" i="8"/>
  <c r="R890" i="8"/>
  <c r="R871" i="8"/>
  <c r="R875" i="8"/>
  <c r="R865" i="8"/>
  <c r="R870" i="8"/>
  <c r="R866" i="8"/>
  <c r="R867" i="8"/>
  <c r="K2861" i="8"/>
  <c r="L2861" i="8" s="1"/>
  <c r="K3012" i="8"/>
  <c r="L3012" i="8" s="1"/>
  <c r="K2636" i="8"/>
  <c r="L2636" i="8" s="1"/>
  <c r="K2871" i="8"/>
  <c r="L2871" i="8" s="1"/>
  <c r="K827" i="8"/>
  <c r="L827" i="8" s="1"/>
  <c r="K1902" i="8"/>
  <c r="L1902" i="8" s="1"/>
  <c r="K2949" i="8"/>
  <c r="L2949" i="8" s="1"/>
  <c r="K2816" i="8"/>
  <c r="L2816" i="8" s="1"/>
  <c r="K3171" i="8"/>
  <c r="L3171" i="8" s="1"/>
  <c r="K2498" i="8"/>
  <c r="L2498" i="8" s="1"/>
  <c r="K2450" i="8"/>
  <c r="L2450" i="8" s="1"/>
  <c r="K2497" i="8"/>
  <c r="L2497" i="8" s="1"/>
  <c r="K2074" i="8"/>
  <c r="L2074" i="8" s="1"/>
  <c r="K3016" i="8"/>
  <c r="L3016" i="8" s="1"/>
  <c r="K1799" i="8"/>
  <c r="L1799" i="8" s="1"/>
  <c r="K1053" i="8"/>
  <c r="L1053" i="8" s="1"/>
  <c r="K2066" i="8"/>
  <c r="L2066" i="8" s="1"/>
  <c r="R2602" i="8"/>
  <c r="R2582" i="8"/>
  <c r="R2588" i="8"/>
  <c r="R2581" i="8"/>
  <c r="R2586" i="8"/>
  <c r="R2606" i="8"/>
  <c r="R2587" i="8"/>
  <c r="R2583" i="8"/>
  <c r="R2593" i="8"/>
  <c r="R2594" i="8"/>
  <c r="R2585" i="8"/>
  <c r="R2591" i="8"/>
  <c r="B2220" i="8"/>
  <c r="K2191" i="8" s="1"/>
  <c r="L2191" i="8" s="1"/>
  <c r="K2318" i="8"/>
  <c r="L2318" i="8" s="1"/>
  <c r="K1800" i="8"/>
  <c r="L1800" i="8" s="1"/>
  <c r="B1780" i="8"/>
  <c r="K1751" i="8" s="1"/>
  <c r="L1751" i="8" s="1"/>
  <c r="R825" i="8"/>
  <c r="R823" i="8"/>
  <c r="R833" i="8"/>
  <c r="R842" i="8"/>
  <c r="R822" i="8"/>
  <c r="R821" i="8"/>
  <c r="R827" i="8"/>
  <c r="R846" i="8"/>
  <c r="R826" i="8"/>
  <c r="R831" i="8"/>
  <c r="R828" i="8"/>
  <c r="R834" i="8"/>
  <c r="K2990" i="8"/>
  <c r="L2990" i="8" s="1"/>
  <c r="R3083" i="8"/>
  <c r="R3084" i="8"/>
  <c r="R3104" i="8"/>
  <c r="R3080" i="8"/>
  <c r="R3100" i="8"/>
  <c r="R3089" i="8"/>
  <c r="R3079" i="8"/>
  <c r="R3081" i="8"/>
  <c r="R3091" i="8"/>
  <c r="R3092" i="8"/>
  <c r="R3085" i="8"/>
  <c r="R3086" i="8"/>
  <c r="R666" i="8"/>
  <c r="R670" i="8"/>
  <c r="R652" i="8"/>
  <c r="R650" i="8"/>
  <c r="R646" i="8"/>
  <c r="R657" i="8"/>
  <c r="R647" i="8"/>
  <c r="R649" i="8"/>
  <c r="R645" i="8"/>
  <c r="R651" i="8"/>
  <c r="R658" i="8"/>
  <c r="R655" i="8"/>
  <c r="K670" i="8"/>
  <c r="L670" i="8" s="1"/>
  <c r="K2775" i="8"/>
  <c r="L2775" i="8" s="1"/>
  <c r="K842" i="8"/>
  <c r="L842" i="8" s="1"/>
  <c r="K3078" i="8"/>
  <c r="L3078" i="8" s="1"/>
  <c r="B2440" i="8"/>
  <c r="K1707" i="8"/>
  <c r="L1707" i="8" s="1"/>
  <c r="K2233" i="8"/>
  <c r="L2233" i="8" s="1"/>
  <c r="K1898" i="8"/>
  <c r="L1898" i="8" s="1"/>
  <c r="K2997" i="8"/>
  <c r="L2997" i="8" s="1"/>
  <c r="B2000" i="8"/>
  <c r="K1967" i="8" s="1"/>
  <c r="L1967" i="8" s="1"/>
  <c r="K1230" i="8"/>
  <c r="L1230" i="8" s="1"/>
  <c r="K3178" i="8"/>
  <c r="L3178" i="8" s="1"/>
  <c r="K2536" i="8"/>
  <c r="L2536" i="8" s="1"/>
  <c r="K1224" i="8"/>
  <c r="L1224" i="8" s="1"/>
  <c r="K913" i="8"/>
  <c r="L913" i="8" s="1"/>
  <c r="K2057" i="8"/>
  <c r="L2057" i="8" s="1"/>
  <c r="K1066" i="8"/>
  <c r="L1066" i="8" s="1"/>
  <c r="K695" i="8"/>
  <c r="L695" i="8" s="1"/>
  <c r="B1164" i="8"/>
  <c r="K1142" i="8" s="1"/>
  <c r="L1142" i="8" s="1"/>
  <c r="K1659" i="8"/>
  <c r="L1659" i="8" s="1"/>
  <c r="K1218" i="8"/>
  <c r="L1218" i="8" s="1"/>
  <c r="K1010" i="8"/>
  <c r="L1010" i="8" s="1"/>
  <c r="K1001" i="8"/>
  <c r="L1001" i="8" s="1"/>
  <c r="M922" i="8"/>
  <c r="N922" i="8" s="1"/>
  <c r="B768" i="8"/>
  <c r="K733" i="8" s="1"/>
  <c r="L733" i="8" s="1"/>
  <c r="K2995" i="8"/>
  <c r="L2995" i="8" s="1"/>
  <c r="K2771" i="8"/>
  <c r="L2771" i="8" s="1"/>
  <c r="K651" i="8"/>
  <c r="L651" i="8" s="1"/>
  <c r="B1560" i="8"/>
  <c r="K1535" i="8" s="1"/>
  <c r="L1535" i="8" s="1"/>
  <c r="B18" i="5"/>
  <c r="B22" i="5"/>
  <c r="B21" i="5"/>
  <c r="B20" i="5"/>
  <c r="B19" i="5"/>
  <c r="B17" i="5"/>
  <c r="K2362" i="8"/>
  <c r="L2362" i="8" s="1"/>
  <c r="K649" i="8"/>
  <c r="L649" i="8" s="1"/>
  <c r="K2228" i="8"/>
  <c r="L2228" i="8" s="1"/>
  <c r="B1604" i="8"/>
  <c r="K1581" i="8" s="1"/>
  <c r="L1581" i="8" s="1"/>
  <c r="B636" i="8"/>
  <c r="K601" i="8" s="1"/>
  <c r="L601" i="8" s="1"/>
  <c r="R2283" i="8"/>
  <c r="R2275" i="8"/>
  <c r="R2286" i="8"/>
  <c r="R2285" i="8"/>
  <c r="R2273" i="8"/>
  <c r="R2277" i="8"/>
  <c r="R2280" i="8"/>
  <c r="R2278" i="8"/>
  <c r="R2294" i="8"/>
  <c r="R2279" i="8"/>
  <c r="R2274" i="8"/>
  <c r="R2298" i="8"/>
  <c r="K2239" i="8"/>
  <c r="L2239" i="8" s="1"/>
  <c r="K1486" i="8"/>
  <c r="L1486" i="8" s="1"/>
  <c r="B2433" i="8"/>
  <c r="K517" i="8"/>
  <c r="L517" i="8" s="1"/>
  <c r="K2236" i="8"/>
  <c r="L2236" i="8" s="1"/>
  <c r="K523" i="8"/>
  <c r="L523" i="8" s="1"/>
  <c r="K1305" i="8"/>
  <c r="L1305" i="8" s="1"/>
  <c r="K826" i="8"/>
  <c r="L826" i="8" s="1"/>
  <c r="K1042" i="8"/>
  <c r="L1042" i="8" s="1"/>
  <c r="K2459" i="8"/>
  <c r="L2459" i="8" s="1"/>
  <c r="K875" i="8"/>
  <c r="L875" i="8" s="1"/>
  <c r="K2924" i="8"/>
  <c r="L2924" i="8" s="1"/>
  <c r="R2338" i="8"/>
  <c r="R2318" i="8"/>
  <c r="R2329" i="8"/>
  <c r="R2322" i="8"/>
  <c r="R2321" i="8"/>
  <c r="R2317" i="8"/>
  <c r="R2324" i="8"/>
  <c r="R2330" i="8"/>
  <c r="R2342" i="8"/>
  <c r="R2327" i="8"/>
  <c r="R2319" i="8"/>
  <c r="R2323" i="8"/>
  <c r="K656" i="8"/>
  <c r="L656" i="8" s="1"/>
  <c r="K2015" i="8"/>
  <c r="L2015" i="8" s="1"/>
  <c r="K1047" i="8"/>
  <c r="L1047" i="8" s="1"/>
  <c r="B147" i="8"/>
  <c r="B148" i="8" s="1"/>
  <c r="K645" i="8"/>
  <c r="L645" i="8" s="1"/>
  <c r="K652" i="8"/>
  <c r="L652" i="8" s="1"/>
  <c r="K2542" i="8"/>
  <c r="L2542" i="8" s="1"/>
  <c r="B416" i="8"/>
  <c r="K387" i="8" s="1"/>
  <c r="L387" i="8" s="1"/>
  <c r="B504" i="8"/>
  <c r="K470" i="8" s="1"/>
  <c r="L470" i="8" s="1"/>
  <c r="K647" i="8"/>
  <c r="L647" i="8" s="1"/>
  <c r="K3004" i="8"/>
  <c r="L3004" i="8" s="1"/>
  <c r="K3003" i="8"/>
  <c r="L3003" i="8" s="1"/>
  <c r="K646" i="8"/>
  <c r="L646" i="8" s="1"/>
  <c r="R1884" i="8"/>
  <c r="R1890" i="8"/>
  <c r="R1879" i="8"/>
  <c r="R1877" i="8"/>
  <c r="R1882" i="8"/>
  <c r="R1883" i="8"/>
  <c r="R1898" i="8"/>
  <c r="R1887" i="8"/>
  <c r="R1889" i="8"/>
  <c r="R1878" i="8"/>
  <c r="R1902" i="8"/>
  <c r="R1881" i="8"/>
  <c r="K3001" i="8"/>
  <c r="L3001" i="8" s="1"/>
  <c r="K2448" i="8"/>
  <c r="L2448" i="8" s="1"/>
  <c r="R1242" i="8"/>
  <c r="R1223" i="8"/>
  <c r="R1227" i="8"/>
  <c r="R1229" i="8"/>
  <c r="R1217" i="8"/>
  <c r="R1230" i="8"/>
  <c r="R1221" i="8"/>
  <c r="R1224" i="8"/>
  <c r="R1218" i="8"/>
  <c r="R1238" i="8"/>
  <c r="R1219" i="8"/>
  <c r="R1222" i="8"/>
  <c r="K2021" i="8"/>
  <c r="L2021" i="8" s="1"/>
  <c r="B3070" i="8"/>
  <c r="K3060" i="8" s="1"/>
  <c r="L3060" i="8" s="1"/>
  <c r="R3135" i="8"/>
  <c r="R3127" i="8"/>
  <c r="R3133" i="8"/>
  <c r="R3125" i="8"/>
  <c r="R3123" i="8"/>
  <c r="R3136" i="8"/>
  <c r="R3148" i="8"/>
  <c r="R3128" i="8"/>
  <c r="R3124" i="8"/>
  <c r="R3144" i="8"/>
  <c r="R3129" i="8"/>
  <c r="R3130" i="8"/>
  <c r="B7" i="5"/>
  <c r="B8" i="5" s="1"/>
  <c r="B40" i="5" s="1"/>
  <c r="B6" i="5"/>
  <c r="B39" i="5" s="1"/>
  <c r="B5" i="5"/>
  <c r="B108" i="8"/>
  <c r="K86" i="8" s="1"/>
  <c r="L86" i="8" s="1"/>
  <c r="R2499" i="8"/>
  <c r="R2505" i="8"/>
  <c r="R2503" i="8"/>
  <c r="R2494" i="8"/>
  <c r="R2500" i="8"/>
  <c r="R2506" i="8"/>
  <c r="R2495" i="8"/>
  <c r="R2514" i="8"/>
  <c r="R2498" i="8"/>
  <c r="R2518" i="8"/>
  <c r="R2497" i="8"/>
  <c r="R2493" i="8"/>
  <c r="R1310" i="8"/>
  <c r="R1326" i="8"/>
  <c r="R1311" i="8"/>
  <c r="R1305" i="8"/>
  <c r="R1317" i="8"/>
  <c r="R1306" i="8"/>
  <c r="R1315" i="8"/>
  <c r="R1307" i="8"/>
  <c r="R1318" i="8"/>
  <c r="R1312" i="8"/>
  <c r="R1330" i="8"/>
  <c r="R1309" i="8"/>
  <c r="G3129" i="8"/>
  <c r="G3173" i="8"/>
  <c r="G3085" i="8"/>
  <c r="G2821" i="8"/>
  <c r="G2997" i="8"/>
  <c r="G3041" i="8"/>
  <c r="G2719" i="8"/>
  <c r="G2865" i="8"/>
  <c r="G2675" i="8"/>
  <c r="G2909" i="8"/>
  <c r="G2543" i="8"/>
  <c r="G2323" i="8"/>
  <c r="G2777" i="8"/>
  <c r="G2455" i="8"/>
  <c r="G2235" i="8"/>
  <c r="G2499" i="8"/>
  <c r="G2191" i="8"/>
  <c r="G2953" i="8"/>
  <c r="G2411" i="8"/>
  <c r="G2147" i="8"/>
  <c r="G1839" i="8"/>
  <c r="G2059" i="8"/>
  <c r="G1971" i="8"/>
  <c r="G1795" i="8"/>
  <c r="G2631" i="8"/>
  <c r="G2367" i="8"/>
  <c r="G1927" i="8"/>
  <c r="G1751" i="8"/>
  <c r="G2587" i="8"/>
  <c r="G2279" i="8"/>
  <c r="G1619" i="8"/>
  <c r="G1575" i="8"/>
  <c r="G1311" i="8"/>
  <c r="G1707" i="8"/>
  <c r="G1663" i="8"/>
  <c r="G2015" i="8"/>
  <c r="G1047" i="8"/>
  <c r="G783" i="8"/>
  <c r="G1399" i="8"/>
  <c r="G1443" i="8"/>
  <c r="G1003" i="8"/>
  <c r="G1355" i="8"/>
  <c r="G2103" i="8"/>
  <c r="G1223" i="8"/>
  <c r="G1179" i="8"/>
  <c r="G827" i="8"/>
  <c r="G1531" i="8"/>
  <c r="G651" i="8"/>
  <c r="G431" i="8"/>
  <c r="G915" i="8"/>
  <c r="G1135" i="8"/>
  <c r="G1267" i="8"/>
  <c r="G1091" i="8"/>
  <c r="G343" i="8"/>
  <c r="G255" i="8"/>
  <c r="G1883" i="8"/>
  <c r="G1487" i="8"/>
  <c r="G739" i="8"/>
  <c r="G299" i="8"/>
  <c r="G607" i="8"/>
  <c r="G475" i="8"/>
  <c r="G519" i="8"/>
  <c r="G211" i="8"/>
  <c r="G167" i="8"/>
  <c r="G123" i="8"/>
  <c r="G387" i="8"/>
  <c r="G563" i="8"/>
  <c r="G695" i="8"/>
  <c r="G79" i="8"/>
  <c r="G871" i="8"/>
  <c r="G959" i="8"/>
  <c r="B1472" i="8"/>
  <c r="K1439" i="8" s="1"/>
  <c r="L1439" i="8" s="1"/>
  <c r="B240" i="8"/>
  <c r="K230" i="8" s="1"/>
  <c r="L230" i="8" s="1"/>
  <c r="R3172" i="8"/>
  <c r="R3188" i="8"/>
  <c r="R3179" i="8"/>
  <c r="R3169" i="8"/>
  <c r="R3180" i="8"/>
  <c r="R3177" i="8"/>
  <c r="R3171" i="8"/>
  <c r="R3173" i="8"/>
  <c r="R3167" i="8"/>
  <c r="R3192" i="8"/>
  <c r="R3174" i="8"/>
  <c r="R3168" i="8"/>
  <c r="R1942" i="8"/>
  <c r="R1933" i="8"/>
  <c r="R1921" i="8"/>
  <c r="R1923" i="8"/>
  <c r="R1928" i="8"/>
  <c r="R1946" i="8"/>
  <c r="R1922" i="8"/>
  <c r="R1927" i="8"/>
  <c r="R1926" i="8"/>
  <c r="R1931" i="8"/>
  <c r="R1925" i="8"/>
  <c r="R1934" i="8"/>
  <c r="R2859" i="8"/>
  <c r="R2864" i="8"/>
  <c r="R2869" i="8"/>
  <c r="R2863" i="8"/>
  <c r="R2860" i="8"/>
  <c r="R2861" i="8"/>
  <c r="R2866" i="8"/>
  <c r="R2884" i="8"/>
  <c r="R2871" i="8"/>
  <c r="R2880" i="8"/>
  <c r="R2865" i="8"/>
  <c r="R2872" i="8"/>
  <c r="R2461" i="8"/>
  <c r="R2449" i="8"/>
  <c r="R2453" i="8"/>
  <c r="R2459" i="8"/>
  <c r="R2462" i="8"/>
  <c r="R2470" i="8"/>
  <c r="R2474" i="8"/>
  <c r="R2450" i="8"/>
  <c r="R2455" i="8"/>
  <c r="R2451" i="8"/>
  <c r="R2456" i="8"/>
  <c r="R2454" i="8"/>
  <c r="B988" i="8"/>
  <c r="K960" i="8" s="1"/>
  <c r="L960" i="8" s="1"/>
  <c r="B33" i="5"/>
  <c r="R2671" i="8"/>
  <c r="R2673" i="8"/>
  <c r="R2679" i="8"/>
  <c r="R2669" i="8"/>
  <c r="R2674" i="8"/>
  <c r="R2690" i="8"/>
  <c r="R2676" i="8"/>
  <c r="R2694" i="8"/>
  <c r="R2670" i="8"/>
  <c r="R2675" i="8"/>
  <c r="R2681" i="8"/>
  <c r="R2682" i="8"/>
  <c r="R1662" i="8"/>
  <c r="R1670" i="8"/>
  <c r="R1661" i="8"/>
  <c r="R1678" i="8"/>
  <c r="R1669" i="8"/>
  <c r="R1663" i="8"/>
  <c r="R1657" i="8"/>
  <c r="R1658" i="8"/>
  <c r="R1682" i="8"/>
  <c r="R1667" i="8"/>
  <c r="R1659" i="8"/>
  <c r="R1664" i="8"/>
  <c r="R916" i="8"/>
  <c r="R909" i="8"/>
  <c r="R913" i="8"/>
  <c r="R922" i="8"/>
  <c r="R910" i="8"/>
  <c r="R930" i="8"/>
  <c r="R911" i="8"/>
  <c r="R934" i="8"/>
  <c r="R914" i="8"/>
  <c r="R921" i="8"/>
  <c r="R915" i="8"/>
  <c r="R919" i="8"/>
  <c r="R2034" i="8"/>
  <c r="R2016" i="8"/>
  <c r="R2011" i="8"/>
  <c r="R2030" i="8"/>
  <c r="R2010" i="8"/>
  <c r="R2019" i="8"/>
  <c r="R2014" i="8"/>
  <c r="R2021" i="8"/>
  <c r="R2022" i="8"/>
  <c r="R2015" i="8"/>
  <c r="R2013" i="8"/>
  <c r="R2009" i="8"/>
  <c r="R558" i="8"/>
  <c r="R561" i="8"/>
  <c r="R569" i="8"/>
  <c r="R578" i="8"/>
  <c r="R564" i="8"/>
  <c r="R582" i="8"/>
  <c r="R559" i="8"/>
  <c r="R563" i="8"/>
  <c r="R557" i="8"/>
  <c r="R562" i="8"/>
  <c r="R570" i="8"/>
  <c r="R567" i="8"/>
  <c r="R1794" i="8"/>
  <c r="R1795" i="8"/>
  <c r="R1796" i="8"/>
  <c r="R1802" i="8"/>
  <c r="R1814" i="8"/>
  <c r="R1799" i="8"/>
  <c r="R1793" i="8"/>
  <c r="R1789" i="8"/>
  <c r="R1810" i="8"/>
  <c r="R1801" i="8"/>
  <c r="R1790" i="8"/>
  <c r="R1791" i="8"/>
  <c r="R293" i="8"/>
  <c r="R299" i="8"/>
  <c r="R295" i="8"/>
  <c r="R294" i="8"/>
  <c r="R297" i="8"/>
  <c r="R300" i="8"/>
  <c r="R306" i="8"/>
  <c r="R303" i="8"/>
  <c r="R305" i="8"/>
  <c r="R318" i="8"/>
  <c r="R314" i="8"/>
  <c r="R298" i="8"/>
  <c r="B1296" i="8"/>
  <c r="K1273" i="8" s="1"/>
  <c r="L1273" i="8" s="1"/>
  <c r="R10" i="6"/>
  <c r="R9" i="6"/>
  <c r="R8" i="6"/>
  <c r="R24" i="6"/>
  <c r="R3" i="6"/>
  <c r="R13" i="6"/>
  <c r="R5" i="6"/>
  <c r="R15" i="6"/>
  <c r="R16" i="6"/>
  <c r="R4" i="6"/>
  <c r="R7" i="6"/>
  <c r="R28" i="6"/>
  <c r="R2638" i="8"/>
  <c r="R2632" i="8"/>
  <c r="R2625" i="8"/>
  <c r="R2629" i="8"/>
  <c r="R2650" i="8"/>
  <c r="R2626" i="8"/>
  <c r="R2627" i="8"/>
  <c r="R2637" i="8"/>
  <c r="R2646" i="8"/>
  <c r="R2631" i="8"/>
  <c r="R2635" i="8"/>
  <c r="R2630" i="8"/>
  <c r="B196" i="8"/>
  <c r="K173" i="8" s="1"/>
  <c r="L173" i="8" s="1"/>
  <c r="B36" i="5"/>
  <c r="B14" i="7" s="1"/>
  <c r="B35" i="5"/>
  <c r="B2176" i="8"/>
  <c r="B1384" i="8"/>
  <c r="K1359" i="8" s="1"/>
  <c r="L1359" i="8" s="1"/>
  <c r="R2951" i="8"/>
  <c r="R2947" i="8"/>
  <c r="R2952" i="8"/>
  <c r="R2948" i="8"/>
  <c r="R2972" i="8"/>
  <c r="R2954" i="8"/>
  <c r="R2949" i="8"/>
  <c r="R2959" i="8"/>
  <c r="R2960" i="8"/>
  <c r="R2957" i="8"/>
  <c r="R2968" i="8"/>
  <c r="R2953" i="8"/>
  <c r="R1002" i="8"/>
  <c r="R1010" i="8"/>
  <c r="R998" i="8"/>
  <c r="R999" i="8"/>
  <c r="R1003" i="8"/>
  <c r="R1018" i="8"/>
  <c r="R1001" i="8"/>
  <c r="R1022" i="8"/>
  <c r="R1009" i="8"/>
  <c r="R1004" i="8"/>
  <c r="R997" i="8"/>
  <c r="R1007" i="8"/>
  <c r="R2915" i="8"/>
  <c r="R2909" i="8"/>
  <c r="R2916" i="8"/>
  <c r="R2907" i="8"/>
  <c r="R2908" i="8"/>
  <c r="R2904" i="8"/>
  <c r="R2910" i="8"/>
  <c r="R2928" i="8"/>
  <c r="R2924" i="8"/>
  <c r="R2913" i="8"/>
  <c r="R2903" i="8"/>
  <c r="R2905" i="8"/>
  <c r="B34" i="5"/>
  <c r="B1208" i="8"/>
  <c r="K1183" i="8" s="1"/>
  <c r="L1183" i="8" s="1"/>
  <c r="B2748" i="8"/>
  <c r="K2723" i="8" s="1"/>
  <c r="L2723" i="8" s="1"/>
  <c r="R255" i="8"/>
  <c r="R254" i="8"/>
  <c r="R261" i="8"/>
  <c r="R253" i="8"/>
  <c r="R250" i="8"/>
  <c r="R256" i="8"/>
  <c r="R270" i="8"/>
  <c r="R249" i="8"/>
  <c r="R274" i="8"/>
  <c r="R259" i="8"/>
  <c r="R251" i="8"/>
  <c r="R262" i="8"/>
  <c r="R517" i="8"/>
  <c r="R518" i="8"/>
  <c r="R526" i="8"/>
  <c r="R523" i="8"/>
  <c r="R514" i="8"/>
  <c r="R525" i="8"/>
  <c r="R534" i="8"/>
  <c r="R515" i="8"/>
  <c r="R513" i="8"/>
  <c r="R519" i="8"/>
  <c r="R538" i="8"/>
  <c r="R520" i="8"/>
  <c r="R2836" i="8"/>
  <c r="R2825" i="8"/>
  <c r="R2816" i="8"/>
  <c r="R2828" i="8"/>
  <c r="R2827" i="8"/>
  <c r="R2821" i="8"/>
  <c r="R2820" i="8"/>
  <c r="R2822" i="8"/>
  <c r="R2819" i="8"/>
  <c r="R2817" i="8"/>
  <c r="R2815" i="8"/>
  <c r="R2840" i="8"/>
  <c r="K1393" i="8" l="1"/>
  <c r="L1393" i="8" s="1"/>
  <c r="R1846" i="8"/>
  <c r="K1198" i="8"/>
  <c r="L1198" i="8" s="1"/>
  <c r="K1854" i="8"/>
  <c r="L1854" i="8" s="1"/>
  <c r="K1179" i="8"/>
  <c r="L1179" i="8" s="1"/>
  <c r="K1969" i="8"/>
  <c r="L1969" i="8" s="1"/>
  <c r="K1843" i="8"/>
  <c r="L1843" i="8" s="1"/>
  <c r="M1843" i="8" s="1"/>
  <c r="N1843" i="8" s="1"/>
  <c r="R1835" i="8"/>
  <c r="B2085" i="8"/>
  <c r="B2086" i="8" s="1"/>
  <c r="B2087" i="8" s="1"/>
  <c r="R1843" i="8"/>
  <c r="K1837" i="8"/>
  <c r="L1837" i="8" s="1"/>
  <c r="M1837" i="8" s="1"/>
  <c r="N1837" i="8" s="1"/>
  <c r="K1625" i="8"/>
  <c r="L1625" i="8" s="1"/>
  <c r="M1625" i="8" s="1"/>
  <c r="N1625" i="8" s="1"/>
  <c r="K739" i="8"/>
  <c r="L739" i="8" s="1"/>
  <c r="M739" i="8" s="1"/>
  <c r="N739" i="8" s="1"/>
  <c r="K1832" i="8"/>
  <c r="L1832" i="8" s="1"/>
  <c r="M1832" i="8" s="1"/>
  <c r="N1832" i="8" s="1"/>
  <c r="K1624" i="8"/>
  <c r="L1624" i="8" s="1"/>
  <c r="M1624" i="8" s="1"/>
  <c r="N1624" i="8" s="1"/>
  <c r="N3192" i="8"/>
  <c r="K1712" i="8"/>
  <c r="L1712" i="8" s="1"/>
  <c r="M1712" i="8" s="1"/>
  <c r="N1712" i="8" s="1"/>
  <c r="B2569" i="8"/>
  <c r="B2570" i="8" s="1"/>
  <c r="B2571" i="8" s="1"/>
  <c r="K15" i="6"/>
  <c r="L15" i="6" s="1"/>
  <c r="N909" i="8"/>
  <c r="K1136" i="8"/>
  <c r="L1136" i="8" s="1"/>
  <c r="K383" i="8"/>
  <c r="L383" i="8" s="1"/>
  <c r="K1713" i="8"/>
  <c r="L1713" i="8" s="1"/>
  <c r="K1399" i="8"/>
  <c r="L1399" i="8" s="1"/>
  <c r="K602" i="8"/>
  <c r="L602" i="8" s="1"/>
  <c r="M602" i="8" s="1"/>
  <c r="N602" i="8" s="1"/>
  <c r="K392" i="8"/>
  <c r="L392" i="8" s="1"/>
  <c r="M392" i="8" s="1"/>
  <c r="N392" i="8" s="1"/>
  <c r="K386" i="8"/>
  <c r="L386" i="8" s="1"/>
  <c r="M386" i="8" s="1"/>
  <c r="N386" i="8" s="1"/>
  <c r="K754" i="8"/>
  <c r="L754" i="8" s="1"/>
  <c r="M754" i="8" s="1"/>
  <c r="N754" i="8" s="1"/>
  <c r="K1395" i="8"/>
  <c r="L1395" i="8" s="1"/>
  <c r="M1395" i="8" s="1"/>
  <c r="N1395" i="8" s="1"/>
  <c r="K965" i="8"/>
  <c r="L965" i="8" s="1"/>
  <c r="M965" i="8" s="1"/>
  <c r="N965" i="8" s="1"/>
  <c r="K964" i="8"/>
  <c r="L964" i="8" s="1"/>
  <c r="M964" i="8" s="1"/>
  <c r="N964" i="8" s="1"/>
  <c r="K1394" i="8"/>
  <c r="L1394" i="8" s="1"/>
  <c r="M1394" i="8" s="1"/>
  <c r="N1394" i="8" s="1"/>
  <c r="K1532" i="8"/>
  <c r="L1532" i="8" s="1"/>
  <c r="M1532" i="8" s="1"/>
  <c r="N1532" i="8" s="1"/>
  <c r="K1537" i="8"/>
  <c r="L1537" i="8" s="1"/>
  <c r="M1537" i="8" s="1"/>
  <c r="N1537" i="8" s="1"/>
  <c r="K1400" i="8"/>
  <c r="L1400" i="8" s="1"/>
  <c r="M1400" i="8" s="1"/>
  <c r="N1400" i="8" s="1"/>
  <c r="K1970" i="8"/>
  <c r="L1970" i="8" s="1"/>
  <c r="M1970" i="8" s="1"/>
  <c r="N1970" i="8" s="1"/>
  <c r="K1174" i="8"/>
  <c r="L1174" i="8" s="1"/>
  <c r="M1174" i="8" s="1"/>
  <c r="N1174" i="8" s="1"/>
  <c r="K745" i="8"/>
  <c r="L745" i="8" s="1"/>
  <c r="M745" i="8" s="1"/>
  <c r="N745" i="8" s="1"/>
  <c r="N2669" i="8"/>
  <c r="N2957" i="8"/>
  <c r="N3135" i="8"/>
  <c r="U3135" i="8" s="1"/>
  <c r="N2827" i="8"/>
  <c r="U2827" i="8" s="1"/>
  <c r="M1946" i="8"/>
  <c r="N1946" i="8" s="1"/>
  <c r="N2826" i="8"/>
  <c r="N2053" i="8"/>
  <c r="S2053" i="8" s="1"/>
  <c r="K626" i="8"/>
  <c r="L626" i="8" s="1"/>
  <c r="M626" i="8" s="1"/>
  <c r="N626" i="8" s="1"/>
  <c r="K165" i="8"/>
  <c r="L165" i="8" s="1"/>
  <c r="M165" i="8" s="1"/>
  <c r="N165" i="8" s="1"/>
  <c r="K1130" i="8"/>
  <c r="L1130" i="8" s="1"/>
  <c r="M1130" i="8" s="1"/>
  <c r="K1756" i="8"/>
  <c r="L1756" i="8" s="1"/>
  <c r="M1756" i="8" s="1"/>
  <c r="N1756" i="8" s="1"/>
  <c r="K1129" i="8"/>
  <c r="L1129" i="8" s="1"/>
  <c r="M1129" i="8" s="1"/>
  <c r="K1133" i="8"/>
  <c r="L1133" i="8" s="1"/>
  <c r="M1133" i="8" s="1"/>
  <c r="N1133" i="8" s="1"/>
  <c r="K1546" i="8"/>
  <c r="L1546" i="8" s="1"/>
  <c r="M1546" i="8" s="1"/>
  <c r="N1546" i="8" s="1"/>
  <c r="N2587" i="8"/>
  <c r="S2587" i="8" s="1"/>
  <c r="K1449" i="8"/>
  <c r="L1449" i="8" s="1"/>
  <c r="M1449" i="8" s="1"/>
  <c r="N1449" i="8" s="1"/>
  <c r="K2366" i="8"/>
  <c r="L2366" i="8" s="1"/>
  <c r="M2366" i="8" s="1"/>
  <c r="N2366" i="8" s="1"/>
  <c r="K1194" i="8"/>
  <c r="L1194" i="8" s="1"/>
  <c r="M1194" i="8" s="1"/>
  <c r="N1194" i="8" s="1"/>
  <c r="B1821" i="8"/>
  <c r="B1822" i="8" s="1"/>
  <c r="B1823" i="8" s="1"/>
  <c r="K2430" i="8"/>
  <c r="L2430" i="8" s="1"/>
  <c r="M2430" i="8" s="1"/>
  <c r="B897" i="8"/>
  <c r="B898" i="8" s="1"/>
  <c r="B899" i="8" s="1"/>
  <c r="K349" i="8"/>
  <c r="L349" i="8" s="1"/>
  <c r="M349" i="8" s="1"/>
  <c r="N349" i="8" s="1"/>
  <c r="K1617" i="8"/>
  <c r="L1617" i="8" s="1"/>
  <c r="M1617" i="8" s="1"/>
  <c r="N1617" i="8" s="1"/>
  <c r="K362" i="8"/>
  <c r="L362" i="8" s="1"/>
  <c r="M362" i="8" s="1"/>
  <c r="K163" i="8"/>
  <c r="L163" i="8" s="1"/>
  <c r="M163" i="8" s="1"/>
  <c r="N163" i="8" s="1"/>
  <c r="K3039" i="8"/>
  <c r="L3039" i="8" s="1"/>
  <c r="M3039" i="8" s="1"/>
  <c r="N3039" i="8" s="1"/>
  <c r="K339" i="8"/>
  <c r="L339" i="8" s="1"/>
  <c r="M339" i="8" s="1"/>
  <c r="N339" i="8" s="1"/>
  <c r="K382" i="8"/>
  <c r="L382" i="8" s="1"/>
  <c r="M382" i="8" s="1"/>
  <c r="N382" i="8" s="1"/>
  <c r="K2107" i="8"/>
  <c r="L2107" i="8" s="1"/>
  <c r="M2107" i="8" s="1"/>
  <c r="N2107" i="8" s="1"/>
  <c r="K744" i="8"/>
  <c r="L744" i="8" s="1"/>
  <c r="M744" i="8" s="1"/>
  <c r="N744" i="8" s="1"/>
  <c r="K1746" i="8"/>
  <c r="L1746" i="8" s="1"/>
  <c r="M1746" i="8" s="1"/>
  <c r="N1746" i="8" s="1"/>
  <c r="B2041" i="8"/>
  <c r="B2042" i="8" s="1"/>
  <c r="B2043" i="8" s="1"/>
  <c r="S2020" i="8" s="1"/>
  <c r="B23" i="5"/>
  <c r="K1530" i="8"/>
  <c r="L1530" i="8" s="1"/>
  <c r="M1530" i="8" s="1"/>
  <c r="N1530" i="8" s="1"/>
  <c r="K1975" i="8"/>
  <c r="L1975" i="8" s="1"/>
  <c r="M1975" i="8" s="1"/>
  <c r="N1975" i="8" s="1"/>
  <c r="K1405" i="8"/>
  <c r="L1405" i="8" s="1"/>
  <c r="M1405" i="8" s="1"/>
  <c r="N1405" i="8" s="1"/>
  <c r="K3056" i="8"/>
  <c r="L3056" i="8" s="1"/>
  <c r="M3056" i="8" s="1"/>
  <c r="N3056" i="8" s="1"/>
  <c r="K479" i="8"/>
  <c r="L479" i="8" s="1"/>
  <c r="M479" i="8" s="1"/>
  <c r="N479" i="8" s="1"/>
  <c r="K603" i="8"/>
  <c r="L603" i="8" s="1"/>
  <c r="K2102" i="8"/>
  <c r="L2102" i="8" s="1"/>
  <c r="K343" i="8"/>
  <c r="L343" i="8" s="1"/>
  <c r="M343" i="8" s="1"/>
  <c r="N343" i="8" s="1"/>
  <c r="K608" i="8"/>
  <c r="L608" i="8" s="1"/>
  <c r="M608" i="8" s="1"/>
  <c r="N608" i="8" s="1"/>
  <c r="K966" i="8"/>
  <c r="L966" i="8" s="1"/>
  <c r="M966" i="8" s="1"/>
  <c r="N966" i="8" s="1"/>
  <c r="K341" i="8"/>
  <c r="L341" i="8" s="1"/>
  <c r="M341" i="8" s="1"/>
  <c r="N341" i="8" s="1"/>
  <c r="K2713" i="8"/>
  <c r="L2713" i="8" s="1"/>
  <c r="M2713" i="8" s="1"/>
  <c r="N2713" i="8" s="1"/>
  <c r="K957" i="8"/>
  <c r="L957" i="8" s="1"/>
  <c r="M957" i="8" s="1"/>
  <c r="N957" i="8" s="1"/>
  <c r="K611" i="8"/>
  <c r="L611" i="8" s="1"/>
  <c r="M611" i="8" s="1"/>
  <c r="N611" i="8" s="1"/>
  <c r="K1091" i="8"/>
  <c r="L1091" i="8" s="1"/>
  <c r="M1091" i="8" s="1"/>
  <c r="N1091" i="8" s="1"/>
  <c r="K2368" i="8"/>
  <c r="L2368" i="8" s="1"/>
  <c r="M2368" i="8" s="1"/>
  <c r="N2368" i="8" s="1"/>
  <c r="K1620" i="8"/>
  <c r="L1620" i="8" s="1"/>
  <c r="M1620" i="8" s="1"/>
  <c r="N1620" i="8" s="1"/>
  <c r="K1752" i="8"/>
  <c r="L1752" i="8" s="1"/>
  <c r="M1752" i="8" s="1"/>
  <c r="N1752" i="8" s="1"/>
  <c r="K168" i="8"/>
  <c r="L168" i="8" s="1"/>
  <c r="M168" i="8" s="1"/>
  <c r="N168" i="8" s="1"/>
  <c r="K622" i="8"/>
  <c r="L622" i="8" s="1"/>
  <c r="M622" i="8" s="1"/>
  <c r="N622" i="8" s="1"/>
  <c r="K2404" i="8"/>
  <c r="L2404" i="8" s="1"/>
  <c r="M2404" i="8" s="1"/>
  <c r="N2404" i="8" s="1"/>
  <c r="K1758" i="8"/>
  <c r="L1758" i="8" s="1"/>
  <c r="K1626" i="8"/>
  <c r="L1626" i="8" s="1"/>
  <c r="M1626" i="8" s="1"/>
  <c r="N1626" i="8" s="1"/>
  <c r="M1925" i="8"/>
  <c r="N1925" i="8" s="1"/>
  <c r="N921" i="8"/>
  <c r="U921" i="8" s="1"/>
  <c r="M2286" i="8"/>
  <c r="N2286" i="8" s="1"/>
  <c r="K217" i="8"/>
  <c r="L217" i="8" s="1"/>
  <c r="M217" i="8" s="1"/>
  <c r="N217" i="8" s="1"/>
  <c r="K205" i="8"/>
  <c r="L205" i="8" s="1"/>
  <c r="M205" i="8" s="1"/>
  <c r="N205" i="8" s="1"/>
  <c r="K385" i="8"/>
  <c r="L385" i="8" s="1"/>
  <c r="M385" i="8" s="1"/>
  <c r="N385" i="8" s="1"/>
  <c r="K955" i="8"/>
  <c r="L955" i="8" s="1"/>
  <c r="K1437" i="8"/>
  <c r="L1437" i="8" s="1"/>
  <c r="M1437" i="8" s="1"/>
  <c r="N1437" i="8" s="1"/>
  <c r="K1177" i="8"/>
  <c r="L1177" i="8" s="1"/>
  <c r="M1177" i="8" s="1"/>
  <c r="N1177" i="8" s="1"/>
  <c r="K732" i="8"/>
  <c r="L732" i="8" s="1"/>
  <c r="M732" i="8" s="1"/>
  <c r="K1529" i="8"/>
  <c r="L1529" i="8" s="1"/>
  <c r="M1529" i="8" s="1"/>
  <c r="N1529" i="8" s="1"/>
  <c r="K2365" i="8"/>
  <c r="L2365" i="8" s="1"/>
  <c r="M2365" i="8" s="1"/>
  <c r="N2365" i="8" s="1"/>
  <c r="K2109" i="8"/>
  <c r="L2109" i="8" s="1"/>
  <c r="M2109" i="8" s="1"/>
  <c r="N2109" i="8" s="1"/>
  <c r="N2030" i="8"/>
  <c r="U2030" i="8" s="1"/>
  <c r="K211" i="8"/>
  <c r="L211" i="8" s="1"/>
  <c r="M211" i="8" s="1"/>
  <c r="N211" i="8" s="1"/>
  <c r="K1414" i="8"/>
  <c r="L1414" i="8" s="1"/>
  <c r="M1414" i="8" s="1"/>
  <c r="K607" i="8"/>
  <c r="L607" i="8" s="1"/>
  <c r="M607" i="8" s="1"/>
  <c r="N607" i="8" s="1"/>
  <c r="K3048" i="8"/>
  <c r="L3048" i="8" s="1"/>
  <c r="M3048" i="8" s="1"/>
  <c r="N3048" i="8" s="1"/>
  <c r="K166" i="8"/>
  <c r="L166" i="8" s="1"/>
  <c r="M166" i="8" s="1"/>
  <c r="N166" i="8" s="1"/>
  <c r="K2371" i="8"/>
  <c r="L2371" i="8" s="1"/>
  <c r="M2371" i="8" s="1"/>
  <c r="N2371" i="8" s="1"/>
  <c r="K207" i="8"/>
  <c r="L207" i="8" s="1"/>
  <c r="K1462" i="8"/>
  <c r="L1462" i="8" s="1"/>
  <c r="M1462" i="8" s="1"/>
  <c r="N1462" i="8" s="1"/>
  <c r="K206" i="8"/>
  <c r="L206" i="8" s="1"/>
  <c r="M206" i="8" s="1"/>
  <c r="N206" i="8" s="1"/>
  <c r="K1527" i="8"/>
  <c r="L1527" i="8" s="1"/>
  <c r="M1527" i="8" s="1"/>
  <c r="N1527" i="8" s="1"/>
  <c r="K606" i="8"/>
  <c r="L606" i="8" s="1"/>
  <c r="M606" i="8" s="1"/>
  <c r="N606" i="8" s="1"/>
  <c r="K171" i="8"/>
  <c r="L171" i="8" s="1"/>
  <c r="M171" i="8" s="1"/>
  <c r="N171" i="8" s="1"/>
  <c r="K600" i="8"/>
  <c r="L600" i="8" s="1"/>
  <c r="K2363" i="8"/>
  <c r="L2363" i="8" s="1"/>
  <c r="M2363" i="8" s="1"/>
  <c r="N2363" i="8" s="1"/>
  <c r="K738" i="8"/>
  <c r="L738" i="8" s="1"/>
  <c r="M738" i="8" s="1"/>
  <c r="N738" i="8" s="1"/>
  <c r="K1526" i="8"/>
  <c r="L1526" i="8" s="1"/>
  <c r="M1526" i="8" s="1"/>
  <c r="N1526" i="8" s="1"/>
  <c r="K958" i="8"/>
  <c r="L958" i="8" s="1"/>
  <c r="M958" i="8" s="1"/>
  <c r="N958" i="8" s="1"/>
  <c r="K1612" i="8"/>
  <c r="L1612" i="8" s="1"/>
  <c r="M1612" i="8" s="1"/>
  <c r="N1612" i="8" s="1"/>
  <c r="K710" i="8"/>
  <c r="L710" i="8" s="1"/>
  <c r="N2538" i="8"/>
  <c r="S2538" i="8" s="1"/>
  <c r="K714" i="8"/>
  <c r="L714" i="8" s="1"/>
  <c r="M714" i="8" s="1"/>
  <c r="K700" i="8"/>
  <c r="L700" i="8" s="1"/>
  <c r="M700" i="8" s="1"/>
  <c r="N700" i="8" s="1"/>
  <c r="K702" i="8"/>
  <c r="L702" i="8" s="1"/>
  <c r="K226" i="8"/>
  <c r="L226" i="8" s="1"/>
  <c r="M226" i="8" s="1"/>
  <c r="N226" i="8" s="1"/>
  <c r="K215" i="8"/>
  <c r="L215" i="8" s="1"/>
  <c r="M215" i="8" s="1"/>
  <c r="N215" i="8" s="1"/>
  <c r="K954" i="8"/>
  <c r="L954" i="8" s="1"/>
  <c r="M954" i="8" s="1"/>
  <c r="N954" i="8" s="1"/>
  <c r="K388" i="8"/>
  <c r="L388" i="8" s="1"/>
  <c r="M388" i="8" s="1"/>
  <c r="N388" i="8" s="1"/>
  <c r="K2410" i="8"/>
  <c r="L2410" i="8" s="1"/>
  <c r="M2280" i="8"/>
  <c r="N2280" i="8" s="1"/>
  <c r="K612" i="8"/>
  <c r="L612" i="8" s="1"/>
  <c r="M612" i="8" s="1"/>
  <c r="N612" i="8" s="1"/>
  <c r="K1766" i="8"/>
  <c r="L1766" i="8" s="1"/>
  <c r="M1766" i="8" s="1"/>
  <c r="N1766" i="8" s="1"/>
  <c r="K1172" i="8"/>
  <c r="L1172" i="8" s="1"/>
  <c r="M1172" i="8" s="1"/>
  <c r="N1172" i="8" s="1"/>
  <c r="K218" i="8"/>
  <c r="L218" i="8" s="1"/>
  <c r="M218" i="8" s="1"/>
  <c r="N218" i="8" s="1"/>
  <c r="K14" i="6"/>
  <c r="L14" i="6" s="1"/>
  <c r="M14" i="6" s="1"/>
  <c r="K1538" i="8"/>
  <c r="L1538" i="8" s="1"/>
  <c r="M1538" i="8" s="1"/>
  <c r="N1538" i="8" s="1"/>
  <c r="K690" i="8"/>
  <c r="L690" i="8" s="1"/>
  <c r="M690" i="8" s="1"/>
  <c r="N690" i="8" s="1"/>
  <c r="K1442" i="8"/>
  <c r="L1442" i="8" s="1"/>
  <c r="M1442" i="8" s="1"/>
  <c r="N1442" i="8" s="1"/>
  <c r="K1438" i="8"/>
  <c r="L1438" i="8" s="1"/>
  <c r="K186" i="8"/>
  <c r="L186" i="8" s="1"/>
  <c r="M186" i="8" s="1"/>
  <c r="N186" i="8" s="1"/>
  <c r="K2" i="6"/>
  <c r="L2" i="6" s="1"/>
  <c r="M2" i="6" s="1"/>
  <c r="K1711" i="8"/>
  <c r="L1711" i="8" s="1"/>
  <c r="M1711" i="8" s="1"/>
  <c r="N1711" i="8" s="1"/>
  <c r="S2461" i="8"/>
  <c r="U2461" i="8"/>
  <c r="S3169" i="8"/>
  <c r="U3169" i="8"/>
  <c r="S2828" i="8"/>
  <c r="U2828" i="8"/>
  <c r="S261" i="8"/>
  <c r="U261" i="8"/>
  <c r="U2585" i="8"/>
  <c r="S2585" i="8"/>
  <c r="U1312" i="8"/>
  <c r="S1312" i="8"/>
  <c r="O1312" i="8" s="1"/>
  <c r="S2499" i="8"/>
  <c r="U2499" i="8"/>
  <c r="M230" i="8"/>
  <c r="N230" i="8" s="1"/>
  <c r="S2820" i="8"/>
  <c r="U2820" i="8"/>
  <c r="U1487" i="8"/>
  <c r="S1487" i="8"/>
  <c r="S3136" i="8"/>
  <c r="U3136" i="8"/>
  <c r="M2104" i="8"/>
  <c r="N2104" i="8" s="1"/>
  <c r="M1535" i="8"/>
  <c r="N1535" i="8" s="1"/>
  <c r="S1925" i="8"/>
  <c r="U1925" i="8"/>
  <c r="U2954" i="8"/>
  <c r="S2954" i="8"/>
  <c r="M783" i="8"/>
  <c r="N783" i="8" s="1"/>
  <c r="S2065" i="8"/>
  <c r="U2065" i="8"/>
  <c r="S2234" i="8"/>
  <c r="U2234" i="8"/>
  <c r="M2361" i="8"/>
  <c r="N2361" i="8" s="1"/>
  <c r="U1845" i="8"/>
  <c r="S1845" i="8"/>
  <c r="S2627" i="8"/>
  <c r="U2627" i="8"/>
  <c r="M2191" i="8"/>
  <c r="N2191" i="8" s="1"/>
  <c r="S1879" i="8"/>
  <c r="U1879" i="8"/>
  <c r="S911" i="8"/>
  <c r="U911" i="8"/>
  <c r="U2537" i="8"/>
  <c r="S2537" i="8"/>
  <c r="U253" i="8"/>
  <c r="S253" i="8"/>
  <c r="S299" i="8"/>
  <c r="U299" i="8"/>
  <c r="S2052" i="8"/>
  <c r="U1840" i="8"/>
  <c r="S1840" i="8"/>
  <c r="U2682" i="8"/>
  <c r="S2682" i="8"/>
  <c r="S2456" i="8"/>
  <c r="U2456" i="8"/>
  <c r="S2817" i="8"/>
  <c r="U2817" i="8"/>
  <c r="U2329" i="8"/>
  <c r="S2329" i="8"/>
  <c r="M1703" i="8"/>
  <c r="N1703" i="8" s="1"/>
  <c r="M1142" i="8"/>
  <c r="N1142" i="8" s="1"/>
  <c r="S2781" i="8"/>
  <c r="U2781" i="8"/>
  <c r="S1221" i="8"/>
  <c r="U1221" i="8"/>
  <c r="U2869" i="8"/>
  <c r="S2869" i="8"/>
  <c r="M15" i="6"/>
  <c r="S2016" i="8"/>
  <c r="U2016" i="8"/>
  <c r="S250" i="8"/>
  <c r="U250" i="8"/>
  <c r="M173" i="8"/>
  <c r="N173" i="8" s="1"/>
  <c r="M429" i="8"/>
  <c r="N429" i="8" s="1"/>
  <c r="M470" i="8"/>
  <c r="N470" i="8" s="1"/>
  <c r="U2903" i="8"/>
  <c r="S2903" i="8"/>
  <c r="S2635" i="8"/>
  <c r="U2635" i="8"/>
  <c r="S1789" i="8"/>
  <c r="U1789" i="8"/>
  <c r="U2951" i="8"/>
  <c r="S2951" i="8"/>
  <c r="O2951" i="8" s="1"/>
  <c r="M1359" i="8"/>
  <c r="N1359" i="8" s="1"/>
  <c r="M387" i="8"/>
  <c r="N387" i="8" s="1"/>
  <c r="U1493" i="8"/>
  <c r="S1493" i="8"/>
  <c r="S1482" i="8"/>
  <c r="U1482" i="8"/>
  <c r="S2909" i="8"/>
  <c r="U2909" i="8"/>
  <c r="U869" i="8"/>
  <c r="S869" i="8"/>
  <c r="U2866" i="8"/>
  <c r="S2866" i="8"/>
  <c r="O2866" i="8" s="1"/>
  <c r="U1883" i="8"/>
  <c r="S1883" i="8"/>
  <c r="S525" i="8"/>
  <c r="U525" i="8"/>
  <c r="U3144" i="8"/>
  <c r="S3144" i="8"/>
  <c r="O3144" i="8" s="1"/>
  <c r="U2581" i="8"/>
  <c r="S2581" i="8"/>
  <c r="S314" i="8"/>
  <c r="U314" i="8"/>
  <c r="S922" i="8"/>
  <c r="U922" i="8"/>
  <c r="S2544" i="8"/>
  <c r="U2544" i="8"/>
  <c r="M1092" i="8"/>
  <c r="N1092" i="8" s="1"/>
  <c r="M86" i="8"/>
  <c r="N86" i="8" s="1"/>
  <c r="M1581" i="8"/>
  <c r="N1581" i="8" s="1"/>
  <c r="S2864" i="8"/>
  <c r="U2864" i="8"/>
  <c r="S3086" i="8"/>
  <c r="U3086" i="8"/>
  <c r="M1751" i="8"/>
  <c r="N1751" i="8" s="1"/>
  <c r="S2646" i="8"/>
  <c r="U2646" i="8"/>
  <c r="S2908" i="8"/>
  <c r="U2908" i="8"/>
  <c r="U870" i="8"/>
  <c r="S870" i="8"/>
  <c r="M1273" i="8"/>
  <c r="N1273" i="8" s="1"/>
  <c r="M1614" i="8"/>
  <c r="N1614" i="8" s="1"/>
  <c r="S2968" i="8"/>
  <c r="U2968" i="8"/>
  <c r="S999" i="8"/>
  <c r="U999" i="8"/>
  <c r="M2239" i="8"/>
  <c r="N2239" i="8" s="1"/>
  <c r="M3083" i="8"/>
  <c r="N3083" i="8"/>
  <c r="M3080" i="8"/>
  <c r="N3080" i="8" s="1"/>
  <c r="M2680" i="8"/>
  <c r="N2680" i="8" s="1"/>
  <c r="M1942" i="8"/>
  <c r="N1942" i="8" s="1"/>
  <c r="R2151" i="8"/>
  <c r="R2142" i="8"/>
  <c r="R2147" i="8"/>
  <c r="R2154" i="8"/>
  <c r="R2143" i="8"/>
  <c r="R2166" i="8"/>
  <c r="R2141" i="8"/>
  <c r="R2153" i="8"/>
  <c r="R2148" i="8"/>
  <c r="R2146" i="8"/>
  <c r="R2145" i="8"/>
  <c r="R2162" i="8"/>
  <c r="K2154" i="8"/>
  <c r="L2154" i="8" s="1"/>
  <c r="M2233" i="8"/>
  <c r="N2233" i="8" s="1"/>
  <c r="M3174" i="8"/>
  <c r="N3174" i="8" s="1"/>
  <c r="M2273" i="8"/>
  <c r="N2273" i="8" s="1"/>
  <c r="M1678" i="8"/>
  <c r="N1678" i="8" s="1"/>
  <c r="M1317" i="8"/>
  <c r="N1317" i="8" s="1"/>
  <c r="K788" i="8"/>
  <c r="L788" i="8" s="1"/>
  <c r="M1658" i="8"/>
  <c r="N1658" i="8" s="1"/>
  <c r="M3124" i="8"/>
  <c r="N3124" i="8" s="1"/>
  <c r="B2657" i="8"/>
  <c r="B2658" i="8" s="1"/>
  <c r="B2659" i="8" s="1"/>
  <c r="K3" i="6"/>
  <c r="L3" i="6" s="1"/>
  <c r="M2228" i="8"/>
  <c r="N2228" i="8" s="1"/>
  <c r="M2013" i="8"/>
  <c r="N2013" i="8" s="1"/>
  <c r="M2910" i="8"/>
  <c r="N2910" i="8" s="1"/>
  <c r="M1922" i="8"/>
  <c r="N1922" i="8" s="1"/>
  <c r="K1286" i="8"/>
  <c r="L1286" i="8" s="1"/>
  <c r="R3039" i="8"/>
  <c r="R3036" i="8"/>
  <c r="R3060" i="8"/>
  <c r="R3056" i="8"/>
  <c r="R3040" i="8"/>
  <c r="R3045" i="8"/>
  <c r="R3042" i="8"/>
  <c r="R3035" i="8"/>
  <c r="R3041" i="8"/>
  <c r="R3047" i="8"/>
  <c r="R3037" i="8"/>
  <c r="R3048" i="8"/>
  <c r="K3035" i="8"/>
  <c r="L3035" i="8" s="1"/>
  <c r="B2261" i="8"/>
  <c r="B2262" i="8" s="1"/>
  <c r="B2263" i="8" s="1"/>
  <c r="M2814" i="8"/>
  <c r="N2814" i="8" s="1"/>
  <c r="M865" i="8"/>
  <c r="N865" i="8" s="1"/>
  <c r="M3100" i="8"/>
  <c r="N3100" i="8" s="1"/>
  <c r="M878" i="8"/>
  <c r="N878" i="8" s="1"/>
  <c r="M248" i="8"/>
  <c r="N248" i="8" s="1"/>
  <c r="M2558" i="8"/>
  <c r="N2558" i="8" s="1"/>
  <c r="K3036" i="8"/>
  <c r="L3036" i="8" s="1"/>
  <c r="K7" i="6"/>
  <c r="L7" i="6" s="1"/>
  <c r="B32" i="5"/>
  <c r="B3" i="5"/>
  <c r="R1970" i="8"/>
  <c r="R1975" i="8"/>
  <c r="R1971" i="8"/>
  <c r="R1967" i="8"/>
  <c r="R1990" i="8"/>
  <c r="R1986" i="8"/>
  <c r="R1966" i="8"/>
  <c r="R1978" i="8"/>
  <c r="R1969" i="8"/>
  <c r="R1977" i="8"/>
  <c r="R1965" i="8"/>
  <c r="R1972" i="8"/>
  <c r="M3177" i="8"/>
  <c r="N3177" i="8"/>
  <c r="M207" i="8"/>
  <c r="N207" i="8" s="1"/>
  <c r="M1183" i="8"/>
  <c r="N1183" i="8" s="1"/>
  <c r="M2796" i="8"/>
  <c r="N2796" i="8" s="1"/>
  <c r="K2152" i="8"/>
  <c r="L2152" i="8" s="1"/>
  <c r="M557" i="8"/>
  <c r="N557" i="8" s="1"/>
  <c r="K789" i="8"/>
  <c r="L789" i="8" s="1"/>
  <c r="K490" i="8"/>
  <c r="L490" i="8" s="1"/>
  <c r="M3134" i="8"/>
  <c r="N3134" i="8" s="1"/>
  <c r="M1009" i="8"/>
  <c r="N1009" i="8" s="1"/>
  <c r="M1846" i="8"/>
  <c r="N1846" i="8" s="1"/>
  <c r="M297" i="8"/>
  <c r="N297" i="8" s="1"/>
  <c r="M570" i="8"/>
  <c r="N570" i="8" s="1"/>
  <c r="K778" i="8"/>
  <c r="L778" i="8" s="1"/>
  <c r="K1977" i="8"/>
  <c r="L1977" i="8" s="1"/>
  <c r="K2148" i="8"/>
  <c r="L2148" i="8" s="1"/>
  <c r="B3111" i="8"/>
  <c r="B3112" i="8" s="1"/>
  <c r="B3113" i="8" s="1"/>
  <c r="K2153" i="8"/>
  <c r="L2153" i="8" s="1"/>
  <c r="K1110" i="8"/>
  <c r="L1110" i="8" s="1"/>
  <c r="K1714" i="8"/>
  <c r="L1714" i="8" s="1"/>
  <c r="M2582" i="8"/>
  <c r="N2582" i="8" s="1"/>
  <c r="M1793" i="8"/>
  <c r="N1793" i="8" s="1"/>
  <c r="M2316" i="8"/>
  <c r="N2316" i="8" s="1"/>
  <c r="K1271" i="8"/>
  <c r="L1271" i="8" s="1"/>
  <c r="K2147" i="8"/>
  <c r="L2147" i="8" s="1"/>
  <c r="K5" i="6"/>
  <c r="L5" i="6" s="1"/>
  <c r="M2498" i="8"/>
  <c r="N2498" i="8" s="1"/>
  <c r="M846" i="8"/>
  <c r="N846" i="8" s="1"/>
  <c r="M1932" i="8"/>
  <c r="N1932" i="8" s="1"/>
  <c r="M821" i="8"/>
  <c r="N821" i="8" s="1"/>
  <c r="M833" i="8"/>
  <c r="N833" i="8" s="1"/>
  <c r="M2470" i="8"/>
  <c r="N2470" i="8" s="1"/>
  <c r="B2481" i="8"/>
  <c r="B2482" i="8" s="1"/>
  <c r="B2483" i="8" s="1"/>
  <c r="M3078" i="8"/>
  <c r="N3078" i="8" s="1"/>
  <c r="K2151" i="8"/>
  <c r="L2151" i="8" s="1"/>
  <c r="M2102" i="8"/>
  <c r="N2102" i="8" s="1"/>
  <c r="M702" i="8"/>
  <c r="N702" i="8" s="1"/>
  <c r="K776" i="8"/>
  <c r="L776" i="8" s="1"/>
  <c r="B2701" i="8"/>
  <c r="B2702" i="8" s="1"/>
  <c r="B2703" i="8" s="1"/>
  <c r="M2995" i="8"/>
  <c r="N2995" i="8" s="1"/>
  <c r="M3171" i="8"/>
  <c r="N3171" i="8" s="1"/>
  <c r="B1073" i="8"/>
  <c r="B1074" i="8" s="1"/>
  <c r="B1075" i="8" s="1"/>
  <c r="M3002" i="8"/>
  <c r="N3002" i="8" s="1"/>
  <c r="M2562" i="8"/>
  <c r="N2562" i="8" s="1"/>
  <c r="M825" i="8"/>
  <c r="N825" i="8" s="1"/>
  <c r="M2959" i="8"/>
  <c r="N2959" i="8" s="1"/>
  <c r="K167" i="8"/>
  <c r="L167" i="8" s="1"/>
  <c r="K1090" i="8"/>
  <c r="L1090" i="8" s="1"/>
  <c r="M3123" i="8"/>
  <c r="N3123" i="8" s="1"/>
  <c r="K2141" i="8"/>
  <c r="L2141" i="8" s="1"/>
  <c r="M1041" i="8"/>
  <c r="N1041" i="8" s="1"/>
  <c r="M1305" i="8"/>
  <c r="N1305" i="8" s="1"/>
  <c r="K2382" i="8"/>
  <c r="L2382" i="8" s="1"/>
  <c r="M2998" i="8"/>
  <c r="N2998" i="8" s="1"/>
  <c r="K1971" i="8"/>
  <c r="L1971" i="8" s="1"/>
  <c r="M1881" i="8"/>
  <c r="N1881" i="8" s="1"/>
  <c r="K3034" i="8"/>
  <c r="L3034" i="8" s="1"/>
  <c r="M822" i="8"/>
  <c r="N822" i="8" s="1"/>
  <c r="K1964" i="8"/>
  <c r="L1964" i="8" s="1"/>
  <c r="R2734" i="8"/>
  <c r="R2723" i="8"/>
  <c r="R2715" i="8"/>
  <c r="R2720" i="8"/>
  <c r="R2713" i="8"/>
  <c r="R2718" i="8"/>
  <c r="R2714" i="8"/>
  <c r="R2717" i="8"/>
  <c r="R2725" i="8"/>
  <c r="R2738" i="8"/>
  <c r="R2726" i="8"/>
  <c r="R2719" i="8"/>
  <c r="K2726" i="8"/>
  <c r="L2726" i="8" s="1"/>
  <c r="K2717" i="8"/>
  <c r="L2717" i="8" s="1"/>
  <c r="K2719" i="8"/>
  <c r="L2719" i="8" s="1"/>
  <c r="K2738" i="8"/>
  <c r="L2738" i="8" s="1"/>
  <c r="K2718" i="8"/>
  <c r="L2718" i="8" s="1"/>
  <c r="K2734" i="8"/>
  <c r="L2734" i="8" s="1"/>
  <c r="M2542" i="8"/>
  <c r="N2542" i="8" s="1"/>
  <c r="M733" i="8"/>
  <c r="N733" i="8" s="1"/>
  <c r="K2724" i="8"/>
  <c r="L2724" i="8" s="1"/>
  <c r="K1098" i="8"/>
  <c r="L1098" i="8" s="1"/>
  <c r="M2815" i="8"/>
  <c r="N2815" i="8" s="1"/>
  <c r="M249" i="8"/>
  <c r="N249" i="8" s="1"/>
  <c r="M1791" i="8"/>
  <c r="N1791" i="8" s="1"/>
  <c r="M3090" i="8"/>
  <c r="N3090" i="8" s="1"/>
  <c r="R1349" i="8"/>
  <c r="R1359" i="8"/>
  <c r="R1361" i="8"/>
  <c r="R1370" i="8"/>
  <c r="R1350" i="8"/>
  <c r="R1374" i="8"/>
  <c r="R1354" i="8"/>
  <c r="R1355" i="8"/>
  <c r="R1356" i="8"/>
  <c r="R1351" i="8"/>
  <c r="R1353" i="8"/>
  <c r="R1362" i="8"/>
  <c r="K1361" i="8"/>
  <c r="L1361" i="8" s="1"/>
  <c r="R2192" i="8"/>
  <c r="R2191" i="8"/>
  <c r="R2186" i="8"/>
  <c r="R2206" i="8"/>
  <c r="R2190" i="8"/>
  <c r="R2189" i="8"/>
  <c r="R2198" i="8"/>
  <c r="R2187" i="8"/>
  <c r="R2210" i="8"/>
  <c r="R2185" i="8"/>
  <c r="R2195" i="8"/>
  <c r="R2197" i="8"/>
  <c r="K2187" i="8"/>
  <c r="L2187" i="8" s="1"/>
  <c r="K2195" i="8"/>
  <c r="L2195" i="8" s="1"/>
  <c r="K2190" i="8"/>
  <c r="L2190" i="8" s="1"/>
  <c r="K2198" i="8"/>
  <c r="L2198" i="8" s="1"/>
  <c r="K2186" i="8"/>
  <c r="L2186" i="8" s="1"/>
  <c r="S1502" i="8"/>
  <c r="U1502" i="8"/>
  <c r="M920" i="8"/>
  <c r="N920" i="8" s="1"/>
  <c r="K784" i="8"/>
  <c r="L784" i="8" s="1"/>
  <c r="M2494" i="8"/>
  <c r="N2494" i="8" s="1"/>
  <c r="M2681" i="8"/>
  <c r="N2681" i="8" s="1"/>
  <c r="M1854" i="8"/>
  <c r="N1854" i="8" s="1"/>
  <c r="M1483" i="8"/>
  <c r="N1483" i="8" s="1"/>
  <c r="K1272" i="8"/>
  <c r="L1272" i="8" s="1"/>
  <c r="M1007" i="8"/>
  <c r="N1007" i="8" s="1"/>
  <c r="M274" i="8"/>
  <c r="N274" i="8" s="1"/>
  <c r="M519" i="8"/>
  <c r="N519" i="8" s="1"/>
  <c r="U2865" i="8"/>
  <c r="S2865" i="8"/>
  <c r="B2935" i="8"/>
  <c r="B2936" i="8" s="1"/>
  <c r="B2937" i="8" s="1"/>
  <c r="M3003" i="8"/>
  <c r="N3003" i="8" s="1"/>
  <c r="K1569" i="8"/>
  <c r="L1569" i="8" s="1"/>
  <c r="M1969" i="8"/>
  <c r="N1969" i="8" s="1"/>
  <c r="M3081" i="8"/>
  <c r="N3081" i="8" s="1"/>
  <c r="K1354" i="8"/>
  <c r="L1354" i="8" s="1"/>
  <c r="M2448" i="8"/>
  <c r="N2448" i="8" s="1"/>
  <c r="M515" i="8"/>
  <c r="N515" i="8" s="1"/>
  <c r="M3166" i="8"/>
  <c r="N3166" i="8" s="1"/>
  <c r="M1046" i="8"/>
  <c r="N1046" i="8" s="1"/>
  <c r="M563" i="8"/>
  <c r="N563" i="8" s="1"/>
  <c r="M1229" i="8"/>
  <c r="N1229" i="8" s="1"/>
  <c r="M655" i="8"/>
  <c r="N655" i="8" s="1"/>
  <c r="R73" i="8"/>
  <c r="R77" i="8"/>
  <c r="R94" i="8"/>
  <c r="R83" i="8"/>
  <c r="R75" i="8"/>
  <c r="R85" i="8"/>
  <c r="R80" i="8"/>
  <c r="R86" i="8"/>
  <c r="R98" i="8"/>
  <c r="R78" i="8"/>
  <c r="R74" i="8"/>
  <c r="R79" i="8"/>
  <c r="K84" i="8"/>
  <c r="L84" i="8" s="1"/>
  <c r="K74" i="8"/>
  <c r="L74" i="8" s="1"/>
  <c r="K85" i="8"/>
  <c r="L85" i="8" s="1"/>
  <c r="M1659" i="8"/>
  <c r="N1659" i="8" s="1"/>
  <c r="M2624" i="8"/>
  <c r="N2624" i="8" s="1"/>
  <c r="K1580" i="8"/>
  <c r="L1580" i="8" s="1"/>
  <c r="K424" i="8"/>
  <c r="L424" i="8" s="1"/>
  <c r="K779" i="8"/>
  <c r="L779" i="8" s="1"/>
  <c r="B2891" i="8"/>
  <c r="B2892" i="8" s="1"/>
  <c r="B2893" i="8" s="1"/>
  <c r="M875" i="8"/>
  <c r="N875" i="8" s="1"/>
  <c r="M2497" i="8"/>
  <c r="N2497" i="8" s="1"/>
  <c r="B369" i="8"/>
  <c r="B370" i="8" s="1"/>
  <c r="B371" i="8" s="1"/>
  <c r="S3135" i="8"/>
  <c r="M872" i="8"/>
  <c r="N872" i="8" s="1"/>
  <c r="M2784" i="8"/>
  <c r="N2784" i="8" s="1"/>
  <c r="M2996" i="8"/>
  <c r="N2996" i="8" s="1"/>
  <c r="M1318" i="8"/>
  <c r="N1318" i="8" s="1"/>
  <c r="M2548" i="8"/>
  <c r="N2548" i="8" s="1"/>
  <c r="M2514" i="8"/>
  <c r="N2514" i="8" s="1"/>
  <c r="M1788" i="8"/>
  <c r="N1788" i="8" s="1"/>
  <c r="M656" i="8"/>
  <c r="N656" i="8" s="1"/>
  <c r="M2450" i="8"/>
  <c r="N2450" i="8" s="1"/>
  <c r="M996" i="8"/>
  <c r="N996" i="8" s="1"/>
  <c r="K1990" i="8"/>
  <c r="L1990" i="8" s="1"/>
  <c r="M1713" i="8"/>
  <c r="N1713" i="8" s="1"/>
  <c r="M3129" i="8"/>
  <c r="N3129" i="8" s="1"/>
  <c r="K1350" i="8"/>
  <c r="L1350" i="8" s="1"/>
  <c r="M1397" i="8"/>
  <c r="N1397" i="8" s="1"/>
  <c r="K1360" i="8"/>
  <c r="L1360" i="8" s="1"/>
  <c r="M3089" i="8"/>
  <c r="N3089" i="8" s="1"/>
  <c r="M649" i="8"/>
  <c r="N649" i="8" s="1"/>
  <c r="K3037" i="8"/>
  <c r="L3037" i="8" s="1"/>
  <c r="M2064" i="8"/>
  <c r="N2064" i="8" s="1"/>
  <c r="M1198" i="8"/>
  <c r="N1198" i="8" s="1"/>
  <c r="K1353" i="8"/>
  <c r="L1353" i="8" s="1"/>
  <c r="M260" i="8"/>
  <c r="N260" i="8" s="1"/>
  <c r="M2541" i="8"/>
  <c r="N2541" i="8" s="1"/>
  <c r="M3172" i="8"/>
  <c r="N3172" i="8" s="1"/>
  <c r="M2690" i="8"/>
  <c r="N2690" i="8" s="1"/>
  <c r="M2362" i="8"/>
  <c r="N2362" i="8" s="1"/>
  <c r="K1582" i="8"/>
  <c r="L1582" i="8" s="1"/>
  <c r="M2770" i="8"/>
  <c r="N2770" i="8" s="1"/>
  <c r="M564" i="8"/>
  <c r="N564" i="8" s="1"/>
  <c r="M300" i="8"/>
  <c r="N300" i="8" s="1"/>
  <c r="M1399" i="8"/>
  <c r="N1399" i="8" s="1"/>
  <c r="K1574" i="8"/>
  <c r="L1574" i="8" s="1"/>
  <c r="R1418" i="8"/>
  <c r="R1393" i="8"/>
  <c r="R1397" i="8"/>
  <c r="R1399" i="8"/>
  <c r="R1395" i="8"/>
  <c r="R1414" i="8"/>
  <c r="R1400" i="8"/>
  <c r="R1403" i="8"/>
  <c r="R1394" i="8"/>
  <c r="R1405" i="8"/>
  <c r="R1406" i="8"/>
  <c r="R1398" i="8"/>
  <c r="K1418" i="8"/>
  <c r="L1418" i="8" s="1"/>
  <c r="K1398" i="8"/>
  <c r="L1398" i="8" s="1"/>
  <c r="K1406" i="8"/>
  <c r="L1406" i="8" s="1"/>
  <c r="K1404" i="8"/>
  <c r="L1404" i="8" s="1"/>
  <c r="M695" i="8"/>
  <c r="N695" i="8" s="1"/>
  <c r="M2880" i="8"/>
  <c r="N2880" i="8" s="1"/>
  <c r="M2928" i="8"/>
  <c r="N2928" i="8" s="1"/>
  <c r="M3133" i="8"/>
  <c r="N3133" i="8" s="1"/>
  <c r="K446" i="8"/>
  <c r="L446" i="8" s="1"/>
  <c r="M2055" i="8"/>
  <c r="N2055" i="8" s="1"/>
  <c r="M1670" i="8"/>
  <c r="N1670" i="8" s="1"/>
  <c r="B2525" i="8"/>
  <c r="B2526" i="8" s="1"/>
  <c r="B2527" i="8" s="1"/>
  <c r="M1066" i="8"/>
  <c r="N1066" i="8" s="1"/>
  <c r="K1274" i="8"/>
  <c r="L1274" i="8" s="1"/>
  <c r="B1513" i="8"/>
  <c r="B1514" i="8" s="1"/>
  <c r="B1515" i="8" s="1"/>
  <c r="M1927" i="8"/>
  <c r="N1927" i="8" s="1"/>
  <c r="K2367" i="8"/>
  <c r="L2367" i="8" s="1"/>
  <c r="M910" i="8"/>
  <c r="N910" i="8" s="1"/>
  <c r="M2819" i="8"/>
  <c r="N2819" i="8" s="1"/>
  <c r="M2668" i="8"/>
  <c r="N2668" i="8" s="1"/>
  <c r="M2783" i="8"/>
  <c r="N2783" i="8" s="1"/>
  <c r="M538" i="8"/>
  <c r="N538" i="8" s="1"/>
  <c r="M1790" i="8"/>
  <c r="N1790" i="8" s="1"/>
  <c r="K406" i="8"/>
  <c r="L406" i="8" s="1"/>
  <c r="K162" i="8"/>
  <c r="L162" i="8" s="1"/>
  <c r="K381" i="8"/>
  <c r="L381" i="8" s="1"/>
  <c r="K1349" i="8"/>
  <c r="L1349" i="8" s="1"/>
  <c r="R206" i="8"/>
  <c r="R226" i="8"/>
  <c r="R211" i="8"/>
  <c r="R212" i="8"/>
  <c r="R209" i="8"/>
  <c r="R207" i="8"/>
  <c r="R210" i="8"/>
  <c r="R217" i="8"/>
  <c r="R215" i="8"/>
  <c r="R218" i="8"/>
  <c r="R205" i="8"/>
  <c r="R230" i="8"/>
  <c r="K212" i="8"/>
  <c r="L212" i="8" s="1"/>
  <c r="M828" i="8"/>
  <c r="N828" i="8" s="1"/>
  <c r="M1439" i="8"/>
  <c r="N1439" i="8" s="1"/>
  <c r="M2453" i="8"/>
  <c r="N2453" i="8" s="1"/>
  <c r="K432" i="8"/>
  <c r="L432" i="8" s="1"/>
  <c r="K436" i="8"/>
  <c r="L436" i="8" s="1"/>
  <c r="K2145" i="8"/>
  <c r="L2145" i="8" s="1"/>
  <c r="M913" i="8"/>
  <c r="N913" i="8" s="1"/>
  <c r="K1986" i="8"/>
  <c r="L1986" i="8" s="1"/>
  <c r="K2712" i="8"/>
  <c r="L2712" i="8" s="1"/>
  <c r="K427" i="8"/>
  <c r="L427" i="8" s="1"/>
  <c r="K1708" i="8"/>
  <c r="L1708" i="8" s="1"/>
  <c r="M1218" i="8"/>
  <c r="N1218" i="8" s="1"/>
  <c r="M3016" i="8"/>
  <c r="N3016" i="8" s="1"/>
  <c r="M2630" i="8"/>
  <c r="N2630" i="8" s="1"/>
  <c r="R789" i="8"/>
  <c r="R802" i="8"/>
  <c r="R782" i="8"/>
  <c r="R787" i="8"/>
  <c r="R790" i="8"/>
  <c r="R779" i="8"/>
  <c r="R798" i="8"/>
  <c r="R781" i="8"/>
  <c r="R778" i="8"/>
  <c r="R784" i="8"/>
  <c r="R783" i="8"/>
  <c r="R777" i="8"/>
  <c r="M1661" i="8"/>
  <c r="N1661" i="8" s="1"/>
  <c r="M2625" i="8"/>
  <c r="N2625" i="8" s="1"/>
  <c r="M2229" i="8"/>
  <c r="N2229" i="8" s="1"/>
  <c r="M2602" i="8"/>
  <c r="N2602" i="8" s="1"/>
  <c r="M1238" i="8"/>
  <c r="N1238" i="8" s="1"/>
  <c r="M556" i="8"/>
  <c r="N556" i="8" s="1"/>
  <c r="M998" i="8"/>
  <c r="N998" i="8" s="1"/>
  <c r="M306" i="8"/>
  <c r="N306" i="8" s="1"/>
  <c r="R1581" i="8"/>
  <c r="R1570" i="8"/>
  <c r="R1575" i="8"/>
  <c r="R1576" i="8"/>
  <c r="R1590" i="8"/>
  <c r="R1573" i="8"/>
  <c r="R1594" i="8"/>
  <c r="R1579" i="8"/>
  <c r="R1582" i="8"/>
  <c r="R1574" i="8"/>
  <c r="R1571" i="8"/>
  <c r="R1569" i="8"/>
  <c r="K1594" i="8"/>
  <c r="L1594" i="8" s="1"/>
  <c r="K1571" i="8"/>
  <c r="L1571" i="8" s="1"/>
  <c r="M1967" i="8"/>
  <c r="N1967" i="8" s="1"/>
  <c r="M1887" i="8"/>
  <c r="N1887" i="8" s="1"/>
  <c r="K2192" i="8"/>
  <c r="L2192" i="8" s="1"/>
  <c r="M2594" i="8"/>
  <c r="N2594" i="8" s="1"/>
  <c r="M1043" i="8"/>
  <c r="N1043" i="8" s="1"/>
  <c r="M348" i="8"/>
  <c r="N348" i="8" s="1"/>
  <c r="M1047" i="8"/>
  <c r="N1047" i="8" s="1"/>
  <c r="M2536" i="8"/>
  <c r="N2536" i="8" s="1"/>
  <c r="M3060" i="8"/>
  <c r="N3060" i="8" s="1"/>
  <c r="M2022" i="8"/>
  <c r="N2022" i="8" s="1"/>
  <c r="M1796" i="8"/>
  <c r="N1796" i="8" s="1"/>
  <c r="M303" i="8"/>
  <c r="N303" i="8" s="1"/>
  <c r="K1261" i="8"/>
  <c r="L1261" i="8" s="1"/>
  <c r="M2822" i="8"/>
  <c r="N2822" i="8" s="1"/>
  <c r="K1374" i="8"/>
  <c r="L1374" i="8" s="1"/>
  <c r="M2924" i="8"/>
  <c r="N2924" i="8" s="1"/>
  <c r="M2074" i="8"/>
  <c r="N2074" i="8" s="1"/>
  <c r="M2907" i="8"/>
  <c r="N2907" i="8" s="1"/>
  <c r="M1877" i="8"/>
  <c r="N1877" i="8" s="1"/>
  <c r="M1878" i="8"/>
  <c r="N1878" i="8" s="1"/>
  <c r="B1337" i="8"/>
  <c r="B1338" i="8" s="1"/>
  <c r="B1339" i="8" s="1"/>
  <c r="M2010" i="8"/>
  <c r="N2010" i="8" s="1"/>
  <c r="M2284" i="8"/>
  <c r="N2284" i="8" s="1"/>
  <c r="K1575" i="8"/>
  <c r="L1575" i="8" s="1"/>
  <c r="M2626" i="8"/>
  <c r="N2626" i="8" s="1"/>
  <c r="M1048" i="8"/>
  <c r="N1048" i="8" s="1"/>
  <c r="M647" i="8"/>
  <c r="N647" i="8" s="1"/>
  <c r="R1133" i="8"/>
  <c r="R1135" i="8"/>
  <c r="R1141" i="8"/>
  <c r="R1131" i="8"/>
  <c r="R1139" i="8"/>
  <c r="R1136" i="8"/>
  <c r="R1130" i="8"/>
  <c r="R1129" i="8"/>
  <c r="R1142" i="8"/>
  <c r="R1134" i="8"/>
  <c r="R1150" i="8"/>
  <c r="R1154" i="8"/>
  <c r="K1131" i="8"/>
  <c r="L1131" i="8" s="1"/>
  <c r="K1140" i="8"/>
  <c r="L1140" i="8" s="1"/>
  <c r="M960" i="8"/>
  <c r="N960" i="8" s="1"/>
  <c r="M2547" i="8"/>
  <c r="N2547" i="8" s="1"/>
  <c r="M2235" i="8"/>
  <c r="N2235" i="8" s="1"/>
  <c r="K1356" i="8"/>
  <c r="L1356" i="8" s="1"/>
  <c r="K1150" i="8"/>
  <c r="L1150" i="8" s="1"/>
  <c r="M2021" i="8"/>
  <c r="N2021" i="8" s="1"/>
  <c r="K2146" i="8"/>
  <c r="L2146" i="8" s="1"/>
  <c r="K1154" i="8"/>
  <c r="L1154" i="8" s="1"/>
  <c r="M2953" i="8"/>
  <c r="N2953" i="8" s="1"/>
  <c r="M2821" i="8"/>
  <c r="N2821" i="8" s="1"/>
  <c r="M2972" i="8"/>
  <c r="N2972" i="8" s="1"/>
  <c r="M1001" i="8"/>
  <c r="N1001" i="8" s="1"/>
  <c r="M293" i="8"/>
  <c r="N293" i="8" s="1"/>
  <c r="M2580" i="8"/>
  <c r="N2580" i="8" s="1"/>
  <c r="M1022" i="8"/>
  <c r="N1022" i="8" s="1"/>
  <c r="M823" i="8"/>
  <c r="N823" i="8" s="1"/>
  <c r="M3092" i="8"/>
  <c r="N3092" i="8" s="1"/>
  <c r="M914" i="8"/>
  <c r="N914" i="8" s="1"/>
  <c r="K426" i="8"/>
  <c r="L426" i="8" s="1"/>
  <c r="S2669" i="8"/>
  <c r="U2669" i="8"/>
  <c r="M934" i="8"/>
  <c r="N934" i="8" s="1"/>
  <c r="M514" i="8"/>
  <c r="N514" i="8" s="1"/>
  <c r="K425" i="8"/>
  <c r="L425" i="8" s="1"/>
  <c r="M2902" i="8"/>
  <c r="N2902" i="8" s="1"/>
  <c r="K2185" i="8"/>
  <c r="L2185" i="8" s="1"/>
  <c r="M1008" i="8"/>
  <c r="N1008" i="8" s="1"/>
  <c r="M1844" i="8"/>
  <c r="N1844" i="8" s="1"/>
  <c r="K1570" i="8"/>
  <c r="L1570" i="8" s="1"/>
  <c r="M826" i="8"/>
  <c r="N826" i="8" s="1"/>
  <c r="M2328" i="8"/>
  <c r="N2328" i="8" s="1"/>
  <c r="K2197" i="8"/>
  <c r="L2197" i="8" s="1"/>
  <c r="M877" i="8"/>
  <c r="N877" i="8" s="1"/>
  <c r="M2285" i="8"/>
  <c r="N2285" i="8" s="1"/>
  <c r="M1309" i="8"/>
  <c r="N1309" i="8" s="1"/>
  <c r="M1884" i="8"/>
  <c r="N1884" i="8" s="1"/>
  <c r="K98" i="8"/>
  <c r="L98" i="8" s="1"/>
  <c r="M1839" i="8"/>
  <c r="N1839" i="8" s="1"/>
  <c r="M2993" i="8"/>
  <c r="N2993" i="8" s="1"/>
  <c r="M1184" i="8"/>
  <c r="N1184" i="8" s="1"/>
  <c r="R163" i="8"/>
  <c r="R167" i="8"/>
  <c r="R165" i="8"/>
  <c r="R168" i="8"/>
  <c r="R166" i="8"/>
  <c r="R173" i="8"/>
  <c r="R174" i="8"/>
  <c r="R161" i="8"/>
  <c r="R162" i="8"/>
  <c r="R171" i="8"/>
  <c r="R186" i="8"/>
  <c r="R182" i="8"/>
  <c r="K1260" i="8"/>
  <c r="L1260" i="8" s="1"/>
  <c r="M842" i="8"/>
  <c r="N842" i="8" s="1"/>
  <c r="R2099" i="8"/>
  <c r="R2098" i="8"/>
  <c r="R2109" i="8"/>
  <c r="R2118" i="8"/>
  <c r="R2107" i="8"/>
  <c r="R2122" i="8"/>
  <c r="R2110" i="8"/>
  <c r="R2097" i="8"/>
  <c r="R2101" i="8"/>
  <c r="R2102" i="8"/>
  <c r="R2104" i="8"/>
  <c r="R2103" i="8"/>
  <c r="K2096" i="8"/>
  <c r="L2096" i="8" s="1"/>
  <c r="K2103" i="8"/>
  <c r="L2103" i="8" s="1"/>
  <c r="K2099" i="8"/>
  <c r="L2099" i="8" s="1"/>
  <c r="K2110" i="8"/>
  <c r="L2110" i="8" s="1"/>
  <c r="K2101" i="8"/>
  <c r="L2101" i="8" s="1"/>
  <c r="K2122" i="8"/>
  <c r="L2122" i="8" s="1"/>
  <c r="M1795" i="8"/>
  <c r="N1795" i="8" s="1"/>
  <c r="R1751" i="8"/>
  <c r="R1766" i="8"/>
  <c r="R1745" i="8"/>
  <c r="R1770" i="8"/>
  <c r="R1750" i="8"/>
  <c r="R1752" i="8"/>
  <c r="R1746" i="8"/>
  <c r="R1757" i="8"/>
  <c r="R1747" i="8"/>
  <c r="R1749" i="8"/>
  <c r="R1755" i="8"/>
  <c r="R1758" i="8"/>
  <c r="K1750" i="8"/>
  <c r="L1750" i="8" s="1"/>
  <c r="K1770" i="8"/>
  <c r="L1770" i="8" s="1"/>
  <c r="K1745" i="8"/>
  <c r="L1745" i="8" s="1"/>
  <c r="K1744" i="8"/>
  <c r="L1744" i="8" s="1"/>
  <c r="M2462" i="8"/>
  <c r="N2462" i="8" s="1"/>
  <c r="K790" i="8"/>
  <c r="L790" i="8" s="1"/>
  <c r="K83" i="8"/>
  <c r="L83" i="8" s="1"/>
  <c r="M2503" i="8"/>
  <c r="N2503" i="8" s="1"/>
  <c r="K1978" i="8"/>
  <c r="L1978" i="8" s="1"/>
  <c r="M1833" i="8"/>
  <c r="N1833" i="8" s="1"/>
  <c r="M2019" i="8"/>
  <c r="N2019" i="8" s="1"/>
  <c r="M1923" i="8"/>
  <c r="N1923" i="8" s="1"/>
  <c r="M523" i="8"/>
  <c r="N523" i="8" s="1"/>
  <c r="K1701" i="8"/>
  <c r="L1701" i="8" s="1"/>
  <c r="M270" i="8"/>
  <c r="N270" i="8" s="1"/>
  <c r="K2720" i="8"/>
  <c r="L2720" i="8" s="1"/>
  <c r="M2958" i="8"/>
  <c r="N2958" i="8" s="1"/>
  <c r="M1179" i="8"/>
  <c r="N1179" i="8" s="1"/>
  <c r="K2108" i="8"/>
  <c r="L2108" i="8" s="1"/>
  <c r="M2274" i="8"/>
  <c r="N2274" i="8" s="1"/>
  <c r="K2118" i="8"/>
  <c r="L2118" i="8" s="1"/>
  <c r="K391" i="8"/>
  <c r="L391" i="8" s="1"/>
  <c r="M2591" i="8"/>
  <c r="N2591" i="8" s="1"/>
  <c r="M2629" i="8"/>
  <c r="N2629" i="8" s="1"/>
  <c r="K2372" i="8"/>
  <c r="L2372" i="8" s="1"/>
  <c r="K402" i="8"/>
  <c r="L402" i="8" s="1"/>
  <c r="R1439" i="8"/>
  <c r="R1450" i="8"/>
  <c r="R1441" i="8"/>
  <c r="R1444" i="8"/>
  <c r="R1437" i="8"/>
  <c r="R1443" i="8"/>
  <c r="R1438" i="8"/>
  <c r="R1458" i="8"/>
  <c r="R1447" i="8"/>
  <c r="R1449" i="8"/>
  <c r="R1462" i="8"/>
  <c r="R1442" i="8"/>
  <c r="K1441" i="8"/>
  <c r="L1441" i="8" s="1"/>
  <c r="K1447" i="8"/>
  <c r="L1447" i="8" s="1"/>
  <c r="K1448" i="8"/>
  <c r="L1448" i="8" s="1"/>
  <c r="K1458" i="8"/>
  <c r="L1458" i="8" s="1"/>
  <c r="K1086" i="8"/>
  <c r="L1086" i="8" s="1"/>
  <c r="K10" i="6"/>
  <c r="L10" i="6" s="1"/>
  <c r="M2904" i="8"/>
  <c r="N2904" i="8" s="1"/>
  <c r="M908" i="8"/>
  <c r="N908" i="8" s="1"/>
  <c r="M2637" i="8"/>
  <c r="N2637" i="8" s="1"/>
  <c r="K1638" i="8"/>
  <c r="L1638" i="8" s="1"/>
  <c r="K431" i="8"/>
  <c r="L431" i="8" s="1"/>
  <c r="M1835" i="8"/>
  <c r="N1835" i="8" s="1"/>
  <c r="K2386" i="8"/>
  <c r="L2386" i="8" s="1"/>
  <c r="M512" i="8"/>
  <c r="N512" i="8" s="1"/>
  <c r="K174" i="8"/>
  <c r="L174" i="8" s="1"/>
  <c r="M2632" i="8"/>
  <c r="N2632" i="8" s="1"/>
  <c r="K1613" i="8"/>
  <c r="L1613" i="8" s="1"/>
  <c r="M2460" i="8"/>
  <c r="N2460" i="8" s="1"/>
  <c r="M1228" i="8"/>
  <c r="N1228" i="8" s="1"/>
  <c r="M2338" i="8"/>
  <c r="N2338" i="8" s="1"/>
  <c r="M2872" i="8"/>
  <c r="N2872" i="8" s="1"/>
  <c r="M337" i="8"/>
  <c r="N337" i="8" s="1"/>
  <c r="M2772" i="8"/>
  <c r="N2772" i="8" s="1"/>
  <c r="K1267" i="8"/>
  <c r="L1267" i="8" s="1"/>
  <c r="M1326" i="8"/>
  <c r="N1326" i="8" s="1"/>
  <c r="M1834" i="8"/>
  <c r="N1834" i="8" s="1"/>
  <c r="M1889" i="8"/>
  <c r="N1889" i="8" s="1"/>
  <c r="M1306" i="8"/>
  <c r="N1306" i="8" s="1"/>
  <c r="M1810" i="8"/>
  <c r="N1810" i="8" s="1"/>
  <c r="M255" i="8"/>
  <c r="N255" i="8" s="1"/>
  <c r="M1668" i="8"/>
  <c r="N1668" i="8" s="1"/>
  <c r="K1265" i="8"/>
  <c r="L1265" i="8" s="1"/>
  <c r="M2858" i="8"/>
  <c r="N2858" i="8" s="1"/>
  <c r="M1888" i="8"/>
  <c r="N1888" i="8" s="1"/>
  <c r="M2294" i="8"/>
  <c r="N2294" i="8" s="1"/>
  <c r="M1858" i="8"/>
  <c r="N1858" i="8" s="1"/>
  <c r="M342" i="8"/>
  <c r="N342" i="8" s="1"/>
  <c r="S1062" i="8"/>
  <c r="U1062" i="8"/>
  <c r="M2272" i="8"/>
  <c r="N2272" i="8" s="1"/>
  <c r="M2322" i="8"/>
  <c r="N2322" i="8" s="1"/>
  <c r="M886" i="8"/>
  <c r="N886" i="8" s="1"/>
  <c r="M256" i="8"/>
  <c r="N256" i="8" s="1"/>
  <c r="M916" i="8"/>
  <c r="N916" i="8" s="1"/>
  <c r="R426" i="8"/>
  <c r="R427" i="8"/>
  <c r="R450" i="8"/>
  <c r="R437" i="8"/>
  <c r="R425" i="8"/>
  <c r="R429" i="8"/>
  <c r="R432" i="8"/>
  <c r="R430" i="8"/>
  <c r="R446" i="8"/>
  <c r="R438" i="8"/>
  <c r="R435" i="8"/>
  <c r="R431" i="8"/>
  <c r="K450" i="8"/>
  <c r="L450" i="8" s="1"/>
  <c r="K437" i="8"/>
  <c r="L437" i="8" s="1"/>
  <c r="K438" i="8"/>
  <c r="L438" i="8" s="1"/>
  <c r="B3023" i="8"/>
  <c r="B3024" i="8" s="1"/>
  <c r="B3025" i="8" s="1"/>
  <c r="K1362" i="8"/>
  <c r="L1362" i="8" s="1"/>
  <c r="M2676" i="8"/>
  <c r="N2676" i="8" s="1"/>
  <c r="M2636" i="8"/>
  <c r="N2636" i="8" s="1"/>
  <c r="K8" i="6"/>
  <c r="L8" i="6" s="1"/>
  <c r="M2782" i="8"/>
  <c r="N2782" i="8" s="1"/>
  <c r="M601" i="8"/>
  <c r="N601" i="8" s="1"/>
  <c r="M3091" i="8"/>
  <c r="N3091" i="8" s="1"/>
  <c r="M2916" i="8"/>
  <c r="N2916" i="8" s="1"/>
  <c r="M350" i="8"/>
  <c r="N350" i="8" s="1"/>
  <c r="M3012" i="8"/>
  <c r="N3012" i="8" s="1"/>
  <c r="M2836" i="8"/>
  <c r="N2836" i="8" s="1"/>
  <c r="M658" i="8"/>
  <c r="N658" i="8" s="1"/>
  <c r="M2947" i="8"/>
  <c r="N2947" i="8" s="1"/>
  <c r="M2915" i="8"/>
  <c r="N2915" i="8" s="1"/>
  <c r="M696" i="8"/>
  <c r="N696" i="8" s="1"/>
  <c r="M2816" i="8"/>
  <c r="N2816" i="8" s="1"/>
  <c r="K209" i="8"/>
  <c r="L209" i="8" s="1"/>
  <c r="M2250" i="8"/>
  <c r="N2250" i="8" s="1"/>
  <c r="M3128" i="8"/>
  <c r="N3128" i="8" s="1"/>
  <c r="M2549" i="8"/>
  <c r="N2549" i="8" s="1"/>
  <c r="U3127" i="8"/>
  <c r="S3127" i="8"/>
  <c r="B18" i="7"/>
  <c r="B19" i="7" s="1"/>
  <c r="B21" i="7" s="1"/>
  <c r="M652" i="8"/>
  <c r="N652" i="8" s="1"/>
  <c r="R734" i="8"/>
  <c r="R739" i="8"/>
  <c r="R745" i="8"/>
  <c r="R746" i="8"/>
  <c r="R738" i="8"/>
  <c r="R758" i="8"/>
  <c r="R737" i="8"/>
  <c r="R740" i="8"/>
  <c r="R733" i="8"/>
  <c r="R754" i="8"/>
  <c r="R735" i="8"/>
  <c r="R743" i="8"/>
  <c r="K735" i="8"/>
  <c r="L735" i="8" s="1"/>
  <c r="K737" i="8"/>
  <c r="L737" i="8" s="1"/>
  <c r="K758" i="8"/>
  <c r="L758" i="8" s="1"/>
  <c r="M1004" i="8"/>
  <c r="N1004" i="8" s="1"/>
  <c r="M1223" i="8"/>
  <c r="N1223" i="8" s="1"/>
  <c r="M2694" i="8"/>
  <c r="N2694" i="8" s="1"/>
  <c r="M1890" i="8"/>
  <c r="N1890" i="8" s="1"/>
  <c r="M1227" i="8"/>
  <c r="N1227" i="8" s="1"/>
  <c r="M2230" i="8"/>
  <c r="N2230" i="8" s="1"/>
  <c r="K1436" i="8"/>
  <c r="L1436" i="8" s="1"/>
  <c r="M2504" i="8"/>
  <c r="N2504" i="8" s="1"/>
  <c r="M1492" i="8"/>
  <c r="N1492" i="8" s="1"/>
  <c r="K494" i="8"/>
  <c r="L494" i="8" s="1"/>
  <c r="K1139" i="8"/>
  <c r="L1139" i="8" s="1"/>
  <c r="K1576" i="8"/>
  <c r="L1576" i="8" s="1"/>
  <c r="M1794" i="8"/>
  <c r="N1794" i="8" s="1"/>
  <c r="K3047" i="8"/>
  <c r="L3047" i="8" s="1"/>
  <c r="K1444" i="8"/>
  <c r="L1444" i="8" s="1"/>
  <c r="M1311" i="8"/>
  <c r="N1311" i="8" s="1"/>
  <c r="M832" i="8"/>
  <c r="N832" i="8" s="1"/>
  <c r="K474" i="8"/>
  <c r="L474" i="8" s="1"/>
  <c r="M2593" i="8"/>
  <c r="N2593" i="8" s="1"/>
  <c r="K160" i="8"/>
  <c r="L160" i="8" s="1"/>
  <c r="K13" i="6"/>
  <c r="L13" i="6" s="1"/>
  <c r="M2638" i="8"/>
  <c r="N2638" i="8" s="1"/>
  <c r="K182" i="8"/>
  <c r="L182" i="8" s="1"/>
  <c r="M1931" i="8"/>
  <c r="N1931" i="8" s="1"/>
  <c r="K1705" i="8"/>
  <c r="L1705" i="8" s="1"/>
  <c r="R1177" i="8"/>
  <c r="R1175" i="8"/>
  <c r="R1183" i="8"/>
  <c r="R1180" i="8"/>
  <c r="R1198" i="8"/>
  <c r="R1179" i="8"/>
  <c r="R1186" i="8"/>
  <c r="R1178" i="8"/>
  <c r="R1185" i="8"/>
  <c r="R1174" i="8"/>
  <c r="R1194" i="8"/>
  <c r="R1173" i="8"/>
  <c r="B1953" i="8"/>
  <c r="B1954" i="8" s="1"/>
  <c r="B1955" i="8" s="1"/>
  <c r="B2349" i="8"/>
  <c r="B2350" i="8" s="1"/>
  <c r="B2351" i="8" s="1"/>
  <c r="M517" i="8"/>
  <c r="N517" i="8" s="1"/>
  <c r="M1224" i="8"/>
  <c r="N1224" i="8" s="1"/>
  <c r="K9" i="6"/>
  <c r="L9" i="6" s="1"/>
  <c r="M2990" i="8"/>
  <c r="N2990" i="8" s="1"/>
  <c r="M2066" i="8"/>
  <c r="N2066" i="8" s="1"/>
  <c r="M2949" i="8"/>
  <c r="N2949" i="8" s="1"/>
  <c r="K1706" i="8"/>
  <c r="L1706" i="8" s="1"/>
  <c r="R1619" i="8"/>
  <c r="R1626" i="8"/>
  <c r="R1620" i="8"/>
  <c r="R1625" i="8"/>
  <c r="R1638" i="8"/>
  <c r="R1618" i="8"/>
  <c r="R1614" i="8"/>
  <c r="R1615" i="8"/>
  <c r="R1617" i="8"/>
  <c r="R1623" i="8"/>
  <c r="R1634" i="8"/>
  <c r="R1613" i="8"/>
  <c r="K1623" i="8"/>
  <c r="L1623" i="8" s="1"/>
  <c r="K1618" i="8"/>
  <c r="L1618" i="8" s="1"/>
  <c r="K1634" i="8"/>
  <c r="L1634" i="8" s="1"/>
  <c r="K1615" i="8"/>
  <c r="L1615" i="8" s="1"/>
  <c r="K1619" i="8"/>
  <c r="L1619" i="8" s="1"/>
  <c r="M254" i="8"/>
  <c r="N254" i="8" s="1"/>
  <c r="M2859" i="8"/>
  <c r="N2859" i="8" s="1"/>
  <c r="M2500" i="8"/>
  <c r="N2500" i="8" s="1"/>
  <c r="R965" i="8"/>
  <c r="R963" i="8"/>
  <c r="R955" i="8"/>
  <c r="R960" i="8"/>
  <c r="R953" i="8"/>
  <c r="R978" i="8"/>
  <c r="R958" i="8"/>
  <c r="R966" i="8"/>
  <c r="R974" i="8"/>
  <c r="R957" i="8"/>
  <c r="R954" i="8"/>
  <c r="R959" i="8"/>
  <c r="K959" i="8"/>
  <c r="L959" i="8" s="1"/>
  <c r="K978" i="8"/>
  <c r="L978" i="8" s="1"/>
  <c r="K953" i="8"/>
  <c r="L953" i="8" s="1"/>
  <c r="K952" i="8"/>
  <c r="L952" i="8" s="1"/>
  <c r="B1249" i="8"/>
  <c r="B1250" i="8" s="1"/>
  <c r="B1251" i="8" s="1"/>
  <c r="K2426" i="8"/>
  <c r="L2426" i="8" s="1"/>
  <c r="K2411" i="8"/>
  <c r="L2411" i="8" s="1"/>
  <c r="K2409" i="8"/>
  <c r="L2409" i="8" s="1"/>
  <c r="K2405" i="8"/>
  <c r="L2405" i="8" s="1"/>
  <c r="K2412" i="8"/>
  <c r="L2412" i="8" s="1"/>
  <c r="K2418" i="8"/>
  <c r="L2418" i="8" s="1"/>
  <c r="R611" i="8"/>
  <c r="R608" i="8"/>
  <c r="R602" i="8"/>
  <c r="R603" i="8"/>
  <c r="R607" i="8"/>
  <c r="R606" i="8"/>
  <c r="R614" i="8"/>
  <c r="R622" i="8"/>
  <c r="R613" i="8"/>
  <c r="R626" i="8"/>
  <c r="R605" i="8"/>
  <c r="R601" i="8"/>
  <c r="K614" i="8"/>
  <c r="L614" i="8" s="1"/>
  <c r="K605" i="8"/>
  <c r="L605" i="8" s="1"/>
  <c r="K613" i="8"/>
  <c r="L613" i="8" s="1"/>
  <c r="K1749" i="8"/>
  <c r="L1749" i="8" s="1"/>
  <c r="K1755" i="8"/>
  <c r="L1755" i="8" s="1"/>
  <c r="K2373" i="8"/>
  <c r="L2373" i="8" s="1"/>
  <c r="M1902" i="8"/>
  <c r="N1902" i="8" s="1"/>
  <c r="M3130" i="8"/>
  <c r="N3130" i="8" s="1"/>
  <c r="M558" i="8"/>
  <c r="N558" i="8" s="1"/>
  <c r="M298" i="8"/>
  <c r="N298" i="8" s="1"/>
  <c r="M1921" i="8"/>
  <c r="N1921" i="8" s="1"/>
  <c r="K1370" i="8"/>
  <c r="L1370" i="8" s="1"/>
  <c r="K743" i="8"/>
  <c r="L743" i="8" s="1"/>
  <c r="M1494" i="8"/>
  <c r="N1494" i="8" s="1"/>
  <c r="M1054" i="8"/>
  <c r="N1054" i="8" s="1"/>
  <c r="M2493" i="8"/>
  <c r="N2493" i="8" s="1"/>
  <c r="M915" i="8"/>
  <c r="N915" i="8" s="1"/>
  <c r="M2014" i="8"/>
  <c r="N2014" i="8" s="1"/>
  <c r="M1657" i="8"/>
  <c r="N1657" i="8" s="1"/>
  <c r="K2725" i="8"/>
  <c r="L2725" i="8" s="1"/>
  <c r="K1141" i="8"/>
  <c r="L1141" i="8" s="1"/>
  <c r="K1135" i="8"/>
  <c r="L1135" i="8" s="1"/>
  <c r="K1392" i="8"/>
  <c r="L1392" i="8" s="1"/>
  <c r="K1128" i="8"/>
  <c r="L1128" i="8" s="1"/>
  <c r="M2670" i="8"/>
  <c r="N2670" i="8" s="1"/>
  <c r="K2360" i="8"/>
  <c r="L2360" i="8" s="1"/>
  <c r="M2317" i="8"/>
  <c r="N2317" i="8" s="1"/>
  <c r="K78" i="8"/>
  <c r="L78" i="8" s="1"/>
  <c r="M1052" i="8"/>
  <c r="N1052" i="8" s="1"/>
  <c r="K2374" i="8"/>
  <c r="L2374" i="8" s="1"/>
  <c r="M3167" i="8"/>
  <c r="N3167" i="8" s="1"/>
  <c r="M657" i="8"/>
  <c r="N657" i="8" s="1"/>
  <c r="K1573" i="8"/>
  <c r="L1573" i="8" s="1"/>
  <c r="K1450" i="8"/>
  <c r="L1450" i="8" s="1"/>
  <c r="K746" i="8"/>
  <c r="L746" i="8" s="1"/>
  <c r="M2240" i="8"/>
  <c r="N2240" i="8" s="1"/>
  <c r="M2913" i="8"/>
  <c r="N2913" i="8" s="1"/>
  <c r="M2586" i="8"/>
  <c r="N2586" i="8" s="1"/>
  <c r="M1876" i="8"/>
  <c r="N1876" i="8" s="1"/>
  <c r="K734" i="8"/>
  <c r="L734" i="8" s="1"/>
  <c r="K3045" i="8"/>
  <c r="L3045" i="8" s="1"/>
  <c r="U2454" i="8"/>
  <c r="S2454" i="8"/>
  <c r="B2803" i="8"/>
  <c r="B2804" i="8" s="1"/>
  <c r="B2805" i="8" s="1"/>
  <c r="M344" i="8"/>
  <c r="N344" i="8" s="1"/>
  <c r="K1085" i="8"/>
  <c r="L1085" i="8" s="1"/>
  <c r="R1266" i="8"/>
  <c r="R1265" i="8"/>
  <c r="R1282" i="8"/>
  <c r="R1261" i="8"/>
  <c r="R1268" i="8"/>
  <c r="R1273" i="8"/>
  <c r="R1271" i="8"/>
  <c r="R1274" i="8"/>
  <c r="R1263" i="8"/>
  <c r="R1267" i="8"/>
  <c r="R1262" i="8"/>
  <c r="R1286" i="8"/>
  <c r="U876" i="8"/>
  <c r="S876" i="8"/>
  <c r="M603" i="8"/>
  <c r="N603" i="8" s="1"/>
  <c r="M2583" i="8"/>
  <c r="N2583" i="8" s="1"/>
  <c r="M2242" i="8"/>
  <c r="N2242" i="8" s="1"/>
  <c r="M2952" i="8"/>
  <c r="N2952" i="8" s="1"/>
  <c r="M2283" i="8"/>
  <c r="N2283" i="8" s="1"/>
  <c r="U2792" i="8"/>
  <c r="S2792" i="8"/>
  <c r="M1485" i="8"/>
  <c r="N1485" i="8" s="1"/>
  <c r="M513" i="8"/>
  <c r="N513" i="8" s="1"/>
  <c r="K2210" i="8"/>
  <c r="L2210" i="8" s="1"/>
  <c r="K430" i="8"/>
  <c r="L430" i="8" s="1"/>
  <c r="M2650" i="8"/>
  <c r="N2650" i="8" s="1"/>
  <c r="B3199" i="8"/>
  <c r="B3200" i="8" s="1"/>
  <c r="B3201" i="8" s="1"/>
  <c r="M651" i="8"/>
  <c r="N651" i="8" s="1"/>
  <c r="K802" i="8"/>
  <c r="L802" i="8" s="1"/>
  <c r="M2723" i="8"/>
  <c r="N2723" i="8" s="1"/>
  <c r="M336" i="8"/>
  <c r="N336" i="8" s="1"/>
  <c r="M2679" i="8"/>
  <c r="N2679" i="8" s="1"/>
  <c r="M1934" i="8"/>
  <c r="N1934" i="8" s="1"/>
  <c r="M2015" i="8"/>
  <c r="N2015" i="8" s="1"/>
  <c r="M3178" i="8"/>
  <c r="N3178" i="8" s="1"/>
  <c r="M2011" i="8"/>
  <c r="N2011" i="8" s="1"/>
  <c r="K2206" i="8"/>
  <c r="L2206" i="8" s="1"/>
  <c r="M2777" i="8"/>
  <c r="N2777" i="8" s="1"/>
  <c r="M1393" i="8"/>
  <c r="N1393" i="8" s="1"/>
  <c r="M520" i="8"/>
  <c r="N520" i="8" s="1"/>
  <c r="B281" i="8"/>
  <c r="B282" i="8" s="1"/>
  <c r="B283" i="8" s="1"/>
  <c r="M3004" i="8"/>
  <c r="N3004" i="8" s="1"/>
  <c r="M1230" i="8"/>
  <c r="N1230" i="8" s="1"/>
  <c r="M559" i="8"/>
  <c r="N559" i="8" s="1"/>
  <c r="M1663" i="8"/>
  <c r="N1663" i="8" s="1"/>
  <c r="M1491" i="8"/>
  <c r="N1491" i="8" s="1"/>
  <c r="M2495" i="8"/>
  <c r="N2495" i="8" s="1"/>
  <c r="M1481" i="8"/>
  <c r="N1481" i="8" s="1"/>
  <c r="M2277" i="8"/>
  <c r="N2277" i="8" s="1"/>
  <c r="M2455" i="8"/>
  <c r="N2455" i="8" s="1"/>
  <c r="K777" i="8"/>
  <c r="L777" i="8" s="1"/>
  <c r="M2771" i="8"/>
  <c r="N2771" i="8" s="1"/>
  <c r="B853" i="8"/>
  <c r="B854" i="8" s="1"/>
  <c r="B855" i="8" s="1"/>
  <c r="M1051" i="8"/>
  <c r="N1051" i="8" s="1"/>
  <c r="M3173" i="8"/>
  <c r="N3173" i="8" s="1"/>
  <c r="M1920" i="8"/>
  <c r="N1920" i="8" s="1"/>
  <c r="K2189" i="8"/>
  <c r="L2189" i="8" s="1"/>
  <c r="M1002" i="8"/>
  <c r="N1002" i="8" s="1"/>
  <c r="M3122" i="8"/>
  <c r="N3122" i="8" s="1"/>
  <c r="S2321" i="8"/>
  <c r="U2321" i="8"/>
  <c r="B941" i="8"/>
  <c r="B942" i="8" s="1"/>
  <c r="B943" i="8" s="1"/>
  <c r="R482" i="8"/>
  <c r="R479" i="8"/>
  <c r="R469" i="8"/>
  <c r="R470" i="8"/>
  <c r="R494" i="8"/>
  <c r="R490" i="8"/>
  <c r="R475" i="8"/>
  <c r="R471" i="8"/>
  <c r="R481" i="8"/>
  <c r="R474" i="8"/>
  <c r="R476" i="8"/>
  <c r="R473" i="8"/>
  <c r="K475" i="8"/>
  <c r="L475" i="8" s="1"/>
  <c r="K469" i="8"/>
  <c r="L469" i="8" s="1"/>
  <c r="K482" i="8"/>
  <c r="L482" i="8" s="1"/>
  <c r="K1972" i="8"/>
  <c r="L1972" i="8" s="1"/>
  <c r="M3188" i="8"/>
  <c r="N3188" i="8" s="1"/>
  <c r="M1814" i="8"/>
  <c r="N1814" i="8" s="1"/>
  <c r="M2008" i="8"/>
  <c r="N2008" i="8" s="1"/>
  <c r="K2143" i="8"/>
  <c r="L2143" i="8" s="1"/>
  <c r="M2860" i="8"/>
  <c r="N2860" i="8" s="1"/>
  <c r="M2863" i="8"/>
  <c r="N2863" i="8" s="1"/>
  <c r="M1928" i="8"/>
  <c r="N1928" i="8" s="1"/>
  <c r="R2410" i="8"/>
  <c r="R2417" i="8"/>
  <c r="R2418" i="8"/>
  <c r="R2430" i="8"/>
  <c r="R2405" i="8"/>
  <c r="R2412" i="8"/>
  <c r="R2415" i="8"/>
  <c r="R2411" i="8"/>
  <c r="R2409" i="8"/>
  <c r="R2407" i="8"/>
  <c r="R2406" i="8"/>
  <c r="R2426" i="8"/>
  <c r="M578" i="8"/>
  <c r="N578" i="8" s="1"/>
  <c r="M2278" i="8"/>
  <c r="N2278" i="8" s="1"/>
  <c r="M2505" i="8"/>
  <c r="N2505" i="8" s="1"/>
  <c r="K1966" i="8"/>
  <c r="L1966" i="8" s="1"/>
  <c r="M650" i="8"/>
  <c r="N650" i="8" s="1"/>
  <c r="K2417" i="8"/>
  <c r="L2417" i="8" s="1"/>
  <c r="B2305" i="8"/>
  <c r="B2306" i="8" s="1"/>
  <c r="B2307" i="8" s="1"/>
  <c r="K1965" i="8"/>
  <c r="L1965" i="8" s="1"/>
  <c r="M867" i="8"/>
  <c r="N867" i="8" s="1"/>
  <c r="M2825" i="8"/>
  <c r="N2825" i="8" s="1"/>
  <c r="M1040" i="8"/>
  <c r="N1040" i="8" s="1"/>
  <c r="M2543" i="8"/>
  <c r="N2543" i="8" s="1"/>
  <c r="M1801" i="8"/>
  <c r="N1801" i="8" s="1"/>
  <c r="B545" i="8"/>
  <c r="B546" i="8" s="1"/>
  <c r="B547" i="8" s="1"/>
  <c r="K4" i="6"/>
  <c r="L4" i="6" s="1"/>
  <c r="M2871" i="8"/>
  <c r="N2871" i="8" s="1"/>
  <c r="M3179" i="8"/>
  <c r="N3179" i="8" s="1"/>
  <c r="M2298" i="8"/>
  <c r="N2298" i="8" s="1"/>
  <c r="K701" i="8"/>
  <c r="L701" i="8" s="1"/>
  <c r="K693" i="8"/>
  <c r="L693" i="8" s="1"/>
  <c r="K691" i="8"/>
  <c r="L691" i="8" s="1"/>
  <c r="K1268" i="8"/>
  <c r="L1268" i="8" s="1"/>
  <c r="K480" i="8"/>
  <c r="L480" i="8" s="1"/>
  <c r="B2847" i="8"/>
  <c r="B2848" i="8" s="1"/>
  <c r="B2849" i="8" s="1"/>
  <c r="B325" i="8"/>
  <c r="B326" i="8" s="1"/>
  <c r="B327" i="8" s="1"/>
  <c r="M2236" i="8"/>
  <c r="N2236" i="8" s="1"/>
  <c r="M670" i="8"/>
  <c r="N670" i="8" s="1"/>
  <c r="M2241" i="8"/>
  <c r="N2241" i="8" s="1"/>
  <c r="M3084" i="8"/>
  <c r="N3084" i="8" s="1"/>
  <c r="M2592" i="8"/>
  <c r="N2592" i="8" s="1"/>
  <c r="M890" i="8"/>
  <c r="N890" i="8" s="1"/>
  <c r="K94" i="8"/>
  <c r="L94" i="8" s="1"/>
  <c r="K468" i="8"/>
  <c r="L468" i="8" s="1"/>
  <c r="M2449" i="8"/>
  <c r="N2449" i="8" s="1"/>
  <c r="K476" i="8"/>
  <c r="L476" i="8" s="1"/>
  <c r="K1747" i="8"/>
  <c r="L1747" i="8" s="1"/>
  <c r="B2979" i="8"/>
  <c r="B2980" i="8" s="1"/>
  <c r="B2981" i="8" s="1"/>
  <c r="B3155" i="8"/>
  <c r="B3156" i="8" s="1"/>
  <c r="B3157" i="8" s="1"/>
  <c r="M645" i="8"/>
  <c r="N645" i="8" s="1"/>
  <c r="M1486" i="8"/>
  <c r="N1486" i="8" s="1"/>
  <c r="R1525" i="8"/>
  <c r="R1530" i="8"/>
  <c r="R1546" i="8"/>
  <c r="R1550" i="8"/>
  <c r="R1532" i="8"/>
  <c r="R1537" i="8"/>
  <c r="R1535" i="8"/>
  <c r="R1527" i="8"/>
  <c r="R1529" i="8"/>
  <c r="R1538" i="8"/>
  <c r="R1526" i="8"/>
  <c r="R1531" i="8"/>
  <c r="K1524" i="8"/>
  <c r="L1524" i="8" s="1"/>
  <c r="K1531" i="8"/>
  <c r="L1531" i="8" s="1"/>
  <c r="S1307" i="8"/>
  <c r="U1307" i="8"/>
  <c r="S997" i="8"/>
  <c r="U997" i="8"/>
  <c r="K2098" i="8"/>
  <c r="L2098" i="8" s="1"/>
  <c r="U2323" i="8"/>
  <c r="S2323" i="8"/>
  <c r="S2957" i="8"/>
  <c r="U2957" i="8"/>
  <c r="M1800" i="8"/>
  <c r="N1800" i="8" s="1"/>
  <c r="M1053" i="8"/>
  <c r="N1053" i="8" s="1"/>
  <c r="K16" i="6"/>
  <c r="L16" i="6" s="1"/>
  <c r="K2166" i="8"/>
  <c r="L2166" i="8" s="1"/>
  <c r="K172" i="8"/>
  <c r="L172" i="8" s="1"/>
  <c r="K2416" i="8"/>
  <c r="L2416" i="8" s="1"/>
  <c r="U251" i="8"/>
  <c r="S251" i="8"/>
  <c r="K2142" i="8"/>
  <c r="L2142" i="8" s="1"/>
  <c r="K688" i="8"/>
  <c r="L688" i="8" s="1"/>
  <c r="K740" i="8"/>
  <c r="L740" i="8" s="1"/>
  <c r="K1443" i="8"/>
  <c r="L1443" i="8" s="1"/>
  <c r="K1173" i="8"/>
  <c r="L1173" i="8" s="1"/>
  <c r="M1310" i="8"/>
  <c r="N1310" i="8" s="1"/>
  <c r="M1802" i="8"/>
  <c r="N1802" i="8" s="1"/>
  <c r="K1525" i="8"/>
  <c r="L1525" i="8" s="1"/>
  <c r="K204" i="8"/>
  <c r="L204" i="8" s="1"/>
  <c r="M2506" i="8"/>
  <c r="N2506" i="8" s="1"/>
  <c r="M2588" i="8"/>
  <c r="N2588" i="8" s="1"/>
  <c r="K73" i="8"/>
  <c r="L73" i="8" s="1"/>
  <c r="M2673" i="8"/>
  <c r="N2673" i="8" s="1"/>
  <c r="M1315" i="8"/>
  <c r="N1315" i="8" s="1"/>
  <c r="K787" i="8"/>
  <c r="L787" i="8" s="1"/>
  <c r="M567" i="8"/>
  <c r="N567" i="8" s="1"/>
  <c r="M1217" i="8"/>
  <c r="N1217" i="8" s="1"/>
  <c r="K699" i="8"/>
  <c r="L699" i="8" s="1"/>
  <c r="M2671" i="8"/>
  <c r="N2671" i="8" s="1"/>
  <c r="M347" i="8"/>
  <c r="N347" i="8" s="1"/>
  <c r="K2140" i="8"/>
  <c r="L2140" i="8" s="1"/>
  <c r="M2474" i="8"/>
  <c r="N2474" i="8" s="1"/>
  <c r="M1669" i="8"/>
  <c r="N1669" i="8" s="1"/>
  <c r="M3104" i="8"/>
  <c r="N3104" i="8" s="1"/>
  <c r="M831" i="8"/>
  <c r="N831" i="8" s="1"/>
  <c r="M1667" i="8"/>
  <c r="N1667" i="8" s="1"/>
  <c r="B677" i="8"/>
  <c r="B678" i="8" s="1"/>
  <c r="B679" i="8" s="1"/>
  <c r="S2275" i="8"/>
  <c r="U2275" i="8"/>
  <c r="M930" i="8"/>
  <c r="N930" i="8" s="1"/>
  <c r="M2451" i="8"/>
  <c r="N2451" i="8" s="1"/>
  <c r="M2840" i="8"/>
  <c r="N2840" i="8" s="1"/>
  <c r="M1136" i="8"/>
  <c r="N1136" i="8" s="1"/>
  <c r="M262" i="8"/>
  <c r="N262" i="8" s="1"/>
  <c r="M294" i="8"/>
  <c r="N294" i="8" s="1"/>
  <c r="M1722" i="8"/>
  <c r="N1722" i="8" s="1"/>
  <c r="M3001" i="8"/>
  <c r="N3001" i="8" s="1"/>
  <c r="M1707" i="8"/>
  <c r="N1707" i="8" s="1"/>
  <c r="K2184" i="8"/>
  <c r="L2184" i="8" s="1"/>
  <c r="M3180" i="8"/>
  <c r="N3180" i="8" s="1"/>
  <c r="K1266" i="8"/>
  <c r="L1266" i="8" s="1"/>
  <c r="M1219" i="8"/>
  <c r="N1219" i="8" s="1"/>
  <c r="M1488" i="8"/>
  <c r="N1488" i="8" s="1"/>
  <c r="K1568" i="8"/>
  <c r="L1568" i="8" s="1"/>
  <c r="M305" i="8"/>
  <c r="N305" i="8" s="1"/>
  <c r="K79" i="8"/>
  <c r="L79" i="8" s="1"/>
  <c r="M2492" i="8"/>
  <c r="N2492" i="8" s="1"/>
  <c r="M2539" i="8"/>
  <c r="N2539" i="8" s="1"/>
  <c r="M383" i="8"/>
  <c r="N383" i="8" s="1"/>
  <c r="M338" i="8"/>
  <c r="N338" i="8" s="1"/>
  <c r="M1216" i="8"/>
  <c r="N1216" i="8" s="1"/>
  <c r="M1882" i="8"/>
  <c r="N1882" i="8" s="1"/>
  <c r="K2196" i="8"/>
  <c r="L2196" i="8" s="1"/>
  <c r="M2060" i="8"/>
  <c r="N2060" i="8" s="1"/>
  <c r="M2773" i="8"/>
  <c r="N2773" i="8" s="1"/>
  <c r="M259" i="8"/>
  <c r="N259" i="8" s="1"/>
  <c r="K24" i="6"/>
  <c r="L24" i="6" s="1"/>
  <c r="M2459" i="8"/>
  <c r="N2459" i="8" s="1"/>
  <c r="R1705" i="8"/>
  <c r="R1701" i="8"/>
  <c r="R1707" i="8"/>
  <c r="R1713" i="8"/>
  <c r="R1714" i="8"/>
  <c r="R1722" i="8"/>
  <c r="R1711" i="8"/>
  <c r="R1726" i="8"/>
  <c r="R1703" i="8"/>
  <c r="R1706" i="8"/>
  <c r="R1708" i="8"/>
  <c r="R1702" i="8"/>
  <c r="K1700" i="8"/>
  <c r="L1700" i="8" s="1"/>
  <c r="M524" i="8"/>
  <c r="N524" i="8" s="1"/>
  <c r="K1702" i="8"/>
  <c r="L1702" i="8" s="1"/>
  <c r="M534" i="8"/>
  <c r="N534" i="8" s="1"/>
  <c r="K3042" i="8"/>
  <c r="L3042" i="8" s="1"/>
  <c r="M689" i="8"/>
  <c r="N689" i="8" s="1"/>
  <c r="K782" i="8"/>
  <c r="L782" i="8" s="1"/>
  <c r="R1098" i="8"/>
  <c r="R1089" i="8"/>
  <c r="R1085" i="8"/>
  <c r="R1087" i="8"/>
  <c r="R1110" i="8"/>
  <c r="R1106" i="8"/>
  <c r="R1090" i="8"/>
  <c r="R1097" i="8"/>
  <c r="R1095" i="8"/>
  <c r="R1092" i="8"/>
  <c r="R1086" i="8"/>
  <c r="R1091" i="8"/>
  <c r="K1097" i="8"/>
  <c r="L1097" i="8" s="1"/>
  <c r="K1084" i="8"/>
  <c r="L1084" i="8" s="1"/>
  <c r="K1087" i="8"/>
  <c r="L1087" i="8" s="1"/>
  <c r="K1089" i="8"/>
  <c r="L1089" i="8" s="1"/>
  <c r="K1095" i="8"/>
  <c r="L1095" i="8" s="1"/>
  <c r="M1042" i="8"/>
  <c r="N1042" i="8" s="1"/>
  <c r="M2997" i="8"/>
  <c r="N2997" i="8" s="1"/>
  <c r="K80" i="8"/>
  <c r="L80" i="8" s="1"/>
  <c r="M526" i="8"/>
  <c r="N526" i="8" s="1"/>
  <c r="M834" i="8"/>
  <c r="N834" i="8" s="1"/>
  <c r="M2324" i="8"/>
  <c r="N2324" i="8" s="1"/>
  <c r="U909" i="8"/>
  <c r="S909" i="8"/>
  <c r="M1010" i="8"/>
  <c r="N1010" i="8" s="1"/>
  <c r="R2374" i="8"/>
  <c r="R2382" i="8"/>
  <c r="R2371" i="8"/>
  <c r="R2386" i="8"/>
  <c r="R2368" i="8"/>
  <c r="R2361" i="8"/>
  <c r="R2362" i="8"/>
  <c r="R2363" i="8"/>
  <c r="R2367" i="8"/>
  <c r="R2373" i="8"/>
  <c r="R2365" i="8"/>
  <c r="R2366" i="8"/>
  <c r="K1262" i="8"/>
  <c r="L1262" i="8" s="1"/>
  <c r="M666" i="8"/>
  <c r="N666" i="8" s="1"/>
  <c r="K1351" i="8"/>
  <c r="L1351" i="8" s="1"/>
  <c r="M518" i="8"/>
  <c r="N518" i="8" s="1"/>
  <c r="M1222" i="8"/>
  <c r="N1222" i="8" s="1"/>
  <c r="K1355" i="8"/>
  <c r="L1355" i="8" s="1"/>
  <c r="M2778" i="8"/>
  <c r="N2778" i="8" s="1"/>
  <c r="K798" i="8"/>
  <c r="L798" i="8" s="1"/>
  <c r="M1898" i="8"/>
  <c r="N1898" i="8" s="1"/>
  <c r="M2675" i="8"/>
  <c r="N2675" i="8" s="1"/>
  <c r="M1003" i="8"/>
  <c r="N1003" i="8" s="1"/>
  <c r="M2063" i="8"/>
  <c r="N2063" i="8" s="1"/>
  <c r="M1536" i="8"/>
  <c r="N1536" i="8" s="1"/>
  <c r="M358" i="8"/>
  <c r="N358" i="8" s="1"/>
  <c r="M1838" i="8"/>
  <c r="N1838" i="8" s="1"/>
  <c r="M3168" i="8"/>
  <c r="N3168" i="8" s="1"/>
  <c r="M1664" i="8"/>
  <c r="N1664" i="8" s="1"/>
  <c r="R383" i="8"/>
  <c r="R402" i="8"/>
  <c r="R381" i="8"/>
  <c r="R406" i="8"/>
  <c r="R393" i="8"/>
  <c r="R386" i="8"/>
  <c r="R382" i="8"/>
  <c r="R385" i="8"/>
  <c r="R387" i="8"/>
  <c r="R394" i="8"/>
  <c r="R388" i="8"/>
  <c r="R391" i="8"/>
  <c r="K394" i="8"/>
  <c r="L394" i="8" s="1"/>
  <c r="K380" i="8"/>
  <c r="L380" i="8" s="1"/>
  <c r="M2057" i="8"/>
  <c r="N2057" i="8" s="1"/>
  <c r="B2613" i="8"/>
  <c r="B2614" i="8" s="1"/>
  <c r="B2615" i="8" s="1"/>
  <c r="M1180" i="8"/>
  <c r="N1180" i="8" s="1"/>
  <c r="K2406" i="8"/>
  <c r="L2406" i="8" s="1"/>
  <c r="K1579" i="8"/>
  <c r="L1579" i="8" s="1"/>
  <c r="M1926" i="8"/>
  <c r="N1926" i="8" s="1"/>
  <c r="K2407" i="8"/>
  <c r="L2407" i="8" s="1"/>
  <c r="M2058" i="8"/>
  <c r="N2058" i="8" s="1"/>
  <c r="K72" i="8"/>
  <c r="L72" i="8" s="1"/>
  <c r="M2674" i="8"/>
  <c r="N2674" i="8" s="1"/>
  <c r="M2059" i="8"/>
  <c r="N2059" i="8" s="1"/>
  <c r="M1662" i="8"/>
  <c r="N1662" i="8" s="1"/>
  <c r="B589" i="8"/>
  <c r="B590" i="8" s="1"/>
  <c r="B591" i="8" s="1"/>
  <c r="K1976" i="8"/>
  <c r="L1976" i="8" s="1"/>
  <c r="K75" i="8"/>
  <c r="L75" i="8" s="1"/>
  <c r="K2162" i="8"/>
  <c r="L2162" i="8" s="1"/>
  <c r="K1757" i="8"/>
  <c r="L1757" i="8" s="1"/>
  <c r="M1480" i="8"/>
  <c r="N1480" i="8" s="1"/>
  <c r="M2330" i="8"/>
  <c r="N2330" i="8" s="1"/>
  <c r="M295" i="8"/>
  <c r="N295" i="8" s="1"/>
  <c r="M1682" i="8"/>
  <c r="N1682" i="8" s="1"/>
  <c r="B1909" i="8"/>
  <c r="B1910" i="8" s="1"/>
  <c r="B1911" i="8" s="1"/>
  <c r="M2775" i="8"/>
  <c r="N2775" i="8" s="1"/>
  <c r="K781" i="8"/>
  <c r="L781" i="8" s="1"/>
  <c r="K1403" i="8"/>
  <c r="L1403" i="8" s="1"/>
  <c r="K2715" i="8"/>
  <c r="L2715" i="8" s="1"/>
  <c r="K2415" i="8"/>
  <c r="L2415" i="8" s="1"/>
  <c r="K1106" i="8"/>
  <c r="L1106" i="8" s="1"/>
  <c r="K3046" i="8"/>
  <c r="L3046" i="8" s="1"/>
  <c r="M1656" i="8"/>
  <c r="N1656" i="8" s="1"/>
  <c r="B1029" i="8"/>
  <c r="B1030" i="8" s="1"/>
  <c r="B1031" i="8" s="1"/>
  <c r="B1689" i="8"/>
  <c r="B1690" i="8" s="1"/>
  <c r="B1691" i="8" s="1"/>
  <c r="M2861" i="8"/>
  <c r="N2861" i="8" s="1"/>
  <c r="B1865" i="8"/>
  <c r="B1866" i="8" s="1"/>
  <c r="B1867" i="8" s="1"/>
  <c r="M2054" i="8"/>
  <c r="N2054" i="8" s="1"/>
  <c r="M866" i="8"/>
  <c r="N866" i="8" s="1"/>
  <c r="K2097" i="8"/>
  <c r="L2097" i="8" s="1"/>
  <c r="M646" i="8"/>
  <c r="N646" i="8" s="1"/>
  <c r="K2714" i="8"/>
  <c r="L2714" i="8" s="1"/>
  <c r="K694" i="8"/>
  <c r="L694" i="8" s="1"/>
  <c r="M1018" i="8"/>
  <c r="N1018" i="8" s="1"/>
  <c r="M3085" i="8"/>
  <c r="N3085" i="8" s="1"/>
  <c r="M2914" i="8"/>
  <c r="N2914" i="8" s="1"/>
  <c r="K161" i="8"/>
  <c r="L161" i="8" s="1"/>
  <c r="M2327" i="8"/>
  <c r="N2327" i="8" s="1"/>
  <c r="K393" i="8"/>
  <c r="L393" i="8" s="1"/>
  <c r="M2960" i="8"/>
  <c r="N2960" i="8" s="1"/>
  <c r="K1282" i="8"/>
  <c r="L1282" i="8" s="1"/>
  <c r="K1185" i="8"/>
  <c r="L1185" i="8" s="1"/>
  <c r="M2550" i="8"/>
  <c r="N2550" i="8" s="1"/>
  <c r="K28" i="6"/>
  <c r="L28" i="6" s="1"/>
  <c r="B152" i="8"/>
  <c r="K473" i="8"/>
  <c r="L473" i="8" s="1"/>
  <c r="K963" i="8"/>
  <c r="L963" i="8" s="1"/>
  <c r="K1134" i="8"/>
  <c r="L1134" i="8" s="1"/>
  <c r="K216" i="8"/>
  <c r="L216" i="8" s="1"/>
  <c r="M2318" i="8"/>
  <c r="N2318" i="8" s="1"/>
  <c r="M1799" i="8"/>
  <c r="N1799" i="8" s="1"/>
  <c r="M827" i="8"/>
  <c r="N827" i="8" s="1"/>
  <c r="K210" i="8"/>
  <c r="L210" i="8" s="1"/>
  <c r="M561" i="8"/>
  <c r="N561" i="8" s="1"/>
  <c r="M2631" i="8"/>
  <c r="N2631" i="8" s="1"/>
  <c r="M3125" i="8"/>
  <c r="N3125" i="8" s="1"/>
  <c r="K471" i="8"/>
  <c r="L471" i="8" s="1"/>
  <c r="K1096" i="8"/>
  <c r="L1096" i="8" s="1"/>
  <c r="K77" i="8"/>
  <c r="L77" i="8" s="1"/>
  <c r="K3041" i="8"/>
  <c r="L3041" i="8" s="1"/>
  <c r="M2948" i="8"/>
  <c r="N2948" i="8" s="1"/>
  <c r="K1348" i="8"/>
  <c r="L1348" i="8" s="1"/>
  <c r="K435" i="8"/>
  <c r="L435" i="8" s="1"/>
  <c r="M2009" i="8"/>
  <c r="N2009" i="8" s="1"/>
  <c r="M2991" i="8"/>
  <c r="N2991" i="8" s="1"/>
  <c r="K1178" i="8"/>
  <c r="L1178" i="8" s="1"/>
  <c r="M569" i="8"/>
  <c r="N569" i="8" s="1"/>
  <c r="K974" i="8"/>
  <c r="L974" i="8" s="1"/>
  <c r="M3079" i="8"/>
  <c r="N3079" i="8" s="1"/>
  <c r="M2776" i="8"/>
  <c r="N2776" i="8" s="1"/>
  <c r="K1175" i="8"/>
  <c r="L1175" i="8" s="1"/>
  <c r="M2279" i="8"/>
  <c r="N2279" i="8" s="1"/>
  <c r="M2905" i="8"/>
  <c r="N2905" i="8" s="1"/>
  <c r="M1933" i="8"/>
  <c r="N1933" i="8" s="1"/>
  <c r="M2992" i="8"/>
  <c r="N2992" i="8" s="1"/>
  <c r="K1550" i="8"/>
  <c r="L1550" i="8" s="1"/>
  <c r="K1263" i="8"/>
  <c r="L1263" i="8" s="1"/>
  <c r="K481" i="8"/>
  <c r="L481" i="8" s="1"/>
  <c r="M2518" i="8"/>
  <c r="N2518" i="8" s="1"/>
  <c r="M562" i="8"/>
  <c r="N562" i="8" s="1"/>
  <c r="M2319" i="8"/>
  <c r="N2319" i="8" s="1"/>
  <c r="M871" i="8"/>
  <c r="N871" i="8" s="1"/>
  <c r="K1186" i="8"/>
  <c r="L1186" i="8" s="1"/>
  <c r="M1045" i="8"/>
  <c r="N1045" i="8" s="1"/>
  <c r="K1726" i="8"/>
  <c r="L1726" i="8" s="1"/>
  <c r="M919" i="8"/>
  <c r="N919" i="8" s="1"/>
  <c r="M2231" i="8"/>
  <c r="N2231" i="8" s="1"/>
  <c r="R710" i="8"/>
  <c r="R714" i="8"/>
  <c r="R696" i="8"/>
  <c r="R691" i="8"/>
  <c r="R701" i="8"/>
  <c r="R690" i="8"/>
  <c r="R693" i="8"/>
  <c r="R689" i="8"/>
  <c r="R699" i="8"/>
  <c r="R695" i="8"/>
  <c r="R694" i="8"/>
  <c r="R702" i="8"/>
  <c r="K3040" i="8"/>
  <c r="L3040" i="8" s="1"/>
  <c r="K1590" i="8"/>
  <c r="L1590" i="8" s="1"/>
  <c r="S921" i="8" l="1"/>
  <c r="S2827" i="8"/>
  <c r="O2585" i="8"/>
  <c r="O1487" i="8"/>
  <c r="B193" i="8"/>
  <c r="B194" i="8" s="1"/>
  <c r="B195" i="8" s="1"/>
  <c r="U2052" i="8"/>
  <c r="O2954" i="8"/>
  <c r="O2329" i="8"/>
  <c r="O2869" i="8"/>
  <c r="S820" i="8"/>
  <c r="U2020" i="8"/>
  <c r="O2020" i="8" s="1"/>
  <c r="O2865" i="8"/>
  <c r="O2682" i="8"/>
  <c r="O2454" i="8"/>
  <c r="O1845" i="8"/>
  <c r="O251" i="8"/>
  <c r="U2053" i="8"/>
  <c r="O2053" i="8" s="1"/>
  <c r="N1129" i="8"/>
  <c r="U1129" i="8" s="1"/>
  <c r="O2234" i="8"/>
  <c r="M1758" i="8"/>
  <c r="N1758" i="8" s="1"/>
  <c r="U2587" i="8"/>
  <c r="O2587" i="8" s="1"/>
  <c r="N1130" i="8"/>
  <c r="S1130" i="8" s="1"/>
  <c r="N15" i="6"/>
  <c r="S15" i="6" s="1"/>
  <c r="O909" i="8"/>
  <c r="O2323" i="8"/>
  <c r="O2461" i="8"/>
  <c r="B633" i="8"/>
  <c r="B634" i="8" s="1"/>
  <c r="B635" i="8" s="1"/>
  <c r="S612" i="8" s="1"/>
  <c r="O253" i="8"/>
  <c r="O876" i="8"/>
  <c r="O870" i="8"/>
  <c r="O1493" i="8"/>
  <c r="U820" i="8"/>
  <c r="O820" i="8" s="1"/>
  <c r="U864" i="8"/>
  <c r="N2430" i="8"/>
  <c r="S864" i="8"/>
  <c r="O2581" i="8"/>
  <c r="N362" i="8"/>
  <c r="O1840" i="8"/>
  <c r="U2280" i="8"/>
  <c r="S2280" i="8"/>
  <c r="O2280" i="8" s="1"/>
  <c r="U1800" i="8"/>
  <c r="S1800" i="8"/>
  <c r="S2286" i="8"/>
  <c r="U2286" i="8"/>
  <c r="S2030" i="8"/>
  <c r="O2030" i="8" s="1"/>
  <c r="O250" i="8"/>
  <c r="N14" i="6"/>
  <c r="S14" i="6" s="1"/>
  <c r="O2016" i="8"/>
  <c r="N714" i="8"/>
  <c r="O525" i="8"/>
  <c r="O2827" i="8"/>
  <c r="O3169" i="8"/>
  <c r="O911" i="8"/>
  <c r="O2817" i="8"/>
  <c r="M1438" i="8"/>
  <c r="N1438" i="8" s="1"/>
  <c r="U1438" i="8" s="1"/>
  <c r="M710" i="8"/>
  <c r="N710" i="8" s="1"/>
  <c r="U2538" i="8"/>
  <c r="O2538" i="8" s="1"/>
  <c r="O3136" i="8"/>
  <c r="O1879" i="8"/>
  <c r="N732" i="8"/>
  <c r="M600" i="8"/>
  <c r="N600" i="8" s="1"/>
  <c r="O3135" i="8"/>
  <c r="M2410" i="8"/>
  <c r="N2410" i="8" s="1"/>
  <c r="N1414" i="8"/>
  <c r="S1414" i="8" s="1"/>
  <c r="M955" i="8"/>
  <c r="N955" i="8" s="1"/>
  <c r="O2456" i="8"/>
  <c r="O869" i="8"/>
  <c r="O2903" i="8"/>
  <c r="O2537" i="8"/>
  <c r="U3078" i="8"/>
  <c r="S3078" i="8"/>
  <c r="U1670" i="8"/>
  <c r="S1670" i="8"/>
  <c r="S2019" i="8"/>
  <c r="U2019" i="8"/>
  <c r="U3123" i="8"/>
  <c r="S3123" i="8"/>
  <c r="U831" i="8"/>
  <c r="S831" i="8"/>
  <c r="U1442" i="8"/>
  <c r="S1442" i="8"/>
  <c r="U2836" i="8"/>
  <c r="S2836" i="8"/>
  <c r="S1142" i="8"/>
  <c r="U1142" i="8"/>
  <c r="S2492" i="8"/>
  <c r="U2492" i="8"/>
  <c r="U1223" i="8"/>
  <c r="S1223" i="8"/>
  <c r="U1009" i="8"/>
  <c r="S1009" i="8"/>
  <c r="S1004" i="8"/>
  <c r="U1004" i="8"/>
  <c r="U1746" i="8"/>
  <c r="S1746" i="8"/>
  <c r="U1177" i="8"/>
  <c r="S1177" i="8"/>
  <c r="U2674" i="8"/>
  <c r="S2674" i="8"/>
  <c r="U658" i="8"/>
  <c r="S658" i="8"/>
  <c r="S1669" i="8"/>
  <c r="U1669" i="8"/>
  <c r="U2583" i="8"/>
  <c r="S2583" i="8"/>
  <c r="S350" i="8"/>
  <c r="U350" i="8"/>
  <c r="U2902" i="8"/>
  <c r="S2902" i="8"/>
  <c r="S1887" i="8"/>
  <c r="U1887" i="8"/>
  <c r="U996" i="8"/>
  <c r="S996" i="8"/>
  <c r="U2959" i="8"/>
  <c r="S2959" i="8"/>
  <c r="U1394" i="8"/>
  <c r="S1394" i="8"/>
  <c r="U603" i="8"/>
  <c r="S603" i="8"/>
  <c r="U2549" i="8"/>
  <c r="S2549" i="8"/>
  <c r="U2594" i="8"/>
  <c r="S2594" i="8"/>
  <c r="S2506" i="8"/>
  <c r="U2506" i="8"/>
  <c r="S2952" i="8"/>
  <c r="U2952" i="8"/>
  <c r="U1833" i="8"/>
  <c r="S1833" i="8"/>
  <c r="S1713" i="8"/>
  <c r="U1713" i="8"/>
  <c r="S1174" i="8"/>
  <c r="U1174" i="8"/>
  <c r="S650" i="8"/>
  <c r="U650" i="8"/>
  <c r="U2493" i="8"/>
  <c r="S2493" i="8"/>
  <c r="U1311" i="8"/>
  <c r="S1311" i="8"/>
  <c r="S1810" i="8"/>
  <c r="U1810" i="8"/>
  <c r="U2992" i="8"/>
  <c r="S2992" i="8"/>
  <c r="U958" i="8"/>
  <c r="S958" i="8"/>
  <c r="U1054" i="8"/>
  <c r="S1054" i="8"/>
  <c r="S2822" i="8"/>
  <c r="U2822" i="8"/>
  <c r="U559" i="8"/>
  <c r="S559" i="8"/>
  <c r="U1837" i="8"/>
  <c r="S1837" i="8"/>
  <c r="U2916" i="8"/>
  <c r="S2916" i="8"/>
  <c r="U2993" i="8"/>
  <c r="S2993" i="8"/>
  <c r="U2109" i="8"/>
  <c r="S2109" i="8"/>
  <c r="S388" i="8"/>
  <c r="U388" i="8"/>
  <c r="U3129" i="8"/>
  <c r="S3129" i="8"/>
  <c r="U248" i="8"/>
  <c r="S248" i="8"/>
  <c r="S2361" i="8"/>
  <c r="U2361" i="8"/>
  <c r="S1053" i="8"/>
  <c r="U1053" i="8"/>
  <c r="U2629" i="8"/>
  <c r="S2629" i="8"/>
  <c r="U1001" i="8"/>
  <c r="S1001" i="8"/>
  <c r="U349" i="8"/>
  <c r="S349" i="8"/>
  <c r="S3124" i="8"/>
  <c r="U3124" i="8"/>
  <c r="U86" i="8"/>
  <c r="S86" i="8"/>
  <c r="U305" i="8"/>
  <c r="S305" i="8"/>
  <c r="U2242" i="8"/>
  <c r="S2242" i="8"/>
  <c r="S2500" i="8"/>
  <c r="U2500" i="8"/>
  <c r="U3012" i="8"/>
  <c r="S3012" i="8"/>
  <c r="U2591" i="8"/>
  <c r="S2591" i="8"/>
  <c r="U878" i="8"/>
  <c r="S878" i="8"/>
  <c r="S1092" i="8"/>
  <c r="U1092" i="8"/>
  <c r="S1703" i="8"/>
  <c r="U1703" i="8"/>
  <c r="S2778" i="8"/>
  <c r="U2778" i="8"/>
  <c r="U2905" i="8"/>
  <c r="S2905" i="8"/>
  <c r="U1010" i="8"/>
  <c r="S1010" i="8"/>
  <c r="U1928" i="8"/>
  <c r="S1928" i="8"/>
  <c r="U1794" i="8"/>
  <c r="S1794" i="8"/>
  <c r="S1889" i="8"/>
  <c r="U1889" i="8"/>
  <c r="U1795" i="8"/>
  <c r="S1795" i="8"/>
  <c r="U1877" i="8"/>
  <c r="S1877" i="8"/>
  <c r="U3133" i="8"/>
  <c r="S3133" i="8"/>
  <c r="S1007" i="8"/>
  <c r="U1007" i="8"/>
  <c r="U821" i="8"/>
  <c r="S821" i="8"/>
  <c r="U783" i="8"/>
  <c r="S783" i="8"/>
  <c r="S1926" i="8"/>
  <c r="U1926" i="8"/>
  <c r="U347" i="8"/>
  <c r="S347" i="8"/>
  <c r="U602" i="8"/>
  <c r="S602" i="8"/>
  <c r="U1437" i="8"/>
  <c r="S1437" i="8"/>
  <c r="S954" i="8"/>
  <c r="U954" i="8"/>
  <c r="S173" i="8"/>
  <c r="U173" i="8"/>
  <c r="U3004" i="8"/>
  <c r="S3004" i="8"/>
  <c r="U1884" i="8"/>
  <c r="S1884" i="8"/>
  <c r="S3166" i="8"/>
  <c r="U3166" i="8"/>
  <c r="S2231" i="8"/>
  <c r="U2231" i="8"/>
  <c r="S2278" i="8"/>
  <c r="U2278" i="8"/>
  <c r="U2066" i="8"/>
  <c r="S2066" i="8"/>
  <c r="S622" i="8"/>
  <c r="U622" i="8"/>
  <c r="S515" i="8"/>
  <c r="U515" i="8"/>
  <c r="S1480" i="8"/>
  <c r="U1480" i="8"/>
  <c r="S2451" i="8"/>
  <c r="U2451" i="8"/>
  <c r="U2670" i="8"/>
  <c r="S2670" i="8"/>
  <c r="S2285" i="8"/>
  <c r="U2285" i="8"/>
  <c r="S960" i="8"/>
  <c r="U960" i="8"/>
  <c r="U1927" i="8"/>
  <c r="S1927" i="8"/>
  <c r="U2548" i="8"/>
  <c r="S2548" i="8"/>
  <c r="S387" i="8"/>
  <c r="U387" i="8"/>
  <c r="U930" i="8"/>
  <c r="S930" i="8"/>
  <c r="S558" i="8"/>
  <c r="U558" i="8"/>
  <c r="S2953" i="8"/>
  <c r="U2953" i="8"/>
  <c r="S1238" i="8"/>
  <c r="U1238" i="8"/>
  <c r="S2681" i="8"/>
  <c r="U2681" i="8"/>
  <c r="U3174" i="8"/>
  <c r="S3174" i="8"/>
  <c r="U561" i="8"/>
  <c r="S561" i="8"/>
  <c r="U2327" i="8"/>
  <c r="S2327" i="8"/>
  <c r="U1838" i="8"/>
  <c r="S1838" i="8"/>
  <c r="S2060" i="8"/>
  <c r="U2060" i="8"/>
  <c r="U745" i="8"/>
  <c r="S745" i="8"/>
  <c r="S520" i="8"/>
  <c r="U520" i="8"/>
  <c r="S3048" i="8"/>
  <c r="U3048" i="8"/>
  <c r="U2294" i="8"/>
  <c r="S2294" i="8"/>
  <c r="S270" i="8"/>
  <c r="U270" i="8"/>
  <c r="S1133" i="8"/>
  <c r="U1133" i="8"/>
  <c r="U649" i="8"/>
  <c r="S649" i="8"/>
  <c r="S2233" i="8"/>
  <c r="U2233" i="8"/>
  <c r="U3180" i="8"/>
  <c r="S3180" i="8"/>
  <c r="S1405" i="8"/>
  <c r="U1405" i="8"/>
  <c r="U337" i="8"/>
  <c r="S337" i="8"/>
  <c r="S1047" i="8"/>
  <c r="U1047" i="8"/>
  <c r="S300" i="8"/>
  <c r="U300" i="8"/>
  <c r="S2998" i="8"/>
  <c r="U2998" i="8"/>
  <c r="U1656" i="8"/>
  <c r="S1656" i="8"/>
  <c r="U1882" i="8"/>
  <c r="S1882" i="8"/>
  <c r="S2277" i="8"/>
  <c r="U2277" i="8"/>
  <c r="U2913" i="8"/>
  <c r="S2913" i="8"/>
  <c r="S2191" i="8"/>
  <c r="U2191" i="8"/>
  <c r="S871" i="8"/>
  <c r="U871" i="8"/>
  <c r="U569" i="8"/>
  <c r="S569" i="8"/>
  <c r="U1799" i="8"/>
  <c r="S1799" i="8"/>
  <c r="S3085" i="8"/>
  <c r="U3085" i="8"/>
  <c r="U526" i="8"/>
  <c r="S526" i="8"/>
  <c r="U1216" i="8"/>
  <c r="S1216" i="8"/>
  <c r="S343" i="8"/>
  <c r="U343" i="8"/>
  <c r="S2825" i="8"/>
  <c r="U2825" i="8"/>
  <c r="S1485" i="8"/>
  <c r="U1485" i="8"/>
  <c r="U2638" i="8"/>
  <c r="S2638" i="8"/>
  <c r="S1227" i="8"/>
  <c r="U1227" i="8"/>
  <c r="U916" i="8"/>
  <c r="S916" i="8"/>
  <c r="S2904" i="8"/>
  <c r="U2904" i="8"/>
  <c r="S2010" i="8"/>
  <c r="U2010" i="8"/>
  <c r="U2770" i="8"/>
  <c r="S2770" i="8"/>
  <c r="U1969" i="8"/>
  <c r="S1969" i="8"/>
  <c r="U702" i="8"/>
  <c r="S702" i="8"/>
  <c r="U2239" i="8"/>
  <c r="S2239" i="8"/>
  <c r="U514" i="8"/>
  <c r="S514" i="8"/>
  <c r="U165" i="8"/>
  <c r="S165" i="8"/>
  <c r="U1046" i="8"/>
  <c r="S1046" i="8"/>
  <c r="S429" i="8"/>
  <c r="U429" i="8"/>
  <c r="U518" i="8"/>
  <c r="S518" i="8"/>
  <c r="U1310" i="8"/>
  <c r="S1310" i="8"/>
  <c r="S2863" i="8"/>
  <c r="U2863" i="8"/>
  <c r="S2462" i="8"/>
  <c r="U2462" i="8"/>
  <c r="U647" i="8"/>
  <c r="S647" i="8"/>
  <c r="U690" i="8"/>
  <c r="S690" i="8"/>
  <c r="U1922" i="8"/>
  <c r="S1922" i="8"/>
  <c r="S2671" i="8"/>
  <c r="U2671" i="8"/>
  <c r="S163" i="8"/>
  <c r="U163" i="8"/>
  <c r="S2250" i="8"/>
  <c r="U2250" i="8"/>
  <c r="S910" i="8"/>
  <c r="U910" i="8"/>
  <c r="S822" i="8"/>
  <c r="U822" i="8"/>
  <c r="U2910" i="8"/>
  <c r="S2910" i="8"/>
  <c r="U217" i="8"/>
  <c r="S217" i="8"/>
  <c r="S1835" i="8"/>
  <c r="U1835" i="8"/>
  <c r="U919" i="8"/>
  <c r="S919" i="8"/>
  <c r="S1180" i="8"/>
  <c r="U1180" i="8"/>
  <c r="S2773" i="8"/>
  <c r="U2773" i="8"/>
  <c r="U1486" i="8"/>
  <c r="S1486" i="8"/>
  <c r="U578" i="8"/>
  <c r="S578" i="8"/>
  <c r="U2990" i="8"/>
  <c r="S2990" i="8"/>
  <c r="U342" i="8"/>
  <c r="S342" i="8"/>
  <c r="S2821" i="8"/>
  <c r="U2821" i="8"/>
  <c r="U2022" i="8"/>
  <c r="S2022" i="8"/>
  <c r="U2365" i="8"/>
  <c r="S2365" i="8"/>
  <c r="U1881" i="8"/>
  <c r="S1881" i="8"/>
  <c r="U2324" i="8"/>
  <c r="S2324" i="8"/>
  <c r="U645" i="8"/>
  <c r="S645" i="8"/>
  <c r="U2771" i="8"/>
  <c r="S2771" i="8"/>
  <c r="S738" i="8"/>
  <c r="U738" i="8"/>
  <c r="U1752" i="8"/>
  <c r="S1752" i="8"/>
  <c r="U1617" i="8"/>
  <c r="S1617" i="8"/>
  <c r="U382" i="8"/>
  <c r="S382" i="8"/>
  <c r="U2637" i="8"/>
  <c r="S2637" i="8"/>
  <c r="S1538" i="8"/>
  <c r="U1538" i="8"/>
  <c r="S2602" i="8"/>
  <c r="U2602" i="8"/>
  <c r="U2448" i="8"/>
  <c r="S2448" i="8"/>
  <c r="S2107" i="8"/>
  <c r="U2107" i="8"/>
  <c r="U3079" i="8"/>
  <c r="S3079" i="8"/>
  <c r="U606" i="8"/>
  <c r="S606" i="8"/>
  <c r="U2455" i="8"/>
  <c r="S2455" i="8"/>
  <c r="U2586" i="8"/>
  <c r="S2586" i="8"/>
  <c r="U3092" i="8"/>
  <c r="S3092" i="8"/>
  <c r="U1439" i="8"/>
  <c r="S1439" i="8"/>
  <c r="U607" i="8"/>
  <c r="S607" i="8"/>
  <c r="U1040" i="8"/>
  <c r="S1040" i="8"/>
  <c r="U513" i="8"/>
  <c r="S513" i="8"/>
  <c r="U339" i="8"/>
  <c r="S339" i="8"/>
  <c r="S828" i="8"/>
  <c r="U828" i="8"/>
  <c r="S3081" i="8"/>
  <c r="U3081" i="8"/>
  <c r="S1183" i="8"/>
  <c r="U1183" i="8"/>
  <c r="U2319" i="8"/>
  <c r="S2319" i="8"/>
  <c r="S1018" i="8"/>
  <c r="U1018" i="8"/>
  <c r="U2063" i="8"/>
  <c r="S2063" i="8"/>
  <c r="U206" i="8"/>
  <c r="S206" i="8"/>
  <c r="S338" i="8"/>
  <c r="U338" i="8"/>
  <c r="S2673" i="8"/>
  <c r="U2673" i="8"/>
  <c r="U2777" i="8"/>
  <c r="S2777" i="8"/>
  <c r="S1657" i="8"/>
  <c r="U1657" i="8"/>
  <c r="S1890" i="8"/>
  <c r="U1890" i="8"/>
  <c r="U1527" i="8"/>
  <c r="S1527" i="8"/>
  <c r="S256" i="8"/>
  <c r="U256" i="8"/>
  <c r="U3039" i="8"/>
  <c r="S3039" i="8"/>
  <c r="U2625" i="8"/>
  <c r="S2625" i="8"/>
  <c r="S1218" i="8"/>
  <c r="U1218" i="8"/>
  <c r="U1790" i="8"/>
  <c r="S1790" i="8"/>
  <c r="S872" i="8"/>
  <c r="U872" i="8"/>
  <c r="U2102" i="8"/>
  <c r="S2102" i="8"/>
  <c r="U207" i="8"/>
  <c r="S207" i="8"/>
  <c r="S689" i="8"/>
  <c r="U689" i="8"/>
  <c r="S2859" i="8"/>
  <c r="U2859" i="8"/>
  <c r="S2503" i="8"/>
  <c r="U2503" i="8"/>
  <c r="S1878" i="8"/>
  <c r="U1878" i="8"/>
  <c r="S1526" i="8"/>
  <c r="U1526" i="8"/>
  <c r="U1933" i="8"/>
  <c r="S1933" i="8"/>
  <c r="S344" i="8"/>
  <c r="U344" i="8"/>
  <c r="U2272" i="8"/>
  <c r="S2272" i="8"/>
  <c r="U1967" i="8"/>
  <c r="S1967" i="8"/>
  <c r="U913" i="8"/>
  <c r="S913" i="8"/>
  <c r="S2668" i="8"/>
  <c r="U2668" i="8"/>
  <c r="U733" i="8"/>
  <c r="S733" i="8"/>
  <c r="U825" i="8"/>
  <c r="S825" i="8"/>
  <c r="S833" i="8"/>
  <c r="U833" i="8"/>
  <c r="S1400" i="8"/>
  <c r="U1400" i="8"/>
  <c r="S1091" i="8"/>
  <c r="U1091" i="8"/>
  <c r="S866" i="8"/>
  <c r="U866" i="8"/>
  <c r="S1222" i="8"/>
  <c r="U1222" i="8"/>
  <c r="S3179" i="8"/>
  <c r="U3179" i="8"/>
  <c r="U3091" i="8"/>
  <c r="S3091" i="8"/>
  <c r="U2274" i="8"/>
  <c r="S2274" i="8"/>
  <c r="U1839" i="8"/>
  <c r="S1839" i="8"/>
  <c r="S306" i="8"/>
  <c r="U306" i="8"/>
  <c r="U2542" i="8"/>
  <c r="S2542" i="8"/>
  <c r="U1317" i="8"/>
  <c r="S1317" i="8"/>
  <c r="U295" i="8"/>
  <c r="S295" i="8"/>
  <c r="S215" i="8"/>
  <c r="U215" i="8"/>
  <c r="S2871" i="8"/>
  <c r="U2871" i="8"/>
  <c r="U601" i="8"/>
  <c r="S601" i="8"/>
  <c r="U168" i="8"/>
  <c r="S168" i="8"/>
  <c r="S998" i="8"/>
  <c r="U998" i="8"/>
  <c r="U2505" i="8"/>
  <c r="S2505" i="8"/>
  <c r="S2317" i="8"/>
  <c r="U2317" i="8"/>
  <c r="U1179" i="8"/>
  <c r="S1179" i="8"/>
  <c r="S1788" i="8"/>
  <c r="U1788" i="8"/>
  <c r="S3125" i="8"/>
  <c r="U3125" i="8"/>
  <c r="U1219" i="8"/>
  <c r="S1219" i="8"/>
  <c r="S1921" i="8"/>
  <c r="U1921" i="8"/>
  <c r="U2626" i="8"/>
  <c r="S2626" i="8"/>
  <c r="U2514" i="8"/>
  <c r="S2514" i="8"/>
  <c r="S2776" i="8"/>
  <c r="U2776" i="8"/>
  <c r="S385" i="8"/>
  <c r="U385" i="8"/>
  <c r="U1217" i="8"/>
  <c r="S1217" i="8"/>
  <c r="U336" i="8"/>
  <c r="S336" i="8"/>
  <c r="U298" i="8"/>
  <c r="S298" i="8"/>
  <c r="S205" i="8"/>
  <c r="U205" i="8"/>
  <c r="U556" i="8"/>
  <c r="S556" i="8"/>
  <c r="S2064" i="8"/>
  <c r="U2064" i="8"/>
  <c r="U965" i="8"/>
  <c r="S965" i="8"/>
  <c r="S3168" i="8"/>
  <c r="U3168" i="8"/>
  <c r="S1537" i="8"/>
  <c r="U1537" i="8"/>
  <c r="U2008" i="8"/>
  <c r="S2008" i="8"/>
  <c r="U877" i="8"/>
  <c r="S877" i="8"/>
  <c r="U1318" i="8"/>
  <c r="S1318" i="8"/>
  <c r="U2995" i="8"/>
  <c r="S2995" i="8"/>
  <c r="U3080" i="8"/>
  <c r="S3080" i="8"/>
  <c r="S2057" i="8"/>
  <c r="U2057" i="8"/>
  <c r="U1626" i="8"/>
  <c r="S1626" i="8"/>
  <c r="U2772" i="8"/>
  <c r="S2772" i="8"/>
  <c r="U914" i="8"/>
  <c r="S914" i="8"/>
  <c r="U2536" i="8"/>
  <c r="S2536" i="8"/>
  <c r="U1399" i="8"/>
  <c r="S1399" i="8"/>
  <c r="U1751" i="8"/>
  <c r="S1751" i="8"/>
  <c r="U358" i="8"/>
  <c r="S358" i="8"/>
  <c r="S2543" i="8"/>
  <c r="U2543" i="8"/>
  <c r="S211" i="8"/>
  <c r="U211" i="8"/>
  <c r="U696" i="8"/>
  <c r="S696" i="8"/>
  <c r="S1620" i="8"/>
  <c r="U1620" i="8"/>
  <c r="U3089" i="8"/>
  <c r="S3089" i="8"/>
  <c r="U1535" i="8"/>
  <c r="S1535" i="8"/>
  <c r="S827" i="8"/>
  <c r="U827" i="8"/>
  <c r="U218" i="8"/>
  <c r="S218" i="8"/>
  <c r="U171" i="8"/>
  <c r="S171" i="8"/>
  <c r="U1975" i="8"/>
  <c r="S1975" i="8"/>
  <c r="S2872" i="8"/>
  <c r="U2872" i="8"/>
  <c r="S564" i="8"/>
  <c r="U564" i="8"/>
  <c r="S611" i="8"/>
  <c r="U611" i="8"/>
  <c r="U562" i="8"/>
  <c r="S562" i="8"/>
  <c r="U2991" i="8"/>
  <c r="S2991" i="8"/>
  <c r="U1662" i="8"/>
  <c r="S1662" i="8"/>
  <c r="U1003" i="8"/>
  <c r="S1003" i="8"/>
  <c r="U383" i="8"/>
  <c r="S383" i="8"/>
  <c r="U2495" i="8"/>
  <c r="S2495" i="8"/>
  <c r="S1970" i="8"/>
  <c r="U1970" i="8"/>
  <c r="U1194" i="8"/>
  <c r="S1194" i="8"/>
  <c r="U2580" i="8"/>
  <c r="S2580" i="8"/>
  <c r="U1661" i="8"/>
  <c r="S1661" i="8"/>
  <c r="U2362" i="8"/>
  <c r="S2362" i="8"/>
  <c r="S479" i="8"/>
  <c r="U479" i="8"/>
  <c r="U2624" i="8"/>
  <c r="S2624" i="8"/>
  <c r="U226" i="8"/>
  <c r="S226" i="8"/>
  <c r="U3003" i="8"/>
  <c r="S3003" i="8"/>
  <c r="U1791" i="8"/>
  <c r="S1791" i="8"/>
  <c r="U1041" i="8"/>
  <c r="S1041" i="8"/>
  <c r="S1625" i="8"/>
  <c r="U1625" i="8"/>
  <c r="U1581" i="8"/>
  <c r="S1581" i="8"/>
  <c r="S2819" i="8"/>
  <c r="U2819" i="8"/>
  <c r="U1711" i="8"/>
  <c r="S1711" i="8"/>
  <c r="U1488" i="8"/>
  <c r="S1488" i="8"/>
  <c r="U3173" i="8"/>
  <c r="S3173" i="8"/>
  <c r="U2949" i="8"/>
  <c r="S2949" i="8"/>
  <c r="S1048" i="8"/>
  <c r="U1048" i="8"/>
  <c r="S1483" i="8"/>
  <c r="U1483" i="8"/>
  <c r="S2814" i="8"/>
  <c r="U2814" i="8"/>
  <c r="S1678" i="8"/>
  <c r="U1678" i="8"/>
  <c r="U259" i="8"/>
  <c r="S259" i="8"/>
  <c r="S1051" i="8"/>
  <c r="U1051" i="8"/>
  <c r="S1309" i="8"/>
  <c r="U1309" i="8"/>
  <c r="S2880" i="8"/>
  <c r="U2880" i="8"/>
  <c r="U2013" i="8"/>
  <c r="S2013" i="8"/>
  <c r="S2960" i="8"/>
  <c r="U2960" i="8"/>
  <c r="U1546" i="8"/>
  <c r="S1546" i="8"/>
  <c r="S2009" i="8"/>
  <c r="U2009" i="8"/>
  <c r="S2059" i="8"/>
  <c r="U2059" i="8"/>
  <c r="U2675" i="8"/>
  <c r="S2675" i="8"/>
  <c r="U2539" i="8"/>
  <c r="S2539" i="8"/>
  <c r="S3001" i="8"/>
  <c r="U3001" i="8"/>
  <c r="U2593" i="8"/>
  <c r="S2593" i="8"/>
  <c r="U2947" i="8"/>
  <c r="S2947" i="8"/>
  <c r="S886" i="8"/>
  <c r="U886" i="8"/>
  <c r="S1923" i="8"/>
  <c r="U1923" i="8"/>
  <c r="U293" i="8"/>
  <c r="S293" i="8"/>
  <c r="S249" i="8"/>
  <c r="U249" i="8"/>
  <c r="M210" i="8"/>
  <c r="N210" i="8" s="1"/>
  <c r="U1664" i="8"/>
  <c r="S1664" i="8"/>
  <c r="S1136" i="8"/>
  <c r="U1136" i="8"/>
  <c r="U2541" i="8"/>
  <c r="S2541" i="8"/>
  <c r="M2152" i="8"/>
  <c r="N2152" i="8" s="1"/>
  <c r="S2228" i="8"/>
  <c r="U2228" i="8"/>
  <c r="U2328" i="8"/>
  <c r="S2328" i="8"/>
  <c r="M431" i="8"/>
  <c r="N431" i="8" s="1"/>
  <c r="S2783" i="8"/>
  <c r="U2783" i="8"/>
  <c r="M1274" i="8"/>
  <c r="N1274" i="8" s="1"/>
  <c r="B2217" i="8"/>
  <c r="B2218" i="8" s="1"/>
  <c r="B2219" i="8" s="1"/>
  <c r="O2065" i="8"/>
  <c r="O2820" i="8"/>
  <c r="U1315" i="8"/>
  <c r="S1315" i="8"/>
  <c r="S2860" i="8"/>
  <c r="U2860" i="8"/>
  <c r="M737" i="8"/>
  <c r="N737" i="8" s="1"/>
  <c r="U1229" i="8"/>
  <c r="S1229" i="8"/>
  <c r="B2393" i="8"/>
  <c r="B2394" i="8" s="1"/>
  <c r="B2395" i="8" s="1"/>
  <c r="M1965" i="8"/>
  <c r="N1965" i="8" s="1"/>
  <c r="S2284" i="8"/>
  <c r="U2284" i="8"/>
  <c r="M952" i="8"/>
  <c r="N952" i="8" s="1"/>
  <c r="M2192" i="8"/>
  <c r="N2192" i="8" s="1"/>
  <c r="U2680" i="8"/>
  <c r="S2680" i="8"/>
  <c r="M160" i="8"/>
  <c r="N160" i="8" s="1"/>
  <c r="M1406" i="8"/>
  <c r="N1406" i="8" s="1"/>
  <c r="M776" i="8"/>
  <c r="N776" i="8" s="1"/>
  <c r="U2582" i="8"/>
  <c r="S2582" i="8"/>
  <c r="U2636" i="8"/>
  <c r="S2636" i="8"/>
  <c r="O1789" i="8"/>
  <c r="U608" i="8"/>
  <c r="S608" i="8"/>
  <c r="U834" i="8"/>
  <c r="S834" i="8"/>
  <c r="U1766" i="8"/>
  <c r="S1766" i="8"/>
  <c r="M614" i="8"/>
  <c r="N614" i="8" s="1"/>
  <c r="M2118" i="8"/>
  <c r="N2118" i="8" s="1"/>
  <c r="U1492" i="8"/>
  <c r="S1492" i="8"/>
  <c r="S297" i="8"/>
  <c r="U297" i="8"/>
  <c r="M1266" i="8"/>
  <c r="N1266" i="8" s="1"/>
  <c r="M393" i="8"/>
  <c r="N393" i="8" s="1"/>
  <c r="U1932" i="8"/>
  <c r="S1932" i="8"/>
  <c r="U2074" i="8"/>
  <c r="S2074" i="8"/>
  <c r="M1574" i="8"/>
  <c r="N1574" i="8" s="1"/>
  <c r="U865" i="8"/>
  <c r="S865" i="8"/>
  <c r="M380" i="8"/>
  <c r="N380" i="8" s="1"/>
  <c r="M2417" i="8"/>
  <c r="N2417" i="8" s="1"/>
  <c r="B1205" i="8"/>
  <c r="B1206" i="8" s="1"/>
  <c r="B1207" i="8" s="1"/>
  <c r="M2108" i="8"/>
  <c r="N2108" i="8" s="1"/>
  <c r="U2713" i="8"/>
  <c r="S2713" i="8"/>
  <c r="M2154" i="8"/>
  <c r="N2154" i="8" s="1"/>
  <c r="M394" i="8"/>
  <c r="N394" i="8" s="1"/>
  <c r="U2592" i="8"/>
  <c r="S2592" i="8"/>
  <c r="U867" i="8"/>
  <c r="S867" i="8"/>
  <c r="M2426" i="8"/>
  <c r="N2426" i="8" s="1"/>
  <c r="U1397" i="8"/>
  <c r="S1397" i="8"/>
  <c r="U2316" i="8"/>
  <c r="S2316" i="8"/>
  <c r="M24" i="6"/>
  <c r="N24" i="6" s="1"/>
  <c r="S1393" i="8"/>
  <c r="U1393" i="8"/>
  <c r="M1590" i="8"/>
  <c r="N1590" i="8" s="1"/>
  <c r="M425" i="8"/>
  <c r="N425" i="8" s="1"/>
  <c r="M1404" i="8"/>
  <c r="N1404" i="8" s="1"/>
  <c r="M3040" i="8"/>
  <c r="N3040" i="8" s="1"/>
  <c r="O1307" i="8"/>
  <c r="M1392" i="8"/>
  <c r="N1392" i="8" s="1"/>
  <c r="M779" i="8"/>
  <c r="N779" i="8" s="1"/>
  <c r="M1286" i="8"/>
  <c r="N1286" i="8" s="1"/>
  <c r="M435" i="8"/>
  <c r="N435" i="8" s="1"/>
  <c r="U3134" i="8"/>
  <c r="S3134" i="8"/>
  <c r="O3134" i="8" s="1"/>
  <c r="M1531" i="8"/>
  <c r="N1531" i="8" s="1"/>
  <c r="M1436" i="8"/>
  <c r="N1436" i="8" s="1"/>
  <c r="S2504" i="8"/>
  <c r="U2504" i="8"/>
  <c r="S2630" i="8"/>
  <c r="U2630" i="8"/>
  <c r="M2734" i="8"/>
  <c r="N2734" i="8" s="1"/>
  <c r="M1186" i="8"/>
  <c r="N1186" i="8" s="1"/>
  <c r="M1964" i="8"/>
  <c r="N1964" i="8" s="1"/>
  <c r="M1348" i="8"/>
  <c r="N1348" i="8" s="1"/>
  <c r="M1524" i="8"/>
  <c r="N1524" i="8" s="1"/>
  <c r="M959" i="8"/>
  <c r="N959" i="8" s="1"/>
  <c r="U2240" i="8"/>
  <c r="S2240" i="8"/>
  <c r="O2499" i="8"/>
  <c r="M1175" i="8"/>
  <c r="N1175" i="8" s="1"/>
  <c r="M83" i="8"/>
  <c r="N83" i="8" s="1"/>
  <c r="B1381" i="8"/>
  <c r="B1382" i="8" s="1"/>
  <c r="B1383" i="8" s="1"/>
  <c r="B721" i="8"/>
  <c r="B722" i="8" s="1"/>
  <c r="B723" i="8" s="1"/>
  <c r="U2997" i="8"/>
  <c r="S2997" i="8"/>
  <c r="S920" i="8"/>
  <c r="U920" i="8"/>
  <c r="O2669" i="8"/>
  <c r="M2717" i="8"/>
  <c r="N2717" i="8" s="1"/>
  <c r="U656" i="8"/>
  <c r="S656" i="8"/>
  <c r="M1418" i="8"/>
  <c r="N1418" i="8" s="1"/>
  <c r="M2718" i="8"/>
  <c r="N2718" i="8" s="1"/>
  <c r="O1221" i="8"/>
  <c r="S2948" i="8"/>
  <c r="U2948" i="8"/>
  <c r="U2236" i="8"/>
  <c r="S2236" i="8"/>
  <c r="M1573" i="8"/>
  <c r="N1573" i="8" s="1"/>
  <c r="M2166" i="8"/>
  <c r="N2166" i="8" s="1"/>
  <c r="O1062" i="8"/>
  <c r="U2055" i="8"/>
  <c r="S2055" i="8"/>
  <c r="O1482" i="8"/>
  <c r="S1668" i="8"/>
  <c r="U1668" i="8"/>
  <c r="M204" i="8"/>
  <c r="N204" i="8" s="1"/>
  <c r="U3188" i="8"/>
  <c r="S3188" i="8"/>
  <c r="M381" i="8"/>
  <c r="N381" i="8" s="1"/>
  <c r="M3035" i="8"/>
  <c r="N3035" i="8" s="1"/>
  <c r="M1525" i="8"/>
  <c r="N1525" i="8" s="1"/>
  <c r="M777" i="8"/>
  <c r="N777" i="8" s="1"/>
  <c r="U3167" i="8"/>
  <c r="S3167" i="8"/>
  <c r="M162" i="8"/>
  <c r="N162" i="8" s="1"/>
  <c r="B2173" i="8"/>
  <c r="B2174" i="8" s="1"/>
  <c r="B2175" i="8" s="1"/>
  <c r="M2196" i="8"/>
  <c r="N2196" i="8" s="1"/>
  <c r="M1972" i="8"/>
  <c r="N1972" i="8" s="1"/>
  <c r="U3002" i="8"/>
  <c r="S3002" i="8"/>
  <c r="U3090" i="8"/>
  <c r="S3090" i="8"/>
  <c r="M2407" i="8"/>
  <c r="N2407" i="8" s="1"/>
  <c r="M782" i="8"/>
  <c r="N782" i="8" s="1"/>
  <c r="M699" i="8"/>
  <c r="N699" i="8" s="1"/>
  <c r="M94" i="8"/>
  <c r="N94" i="8" s="1"/>
  <c r="M1268" i="8"/>
  <c r="N1268" i="8" s="1"/>
  <c r="M482" i="8"/>
  <c r="N482" i="8" s="1"/>
  <c r="M2374" i="8"/>
  <c r="N2374" i="8" s="1"/>
  <c r="M1618" i="8"/>
  <c r="N1618" i="8" s="1"/>
  <c r="M1444" i="8"/>
  <c r="N1444" i="8" s="1"/>
  <c r="M438" i="8"/>
  <c r="N438" i="8" s="1"/>
  <c r="M402" i="8"/>
  <c r="N402" i="8" s="1"/>
  <c r="M1744" i="8"/>
  <c r="N1744" i="8" s="1"/>
  <c r="M2122" i="8"/>
  <c r="N2122" i="8" s="1"/>
  <c r="M426" i="8"/>
  <c r="N426" i="8" s="1"/>
  <c r="B1601" i="8"/>
  <c r="B1602" i="8" s="1"/>
  <c r="B1603" i="8" s="1"/>
  <c r="M1708" i="8"/>
  <c r="N1708" i="8" s="1"/>
  <c r="M2367" i="8"/>
  <c r="N2367" i="8" s="1"/>
  <c r="M446" i="8"/>
  <c r="N446" i="8" s="1"/>
  <c r="M1582" i="8"/>
  <c r="N1582" i="8" s="1"/>
  <c r="M3037" i="8"/>
  <c r="N3037" i="8" s="1"/>
  <c r="M2148" i="8"/>
  <c r="N2148" i="8" s="1"/>
  <c r="O999" i="8"/>
  <c r="O2864" i="8"/>
  <c r="U1304" i="8"/>
  <c r="O261" i="8"/>
  <c r="U2775" i="8"/>
  <c r="S2775" i="8"/>
  <c r="U1491" i="8"/>
  <c r="S1491" i="8"/>
  <c r="M1265" i="8"/>
  <c r="N1265" i="8" s="1"/>
  <c r="U695" i="8"/>
  <c r="S695" i="8"/>
  <c r="S1854" i="8"/>
  <c r="U1854" i="8"/>
  <c r="U3100" i="8"/>
  <c r="S3100" i="8"/>
  <c r="O997" i="8"/>
  <c r="M743" i="8"/>
  <c r="N743" i="8" s="1"/>
  <c r="U1888" i="8"/>
  <c r="S1888" i="8"/>
  <c r="B1293" i="8"/>
  <c r="B1294" i="8" s="1"/>
  <c r="B1295" i="8" s="1"/>
  <c r="M436" i="8"/>
  <c r="N436" i="8" s="1"/>
  <c r="U563" i="8"/>
  <c r="S563" i="8"/>
  <c r="U1846" i="8"/>
  <c r="S1846" i="8"/>
  <c r="U1045" i="8"/>
  <c r="S1045" i="8"/>
  <c r="B2129" i="8"/>
  <c r="B2130" i="8" s="1"/>
  <c r="B2131" i="8" s="1"/>
  <c r="M746" i="8"/>
  <c r="N746" i="8"/>
  <c r="M1398" i="8"/>
  <c r="N1398" i="8" s="1"/>
  <c r="M161" i="8"/>
  <c r="N161" i="8" s="1"/>
  <c r="M2416" i="8"/>
  <c r="N2416" i="8" s="1"/>
  <c r="S1316" i="8"/>
  <c r="U1316" i="8"/>
  <c r="U2914" i="8"/>
  <c r="S2914" i="8"/>
  <c r="O2052" i="8"/>
  <c r="S2861" i="8"/>
  <c r="U2861" i="8"/>
  <c r="U832" i="8"/>
  <c r="S832" i="8"/>
  <c r="B1469" i="8"/>
  <c r="B1470" i="8" s="1"/>
  <c r="B1471" i="8" s="1"/>
  <c r="U2924" i="8"/>
  <c r="S2924" i="8"/>
  <c r="M1353" i="8"/>
  <c r="N1353" i="8" s="1"/>
  <c r="M1110" i="8"/>
  <c r="N1110" i="8" s="1"/>
  <c r="S1707" i="8"/>
  <c r="U1707" i="8"/>
  <c r="U657" i="8"/>
  <c r="S657" i="8"/>
  <c r="U1306" i="8"/>
  <c r="S1306" i="8"/>
  <c r="M2146" i="8"/>
  <c r="N2146" i="8" s="1"/>
  <c r="O314" i="8"/>
  <c r="O2275" i="8"/>
  <c r="U2449" i="8"/>
  <c r="S2449" i="8"/>
  <c r="U2011" i="8"/>
  <c r="S2011" i="8"/>
  <c r="M1374" i="8"/>
  <c r="N1374" i="8" s="1"/>
  <c r="M963" i="8"/>
  <c r="N963" i="8" s="1"/>
  <c r="M1351" i="8"/>
  <c r="N1351" i="8" s="1"/>
  <c r="S2782" i="8"/>
  <c r="U2782" i="8"/>
  <c r="M10" i="6"/>
  <c r="N10" i="6" s="1"/>
  <c r="B809" i="8"/>
  <c r="B810" i="8" s="1"/>
  <c r="B811" i="8" s="1"/>
  <c r="M1096" i="8"/>
  <c r="N1096" i="8" s="1"/>
  <c r="U666" i="8"/>
  <c r="S666" i="8"/>
  <c r="M480" i="8"/>
  <c r="N480" i="8" s="1"/>
  <c r="M1086" i="8"/>
  <c r="N1086" i="8" s="1"/>
  <c r="U826" i="8"/>
  <c r="S826" i="8"/>
  <c r="M490" i="8"/>
  <c r="N490" i="8" s="1"/>
  <c r="M1262" i="8"/>
  <c r="N1262" i="8" s="1"/>
  <c r="M691" i="8"/>
  <c r="N691" i="8" s="1"/>
  <c r="M469" i="8"/>
  <c r="N469" i="8" s="1"/>
  <c r="U651" i="8"/>
  <c r="S651" i="8"/>
  <c r="S915" i="8"/>
  <c r="U915" i="8"/>
  <c r="M1623" i="8"/>
  <c r="N1623" i="8" s="1"/>
  <c r="M437" i="8"/>
  <c r="N437" i="8" s="1"/>
  <c r="S1834" i="8"/>
  <c r="U1834" i="8"/>
  <c r="S2632" i="8"/>
  <c r="U2632" i="8"/>
  <c r="M2372" i="8"/>
  <c r="N2372" i="8" s="1"/>
  <c r="M1745" i="8"/>
  <c r="N1745" i="8" s="1"/>
  <c r="M2101" i="8"/>
  <c r="N2101" i="8" s="1"/>
  <c r="S842" i="8"/>
  <c r="U842" i="8"/>
  <c r="M1570" i="8"/>
  <c r="N1570" i="8" s="1"/>
  <c r="M1150" i="8"/>
  <c r="N1150" i="8" s="1"/>
  <c r="B1161" i="8"/>
  <c r="B1162" i="8" s="1"/>
  <c r="B1163" i="8" s="1"/>
  <c r="S739" i="8"/>
  <c r="U739" i="8"/>
  <c r="S2371" i="8"/>
  <c r="U2371" i="8"/>
  <c r="M427" i="8"/>
  <c r="N427" i="8" s="1"/>
  <c r="M212" i="8"/>
  <c r="N212" i="8" s="1"/>
  <c r="U2450" i="8"/>
  <c r="S2450" i="8"/>
  <c r="B105" i="8"/>
  <c r="B106" i="8" s="1"/>
  <c r="B107" i="8" s="1"/>
  <c r="M2186" i="8"/>
  <c r="N2186" i="8" s="1"/>
  <c r="S1530" i="8"/>
  <c r="U1530" i="8"/>
  <c r="M1971" i="8"/>
  <c r="N1971" i="8" s="1"/>
  <c r="M2151" i="8"/>
  <c r="N2151" i="8" s="1"/>
  <c r="M5" i="6"/>
  <c r="N5" i="6" s="1"/>
  <c r="M1977" i="8"/>
  <c r="N1977" i="8" s="1"/>
  <c r="B1997" i="8"/>
  <c r="B1998" i="8" s="1"/>
  <c r="B1999" i="8" s="1"/>
  <c r="S644" i="8"/>
  <c r="S2946" i="8"/>
  <c r="S2104" i="8"/>
  <c r="U2104" i="8"/>
  <c r="U908" i="8"/>
  <c r="S908" i="8"/>
  <c r="M784" i="8"/>
  <c r="N784" i="8" s="1"/>
  <c r="O922" i="8"/>
  <c r="M172" i="8"/>
  <c r="N172" i="8" s="1"/>
  <c r="B2437" i="8"/>
  <c r="B2438" i="8" s="1"/>
  <c r="B2439" i="8" s="1"/>
  <c r="M474" i="8"/>
  <c r="N474" i="8" s="1"/>
  <c r="B1777" i="8"/>
  <c r="B1778" i="8" s="1"/>
  <c r="B1779" i="8" s="1"/>
  <c r="O1925" i="8"/>
  <c r="M1568" i="8"/>
  <c r="N1568" i="8" s="1"/>
  <c r="M16" i="6"/>
  <c r="N16" i="6" s="1"/>
  <c r="U2723" i="8"/>
  <c r="S2723" i="8"/>
  <c r="M790" i="8"/>
  <c r="N790" i="8" s="1"/>
  <c r="U2021" i="8"/>
  <c r="S2021" i="8"/>
  <c r="U519" i="8"/>
  <c r="S519" i="8"/>
  <c r="O519" i="8" s="1"/>
  <c r="U470" i="8"/>
  <c r="S470" i="8"/>
  <c r="O470" i="8" s="1"/>
  <c r="O3086" i="8"/>
  <c r="S1802" i="8"/>
  <c r="U1802" i="8"/>
  <c r="R127" i="8"/>
  <c r="R117" i="8"/>
  <c r="R124" i="8"/>
  <c r="R122" i="8"/>
  <c r="R121" i="8"/>
  <c r="R123" i="8"/>
  <c r="R130" i="8"/>
  <c r="R119" i="8"/>
  <c r="R118" i="8"/>
  <c r="R129" i="8"/>
  <c r="R142" i="8"/>
  <c r="R138" i="8"/>
  <c r="K116" i="8"/>
  <c r="L116" i="8" s="1"/>
  <c r="K119" i="8"/>
  <c r="L119" i="8" s="1"/>
  <c r="K121" i="8"/>
  <c r="L121" i="8" s="1"/>
  <c r="K129" i="8"/>
  <c r="L129" i="8" s="1"/>
  <c r="K117" i="8"/>
  <c r="L117" i="8" s="1"/>
  <c r="K124" i="8"/>
  <c r="L124" i="8" s="1"/>
  <c r="K118" i="8"/>
  <c r="L118" i="8" s="1"/>
  <c r="K130" i="8"/>
  <c r="L130" i="8" s="1"/>
  <c r="K142" i="8"/>
  <c r="L142" i="8" s="1"/>
  <c r="K122" i="8"/>
  <c r="L122" i="8" s="1"/>
  <c r="K127" i="8"/>
  <c r="L127" i="8" s="1"/>
  <c r="K138" i="8"/>
  <c r="L138" i="8" s="1"/>
  <c r="K123" i="8"/>
  <c r="L123" i="8" s="1"/>
  <c r="K128" i="8"/>
  <c r="L128" i="8" s="1"/>
  <c r="S1722" i="8"/>
  <c r="U1722" i="8"/>
  <c r="M28" i="6"/>
  <c r="N28" i="6" s="1"/>
  <c r="M1106" i="8"/>
  <c r="N1106" i="8" s="1"/>
  <c r="U294" i="8"/>
  <c r="S294" i="8"/>
  <c r="M693" i="8"/>
  <c r="N693" i="8" s="1"/>
  <c r="U3178" i="8"/>
  <c r="S3178" i="8"/>
  <c r="M2373" i="8"/>
  <c r="N2373" i="8" s="1"/>
  <c r="B1645" i="8"/>
  <c r="B1646" i="8" s="1"/>
  <c r="B1647" i="8" s="1"/>
  <c r="M450" i="8"/>
  <c r="N450" i="8" s="1"/>
  <c r="S1326" i="8"/>
  <c r="U1326" i="8"/>
  <c r="M174" i="8"/>
  <c r="N174" i="8" s="1"/>
  <c r="M1458" i="8"/>
  <c r="N1458" i="8" s="1"/>
  <c r="M1701" i="8"/>
  <c r="N1701" i="8" s="1"/>
  <c r="M1770" i="8"/>
  <c r="N1770" i="8" s="1"/>
  <c r="M2110" i="8"/>
  <c r="N2110" i="8" s="1"/>
  <c r="M1260" i="8"/>
  <c r="N1260" i="8" s="1"/>
  <c r="M1356" i="8"/>
  <c r="N1356" i="8" s="1"/>
  <c r="M1261" i="8"/>
  <c r="N1261" i="8" s="1"/>
  <c r="M2712" i="8"/>
  <c r="N2712" i="8" s="1"/>
  <c r="S348" i="8"/>
  <c r="U348" i="8"/>
  <c r="M2198" i="8"/>
  <c r="N2198" i="8" s="1"/>
  <c r="M1361" i="8"/>
  <c r="N1361" i="8" s="1"/>
  <c r="M778" i="8"/>
  <c r="N778" i="8" s="1"/>
  <c r="M789" i="8"/>
  <c r="N789" i="8" s="1"/>
  <c r="B3067" i="8"/>
  <c r="B3068" i="8" s="1"/>
  <c r="B3069" i="8" s="1"/>
  <c r="O2968" i="8"/>
  <c r="U644" i="8"/>
  <c r="U2946" i="8"/>
  <c r="O2828" i="8"/>
  <c r="M2142" i="8"/>
  <c r="N2142" i="8" s="1"/>
  <c r="U1920" i="8"/>
  <c r="S1920" i="8"/>
  <c r="U1494" i="8"/>
  <c r="S1494" i="8"/>
  <c r="M8" i="6"/>
  <c r="N8" i="6" s="1"/>
  <c r="S1449" i="8"/>
  <c r="U1449" i="8"/>
  <c r="M84" i="8"/>
  <c r="N84" i="8" s="1"/>
  <c r="M798" i="8"/>
  <c r="N798" i="8" s="1"/>
  <c r="U1228" i="8"/>
  <c r="S1228" i="8"/>
  <c r="U2241" i="8"/>
  <c r="S2241" i="8"/>
  <c r="M1370" i="8"/>
  <c r="N1370" i="8" s="1"/>
  <c r="M13" i="6"/>
  <c r="N13" i="6" s="1"/>
  <c r="U2547" i="8"/>
  <c r="S2547" i="8"/>
  <c r="M2141" i="8"/>
  <c r="N2141" i="8" s="1"/>
  <c r="M73" i="8"/>
  <c r="N73" i="8" s="1"/>
  <c r="B457" i="8"/>
  <c r="B458" i="8" s="1"/>
  <c r="B459" i="8" s="1"/>
  <c r="M1350" i="8"/>
  <c r="N1350" i="8" s="1"/>
  <c r="O2908" i="8"/>
  <c r="M1355" i="8"/>
  <c r="N1355" i="8" s="1"/>
  <c r="U2588" i="8"/>
  <c r="S2588" i="8"/>
  <c r="U3056" i="8"/>
  <c r="S3056" i="8"/>
  <c r="M978" i="8"/>
  <c r="N978" i="8" s="1"/>
  <c r="U1844" i="8"/>
  <c r="S1844" i="8"/>
  <c r="B501" i="8"/>
  <c r="B502" i="8" s="1"/>
  <c r="B503" i="8" s="1"/>
  <c r="S2230" i="8"/>
  <c r="U2230" i="8"/>
  <c r="M2197" i="8"/>
  <c r="N2197" i="8" s="1"/>
  <c r="M1090" i="8"/>
  <c r="N1090" i="8" s="1"/>
  <c r="O2646" i="8"/>
  <c r="U524" i="8"/>
  <c r="S524" i="8"/>
  <c r="M2725" i="8"/>
  <c r="N2725" i="8" s="1"/>
  <c r="M1140" i="8"/>
  <c r="N1140" i="8" s="1"/>
  <c r="U2453" i="8"/>
  <c r="S2453" i="8"/>
  <c r="S341" i="8"/>
  <c r="U341" i="8"/>
  <c r="M2738" i="8"/>
  <c r="N2738" i="8" s="1"/>
  <c r="U1658" i="8"/>
  <c r="S1658" i="8"/>
  <c r="M80" i="8"/>
  <c r="N80" i="8" s="1"/>
  <c r="M1706" i="8"/>
  <c r="N1706" i="8" s="1"/>
  <c r="M1131" i="8"/>
  <c r="N1131" i="8" s="1"/>
  <c r="M2719" i="8"/>
  <c r="N2719" i="8" s="1"/>
  <c r="B1117" i="8"/>
  <c r="B1118" i="8" s="1"/>
  <c r="B1119" i="8" s="1"/>
  <c r="M1966" i="8"/>
  <c r="N1966" i="8" s="1"/>
  <c r="U1230" i="8"/>
  <c r="S1230" i="8"/>
  <c r="M1575" i="8"/>
  <c r="N1575" i="8" s="1"/>
  <c r="M788" i="8"/>
  <c r="N788" i="8" s="1"/>
  <c r="U2826" i="8"/>
  <c r="S2826" i="8"/>
  <c r="M2210" i="8"/>
  <c r="N2210" i="8" s="1"/>
  <c r="U2014" i="8"/>
  <c r="S2014" i="8"/>
  <c r="M2726" i="8"/>
  <c r="N2726" i="8" s="1"/>
  <c r="U3177" i="8"/>
  <c r="S3177" i="8"/>
  <c r="S1042" i="8"/>
  <c r="U1042" i="8"/>
  <c r="M468" i="8"/>
  <c r="N468" i="8" s="1"/>
  <c r="M406" i="8"/>
  <c r="N406" i="8" s="1"/>
  <c r="U2498" i="8"/>
  <c r="S2498" i="8"/>
  <c r="M1757" i="8"/>
  <c r="N1757" i="8" s="1"/>
  <c r="M1095" i="8"/>
  <c r="N1095" i="8" s="1"/>
  <c r="S1832" i="8"/>
  <c r="U1832" i="8"/>
  <c r="U2015" i="8"/>
  <c r="S2015" i="8"/>
  <c r="M3045" i="8"/>
  <c r="N3045" i="8" s="1"/>
  <c r="M3047" i="8"/>
  <c r="N3047" i="8" s="1"/>
  <c r="S1843" i="8"/>
  <c r="U1843" i="8"/>
  <c r="M2714" i="8"/>
  <c r="N2714" i="8" s="1"/>
  <c r="M1089" i="8"/>
  <c r="N1089" i="8" s="1"/>
  <c r="M475" i="8"/>
  <c r="N475" i="8" s="1"/>
  <c r="S3122" i="8"/>
  <c r="U3122" i="8"/>
  <c r="M734" i="8"/>
  <c r="N734" i="8" s="1"/>
  <c r="M2418" i="8"/>
  <c r="N2418" i="8" s="1"/>
  <c r="B985" i="8"/>
  <c r="B986" i="8" s="1"/>
  <c r="B987" i="8" s="1"/>
  <c r="M481" i="8"/>
  <c r="N481" i="8" s="1"/>
  <c r="M974" i="8"/>
  <c r="N974" i="8" s="1"/>
  <c r="M2415" i="8"/>
  <c r="N2415" i="8" s="1"/>
  <c r="M2162" i="8"/>
  <c r="N2162" i="8" s="1"/>
  <c r="M1579" i="8"/>
  <c r="N1579" i="8" s="1"/>
  <c r="B413" i="8"/>
  <c r="B414" i="8" s="1"/>
  <c r="B415" i="8" s="1"/>
  <c r="M1087" i="8"/>
  <c r="N1087" i="8" s="1"/>
  <c r="M3042" i="8"/>
  <c r="N3042" i="8" s="1"/>
  <c r="M1173" i="8"/>
  <c r="N1173" i="8" s="1"/>
  <c r="O2957" i="8"/>
  <c r="M701" i="8"/>
  <c r="N701" i="8" s="1"/>
  <c r="O2792" i="8"/>
  <c r="M78" i="8"/>
  <c r="N78" i="8" s="1"/>
  <c r="M1755" i="8"/>
  <c r="N1755" i="8" s="1"/>
  <c r="M2412" i="8"/>
  <c r="N2412" i="8" s="1"/>
  <c r="M9" i="6"/>
  <c r="N9" i="6" s="1"/>
  <c r="M1448" i="8"/>
  <c r="N1448" i="8" s="1"/>
  <c r="M1750" i="8"/>
  <c r="N1750" i="8" s="1"/>
  <c r="M2099" i="8"/>
  <c r="N2099" i="8" s="1"/>
  <c r="M98" i="8"/>
  <c r="N98" i="8" s="1"/>
  <c r="M1986" i="8"/>
  <c r="N1986" i="8" s="1"/>
  <c r="B237" i="8"/>
  <c r="B238" i="8" s="1"/>
  <c r="B239" i="8" s="1"/>
  <c r="M1272" i="8"/>
  <c r="N1272" i="8" s="1"/>
  <c r="M2190" i="8"/>
  <c r="N2190" i="8" s="1"/>
  <c r="O921" i="8"/>
  <c r="M1580" i="8"/>
  <c r="N1580" i="8" s="1"/>
  <c r="M2140" i="8"/>
  <c r="N2140" i="8" s="1"/>
  <c r="U2330" i="8"/>
  <c r="S2330" i="8"/>
  <c r="M2206" i="8"/>
  <c r="N2206" i="8" s="1"/>
  <c r="M1362" i="8"/>
  <c r="N1362" i="8" s="1"/>
  <c r="M1349" i="8"/>
  <c r="N1349" i="8" s="1"/>
  <c r="M3034" i="8"/>
  <c r="N3034" i="8" s="1"/>
  <c r="O2781" i="8"/>
  <c r="M3041" i="8"/>
  <c r="N3041" i="8" s="1"/>
  <c r="U304" i="8"/>
  <c r="S304" i="8"/>
  <c r="M1619" i="8"/>
  <c r="N1619" i="8" s="1"/>
  <c r="M2720" i="8"/>
  <c r="N2720" i="8" s="1"/>
  <c r="M1990" i="8"/>
  <c r="N1990" i="8" s="1"/>
  <c r="M3036" i="8"/>
  <c r="N3036" i="8" s="1"/>
  <c r="M77" i="8"/>
  <c r="N77" i="8" s="1"/>
  <c r="S2058" i="8"/>
  <c r="U2058" i="8"/>
  <c r="U1395" i="8"/>
  <c r="S1395" i="8"/>
  <c r="M1615" i="8"/>
  <c r="N1615" i="8" s="1"/>
  <c r="O1502" i="8"/>
  <c r="M694" i="8"/>
  <c r="N694" i="8" s="1"/>
  <c r="U2550" i="8"/>
  <c r="S2550" i="8"/>
  <c r="S646" i="8"/>
  <c r="U646" i="8"/>
  <c r="M2406" i="8"/>
  <c r="N2406" i="8" s="1"/>
  <c r="M1084" i="8"/>
  <c r="N1084" i="8" s="1"/>
  <c r="S534" i="8"/>
  <c r="U534" i="8"/>
  <c r="U1667" i="8"/>
  <c r="S1667" i="8"/>
  <c r="M1443" i="8"/>
  <c r="N1443" i="8" s="1"/>
  <c r="S1002" i="8"/>
  <c r="U1002" i="8"/>
  <c r="U754" i="8"/>
  <c r="S754" i="8"/>
  <c r="S1876" i="8"/>
  <c r="U1876" i="8"/>
  <c r="M2405" i="8"/>
  <c r="N2405" i="8" s="1"/>
  <c r="U1224" i="8"/>
  <c r="S1224" i="8"/>
  <c r="M1576" i="8"/>
  <c r="N1576" i="8" s="1"/>
  <c r="U652" i="8"/>
  <c r="S652" i="8"/>
  <c r="S2915" i="8"/>
  <c r="U2915" i="8"/>
  <c r="M1267" i="8"/>
  <c r="N1267" i="8" s="1"/>
  <c r="U512" i="8"/>
  <c r="S512" i="8"/>
  <c r="M1447" i="8"/>
  <c r="N1447" i="8"/>
  <c r="U523" i="8"/>
  <c r="S523" i="8"/>
  <c r="M2103" i="8"/>
  <c r="N2103" i="8" s="1"/>
  <c r="S166" i="8"/>
  <c r="U166" i="8"/>
  <c r="S2235" i="8"/>
  <c r="U2235" i="8"/>
  <c r="U2907" i="8"/>
  <c r="S2907" i="8"/>
  <c r="U303" i="8"/>
  <c r="S303" i="8"/>
  <c r="U1043" i="8"/>
  <c r="S1043" i="8"/>
  <c r="S2690" i="8"/>
  <c r="U2690" i="8"/>
  <c r="S2497" i="8"/>
  <c r="U2497" i="8"/>
  <c r="S1659" i="8"/>
  <c r="U1659" i="8"/>
  <c r="S655" i="8"/>
  <c r="U655" i="8"/>
  <c r="M1354" i="8"/>
  <c r="N1354" i="8" s="1"/>
  <c r="M2195" i="8"/>
  <c r="N2195" i="8" s="1"/>
  <c r="U2815" i="8"/>
  <c r="S2815" i="8"/>
  <c r="M2382" i="8"/>
  <c r="N2382" i="8" s="1"/>
  <c r="U1052" i="8"/>
  <c r="S1052" i="8"/>
  <c r="S2460" i="8"/>
  <c r="U2460" i="8"/>
  <c r="M2147" i="8"/>
  <c r="N2147" i="8" s="1"/>
  <c r="S557" i="8"/>
  <c r="U557" i="8"/>
  <c r="S2273" i="8"/>
  <c r="U2273" i="8"/>
  <c r="U1614" i="8"/>
  <c r="S1614" i="8"/>
  <c r="U1359" i="8"/>
  <c r="S1359" i="8"/>
  <c r="S1898" i="8"/>
  <c r="U1898" i="8"/>
  <c r="U2459" i="8"/>
  <c r="S2459" i="8"/>
  <c r="S966" i="8"/>
  <c r="U966" i="8"/>
  <c r="U517" i="8"/>
  <c r="S517" i="8"/>
  <c r="S2870" i="8"/>
  <c r="U2870" i="8"/>
  <c r="M2143" i="8"/>
  <c r="N2143" i="8" s="1"/>
  <c r="M735" i="8"/>
  <c r="N735" i="8" s="1"/>
  <c r="M1726" i="8"/>
  <c r="N1726" i="8" s="1"/>
  <c r="M1128" i="8"/>
  <c r="N1128" i="8" s="1"/>
  <c r="M1638" i="8"/>
  <c r="N1638" i="8" s="1"/>
  <c r="M1569" i="8"/>
  <c r="N1569" i="8" s="1"/>
  <c r="U1793" i="8"/>
  <c r="S1793" i="8"/>
  <c r="M3" i="6"/>
  <c r="N3" i="6" s="1"/>
  <c r="U2054" i="8"/>
  <c r="S2054" i="8"/>
  <c r="M953" i="8"/>
  <c r="N953" i="8" s="1"/>
  <c r="S3128" i="8"/>
  <c r="U3128" i="8"/>
  <c r="S255" i="8"/>
  <c r="U255" i="8"/>
  <c r="U2229" i="8"/>
  <c r="S2229" i="8"/>
  <c r="S2494" i="8"/>
  <c r="U2494" i="8"/>
  <c r="O2544" i="8"/>
  <c r="M1700" i="8"/>
  <c r="N1700" i="8" s="1"/>
  <c r="U1663" i="8"/>
  <c r="S1663" i="8"/>
  <c r="M1135" i="8"/>
  <c r="N1135" i="8" s="1"/>
  <c r="U2338" i="8"/>
  <c r="S2338" i="8"/>
  <c r="M1978" i="8"/>
  <c r="N1978" i="8" s="1"/>
  <c r="M424" i="8"/>
  <c r="N424" i="8" s="1"/>
  <c r="S2318" i="8"/>
  <c r="U2318" i="8"/>
  <c r="U2958" i="8"/>
  <c r="S2958" i="8"/>
  <c r="M1450" i="8"/>
  <c r="N1450" i="8" s="1"/>
  <c r="B765" i="8"/>
  <c r="B766" i="8" s="1"/>
  <c r="B767" i="8" s="1"/>
  <c r="U2996" i="8"/>
  <c r="S2996" i="8"/>
  <c r="M1714" i="8"/>
  <c r="N1714" i="8" s="1"/>
  <c r="O2635" i="8"/>
  <c r="M72" i="8"/>
  <c r="N72" i="8" s="1"/>
  <c r="M1747" i="8"/>
  <c r="N1747" i="8" s="1"/>
  <c r="M430" i="8"/>
  <c r="N430" i="8" s="1"/>
  <c r="U254" i="8"/>
  <c r="S254" i="8"/>
  <c r="M1154" i="8"/>
  <c r="N1154" i="8" s="1"/>
  <c r="M167" i="8"/>
  <c r="N167" i="8" s="1"/>
  <c r="S3083" i="8"/>
  <c r="U3083" i="8"/>
  <c r="M216" i="8"/>
  <c r="N216" i="8" s="1"/>
  <c r="M476" i="8"/>
  <c r="N476" i="8" s="1"/>
  <c r="M209" i="8"/>
  <c r="N209" i="8" s="1"/>
  <c r="S386" i="8"/>
  <c r="U386" i="8"/>
  <c r="S2784" i="8"/>
  <c r="U2784" i="8"/>
  <c r="M7" i="6"/>
  <c r="N7" i="6" s="1"/>
  <c r="O299" i="8"/>
  <c r="M1134" i="8"/>
  <c r="N1134" i="8" s="1"/>
  <c r="S2816" i="8"/>
  <c r="U2816" i="8"/>
  <c r="U1008" i="8"/>
  <c r="S1008" i="8"/>
  <c r="S1801" i="8"/>
  <c r="U1801" i="8"/>
  <c r="S3130" i="8"/>
  <c r="U3130" i="8"/>
  <c r="M1571" i="8"/>
  <c r="N1571" i="8" s="1"/>
  <c r="U2558" i="8"/>
  <c r="S2558" i="8"/>
  <c r="O2627" i="8"/>
  <c r="O2321" i="8"/>
  <c r="M1634" i="8"/>
  <c r="N1634" i="8" s="1"/>
  <c r="S1304" i="8"/>
  <c r="M471" i="8"/>
  <c r="N471" i="8" s="1"/>
  <c r="M1097" i="8"/>
  <c r="N1097" i="8" s="1"/>
  <c r="M787" i="8"/>
  <c r="N787" i="8" s="1"/>
  <c r="M740" i="8"/>
  <c r="N740" i="8"/>
  <c r="M613" i="8"/>
  <c r="N613" i="8" s="1"/>
  <c r="M2409" i="8"/>
  <c r="N2409" i="8" s="1"/>
  <c r="U1931" i="8"/>
  <c r="S1931" i="8"/>
  <c r="M1139" i="8"/>
  <c r="N1139" i="8" s="1"/>
  <c r="M2386" i="8"/>
  <c r="N2386" i="8" s="1"/>
  <c r="M1441" i="8"/>
  <c r="N1441" i="8" s="1"/>
  <c r="M2096" i="8"/>
  <c r="N2096" i="8" s="1"/>
  <c r="B1425" i="8"/>
  <c r="B1426" i="8" s="1"/>
  <c r="B1427" i="8" s="1"/>
  <c r="M1360" i="8"/>
  <c r="N1360" i="8" s="1"/>
  <c r="M85" i="8"/>
  <c r="N85" i="8" s="1"/>
  <c r="M2187" i="8"/>
  <c r="N2187" i="8" s="1"/>
  <c r="M1098" i="8"/>
  <c r="N1098" i="8" s="1"/>
  <c r="M1271" i="8"/>
  <c r="N1271" i="8" s="1"/>
  <c r="O1883" i="8"/>
  <c r="U292" i="8"/>
  <c r="S2279" i="8"/>
  <c r="U2279" i="8"/>
  <c r="M79" i="8"/>
  <c r="N79" i="8" s="1"/>
  <c r="M4" i="6"/>
  <c r="N4" i="6" s="1"/>
  <c r="M1141" i="8"/>
  <c r="N1141" i="8" s="1"/>
  <c r="U2676" i="8"/>
  <c r="S2676" i="8"/>
  <c r="M432" i="8"/>
  <c r="N432" i="8" s="1"/>
  <c r="O2909" i="8"/>
  <c r="M2184" i="8"/>
  <c r="N2184" i="8" s="1"/>
  <c r="M1085" i="8"/>
  <c r="N1085" i="8" s="1"/>
  <c r="M2153" i="8"/>
  <c r="N2153" i="8" s="1"/>
  <c r="M473" i="8"/>
  <c r="N473" i="8" s="1"/>
  <c r="M802" i="8"/>
  <c r="N802" i="8" s="1"/>
  <c r="M1613" i="8"/>
  <c r="N1613" i="8" s="1"/>
  <c r="M1594" i="8"/>
  <c r="N1594" i="8" s="1"/>
  <c r="S1532" i="8"/>
  <c r="U1532" i="8"/>
  <c r="M3046" i="8"/>
  <c r="N3046" i="8" s="1"/>
  <c r="U260" i="8"/>
  <c r="S260" i="8"/>
  <c r="M1263" i="8"/>
  <c r="N1263" i="8" s="1"/>
  <c r="U2631" i="8"/>
  <c r="S2631" i="8"/>
  <c r="M2715" i="8"/>
  <c r="N2715" i="8" s="1"/>
  <c r="M75" i="8"/>
  <c r="N75" i="8" s="1"/>
  <c r="B1733" i="8"/>
  <c r="B1734" i="8" s="1"/>
  <c r="B1735" i="8" s="1"/>
  <c r="S262" i="8"/>
  <c r="U262" i="8"/>
  <c r="U567" i="8"/>
  <c r="S567" i="8"/>
  <c r="U1481" i="8"/>
  <c r="S1481" i="8"/>
  <c r="S1934" i="8"/>
  <c r="U1934" i="8"/>
  <c r="M1749" i="8"/>
  <c r="N1749" i="8" s="1"/>
  <c r="M1705" i="8"/>
  <c r="N1705" i="8" s="1"/>
  <c r="M1550" i="8"/>
  <c r="N1550" i="8" s="1"/>
  <c r="M1185" i="8"/>
  <c r="N1185" i="8" s="1"/>
  <c r="M2097" i="8"/>
  <c r="N2097" i="8" s="1"/>
  <c r="M1403" i="8"/>
  <c r="N1403" i="8" s="1"/>
  <c r="M1976" i="8"/>
  <c r="N1976" i="8" s="1"/>
  <c r="M1178" i="8"/>
  <c r="N1178" i="8" s="1"/>
  <c r="M1282" i="8"/>
  <c r="N1282" i="8" s="1"/>
  <c r="M781" i="8"/>
  <c r="N781" i="8" s="1"/>
  <c r="U568" i="8"/>
  <c r="S568" i="8"/>
  <c r="M1702" i="8"/>
  <c r="N1702" i="8" s="1"/>
  <c r="M688" i="8"/>
  <c r="N688" i="8" s="1"/>
  <c r="M2098" i="8"/>
  <c r="N2098" i="8" s="1"/>
  <c r="B1557" i="8"/>
  <c r="B1558" i="8" s="1"/>
  <c r="B1559" i="8" s="1"/>
  <c r="U3084" i="8"/>
  <c r="S3084" i="8"/>
  <c r="M2189" i="8"/>
  <c r="N2189" i="8" s="1"/>
  <c r="S2679" i="8"/>
  <c r="U2679" i="8"/>
  <c r="U2283" i="8"/>
  <c r="S2283" i="8"/>
  <c r="M2360" i="8"/>
  <c r="N2360" i="8" s="1"/>
  <c r="M605" i="8"/>
  <c r="N605" i="8" s="1"/>
  <c r="M2411" i="8"/>
  <c r="N2411" i="8" s="1"/>
  <c r="M182" i="8"/>
  <c r="N182" i="8" s="1"/>
  <c r="M494" i="8"/>
  <c r="N494" i="8" s="1"/>
  <c r="M758" i="8"/>
  <c r="N758" i="8" s="1"/>
  <c r="O3127" i="8"/>
  <c r="S957" i="8"/>
  <c r="U957" i="8"/>
  <c r="S2322" i="8"/>
  <c r="U2322" i="8"/>
  <c r="S2858" i="8"/>
  <c r="U2858" i="8"/>
  <c r="M391" i="8"/>
  <c r="N391" i="8" s="1"/>
  <c r="M2185" i="8"/>
  <c r="N2185" i="8" s="1"/>
  <c r="S823" i="8"/>
  <c r="U823" i="8"/>
  <c r="S2363" i="8"/>
  <c r="U2363" i="8"/>
  <c r="S1529" i="8"/>
  <c r="U1529" i="8"/>
  <c r="U2366" i="8"/>
  <c r="S2366" i="8"/>
  <c r="S1796" i="8"/>
  <c r="U1796" i="8"/>
  <c r="M2145" i="8"/>
  <c r="N2145" i="8" s="1"/>
  <c r="S3172" i="8"/>
  <c r="U3172" i="8"/>
  <c r="S875" i="8"/>
  <c r="U875" i="8"/>
  <c r="M74" i="8"/>
  <c r="N74" i="8" s="1"/>
  <c r="M2724" i="8"/>
  <c r="N2724" i="8" s="1"/>
  <c r="B2745" i="8"/>
  <c r="B2746" i="8" s="1"/>
  <c r="B2747" i="8" s="1"/>
  <c r="S1305" i="8"/>
  <c r="U1305" i="8"/>
  <c r="U3171" i="8"/>
  <c r="S3171" i="8"/>
  <c r="U2470" i="8"/>
  <c r="S2470" i="8"/>
  <c r="U570" i="8"/>
  <c r="S570" i="8"/>
  <c r="U2368" i="8"/>
  <c r="S2368" i="8"/>
  <c r="U1942" i="8"/>
  <c r="S1942" i="8"/>
  <c r="U1273" i="8"/>
  <c r="S1273" i="8"/>
  <c r="N2" i="6"/>
  <c r="S292" i="8"/>
  <c r="O1003" i="8" l="1"/>
  <c r="O1229" i="8"/>
  <c r="O913" i="8"/>
  <c r="O1527" i="8"/>
  <c r="O2319" i="8"/>
  <c r="O3092" i="8"/>
  <c r="O2637" i="8"/>
  <c r="O2670" i="8"/>
  <c r="O1884" i="8"/>
  <c r="O821" i="8"/>
  <c r="O305" i="8"/>
  <c r="O3129" i="8"/>
  <c r="O1670" i="8"/>
  <c r="O3177" i="8"/>
  <c r="O1658" i="8"/>
  <c r="O2947" i="8"/>
  <c r="O2013" i="8"/>
  <c r="O2949" i="8"/>
  <c r="O3003" i="8"/>
  <c r="O2495" i="8"/>
  <c r="O1975" i="8"/>
  <c r="O3080" i="8"/>
  <c r="O1766" i="8"/>
  <c r="O2328" i="8"/>
  <c r="O1791" i="8"/>
  <c r="O1746" i="8"/>
  <c r="O2905" i="8"/>
  <c r="O2626" i="8"/>
  <c r="O3123" i="8"/>
  <c r="O1800" i="8"/>
  <c r="O865" i="8"/>
  <c r="O3056" i="8"/>
  <c r="O3002" i="8"/>
  <c r="O2636" i="8"/>
  <c r="O1488" i="8"/>
  <c r="O2015" i="8"/>
  <c r="O2826" i="8"/>
  <c r="O651" i="8"/>
  <c r="O1045" i="8"/>
  <c r="O867" i="8"/>
  <c r="O1546" i="8"/>
  <c r="O1041" i="8"/>
  <c r="O1194" i="8"/>
  <c r="O696" i="8"/>
  <c r="O1626" i="8"/>
  <c r="O965" i="8"/>
  <c r="O2514" i="8"/>
  <c r="O1839" i="8"/>
  <c r="O825" i="8"/>
  <c r="O2625" i="8"/>
  <c r="O206" i="8"/>
  <c r="O645" i="8"/>
  <c r="O1486" i="8"/>
  <c r="O518" i="8"/>
  <c r="U1612" i="8"/>
  <c r="U612" i="8"/>
  <c r="O612" i="8" s="1"/>
  <c r="U1130" i="8"/>
  <c r="O1130" i="8" s="1"/>
  <c r="O513" i="8"/>
  <c r="O2771" i="8"/>
  <c r="O578" i="8"/>
  <c r="O1310" i="8"/>
  <c r="O1882" i="8"/>
  <c r="O649" i="8"/>
  <c r="O2327" i="8"/>
  <c r="O2548" i="8"/>
  <c r="O2066" i="8"/>
  <c r="O602" i="8"/>
  <c r="O2591" i="8"/>
  <c r="O2629" i="8"/>
  <c r="O1837" i="8"/>
  <c r="O1394" i="8"/>
  <c r="O2674" i="8"/>
  <c r="O1442" i="8"/>
  <c r="O1838" i="8"/>
  <c r="O1437" i="8"/>
  <c r="O1795" i="8"/>
  <c r="O878" i="8"/>
  <c r="O1001" i="8"/>
  <c r="O2916" i="8"/>
  <c r="O2493" i="8"/>
  <c r="O603" i="8"/>
  <c r="O658" i="8"/>
  <c r="O2836" i="8"/>
  <c r="O1942" i="8"/>
  <c r="O2368" i="8"/>
  <c r="O1491" i="8"/>
  <c r="S1129" i="8"/>
  <c r="O1129" i="8" s="1"/>
  <c r="O1877" i="8"/>
  <c r="O349" i="8"/>
  <c r="O2993" i="8"/>
  <c r="O1311" i="8"/>
  <c r="O2549" i="8"/>
  <c r="O2907" i="8"/>
  <c r="O218" i="8"/>
  <c r="O1751" i="8"/>
  <c r="O1318" i="8"/>
  <c r="U15" i="6"/>
  <c r="O15" i="6" s="1"/>
  <c r="B38" i="7" s="1"/>
  <c r="O2583" i="8"/>
  <c r="O1224" i="8"/>
  <c r="O2550" i="8"/>
  <c r="O3133" i="8"/>
  <c r="O2109" i="8"/>
  <c r="O2594" i="8"/>
  <c r="O2283" i="8"/>
  <c r="O2713" i="8"/>
  <c r="O2675" i="8"/>
  <c r="O259" i="8"/>
  <c r="O2362" i="8"/>
  <c r="O2991" i="8"/>
  <c r="O1535" i="8"/>
  <c r="O1217" i="8"/>
  <c r="O1179" i="8"/>
  <c r="O1931" i="8"/>
  <c r="O2815" i="8"/>
  <c r="O298" i="8"/>
  <c r="O260" i="8"/>
  <c r="O254" i="8"/>
  <c r="O2011" i="8"/>
  <c r="O832" i="8"/>
  <c r="O1846" i="8"/>
  <c r="O916" i="8"/>
  <c r="O1799" i="8"/>
  <c r="O2294" i="8"/>
  <c r="O783" i="8"/>
  <c r="O1010" i="8"/>
  <c r="O2242" i="8"/>
  <c r="O1054" i="8"/>
  <c r="O3084" i="8"/>
  <c r="O2338" i="8"/>
  <c r="O2449" i="8"/>
  <c r="O563" i="8"/>
  <c r="O1273" i="8"/>
  <c r="O523" i="8"/>
  <c r="O754" i="8"/>
  <c r="O864" i="8"/>
  <c r="O1844" i="8"/>
  <c r="O2241" i="8"/>
  <c r="O2914" i="8"/>
  <c r="O2240" i="8"/>
  <c r="O1932" i="8"/>
  <c r="O1833" i="8"/>
  <c r="O2014" i="8"/>
  <c r="O1228" i="8"/>
  <c r="O666" i="8"/>
  <c r="O2286" i="8"/>
  <c r="O3171" i="8"/>
  <c r="O2631" i="8"/>
  <c r="O2676" i="8"/>
  <c r="O304" i="8"/>
  <c r="O2453" i="8"/>
  <c r="O3004" i="8"/>
  <c r="O86" i="8"/>
  <c r="O2992" i="8"/>
  <c r="O1223" i="8"/>
  <c r="S1758" i="8"/>
  <c r="U1758" i="8"/>
  <c r="O2365" i="8"/>
  <c r="O919" i="8"/>
  <c r="O1922" i="8"/>
  <c r="O165" i="8"/>
  <c r="O2021" i="8"/>
  <c r="O2541" i="8"/>
  <c r="U1414" i="8"/>
  <c r="O1414" i="8" s="1"/>
  <c r="S1438" i="8"/>
  <c r="O1438" i="8" s="1"/>
  <c r="O2996" i="8"/>
  <c r="O2547" i="8"/>
  <c r="O295" i="8"/>
  <c r="O2102" i="8"/>
  <c r="O2455" i="8"/>
  <c r="O1617" i="8"/>
  <c r="S732" i="8"/>
  <c r="O517" i="8"/>
  <c r="O2460" i="8"/>
  <c r="O303" i="8"/>
  <c r="O652" i="8"/>
  <c r="O2723" i="8"/>
  <c r="O3090" i="8"/>
  <c r="O656" i="8"/>
  <c r="O695" i="8"/>
  <c r="O2539" i="8"/>
  <c r="O1711" i="8"/>
  <c r="O1662" i="8"/>
  <c r="O1399" i="8"/>
  <c r="O877" i="8"/>
  <c r="O1967" i="8"/>
  <c r="O207" i="8"/>
  <c r="O2586" i="8"/>
  <c r="O382" i="8"/>
  <c r="O2022" i="8"/>
  <c r="O690" i="8"/>
  <c r="O514" i="8"/>
  <c r="O569" i="8"/>
  <c r="O871" i="8"/>
  <c r="O520" i="8"/>
  <c r="O2953" i="8"/>
  <c r="O2451" i="8"/>
  <c r="O1007" i="8"/>
  <c r="O2816" i="8"/>
  <c r="B2090" i="8"/>
  <c r="O826" i="8"/>
  <c r="O1581" i="8"/>
  <c r="O1661" i="8"/>
  <c r="O562" i="8"/>
  <c r="O3089" i="8"/>
  <c r="O914" i="8"/>
  <c r="O1317" i="8"/>
  <c r="B902" i="8"/>
  <c r="O2777" i="8"/>
  <c r="O606" i="8"/>
  <c r="O1752" i="8"/>
  <c r="O342" i="8"/>
  <c r="O2910" i="8"/>
  <c r="O702" i="8"/>
  <c r="O745" i="8"/>
  <c r="B2530" i="8"/>
  <c r="O2782" i="8"/>
  <c r="O2588" i="8"/>
  <c r="B149" i="8"/>
  <c r="B150" i="8" s="1"/>
  <c r="B151" i="8" s="1"/>
  <c r="O2055" i="8"/>
  <c r="O2997" i="8"/>
  <c r="O293" i="8"/>
  <c r="B2852" i="8"/>
  <c r="O2772" i="8"/>
  <c r="O2505" i="8"/>
  <c r="O2542" i="8"/>
  <c r="O1933" i="8"/>
  <c r="O1790" i="8"/>
  <c r="O339" i="8"/>
  <c r="O3079" i="8"/>
  <c r="O1969" i="8"/>
  <c r="O2913" i="8"/>
  <c r="O3180" i="8"/>
  <c r="O930" i="8"/>
  <c r="O1663" i="8"/>
  <c r="O1793" i="8"/>
  <c r="O1359" i="8"/>
  <c r="O524" i="8"/>
  <c r="B3028" i="8"/>
  <c r="O2279" i="8"/>
  <c r="S1172" i="8"/>
  <c r="O2366" i="8"/>
  <c r="O1614" i="8"/>
  <c r="O1395" i="8"/>
  <c r="O2330" i="8"/>
  <c r="O2450" i="8"/>
  <c r="O834" i="8"/>
  <c r="U1172" i="8"/>
  <c r="O2470" i="8"/>
  <c r="O2558" i="8"/>
  <c r="O294" i="8"/>
  <c r="O2074" i="8"/>
  <c r="O608" i="8"/>
  <c r="S1612" i="8"/>
  <c r="O168" i="8"/>
  <c r="O2274" i="8"/>
  <c r="O733" i="8"/>
  <c r="O3039" i="8"/>
  <c r="O2063" i="8"/>
  <c r="O607" i="8"/>
  <c r="O2324" i="8"/>
  <c r="O526" i="8"/>
  <c r="O561" i="8"/>
  <c r="O1927" i="8"/>
  <c r="O347" i="8"/>
  <c r="O1794" i="8"/>
  <c r="O3012" i="8"/>
  <c r="O559" i="8"/>
  <c r="O2959" i="8"/>
  <c r="O1177" i="8"/>
  <c r="O831" i="8"/>
  <c r="U2410" i="8"/>
  <c r="S2410" i="8"/>
  <c r="S600" i="8"/>
  <c r="U600" i="8"/>
  <c r="S955" i="8"/>
  <c r="U955" i="8"/>
  <c r="U710" i="8"/>
  <c r="S710" i="8"/>
  <c r="B857" i="8"/>
  <c r="U14" i="6"/>
  <c r="O14" i="6" s="1"/>
  <c r="B37" i="7" s="1"/>
  <c r="O2958" i="8"/>
  <c r="O2229" i="8"/>
  <c r="O657" i="8"/>
  <c r="O2592" i="8"/>
  <c r="O2593" i="8"/>
  <c r="O3173" i="8"/>
  <c r="O226" i="8"/>
  <c r="O383" i="8"/>
  <c r="O171" i="8"/>
  <c r="O358" i="8"/>
  <c r="O2995" i="8"/>
  <c r="O1219" i="8"/>
  <c r="O601" i="8"/>
  <c r="O3091" i="8"/>
  <c r="O1439" i="8"/>
  <c r="O1881" i="8"/>
  <c r="O1046" i="8"/>
  <c r="O3174" i="8"/>
  <c r="O1928" i="8"/>
  <c r="B858" i="8"/>
  <c r="U732" i="8"/>
  <c r="O1667" i="8"/>
  <c r="O2498" i="8"/>
  <c r="O1230" i="8"/>
  <c r="O1888" i="8"/>
  <c r="O1315" i="8"/>
  <c r="O1887" i="8"/>
  <c r="O166" i="8"/>
  <c r="O875" i="8"/>
  <c r="O958" i="8"/>
  <c r="O1009" i="8"/>
  <c r="O1481" i="8"/>
  <c r="B330" i="8"/>
  <c r="O1008" i="8"/>
  <c r="O3167" i="8"/>
  <c r="O1492" i="8"/>
  <c r="O1664" i="8"/>
  <c r="O570" i="8"/>
  <c r="O217" i="8"/>
  <c r="O647" i="8"/>
  <c r="O568" i="8"/>
  <c r="O567" i="8"/>
  <c r="O2054" i="8"/>
  <c r="O966" i="8"/>
  <c r="O1494" i="8"/>
  <c r="O3178" i="8"/>
  <c r="O2924" i="8"/>
  <c r="O3100" i="8"/>
  <c r="O2236" i="8"/>
  <c r="O2680" i="8"/>
  <c r="S1089" i="8"/>
  <c r="U1089" i="8"/>
  <c r="U94" i="8"/>
  <c r="S94" i="8"/>
  <c r="S781" i="8"/>
  <c r="U781" i="8"/>
  <c r="S1097" i="8"/>
  <c r="U1097" i="8"/>
  <c r="S693" i="8"/>
  <c r="U693" i="8"/>
  <c r="U2187" i="8"/>
  <c r="S2187" i="8"/>
  <c r="U784" i="8"/>
  <c r="S784" i="8"/>
  <c r="U605" i="8"/>
  <c r="S605" i="8"/>
  <c r="U1750" i="8"/>
  <c r="S1750" i="8"/>
  <c r="U431" i="8"/>
  <c r="S431" i="8"/>
  <c r="S1106" i="8"/>
  <c r="U1106" i="8"/>
  <c r="S2718" i="8"/>
  <c r="U2718" i="8"/>
  <c r="S1714" i="8"/>
  <c r="U1714" i="8"/>
  <c r="S974" i="8"/>
  <c r="U974" i="8"/>
  <c r="U2097" i="8"/>
  <c r="S2097" i="8"/>
  <c r="S1362" i="8"/>
  <c r="U1362" i="8"/>
  <c r="U2110" i="8"/>
  <c r="S2110" i="8"/>
  <c r="U790" i="8"/>
  <c r="S790" i="8"/>
  <c r="S74" i="8"/>
  <c r="U74" i="8"/>
  <c r="S1964" i="8"/>
  <c r="U1964" i="8"/>
  <c r="U1450" i="8"/>
  <c r="S1450" i="8"/>
  <c r="U393" i="8"/>
  <c r="S393" i="8"/>
  <c r="U1755" i="8"/>
  <c r="S1755" i="8"/>
  <c r="U2143" i="8"/>
  <c r="S2143" i="8"/>
  <c r="S174" i="8"/>
  <c r="U174" i="8"/>
  <c r="U1575" i="8"/>
  <c r="S1575" i="8"/>
  <c r="S1444" i="8"/>
  <c r="U1444" i="8"/>
  <c r="S167" i="8"/>
  <c r="U167" i="8"/>
  <c r="U77" i="8"/>
  <c r="S77" i="8"/>
  <c r="S963" i="8"/>
  <c r="U963" i="8"/>
  <c r="U688" i="8"/>
  <c r="S688" i="8"/>
  <c r="S2409" i="8"/>
  <c r="U2409" i="8"/>
  <c r="S2147" i="8"/>
  <c r="U2147" i="8"/>
  <c r="S3036" i="8"/>
  <c r="U3036" i="8"/>
  <c r="U2190" i="8"/>
  <c r="S2190" i="8"/>
  <c r="S1971" i="8"/>
  <c r="U1971" i="8"/>
  <c r="U1570" i="8"/>
  <c r="S1570" i="8"/>
  <c r="S691" i="8"/>
  <c r="U691" i="8"/>
  <c r="S2148" i="8"/>
  <c r="U2148" i="8"/>
  <c r="U2374" i="8"/>
  <c r="S2374" i="8"/>
  <c r="U162" i="8"/>
  <c r="S162" i="8"/>
  <c r="U1590" i="8"/>
  <c r="S1590" i="8"/>
  <c r="U1406" i="8"/>
  <c r="S1406" i="8"/>
  <c r="S787" i="8"/>
  <c r="U787" i="8"/>
  <c r="S2406" i="8"/>
  <c r="U2406" i="8"/>
  <c r="U73" i="8"/>
  <c r="S73" i="8"/>
  <c r="U2417" i="8"/>
  <c r="S2417" i="8"/>
  <c r="S473" i="8"/>
  <c r="U473" i="8"/>
  <c r="U1747" i="8"/>
  <c r="S1747" i="8"/>
  <c r="S2714" i="8"/>
  <c r="U2714" i="8"/>
  <c r="S446" i="8"/>
  <c r="U446" i="8"/>
  <c r="U1282" i="8"/>
  <c r="S1282" i="8"/>
  <c r="U1135" i="8"/>
  <c r="S1135" i="8"/>
  <c r="U1579" i="8"/>
  <c r="S1579" i="8"/>
  <c r="U782" i="8"/>
  <c r="S782" i="8"/>
  <c r="S1178" i="8"/>
  <c r="U1178" i="8"/>
  <c r="S7" i="6"/>
  <c r="U7" i="6"/>
  <c r="S1356" i="8"/>
  <c r="U1356" i="8"/>
  <c r="U952" i="8"/>
  <c r="S952" i="8"/>
  <c r="U2195" i="8"/>
  <c r="S2195" i="8"/>
  <c r="U2415" i="8"/>
  <c r="S2415" i="8"/>
  <c r="S1403" i="8"/>
  <c r="U1403" i="8"/>
  <c r="U1349" i="8"/>
  <c r="S1349" i="8"/>
  <c r="U779" i="8"/>
  <c r="S779" i="8"/>
  <c r="S2096" i="8"/>
  <c r="U2096" i="8"/>
  <c r="U3045" i="8"/>
  <c r="S3045" i="8"/>
  <c r="U1392" i="8"/>
  <c r="S1392" i="8"/>
  <c r="U432" i="8"/>
  <c r="S432" i="8"/>
  <c r="U2426" i="8"/>
  <c r="S2426" i="8"/>
  <c r="U1615" i="8"/>
  <c r="S1615" i="8"/>
  <c r="U2717" i="8"/>
  <c r="S2717" i="8"/>
  <c r="U476" i="8"/>
  <c r="S476" i="8"/>
  <c r="U1186" i="8"/>
  <c r="S1186" i="8"/>
  <c r="U1141" i="8"/>
  <c r="S1141" i="8"/>
  <c r="U1458" i="8"/>
  <c r="S1458" i="8"/>
  <c r="S737" i="8"/>
  <c r="U737" i="8"/>
  <c r="U1139" i="8"/>
  <c r="S1139" i="8"/>
  <c r="U1095" i="8"/>
  <c r="S1095" i="8"/>
  <c r="S438" i="8"/>
  <c r="U438" i="8"/>
  <c r="S1749" i="8"/>
  <c r="U1749" i="8"/>
  <c r="U1757" i="8"/>
  <c r="S1757" i="8"/>
  <c r="U1351" i="8"/>
  <c r="S1351" i="8"/>
  <c r="U394" i="8"/>
  <c r="S394" i="8"/>
  <c r="U701" i="8"/>
  <c r="S701" i="8"/>
  <c r="U2151" i="8"/>
  <c r="S2151" i="8"/>
  <c r="S1618" i="8"/>
  <c r="U1618" i="8"/>
  <c r="U2145" i="8"/>
  <c r="S2145" i="8"/>
  <c r="S613" i="8"/>
  <c r="U613" i="8"/>
  <c r="U1173" i="8"/>
  <c r="S1173" i="8"/>
  <c r="S1966" i="8"/>
  <c r="U1966" i="8"/>
  <c r="U1262" i="8"/>
  <c r="S1262" i="8"/>
  <c r="U743" i="8"/>
  <c r="S743" i="8"/>
  <c r="U1576" i="8"/>
  <c r="S1576" i="8"/>
  <c r="S172" i="8"/>
  <c r="U172" i="8"/>
  <c r="U614" i="8"/>
  <c r="S614" i="8"/>
  <c r="U1098" i="8"/>
  <c r="S1098" i="8"/>
  <c r="S2382" i="8"/>
  <c r="U2382" i="8"/>
  <c r="U380" i="8"/>
  <c r="S380" i="8"/>
  <c r="U2411" i="8"/>
  <c r="S2411" i="8"/>
  <c r="S471" i="8"/>
  <c r="U471" i="8"/>
  <c r="U2099" i="8"/>
  <c r="S2099" i="8"/>
  <c r="S1086" i="8"/>
  <c r="U1086" i="8"/>
  <c r="S85" i="8"/>
  <c r="U85" i="8"/>
  <c r="U2162" i="8"/>
  <c r="S2162" i="8"/>
  <c r="U435" i="8"/>
  <c r="S435" i="8"/>
  <c r="U75" i="8"/>
  <c r="S75" i="8"/>
  <c r="S3034" i="8"/>
  <c r="U3034" i="8"/>
  <c r="S381" i="8"/>
  <c r="U381" i="8"/>
  <c r="U2715" i="8"/>
  <c r="S2715" i="8"/>
  <c r="S694" i="8"/>
  <c r="U694" i="8"/>
  <c r="U1265" i="8"/>
  <c r="S1265" i="8"/>
  <c r="S2103" i="8"/>
  <c r="U2103" i="8"/>
  <c r="U481" i="8"/>
  <c r="S481" i="8"/>
  <c r="U1185" i="8"/>
  <c r="S1185" i="8"/>
  <c r="S427" i="8"/>
  <c r="U427" i="8"/>
  <c r="S1128" i="8"/>
  <c r="U1128" i="8"/>
  <c r="S2189" i="8"/>
  <c r="U2189" i="8"/>
  <c r="S10" i="6"/>
  <c r="U10" i="6"/>
  <c r="U402" i="8"/>
  <c r="S402" i="8"/>
  <c r="U78" i="8"/>
  <c r="S78" i="8"/>
  <c r="U778" i="8"/>
  <c r="S778" i="8"/>
  <c r="S1972" i="8"/>
  <c r="U1972" i="8"/>
  <c r="S1266" i="8"/>
  <c r="U1266" i="8"/>
  <c r="S1355" i="8"/>
  <c r="U1355" i="8"/>
  <c r="S469" i="8"/>
  <c r="U469" i="8"/>
  <c r="S953" i="8"/>
  <c r="U953" i="8"/>
  <c r="U2720" i="8"/>
  <c r="S2720" i="8"/>
  <c r="S3042" i="8"/>
  <c r="U3042" i="8"/>
  <c r="U8" i="6"/>
  <c r="S8" i="6"/>
  <c r="S2373" i="8"/>
  <c r="U2373" i="8"/>
  <c r="S474" i="8"/>
  <c r="U474" i="8"/>
  <c r="S1353" i="8"/>
  <c r="U1353" i="8"/>
  <c r="U482" i="8"/>
  <c r="S482" i="8"/>
  <c r="U1573" i="8"/>
  <c r="S1573" i="8"/>
  <c r="S83" i="8"/>
  <c r="U83" i="8"/>
  <c r="U1436" i="8"/>
  <c r="S1436" i="8"/>
  <c r="U430" i="8"/>
  <c r="S430" i="8"/>
  <c r="U1131" i="8"/>
  <c r="S1131" i="8"/>
  <c r="U1745" i="8"/>
  <c r="S1745" i="8"/>
  <c r="U1274" i="8"/>
  <c r="S1274" i="8"/>
  <c r="U182" i="8"/>
  <c r="S182" i="8"/>
  <c r="U1134" i="8"/>
  <c r="S1134" i="8"/>
  <c r="U1706" i="8"/>
  <c r="S1706" i="8"/>
  <c r="S699" i="8"/>
  <c r="U699" i="8"/>
  <c r="U2153" i="8"/>
  <c r="S2153" i="8"/>
  <c r="S3041" i="8"/>
  <c r="U3041" i="8"/>
  <c r="U80" i="8"/>
  <c r="S80" i="8"/>
  <c r="U2367" i="8"/>
  <c r="S2367" i="8"/>
  <c r="S1085" i="8"/>
  <c r="U1085" i="8"/>
  <c r="U2142" i="8"/>
  <c r="S2142" i="8"/>
  <c r="S1708" i="8"/>
  <c r="U1708" i="8"/>
  <c r="U2360" i="8"/>
  <c r="S2360" i="8"/>
  <c r="U1634" i="8"/>
  <c r="S1634" i="8"/>
  <c r="U2726" i="8"/>
  <c r="S2726" i="8"/>
  <c r="U1574" i="8"/>
  <c r="S1574" i="8"/>
  <c r="U1354" i="8"/>
  <c r="S1354" i="8"/>
  <c r="U13" i="6"/>
  <c r="S13" i="6"/>
  <c r="U1370" i="8"/>
  <c r="S1370" i="8"/>
  <c r="S1965" i="8"/>
  <c r="U1965" i="8"/>
  <c r="U1441" i="8"/>
  <c r="S1441" i="8"/>
  <c r="U1348" i="8"/>
  <c r="S1348" i="8"/>
  <c r="U2185" i="8"/>
  <c r="S2185" i="8"/>
  <c r="U209" i="8"/>
  <c r="S209" i="8"/>
  <c r="U1623" i="8"/>
  <c r="S1623" i="8"/>
  <c r="U391" i="8"/>
  <c r="S391" i="8"/>
  <c r="S1744" i="8"/>
  <c r="U1744" i="8"/>
  <c r="S735" i="8"/>
  <c r="U735" i="8"/>
  <c r="U734" i="8"/>
  <c r="S734" i="8"/>
  <c r="U4" i="6"/>
  <c r="S4" i="6"/>
  <c r="U2140" i="8"/>
  <c r="S2140" i="8"/>
  <c r="U2725" i="8"/>
  <c r="S2725" i="8"/>
  <c r="S425" i="8"/>
  <c r="U425" i="8"/>
  <c r="S79" i="8"/>
  <c r="U79" i="8"/>
  <c r="S1361" i="8"/>
  <c r="U1361" i="8"/>
  <c r="U5" i="6"/>
  <c r="S5" i="6"/>
  <c r="U2098" i="8"/>
  <c r="S2098" i="8"/>
  <c r="S1267" i="8"/>
  <c r="U1267" i="8"/>
  <c r="S1150" i="8"/>
  <c r="U1150" i="8"/>
  <c r="U2154" i="8"/>
  <c r="S2154" i="8"/>
  <c r="U1613" i="8"/>
  <c r="S1613" i="8"/>
  <c r="U1084" i="8"/>
  <c r="S1084" i="8"/>
  <c r="U1619" i="8"/>
  <c r="S1619" i="8"/>
  <c r="U1986" i="8"/>
  <c r="S1986" i="8"/>
  <c r="U468" i="8"/>
  <c r="S468" i="8"/>
  <c r="S2719" i="8"/>
  <c r="U2719" i="8"/>
  <c r="U2186" i="8"/>
  <c r="S2186" i="8"/>
  <c r="U2101" i="8"/>
  <c r="S2101" i="8"/>
  <c r="U1268" i="8"/>
  <c r="S1268" i="8"/>
  <c r="U777" i="8"/>
  <c r="S777" i="8"/>
  <c r="S1175" i="8"/>
  <c r="U1175" i="8"/>
  <c r="U24" i="6"/>
  <c r="S24" i="6"/>
  <c r="S2118" i="8"/>
  <c r="U2118" i="8"/>
  <c r="S210" i="8"/>
  <c r="U210" i="8"/>
  <c r="U1702" i="8"/>
  <c r="S1702" i="8"/>
  <c r="U3046" i="8"/>
  <c r="S3046" i="8"/>
  <c r="U1568" i="8"/>
  <c r="S1568" i="8"/>
  <c r="S161" i="8"/>
  <c r="U161" i="8"/>
  <c r="U1350" i="8"/>
  <c r="S1350" i="8"/>
  <c r="O344" i="8"/>
  <c r="O1405" i="8"/>
  <c r="B1341" i="8"/>
  <c r="O1304" i="8"/>
  <c r="U1531" i="8"/>
  <c r="S1531" i="8"/>
  <c r="B3027" i="8"/>
  <c r="O2990" i="8"/>
  <c r="O1802" i="8"/>
  <c r="O1923" i="8"/>
  <c r="O2673" i="8"/>
  <c r="S2416" i="8"/>
  <c r="U2416" i="8"/>
  <c r="O910" i="8"/>
  <c r="O2322" i="8"/>
  <c r="O998" i="8"/>
  <c r="U2412" i="8"/>
  <c r="S2412" i="8"/>
  <c r="O385" i="8"/>
  <c r="O1485" i="8"/>
  <c r="O3124" i="8"/>
  <c r="O2494" i="8"/>
  <c r="M124" i="8"/>
  <c r="N124" i="8" s="1"/>
  <c r="B2896" i="8"/>
  <c r="S436" i="8"/>
  <c r="U436" i="8"/>
  <c r="B2265" i="8"/>
  <c r="O2228" i="8"/>
  <c r="B2618" i="8"/>
  <c r="O2060" i="8"/>
  <c r="M129" i="8"/>
  <c r="N129" i="8" s="1"/>
  <c r="O2960" i="8"/>
  <c r="O2277" i="8"/>
  <c r="U480" i="8"/>
  <c r="S480" i="8"/>
  <c r="O1878" i="8"/>
  <c r="O1889" i="8"/>
  <c r="U1260" i="8"/>
  <c r="S1260" i="8"/>
  <c r="B1518" i="8"/>
  <c r="B2851" i="8"/>
  <c r="O2814" i="8"/>
  <c r="O828" i="8"/>
  <c r="B1517" i="8"/>
  <c r="O1480" i="8"/>
  <c r="U959" i="8"/>
  <c r="S959" i="8"/>
  <c r="O2632" i="8"/>
  <c r="U160" i="8"/>
  <c r="S160" i="8"/>
  <c r="O2776" i="8"/>
  <c r="O2825" i="8"/>
  <c r="O1669" i="8"/>
  <c r="S216" i="8"/>
  <c r="U216" i="8"/>
  <c r="O1707" i="8"/>
  <c r="O2058" i="8"/>
  <c r="O1834" i="8"/>
  <c r="O564" i="8"/>
  <c r="O338" i="8"/>
  <c r="O1934" i="8"/>
  <c r="O2230" i="8"/>
  <c r="S437" i="8"/>
  <c r="U437" i="8"/>
  <c r="B2485" i="8"/>
  <c r="O2448" i="8"/>
  <c r="M116" i="8"/>
  <c r="N116" i="8" s="1"/>
  <c r="O2064" i="8"/>
  <c r="B2486" i="8"/>
  <c r="O650" i="8"/>
  <c r="S475" i="8"/>
  <c r="U475" i="8"/>
  <c r="M130" i="8"/>
  <c r="N130" i="8" s="1"/>
  <c r="M118" i="8"/>
  <c r="N118" i="8" s="1"/>
  <c r="O2317" i="8"/>
  <c r="O173" i="8"/>
  <c r="O3172" i="8"/>
  <c r="U2197" i="8"/>
  <c r="S2197" i="8"/>
  <c r="U1398" i="8"/>
  <c r="S1398" i="8"/>
  <c r="O1620" i="8"/>
  <c r="O2863" i="8"/>
  <c r="O515" i="8"/>
  <c r="O534" i="8"/>
  <c r="B2807" i="8"/>
  <c r="O2770" i="8"/>
  <c r="U1701" i="8"/>
  <c r="S1701" i="8"/>
  <c r="O1218" i="8"/>
  <c r="O387" i="8"/>
  <c r="O255" i="8"/>
  <c r="M119" i="8"/>
  <c r="N119" i="8" s="1"/>
  <c r="B1253" i="8"/>
  <c r="O1216" i="8"/>
  <c r="O341" i="8"/>
  <c r="U2192" i="8"/>
  <c r="S2192" i="8"/>
  <c r="O2057" i="8"/>
  <c r="B1254" i="8"/>
  <c r="O1796" i="8"/>
  <c r="O3128" i="8"/>
  <c r="U3047" i="8"/>
  <c r="S3047" i="8"/>
  <c r="O920" i="8"/>
  <c r="U1571" i="8"/>
  <c r="S1571" i="8"/>
  <c r="U204" i="8"/>
  <c r="S204" i="8"/>
  <c r="S776" i="8"/>
  <c r="U776" i="8"/>
  <c r="O1703" i="8"/>
  <c r="U1756" i="8"/>
  <c r="S1756" i="8"/>
  <c r="O611" i="8"/>
  <c r="O954" i="8"/>
  <c r="O1449" i="8"/>
  <c r="U3037" i="8"/>
  <c r="S3037" i="8"/>
  <c r="O2107" i="8"/>
  <c r="O622" i="8"/>
  <c r="U424" i="8"/>
  <c r="S424" i="8"/>
  <c r="U746" i="8"/>
  <c r="S746" i="8"/>
  <c r="O2872" i="8"/>
  <c r="O957" i="8"/>
  <c r="U964" i="8"/>
  <c r="S964" i="8"/>
  <c r="B593" i="8"/>
  <c r="O556" i="8"/>
  <c r="S1443" i="8"/>
  <c r="U1443" i="8"/>
  <c r="U798" i="8"/>
  <c r="S798" i="8"/>
  <c r="S212" i="8"/>
  <c r="U212" i="8"/>
  <c r="U1705" i="8"/>
  <c r="S1705" i="8"/>
  <c r="O1537" i="8"/>
  <c r="O558" i="8"/>
  <c r="U490" i="8"/>
  <c r="S490" i="8"/>
  <c r="B2617" i="8"/>
  <c r="O2580" i="8"/>
  <c r="O2860" i="8"/>
  <c r="O1400" i="8"/>
  <c r="O1142" i="8"/>
  <c r="S2184" i="8"/>
  <c r="U2184" i="8"/>
  <c r="O2371" i="8"/>
  <c r="O1048" i="8"/>
  <c r="O1526" i="8"/>
  <c r="B2808" i="8"/>
  <c r="O2235" i="8"/>
  <c r="O739" i="8"/>
  <c r="O2679" i="8"/>
  <c r="O211" i="8"/>
  <c r="B1078" i="8"/>
  <c r="S2108" i="8"/>
  <c r="U2108" i="8"/>
  <c r="U2407" i="8"/>
  <c r="S2407" i="8"/>
  <c r="O386" i="8"/>
  <c r="O1530" i="8"/>
  <c r="O2880" i="8"/>
  <c r="O163" i="8"/>
  <c r="O2278" i="8"/>
  <c r="S72" i="8"/>
  <c r="U72" i="8"/>
  <c r="B1914" i="8"/>
  <c r="B1958" i="8"/>
  <c r="B2089" i="8"/>
  <c r="O1136" i="8"/>
  <c r="O256" i="8"/>
  <c r="O270" i="8"/>
  <c r="O2822" i="8"/>
  <c r="U2724" i="8"/>
  <c r="S2724" i="8"/>
  <c r="O557" i="8"/>
  <c r="M128" i="8"/>
  <c r="N128" i="8" s="1"/>
  <c r="U1360" i="8"/>
  <c r="S1360" i="8"/>
  <c r="B2661" i="8"/>
  <c r="O2624" i="8"/>
  <c r="B3204" i="8"/>
  <c r="B285" i="8"/>
  <c r="O248" i="8"/>
  <c r="O1854" i="8"/>
  <c r="B1693" i="8"/>
  <c r="O1656" i="8"/>
  <c r="U2405" i="8"/>
  <c r="S2405" i="8"/>
  <c r="O2543" i="8"/>
  <c r="O2602" i="8"/>
  <c r="O1174" i="8"/>
  <c r="O655" i="8"/>
  <c r="U2712" i="8"/>
  <c r="S2712" i="8"/>
  <c r="U1712" i="8"/>
  <c r="S1712" i="8"/>
  <c r="S1447" i="8"/>
  <c r="U1447" i="8"/>
  <c r="M123" i="8"/>
  <c r="N123" i="8" s="1"/>
  <c r="B2353" i="8"/>
  <c r="O2316" i="8"/>
  <c r="O2783" i="8"/>
  <c r="O1051" i="8"/>
  <c r="B2662" i="8"/>
  <c r="O3125" i="8"/>
  <c r="O2871" i="8"/>
  <c r="O3179" i="8"/>
  <c r="O689" i="8"/>
  <c r="O300" i="8"/>
  <c r="O2681" i="8"/>
  <c r="O2285" i="8"/>
  <c r="B3203" i="8"/>
  <c r="O3166" i="8"/>
  <c r="B286" i="8"/>
  <c r="O1004" i="8"/>
  <c r="O2019" i="8"/>
  <c r="U1977" i="8"/>
  <c r="S1977" i="8"/>
  <c r="B1342" i="8"/>
  <c r="U789" i="8"/>
  <c r="S789" i="8"/>
  <c r="O2009" i="8"/>
  <c r="O872" i="8"/>
  <c r="O2191" i="8"/>
  <c r="O1898" i="8"/>
  <c r="U2152" i="8"/>
  <c r="S2152" i="8"/>
  <c r="B2266" i="8"/>
  <c r="U1271" i="8"/>
  <c r="S1271" i="8"/>
  <c r="O3168" i="8"/>
  <c r="O1092" i="8"/>
  <c r="U1524" i="8"/>
  <c r="S1524" i="8"/>
  <c r="O343" i="8"/>
  <c r="O1843" i="8"/>
  <c r="U2198" i="8"/>
  <c r="S2198" i="8"/>
  <c r="U1582" i="8"/>
  <c r="S1582" i="8"/>
  <c r="O1970" i="8"/>
  <c r="O2250" i="8"/>
  <c r="O1532" i="8"/>
  <c r="O1042" i="8"/>
  <c r="U1525" i="8"/>
  <c r="S1525" i="8"/>
  <c r="O1921" i="8"/>
  <c r="O1053" i="8"/>
  <c r="O2273" i="8"/>
  <c r="B945" i="8"/>
  <c r="O908" i="8"/>
  <c r="O1018" i="8"/>
  <c r="O2904" i="8"/>
  <c r="O2231" i="8"/>
  <c r="O2361" i="8"/>
  <c r="B1034" i="8"/>
  <c r="O1529" i="8"/>
  <c r="O3130" i="8"/>
  <c r="O1326" i="8"/>
  <c r="U788" i="8"/>
  <c r="S788" i="8"/>
  <c r="O2948" i="8"/>
  <c r="B2354" i="8"/>
  <c r="U2404" i="8"/>
  <c r="B373" i="8"/>
  <c r="O336" i="8"/>
  <c r="B1826" i="8"/>
  <c r="B2939" i="8"/>
  <c r="O2902" i="8"/>
  <c r="S1569" i="8"/>
  <c r="U1569" i="8"/>
  <c r="U1090" i="8"/>
  <c r="S1090" i="8"/>
  <c r="O2462" i="8"/>
  <c r="B2529" i="8"/>
  <c r="O2492" i="8"/>
  <c r="O2915" i="8"/>
  <c r="M117" i="8"/>
  <c r="N117" i="8" s="1"/>
  <c r="O1483" i="8"/>
  <c r="O822" i="8"/>
  <c r="O2318" i="8"/>
  <c r="U1448" i="8"/>
  <c r="S1448" i="8"/>
  <c r="O886" i="8"/>
  <c r="O833" i="8"/>
  <c r="S2141" i="8"/>
  <c r="U2141" i="8"/>
  <c r="O1393" i="8"/>
  <c r="U2418" i="8"/>
  <c r="S2418" i="8"/>
  <c r="S2196" i="8"/>
  <c r="U2196" i="8"/>
  <c r="B594" i="8"/>
  <c r="O2773" i="8"/>
  <c r="O1133" i="8"/>
  <c r="O646" i="8"/>
  <c r="O348" i="8"/>
  <c r="B2706" i="8"/>
  <c r="O1305" i="8"/>
  <c r="O1722" i="8"/>
  <c r="S3035" i="8"/>
  <c r="U3035" i="8"/>
  <c r="O3001" i="8"/>
  <c r="B2705" i="8"/>
  <c r="O2668" i="8"/>
  <c r="O1180" i="8"/>
  <c r="O2998" i="8"/>
  <c r="O2500" i="8"/>
  <c r="O262" i="8"/>
  <c r="B1913" i="8"/>
  <c r="O1876" i="8"/>
  <c r="S1087" i="8"/>
  <c r="U1087" i="8"/>
  <c r="O2363" i="8"/>
  <c r="B1870" i="8"/>
  <c r="O2104" i="8"/>
  <c r="B549" i="8"/>
  <c r="O512" i="8"/>
  <c r="U9" i="6"/>
  <c r="S9" i="6"/>
  <c r="S392" i="8"/>
  <c r="U392" i="8"/>
  <c r="B3160" i="8"/>
  <c r="B1869" i="8"/>
  <c r="O1832" i="8"/>
  <c r="B2984" i="8"/>
  <c r="S1624" i="8"/>
  <c r="U1624" i="8"/>
  <c r="M127" i="8"/>
  <c r="N127" i="8" s="1"/>
  <c r="U16" i="6"/>
  <c r="S16" i="6"/>
  <c r="B2983" i="8"/>
  <c r="O2946" i="8"/>
  <c r="O1316" i="8"/>
  <c r="O2775" i="8"/>
  <c r="U1580" i="8"/>
  <c r="S1580" i="8"/>
  <c r="O3188" i="8"/>
  <c r="O2630" i="8"/>
  <c r="O1397" i="8"/>
  <c r="U1184" i="8"/>
  <c r="S1184" i="8"/>
  <c r="O2582" i="8"/>
  <c r="U2372" i="8"/>
  <c r="S2372" i="8"/>
  <c r="S2404" i="8"/>
  <c r="O479" i="8"/>
  <c r="O827" i="8"/>
  <c r="B374" i="8"/>
  <c r="B1825" i="8"/>
  <c r="O1788" i="8"/>
  <c r="O215" i="8"/>
  <c r="O1222" i="8"/>
  <c r="O1890" i="8"/>
  <c r="O1183" i="8"/>
  <c r="O1835" i="8"/>
  <c r="O1227" i="8"/>
  <c r="O1047" i="8"/>
  <c r="O3048" i="8"/>
  <c r="O1238" i="8"/>
  <c r="O2952" i="8"/>
  <c r="B2940" i="8"/>
  <c r="U426" i="8"/>
  <c r="S426" i="8"/>
  <c r="O1091" i="8"/>
  <c r="O1810" i="8"/>
  <c r="S1263" i="8"/>
  <c r="U1263" i="8"/>
  <c r="O1668" i="8"/>
  <c r="O1625" i="8"/>
  <c r="O738" i="8"/>
  <c r="B2895" i="8"/>
  <c r="O2858" i="8"/>
  <c r="M121" i="8"/>
  <c r="N121" i="8" s="1"/>
  <c r="O306" i="8"/>
  <c r="O2233" i="8"/>
  <c r="B1077" i="8"/>
  <c r="O1040" i="8"/>
  <c r="O2784" i="8"/>
  <c r="U1140" i="8"/>
  <c r="S1140" i="8"/>
  <c r="U1978" i="8"/>
  <c r="S1978" i="8"/>
  <c r="U2206" i="8"/>
  <c r="S2206" i="8"/>
  <c r="O2861" i="8"/>
  <c r="O2503" i="8"/>
  <c r="O2010" i="8"/>
  <c r="B1033" i="8"/>
  <c r="O996" i="8"/>
  <c r="O205" i="8"/>
  <c r="O1538" i="8"/>
  <c r="O3085" i="8"/>
  <c r="O1926" i="8"/>
  <c r="S1536" i="8"/>
  <c r="U1536" i="8"/>
  <c r="O2870" i="8"/>
  <c r="U2734" i="8"/>
  <c r="S2734" i="8"/>
  <c r="O2284" i="8"/>
  <c r="U2" i="6"/>
  <c r="S2" i="6"/>
  <c r="O1801" i="8"/>
  <c r="S84" i="8"/>
  <c r="U84" i="8"/>
  <c r="U1700" i="8"/>
  <c r="S1700" i="8"/>
  <c r="O2690" i="8"/>
  <c r="B550" i="8"/>
  <c r="O1002" i="8"/>
  <c r="B901" i="8"/>
  <c r="B3159" i="8"/>
  <c r="O3122" i="8"/>
  <c r="B682" i="8"/>
  <c r="M122" i="8"/>
  <c r="N122" i="8" s="1"/>
  <c r="B681" i="8"/>
  <c r="O644" i="8"/>
  <c r="U2146" i="8"/>
  <c r="S2146" i="8"/>
  <c r="U3040" i="8"/>
  <c r="S3040" i="8"/>
  <c r="B2573" i="8"/>
  <c r="O2536" i="8"/>
  <c r="B2045" i="8"/>
  <c r="O2008" i="8"/>
  <c r="B2309" i="8"/>
  <c r="O2272" i="8"/>
  <c r="O2239" i="8"/>
  <c r="O2638" i="8"/>
  <c r="O337" i="8"/>
  <c r="B3115" i="8"/>
  <c r="O3078" i="8"/>
  <c r="O429" i="8"/>
  <c r="B1694" i="8"/>
  <c r="B1957" i="8"/>
  <c r="O1920" i="8"/>
  <c r="S1096" i="8"/>
  <c r="U1096" i="8"/>
  <c r="O915" i="8"/>
  <c r="U700" i="8"/>
  <c r="S700" i="8"/>
  <c r="O1309" i="8"/>
  <c r="O2859" i="8"/>
  <c r="O2671" i="8"/>
  <c r="O960" i="8"/>
  <c r="O1713" i="8"/>
  <c r="B329" i="8"/>
  <c r="O292" i="8"/>
  <c r="S740" i="8"/>
  <c r="U740" i="8"/>
  <c r="O1659" i="8"/>
  <c r="B946" i="8"/>
  <c r="S1404" i="8"/>
  <c r="U1404" i="8"/>
  <c r="U3" i="6"/>
  <c r="S3" i="6"/>
  <c r="S1261" i="8"/>
  <c r="U1261" i="8"/>
  <c r="O842" i="8"/>
  <c r="O2497" i="8"/>
  <c r="M138" i="8"/>
  <c r="N138" i="8" s="1"/>
  <c r="O823" i="8"/>
  <c r="O3083" i="8"/>
  <c r="S744" i="8"/>
  <c r="U744" i="8"/>
  <c r="O2459" i="8"/>
  <c r="O1052" i="8"/>
  <c r="O1043" i="8"/>
  <c r="M142" i="8"/>
  <c r="N142" i="8" s="1"/>
  <c r="U1976" i="8"/>
  <c r="S1976" i="8"/>
  <c r="O1306" i="8"/>
  <c r="S1272" i="8"/>
  <c r="U1272" i="8"/>
  <c r="O2504" i="8"/>
  <c r="O297" i="8"/>
  <c r="O249" i="8"/>
  <c r="O2059" i="8"/>
  <c r="O1678" i="8"/>
  <c r="O2819" i="8"/>
  <c r="B2574" i="8"/>
  <c r="B2046" i="8"/>
  <c r="O866" i="8"/>
  <c r="B2310" i="8"/>
  <c r="O1657" i="8"/>
  <c r="O3081" i="8"/>
  <c r="O2821" i="8"/>
  <c r="O2778" i="8"/>
  <c r="O388" i="8"/>
  <c r="O2506" i="8"/>
  <c r="O350" i="8"/>
  <c r="B3116" i="8"/>
  <c r="O1612" i="8" l="1"/>
  <c r="O1986" i="8"/>
  <c r="O391" i="8"/>
  <c r="O1354" i="8"/>
  <c r="O80" i="8"/>
  <c r="O1131" i="8"/>
  <c r="O8" i="6"/>
  <c r="B33" i="7" s="1"/>
  <c r="O1265" i="8"/>
  <c r="O1576" i="8"/>
  <c r="O1702" i="8"/>
  <c r="O2098" i="8"/>
  <c r="O1370" i="8"/>
  <c r="O1274" i="8"/>
  <c r="O481" i="8"/>
  <c r="O2162" i="8"/>
  <c r="O614" i="8"/>
  <c r="O1139" i="8"/>
  <c r="O432" i="8"/>
  <c r="O78" i="8"/>
  <c r="O2405" i="8"/>
  <c r="O1582" i="8"/>
  <c r="O3037" i="8"/>
  <c r="O2410" i="8"/>
  <c r="O1976" i="8"/>
  <c r="O2734" i="8"/>
  <c r="O1140" i="8"/>
  <c r="O2146" i="8"/>
  <c r="O1978" i="8"/>
  <c r="O1977" i="8"/>
  <c r="O426" i="8"/>
  <c r="O789" i="8"/>
  <c r="O2418" i="8"/>
  <c r="O1090" i="8"/>
  <c r="O2101" i="8"/>
  <c r="O4" i="6"/>
  <c r="B30" i="7" s="1"/>
  <c r="O1441" i="8"/>
  <c r="O1134" i="8"/>
  <c r="O75" i="8"/>
  <c r="O1615" i="8"/>
  <c r="O2415" i="8"/>
  <c r="O1282" i="8"/>
  <c r="O784" i="8"/>
  <c r="O480" i="8"/>
  <c r="O2411" i="8"/>
  <c r="O1757" i="8"/>
  <c r="O476" i="8"/>
  <c r="O1349" i="8"/>
  <c r="O1579" i="8"/>
  <c r="O790" i="8"/>
  <c r="O1750" i="8"/>
  <c r="O2372" i="8"/>
  <c r="O2198" i="8"/>
  <c r="O798" i="8"/>
  <c r="O162" i="8"/>
  <c r="O1755" i="8"/>
  <c r="O1184" i="8"/>
  <c r="O13" i="6"/>
  <c r="B36" i="7" s="1"/>
  <c r="O2367" i="8"/>
  <c r="O2151" i="8"/>
  <c r="O1747" i="8"/>
  <c r="O2374" i="8"/>
  <c r="O1758" i="8"/>
  <c r="O1705" i="8"/>
  <c r="O1172" i="8"/>
  <c r="O788" i="8"/>
  <c r="O3047" i="8"/>
  <c r="O1268" i="8"/>
  <c r="O2154" i="8"/>
  <c r="O1706" i="8"/>
  <c r="O1573" i="8"/>
  <c r="O1173" i="8"/>
  <c r="O2717" i="8"/>
  <c r="O1135" i="8"/>
  <c r="O2190" i="8"/>
  <c r="O1575" i="8"/>
  <c r="O2110" i="8"/>
  <c r="O605" i="8"/>
  <c r="O1525" i="8"/>
  <c r="O2724" i="8"/>
  <c r="O2412" i="8"/>
  <c r="O710" i="8"/>
  <c r="B903" i="8"/>
  <c r="P869" i="8" s="1"/>
  <c r="O964" i="8"/>
  <c r="O600" i="8"/>
  <c r="O1745" i="8"/>
  <c r="O778" i="8"/>
  <c r="O393" i="8"/>
  <c r="O1531" i="8"/>
  <c r="O732" i="8"/>
  <c r="O1448" i="8"/>
  <c r="O1271" i="8"/>
  <c r="O2407" i="8"/>
  <c r="O24" i="6"/>
  <c r="B40" i="7" s="1"/>
  <c r="O1619" i="8"/>
  <c r="O1623" i="8"/>
  <c r="O1574" i="8"/>
  <c r="O430" i="8"/>
  <c r="O402" i="8"/>
  <c r="O2099" i="8"/>
  <c r="O743" i="8"/>
  <c r="O77" i="8"/>
  <c r="O94" i="8"/>
  <c r="B638" i="8"/>
  <c r="O701" i="8"/>
  <c r="O1458" i="8"/>
  <c r="O3045" i="8"/>
  <c r="O1450" i="8"/>
  <c r="B770" i="8"/>
  <c r="O700" i="8"/>
  <c r="B683" i="8"/>
  <c r="P667" i="8" s="1"/>
  <c r="O1266" i="8"/>
  <c r="O490" i="8"/>
  <c r="O3" i="6"/>
  <c r="B29" i="7" s="1"/>
  <c r="O746" i="8"/>
  <c r="O1571" i="8"/>
  <c r="O1701" i="8"/>
  <c r="O2153" i="8"/>
  <c r="O2720" i="8"/>
  <c r="O2715" i="8"/>
  <c r="O1262" i="8"/>
  <c r="O1351" i="8"/>
  <c r="O1186" i="8"/>
  <c r="O779" i="8"/>
  <c r="O782" i="8"/>
  <c r="O73" i="8"/>
  <c r="O1570" i="8"/>
  <c r="O431" i="8"/>
  <c r="S128" i="8"/>
  <c r="U128" i="8"/>
  <c r="B2619" i="8"/>
  <c r="P2601" i="8" s="1"/>
  <c r="B2091" i="8"/>
  <c r="P2077" i="8" s="1"/>
  <c r="B2531" i="8"/>
  <c r="P2518" i="8" s="1"/>
  <c r="B637" i="8"/>
  <c r="B1650" i="8"/>
  <c r="B242" i="8"/>
  <c r="O1089" i="8"/>
  <c r="B2047" i="8"/>
  <c r="P2008" i="8" s="1"/>
  <c r="B1166" i="8"/>
  <c r="B3072" i="8"/>
  <c r="O955" i="8"/>
  <c r="O74" i="8"/>
  <c r="B1871" i="8"/>
  <c r="P1849" i="8" s="1"/>
  <c r="B859" i="8"/>
  <c r="P840" i="8" s="1"/>
  <c r="B1210" i="8"/>
  <c r="B1255" i="8"/>
  <c r="P1234" i="8" s="1"/>
  <c r="O1536" i="8"/>
  <c r="O1178" i="8"/>
  <c r="B2311" i="8"/>
  <c r="P2273" i="8" s="1"/>
  <c r="O482" i="8"/>
  <c r="O1406" i="8"/>
  <c r="O5" i="6"/>
  <c r="B31" i="7" s="1"/>
  <c r="O1175" i="8"/>
  <c r="O167" i="8"/>
  <c r="O1580" i="8"/>
  <c r="O9" i="6"/>
  <c r="B34" i="7" s="1"/>
  <c r="B1562" i="8"/>
  <c r="O740" i="8"/>
  <c r="O691" i="8"/>
  <c r="O425" i="8"/>
  <c r="O3040" i="8"/>
  <c r="O2206" i="8"/>
  <c r="O1712" i="8"/>
  <c r="O1360" i="8"/>
  <c r="B1519" i="8"/>
  <c r="P1489" i="8" s="1"/>
  <c r="O3046" i="8"/>
  <c r="O2186" i="8"/>
  <c r="O734" i="8"/>
  <c r="O2142" i="8"/>
  <c r="O182" i="8"/>
  <c r="O1185" i="8"/>
  <c r="O435" i="8"/>
  <c r="O1098" i="8"/>
  <c r="O2145" i="8"/>
  <c r="O1095" i="8"/>
  <c r="O2426" i="8"/>
  <c r="O2195" i="8"/>
  <c r="O1590" i="8"/>
  <c r="O2143" i="8"/>
  <c r="O2097" i="8"/>
  <c r="O2187" i="8"/>
  <c r="S121" i="8"/>
  <c r="U121" i="8"/>
  <c r="U123" i="8"/>
  <c r="S123" i="8"/>
  <c r="S124" i="8"/>
  <c r="U124" i="8"/>
  <c r="U130" i="8"/>
  <c r="S130" i="8"/>
  <c r="U138" i="8"/>
  <c r="S138" i="8"/>
  <c r="U119" i="8"/>
  <c r="S119" i="8"/>
  <c r="S122" i="8"/>
  <c r="U122" i="8"/>
  <c r="U118" i="8"/>
  <c r="S118" i="8"/>
  <c r="B2441" i="8"/>
  <c r="O2404" i="8"/>
  <c r="U117" i="8"/>
  <c r="S117" i="8"/>
  <c r="U127" i="8"/>
  <c r="S127" i="8"/>
  <c r="O2108" i="8"/>
  <c r="B1385" i="8"/>
  <c r="O1348" i="8"/>
  <c r="O2189" i="8"/>
  <c r="O1444" i="8"/>
  <c r="B814" i="8"/>
  <c r="B1386" i="8"/>
  <c r="O1749" i="8"/>
  <c r="B1737" i="8"/>
  <c r="O1700" i="8"/>
  <c r="B2853" i="8"/>
  <c r="O438" i="8"/>
  <c r="B2897" i="8"/>
  <c r="O1272" i="8"/>
  <c r="U129" i="8"/>
  <c r="S129" i="8"/>
  <c r="O1087" i="8"/>
  <c r="B2397" i="8"/>
  <c r="O2360" i="8"/>
  <c r="O381" i="8"/>
  <c r="B1915" i="8"/>
  <c r="B417" i="8"/>
  <c r="O380" i="8"/>
  <c r="B813" i="8"/>
  <c r="O776" i="8"/>
  <c r="B2267" i="8"/>
  <c r="O1403" i="8"/>
  <c r="B2575" i="8"/>
  <c r="B1695" i="8"/>
  <c r="O1355" i="8"/>
  <c r="O1362" i="8"/>
  <c r="O1965" i="8"/>
  <c r="B2355" i="8"/>
  <c r="B462" i="8"/>
  <c r="O446" i="8"/>
  <c r="O392" i="8"/>
  <c r="O2719" i="8"/>
  <c r="O1569" i="8"/>
  <c r="B110" i="8"/>
  <c r="B2809" i="8"/>
  <c r="O474" i="8"/>
  <c r="B990" i="8"/>
  <c r="B1561" i="8"/>
  <c r="O1524" i="8"/>
  <c r="O475" i="8"/>
  <c r="B725" i="8"/>
  <c r="O688" i="8"/>
  <c r="O1404" i="8"/>
  <c r="O2373" i="8"/>
  <c r="O737" i="8"/>
  <c r="O2118" i="8"/>
  <c r="O1086" i="8"/>
  <c r="O7" i="6"/>
  <c r="B32" i="7" s="1"/>
  <c r="O473" i="8"/>
  <c r="O2148" i="8"/>
  <c r="O963" i="8"/>
  <c r="O2718" i="8"/>
  <c r="O781" i="8"/>
  <c r="B505" i="8"/>
  <c r="O468" i="8"/>
  <c r="O1972" i="8"/>
  <c r="O2714" i="8"/>
  <c r="B1959" i="8"/>
  <c r="B109" i="8"/>
  <c r="O72" i="8"/>
  <c r="O216" i="8"/>
  <c r="B1209" i="8"/>
  <c r="O1356" i="8"/>
  <c r="O1263" i="8"/>
  <c r="B2985" i="8"/>
  <c r="B3117" i="8"/>
  <c r="B2221" i="8"/>
  <c r="O2184" i="8"/>
  <c r="B595" i="8"/>
  <c r="B769" i="8"/>
  <c r="U116" i="8"/>
  <c r="S116" i="8"/>
  <c r="B197" i="8"/>
  <c r="O160" i="8"/>
  <c r="O79" i="8"/>
  <c r="O394" i="8"/>
  <c r="O1141" i="8"/>
  <c r="B2134" i="8"/>
  <c r="O2417" i="8"/>
  <c r="B2002" i="8"/>
  <c r="O437" i="8"/>
  <c r="B2177" i="8"/>
  <c r="O2140" i="8"/>
  <c r="O953" i="8"/>
  <c r="O1971" i="8"/>
  <c r="O1624" i="8"/>
  <c r="B1649" i="8"/>
  <c r="O2416" i="8"/>
  <c r="O469" i="8"/>
  <c r="O787" i="8"/>
  <c r="O2196" i="8"/>
  <c r="B1738" i="8"/>
  <c r="O613" i="8"/>
  <c r="O3036" i="8"/>
  <c r="O436" i="8"/>
  <c r="O84" i="8"/>
  <c r="B1297" i="8"/>
  <c r="O1260" i="8"/>
  <c r="O1353" i="8"/>
  <c r="O2147" i="8"/>
  <c r="B287" i="8"/>
  <c r="B3029" i="8"/>
  <c r="B1782" i="8"/>
  <c r="O1618" i="8"/>
  <c r="O693" i="8"/>
  <c r="B24" i="7"/>
  <c r="B506" i="8"/>
  <c r="B1429" i="8"/>
  <c r="O1392" i="8"/>
  <c r="O172" i="8"/>
  <c r="O1097" i="8"/>
  <c r="B551" i="8"/>
  <c r="B1827" i="8"/>
  <c r="B375" i="8"/>
  <c r="B3205" i="8"/>
  <c r="B2222" i="8"/>
  <c r="B1343" i="8"/>
  <c r="O16" i="6"/>
  <c r="B39" i="7" s="1"/>
  <c r="B2442" i="8"/>
  <c r="B2749" i="8"/>
  <c r="O2712" i="8"/>
  <c r="O2192" i="8"/>
  <c r="O1398" i="8"/>
  <c r="B198" i="8"/>
  <c r="B1121" i="8"/>
  <c r="O1084" i="8"/>
  <c r="O209" i="8"/>
  <c r="O2726" i="8"/>
  <c r="O3041" i="8"/>
  <c r="O3042" i="8"/>
  <c r="O694" i="8"/>
  <c r="B2133" i="8"/>
  <c r="O2096" i="8"/>
  <c r="B2001" i="8"/>
  <c r="O1964" i="8"/>
  <c r="O1106" i="8"/>
  <c r="O83" i="8"/>
  <c r="O2406" i="8"/>
  <c r="B1605" i="8"/>
  <c r="O1568" i="8"/>
  <c r="B1165" i="8"/>
  <c r="O1128" i="8"/>
  <c r="B418" i="8"/>
  <c r="B1035" i="8"/>
  <c r="O1150" i="8"/>
  <c r="O1708" i="8"/>
  <c r="O2382" i="8"/>
  <c r="O1267" i="8"/>
  <c r="B1298" i="8"/>
  <c r="B989" i="8"/>
  <c r="O952" i="8"/>
  <c r="O2141" i="8"/>
  <c r="O1085" i="8"/>
  <c r="O2409" i="8"/>
  <c r="B2941" i="8"/>
  <c r="B947" i="8"/>
  <c r="B1781" i="8"/>
  <c r="O1744" i="8"/>
  <c r="B2663" i="8"/>
  <c r="O2103" i="8"/>
  <c r="O1714" i="8"/>
  <c r="O1447" i="8"/>
  <c r="O1443" i="8"/>
  <c r="B331" i="8"/>
  <c r="B3161" i="8"/>
  <c r="B1079" i="8"/>
  <c r="B2750" i="8"/>
  <c r="B2487" i="8"/>
  <c r="B1122" i="8"/>
  <c r="B1473" i="8"/>
  <c r="O1436" i="8"/>
  <c r="O699" i="8"/>
  <c r="O1966" i="8"/>
  <c r="O161" i="8"/>
  <c r="B2178" i="8"/>
  <c r="B2398" i="8"/>
  <c r="B3071" i="8"/>
  <c r="O3034" i="8"/>
  <c r="B241" i="8"/>
  <c r="O204" i="8"/>
  <c r="B1606" i="8"/>
  <c r="O427" i="8"/>
  <c r="O174" i="8"/>
  <c r="B461" i="8"/>
  <c r="O424" i="8"/>
  <c r="O1261" i="8"/>
  <c r="B2707" i="8"/>
  <c r="O735" i="8"/>
  <c r="O1096" i="8"/>
  <c r="B23" i="7"/>
  <c r="O2" i="6"/>
  <c r="O212" i="8"/>
  <c r="O974" i="8"/>
  <c r="O210" i="8"/>
  <c r="O85" i="8"/>
  <c r="B1430" i="8"/>
  <c r="B726" i="8"/>
  <c r="O3035" i="8"/>
  <c r="O1361" i="8"/>
  <c r="O744" i="8"/>
  <c r="O2152" i="8"/>
  <c r="O1756" i="8"/>
  <c r="O2197" i="8"/>
  <c r="O959" i="8"/>
  <c r="O1350" i="8"/>
  <c r="O777" i="8"/>
  <c r="O1613" i="8"/>
  <c r="O2725" i="8"/>
  <c r="O2185" i="8"/>
  <c r="O1634" i="8"/>
  <c r="B1474" i="8"/>
  <c r="O10" i="6"/>
  <c r="B35" i="7" s="1"/>
  <c r="O471" i="8"/>
  <c r="O119" i="8" l="1"/>
  <c r="P844" i="8"/>
  <c r="P846" i="8"/>
  <c r="P827" i="8"/>
  <c r="P842" i="8"/>
  <c r="O129" i="8"/>
  <c r="O117" i="8"/>
  <c r="P1846" i="8"/>
  <c r="P881" i="8"/>
  <c r="P884" i="8"/>
  <c r="P865" i="8"/>
  <c r="P876" i="8"/>
  <c r="P886" i="8"/>
  <c r="P864" i="8"/>
  <c r="O127" i="8"/>
  <c r="P875" i="8"/>
  <c r="P885" i="8"/>
  <c r="P868" i="8"/>
  <c r="P879" i="8"/>
  <c r="P877" i="8"/>
  <c r="P867" i="8"/>
  <c r="P882" i="8"/>
  <c r="P878" i="8"/>
  <c r="P866" i="8"/>
  <c r="P873" i="8"/>
  <c r="P880" i="8"/>
  <c r="B639" i="8"/>
  <c r="P605" i="8" s="1"/>
  <c r="P887" i="8"/>
  <c r="P883" i="8"/>
  <c r="P889" i="8"/>
  <c r="P874" i="8"/>
  <c r="P888" i="8"/>
  <c r="P871" i="8"/>
  <c r="P870" i="8"/>
  <c r="G23" i="8"/>
  <c r="P872" i="8"/>
  <c r="P1503" i="8"/>
  <c r="O118" i="8"/>
  <c r="O123" i="8"/>
  <c r="P2290" i="8"/>
  <c r="P645" i="8"/>
  <c r="P655" i="8"/>
  <c r="P653" i="8"/>
  <c r="P2278" i="8"/>
  <c r="P666" i="8"/>
  <c r="G18" i="8"/>
  <c r="P2297" i="8"/>
  <c r="P668" i="8"/>
  <c r="P1237" i="8"/>
  <c r="P1834" i="8"/>
  <c r="B1211" i="8"/>
  <c r="P1193" i="8" s="1"/>
  <c r="P1488" i="8"/>
  <c r="P662" i="8"/>
  <c r="P1856" i="8"/>
  <c r="P890" i="8"/>
  <c r="P1228" i="8"/>
  <c r="P2281" i="8"/>
  <c r="P2275" i="8"/>
  <c r="P2286" i="8"/>
  <c r="P1844" i="8"/>
  <c r="O138" i="8"/>
  <c r="P1480" i="8"/>
  <c r="P2293" i="8"/>
  <c r="P2605" i="8"/>
  <c r="P2585" i="8"/>
  <c r="P2593" i="8"/>
  <c r="P2603" i="8"/>
  <c r="P1481" i="8"/>
  <c r="P656" i="8"/>
  <c r="P1495" i="8"/>
  <c r="P2075" i="8"/>
  <c r="P2272" i="8"/>
  <c r="P654" i="8"/>
  <c r="P1491" i="8"/>
  <c r="I24" i="8"/>
  <c r="B24" i="8" s="1"/>
  <c r="C64" i="7" s="1"/>
  <c r="P648" i="8"/>
  <c r="P1484" i="8"/>
  <c r="P2581" i="8"/>
  <c r="P2501" i="8"/>
  <c r="P2067" i="8"/>
  <c r="P644" i="8"/>
  <c r="P2503" i="8"/>
  <c r="P2508" i="8"/>
  <c r="P649" i="8"/>
  <c r="B1563" i="8"/>
  <c r="P1539" i="8" s="1"/>
  <c r="P1485" i="8"/>
  <c r="P2592" i="8"/>
  <c r="P2073" i="8"/>
  <c r="P2497" i="8"/>
  <c r="P2296" i="8"/>
  <c r="P2510" i="8"/>
  <c r="P2282" i="8"/>
  <c r="P2606" i="8"/>
  <c r="B1475" i="8"/>
  <c r="P1446" i="8" s="1"/>
  <c r="P651" i="8"/>
  <c r="P1502" i="8"/>
  <c r="P2582" i="8"/>
  <c r="P2060" i="8"/>
  <c r="I17" i="8"/>
  <c r="B17" i="8" s="1"/>
  <c r="C57" i="7" s="1"/>
  <c r="P2502" i="8"/>
  <c r="P2602" i="8"/>
  <c r="P2587" i="8"/>
  <c r="P2061" i="8"/>
  <c r="P2054" i="8"/>
  <c r="I9" i="8"/>
  <c r="B9" i="8" s="1"/>
  <c r="C49" i="7" s="1"/>
  <c r="P1505" i="8"/>
  <c r="P2064" i="8"/>
  <c r="P1493" i="8"/>
  <c r="P2584" i="8"/>
  <c r="P1487" i="8"/>
  <c r="P2071" i="8"/>
  <c r="P2015" i="8"/>
  <c r="P2493" i="8"/>
  <c r="P2056" i="8"/>
  <c r="P669" i="8"/>
  <c r="P1482" i="8"/>
  <c r="P2063" i="8"/>
  <c r="O130" i="8"/>
  <c r="B1651" i="8"/>
  <c r="P1624" i="8" s="1"/>
  <c r="P2074" i="8"/>
  <c r="P2597" i="8"/>
  <c r="P2492" i="8"/>
  <c r="P2504" i="8"/>
  <c r="P2070" i="8"/>
  <c r="P2291" i="8"/>
  <c r="P646" i="8"/>
  <c r="P2595" i="8"/>
  <c r="P2076" i="8"/>
  <c r="P2292" i="8"/>
  <c r="P2276" i="8"/>
  <c r="I16" i="8"/>
  <c r="B16" i="8" s="1"/>
  <c r="C56" i="7" s="1"/>
  <c r="P665" i="8"/>
  <c r="P660" i="8"/>
  <c r="P1497" i="8"/>
  <c r="P1486" i="8"/>
  <c r="P2594" i="8"/>
  <c r="P2580" i="8"/>
  <c r="P2499" i="8"/>
  <c r="P2505" i="8"/>
  <c r="P2058" i="8"/>
  <c r="P2062" i="8"/>
  <c r="P2022" i="8"/>
  <c r="I25" i="8"/>
  <c r="B25" i="8" s="1"/>
  <c r="C65" i="7" s="1"/>
  <c r="P2506" i="8"/>
  <c r="P2023" i="8"/>
  <c r="P2604" i="8"/>
  <c r="P2517" i="8"/>
  <c r="P2068" i="8"/>
  <c r="P2287" i="8"/>
  <c r="P2285" i="8"/>
  <c r="P1490" i="8"/>
  <c r="P2496" i="8"/>
  <c r="P2289" i="8"/>
  <c r="P657" i="8"/>
  <c r="P2599" i="8"/>
  <c r="P2065" i="8"/>
  <c r="P1855" i="8"/>
  <c r="P2279" i="8"/>
  <c r="P2277" i="8"/>
  <c r="P670" i="8"/>
  <c r="P647" i="8"/>
  <c r="P1504" i="8"/>
  <c r="P1506" i="8"/>
  <c r="P2591" i="8"/>
  <c r="P2596" i="8"/>
  <c r="P2498" i="8"/>
  <c r="P2514" i="8"/>
  <c r="P2057" i="8"/>
  <c r="P2072" i="8"/>
  <c r="P2030" i="8"/>
  <c r="I22" i="8"/>
  <c r="B22" i="8" s="1"/>
  <c r="C62" i="7" s="1"/>
  <c r="P2019" i="8"/>
  <c r="P2295" i="8"/>
  <c r="P2583" i="8"/>
  <c r="P2066" i="8"/>
  <c r="P2032" i="8"/>
  <c r="P2280" i="8"/>
  <c r="P2284" i="8"/>
  <c r="P2590" i="8"/>
  <c r="P2494" i="8"/>
  <c r="P2017" i="8"/>
  <c r="P2283" i="8"/>
  <c r="P661" i="8"/>
  <c r="P1492" i="8"/>
  <c r="P2600" i="8"/>
  <c r="P2509" i="8"/>
  <c r="P1498" i="8"/>
  <c r="P2598" i="8"/>
  <c r="P2507" i="8"/>
  <c r="P2274" i="8"/>
  <c r="P1500" i="8"/>
  <c r="P2588" i="8"/>
  <c r="P2516" i="8"/>
  <c r="I8" i="8"/>
  <c r="B8" i="8" s="1"/>
  <c r="C48" i="7" s="1"/>
  <c r="P1835" i="8"/>
  <c r="P2288" i="8"/>
  <c r="P2294" i="8"/>
  <c r="P658" i="8"/>
  <c r="P663" i="8"/>
  <c r="I5" i="8"/>
  <c r="B5" i="8" s="1"/>
  <c r="C45" i="7" s="1"/>
  <c r="P1499" i="8"/>
  <c r="P1483" i="8"/>
  <c r="P2586" i="8"/>
  <c r="P2513" i="8"/>
  <c r="P2055" i="8"/>
  <c r="P2078" i="8"/>
  <c r="P2012" i="8"/>
  <c r="P2024" i="8"/>
  <c r="P2014" i="8"/>
  <c r="I23" i="8"/>
  <c r="B23" i="8" s="1"/>
  <c r="C63" i="7" s="1"/>
  <c r="P2026" i="8"/>
  <c r="P2495" i="8"/>
  <c r="P2512" i="8"/>
  <c r="P2515" i="8"/>
  <c r="P2298" i="8"/>
  <c r="O128" i="8"/>
  <c r="P650" i="8"/>
  <c r="P1494" i="8"/>
  <c r="P2589" i="8"/>
  <c r="P2500" i="8"/>
  <c r="P2021" i="8"/>
  <c r="P659" i="8"/>
  <c r="P652" i="8"/>
  <c r="P1501" i="8"/>
  <c r="P2511" i="8"/>
  <c r="P2059" i="8"/>
  <c r="P1854" i="8"/>
  <c r="P664" i="8"/>
  <c r="I26" i="8"/>
  <c r="B26" i="8" s="1"/>
  <c r="C66" i="7" s="1"/>
  <c r="P1496" i="8"/>
  <c r="P2052" i="8"/>
  <c r="P2053" i="8"/>
  <c r="P1832" i="8"/>
  <c r="B771" i="8"/>
  <c r="P733" i="8" s="1"/>
  <c r="P1839" i="8"/>
  <c r="P826" i="8"/>
  <c r="P2011" i="8"/>
  <c r="P2029" i="8"/>
  <c r="B991" i="8"/>
  <c r="P977" i="8" s="1"/>
  <c r="P1838" i="8"/>
  <c r="I7" i="8"/>
  <c r="B7" i="8" s="1"/>
  <c r="P1231" i="8"/>
  <c r="P830" i="8"/>
  <c r="P834" i="8"/>
  <c r="P1224" i="8"/>
  <c r="P1225" i="8"/>
  <c r="P1836" i="8"/>
  <c r="P1221" i="8"/>
  <c r="P1241" i="8"/>
  <c r="P1847" i="8"/>
  <c r="B243" i="8"/>
  <c r="P209" i="8" s="1"/>
  <c r="P1837" i="8"/>
  <c r="P820" i="8"/>
  <c r="P1218" i="8"/>
  <c r="P1226" i="8"/>
  <c r="P2013" i="8"/>
  <c r="P1852" i="8"/>
  <c r="P2031" i="8"/>
  <c r="P2009" i="8"/>
  <c r="P1833" i="8"/>
  <c r="I29" i="8"/>
  <c r="B29" i="8" s="1"/>
  <c r="C69" i="7" s="1"/>
  <c r="P1235" i="8"/>
  <c r="P843" i="8"/>
  <c r="P833" i="8"/>
  <c r="B1739" i="8"/>
  <c r="P1715" i="8" s="1"/>
  <c r="P1858" i="8"/>
  <c r="P1848" i="8"/>
  <c r="P1857" i="8"/>
  <c r="P1236" i="8"/>
  <c r="P1850" i="8"/>
  <c r="P823" i="8"/>
  <c r="P832" i="8"/>
  <c r="P2018" i="8"/>
  <c r="P2034" i="8"/>
  <c r="P1842" i="8"/>
  <c r="B1607" i="8"/>
  <c r="P1583" i="8" s="1"/>
  <c r="P1233" i="8"/>
  <c r="G22" i="8"/>
  <c r="P841" i="8"/>
  <c r="P1229" i="8"/>
  <c r="P1851" i="8"/>
  <c r="P2010" i="8"/>
  <c r="P839" i="8"/>
  <c r="P2016" i="8"/>
  <c r="P2025" i="8"/>
  <c r="P1841" i="8"/>
  <c r="P1227" i="8"/>
  <c r="P1238" i="8"/>
  <c r="P2069" i="8"/>
  <c r="P835" i="8"/>
  <c r="P828" i="8"/>
  <c r="P1217" i="8"/>
  <c r="P1222" i="8"/>
  <c r="P1242" i="8"/>
  <c r="P1219" i="8"/>
  <c r="P836" i="8"/>
  <c r="P1853" i="8"/>
  <c r="P821" i="8"/>
  <c r="P824" i="8"/>
  <c r="P838" i="8"/>
  <c r="B2751" i="8"/>
  <c r="P2718" i="8" s="1"/>
  <c r="P1840" i="8"/>
  <c r="P845" i="8"/>
  <c r="P1845" i="8"/>
  <c r="P829" i="8"/>
  <c r="P2033" i="8"/>
  <c r="P2028" i="8"/>
  <c r="P1843" i="8"/>
  <c r="P1216" i="8"/>
  <c r="P1230" i="8"/>
  <c r="P831" i="8"/>
  <c r="P837" i="8"/>
  <c r="P1220" i="8"/>
  <c r="P1232" i="8"/>
  <c r="P1223" i="8"/>
  <c r="P2027" i="8"/>
  <c r="P1240" i="8"/>
  <c r="P825" i="8"/>
  <c r="P2020" i="8"/>
  <c r="P1239" i="8"/>
  <c r="P822" i="8"/>
  <c r="P1634" i="8"/>
  <c r="P2972" i="8"/>
  <c r="P2966" i="8"/>
  <c r="P2953" i="8"/>
  <c r="P2970" i="8"/>
  <c r="P2955" i="8"/>
  <c r="P2949" i="8"/>
  <c r="P2952" i="8"/>
  <c r="P2960" i="8"/>
  <c r="P2956" i="8"/>
  <c r="P2967" i="8"/>
  <c r="P2965" i="8"/>
  <c r="P2959" i="8"/>
  <c r="P2958" i="8"/>
  <c r="P2964" i="8"/>
  <c r="P2962" i="8"/>
  <c r="P2950" i="8"/>
  <c r="P2957" i="8"/>
  <c r="P2948" i="8"/>
  <c r="P2946" i="8"/>
  <c r="P2969" i="8"/>
  <c r="B2760" i="8"/>
  <c r="P2947" i="8"/>
  <c r="P2951" i="8"/>
  <c r="P2963" i="8"/>
  <c r="P2968" i="8"/>
  <c r="P2954" i="8"/>
  <c r="P2961" i="8"/>
  <c r="P2971" i="8"/>
  <c r="P915" i="8"/>
  <c r="P933" i="8"/>
  <c r="P917" i="8"/>
  <c r="P911" i="8"/>
  <c r="P934" i="8"/>
  <c r="P914" i="8"/>
  <c r="P929" i="8"/>
  <c r="P926" i="8"/>
  <c r="P922" i="8"/>
  <c r="P930" i="8"/>
  <c r="P913" i="8"/>
  <c r="P912" i="8"/>
  <c r="P910" i="8"/>
  <c r="P918" i="8"/>
  <c r="P931" i="8"/>
  <c r="P928" i="8"/>
  <c r="P924" i="8"/>
  <c r="P920" i="8"/>
  <c r="P919" i="8"/>
  <c r="P921" i="8"/>
  <c r="P916" i="8"/>
  <c r="P908" i="8"/>
  <c r="P932" i="8"/>
  <c r="P923" i="8"/>
  <c r="P909" i="8"/>
  <c r="P925" i="8"/>
  <c r="P927" i="8"/>
  <c r="G24" i="8"/>
  <c r="P1018" i="8"/>
  <c r="P1009" i="8"/>
  <c r="P1011" i="8"/>
  <c r="P1008" i="8"/>
  <c r="P1019" i="8"/>
  <c r="P1006" i="8"/>
  <c r="P1007" i="8"/>
  <c r="P997" i="8"/>
  <c r="P1015" i="8"/>
  <c r="P1022" i="8"/>
  <c r="P1020" i="8"/>
  <c r="P996" i="8"/>
  <c r="P1016" i="8"/>
  <c r="P1012" i="8"/>
  <c r="P1004" i="8"/>
  <c r="P1000" i="8"/>
  <c r="P1021" i="8"/>
  <c r="P998" i="8"/>
  <c r="P1013" i="8"/>
  <c r="P1001" i="8"/>
  <c r="P999" i="8"/>
  <c r="P1002" i="8"/>
  <c r="P1014" i="8"/>
  <c r="P1017" i="8"/>
  <c r="P1003" i="8"/>
  <c r="G26" i="8"/>
  <c r="P1005" i="8"/>
  <c r="P1010" i="8"/>
  <c r="O121" i="8"/>
  <c r="P362" i="8"/>
  <c r="P336" i="8"/>
  <c r="P350" i="8"/>
  <c r="P354" i="8"/>
  <c r="P349" i="8"/>
  <c r="P348" i="8"/>
  <c r="P346" i="8"/>
  <c r="P357" i="8"/>
  <c r="P347" i="8"/>
  <c r="P358" i="8"/>
  <c r="P351" i="8"/>
  <c r="P361" i="8"/>
  <c r="P353" i="8"/>
  <c r="P338" i="8"/>
  <c r="P340" i="8"/>
  <c r="G11" i="8"/>
  <c r="P341" i="8"/>
  <c r="P342" i="8"/>
  <c r="P356" i="8"/>
  <c r="P339" i="8"/>
  <c r="P345" i="8"/>
  <c r="P352" i="8"/>
  <c r="P360" i="8"/>
  <c r="P359" i="8"/>
  <c r="P344" i="8"/>
  <c r="P343" i="8"/>
  <c r="P337" i="8"/>
  <c r="P355" i="8"/>
  <c r="P2253" i="8"/>
  <c r="P2237" i="8"/>
  <c r="P2231" i="8"/>
  <c r="P2254" i="8"/>
  <c r="P2234" i="8"/>
  <c r="P2249" i="8"/>
  <c r="P2246" i="8"/>
  <c r="P2242" i="8"/>
  <c r="P2250" i="8"/>
  <c r="P2233" i="8"/>
  <c r="P2232" i="8"/>
  <c r="P2230" i="8"/>
  <c r="P2245" i="8"/>
  <c r="P2248" i="8"/>
  <c r="P2251" i="8"/>
  <c r="P2228" i="8"/>
  <c r="P2241" i="8"/>
  <c r="P2243" i="8"/>
  <c r="P2239" i="8"/>
  <c r="P2252" i="8"/>
  <c r="P2238" i="8"/>
  <c r="P2236" i="8"/>
  <c r="P2240" i="8"/>
  <c r="P2247" i="8"/>
  <c r="P2229" i="8"/>
  <c r="P2244" i="8"/>
  <c r="P2235" i="8"/>
  <c r="P1803" i="8"/>
  <c r="P1809" i="8"/>
  <c r="P1799" i="8"/>
  <c r="P1813" i="8"/>
  <c r="P1810" i="8"/>
  <c r="P1814" i="8"/>
  <c r="P1811" i="8"/>
  <c r="P1808" i="8"/>
  <c r="P1797" i="8"/>
  <c r="P1800" i="8"/>
  <c r="P1806" i="8"/>
  <c r="P1804" i="8"/>
  <c r="P1802" i="8"/>
  <c r="P1792" i="8"/>
  <c r="P1795" i="8"/>
  <c r="P1788" i="8"/>
  <c r="P1793" i="8"/>
  <c r="P1812" i="8"/>
  <c r="P1789" i="8"/>
  <c r="P1796" i="8"/>
  <c r="P1798" i="8"/>
  <c r="P1790" i="8"/>
  <c r="P1807" i="8"/>
  <c r="P1801" i="8"/>
  <c r="P1805" i="8"/>
  <c r="P1791" i="8"/>
  <c r="P1794" i="8"/>
  <c r="I18" i="8"/>
  <c r="B18" i="8" s="1"/>
  <c r="C58" i="7" s="1"/>
  <c r="P536" i="8"/>
  <c r="P532" i="8"/>
  <c r="P529" i="8"/>
  <c r="P520" i="8"/>
  <c r="P515" i="8"/>
  <c r="P528" i="8"/>
  <c r="P522" i="8"/>
  <c r="P533" i="8"/>
  <c r="P514" i="8"/>
  <c r="P538" i="8"/>
  <c r="P523" i="8"/>
  <c r="P524" i="8"/>
  <c r="G15" i="8"/>
  <c r="P534" i="8"/>
  <c r="P530" i="8"/>
  <c r="P525" i="8"/>
  <c r="P521" i="8"/>
  <c r="P531" i="8"/>
  <c r="P516" i="8"/>
  <c r="P512" i="8"/>
  <c r="P527" i="8"/>
  <c r="P519" i="8"/>
  <c r="P517" i="8"/>
  <c r="P535" i="8"/>
  <c r="P537" i="8"/>
  <c r="P526" i="8"/>
  <c r="P513" i="8"/>
  <c r="P518" i="8"/>
  <c r="P576" i="8"/>
  <c r="P573" i="8"/>
  <c r="P564" i="8"/>
  <c r="P563" i="8"/>
  <c r="P581" i="8"/>
  <c r="P565" i="8"/>
  <c r="P559" i="8"/>
  <c r="P579" i="8"/>
  <c r="P574" i="8"/>
  <c r="P558" i="8"/>
  <c r="P561" i="8"/>
  <c r="P557" i="8"/>
  <c r="P567" i="8"/>
  <c r="P571" i="8"/>
  <c r="P577" i="8"/>
  <c r="P575" i="8"/>
  <c r="P562" i="8"/>
  <c r="P568" i="8"/>
  <c r="P560" i="8"/>
  <c r="P580" i="8"/>
  <c r="P572" i="8"/>
  <c r="G16" i="8"/>
  <c r="P566" i="8"/>
  <c r="P569" i="8"/>
  <c r="P556" i="8"/>
  <c r="P570" i="8"/>
  <c r="P578" i="8"/>
  <c r="P582" i="8"/>
  <c r="P2785" i="8"/>
  <c r="P2782" i="8"/>
  <c r="P2793" i="8"/>
  <c r="P2791" i="8"/>
  <c r="P2770" i="8"/>
  <c r="P2792" i="8"/>
  <c r="P2783" i="8"/>
  <c r="P2787" i="8"/>
  <c r="P2780" i="8"/>
  <c r="B2756" i="8"/>
  <c r="P2777" i="8"/>
  <c r="P2784" i="8"/>
  <c r="P2795" i="8"/>
  <c r="P2778" i="8"/>
  <c r="P2779" i="8"/>
  <c r="P2790" i="8"/>
  <c r="P2788" i="8"/>
  <c r="P2781" i="8"/>
  <c r="P2776" i="8"/>
  <c r="P2786" i="8"/>
  <c r="P2773" i="8"/>
  <c r="P2771" i="8"/>
  <c r="P2774" i="8"/>
  <c r="P2789" i="8"/>
  <c r="P2794" i="8"/>
  <c r="P2775" i="8"/>
  <c r="P2772" i="8"/>
  <c r="P2796" i="8"/>
  <c r="B419" i="8"/>
  <c r="P2339" i="8"/>
  <c r="P2326" i="8"/>
  <c r="P2327" i="8"/>
  <c r="P2317" i="8"/>
  <c r="P2335" i="8"/>
  <c r="P2329" i="8"/>
  <c r="P2332" i="8"/>
  <c r="P2328" i="8"/>
  <c r="P2325" i="8"/>
  <c r="P2342" i="8"/>
  <c r="P2320" i="8"/>
  <c r="P2324" i="8"/>
  <c r="P2336" i="8"/>
  <c r="P2334" i="8"/>
  <c r="P2341" i="8"/>
  <c r="P2318" i="8"/>
  <c r="P2333" i="8"/>
  <c r="P2331" i="8"/>
  <c r="P2316" i="8"/>
  <c r="P2322" i="8"/>
  <c r="P2338" i="8"/>
  <c r="P2319" i="8"/>
  <c r="P2330" i="8"/>
  <c r="P2337" i="8"/>
  <c r="P2323" i="8"/>
  <c r="P2340" i="8"/>
  <c r="P2321" i="8"/>
  <c r="O122" i="8"/>
  <c r="B3073" i="8"/>
  <c r="P1944" i="8"/>
  <c r="P1940" i="8"/>
  <c r="P1942" i="8"/>
  <c r="P1937" i="8"/>
  <c r="P1934" i="8"/>
  <c r="P1929" i="8"/>
  <c r="P1945" i="8"/>
  <c r="P1935" i="8"/>
  <c r="P1932" i="8"/>
  <c r="P1928" i="8"/>
  <c r="P1930" i="8"/>
  <c r="P1920" i="8"/>
  <c r="P1943" i="8"/>
  <c r="P1926" i="8"/>
  <c r="P1921" i="8"/>
  <c r="P1939" i="8"/>
  <c r="P1924" i="8"/>
  <c r="P1941" i="8"/>
  <c r="P1936" i="8"/>
  <c r="P1922" i="8"/>
  <c r="P1927" i="8"/>
  <c r="P1946" i="8"/>
  <c r="P1925" i="8"/>
  <c r="P1931" i="8"/>
  <c r="P1933" i="8"/>
  <c r="P1938" i="8"/>
  <c r="P1923" i="8"/>
  <c r="B1431" i="8"/>
  <c r="P2559" i="8"/>
  <c r="P2546" i="8"/>
  <c r="P2547" i="8"/>
  <c r="P2537" i="8"/>
  <c r="P2556" i="8"/>
  <c r="P2538" i="8"/>
  <c r="P2536" i="8"/>
  <c r="P2560" i="8"/>
  <c r="P2557" i="8"/>
  <c r="P2562" i="8"/>
  <c r="P2551" i="8"/>
  <c r="P2545" i="8"/>
  <c r="P2558" i="8"/>
  <c r="P2540" i="8"/>
  <c r="P2548" i="8"/>
  <c r="P2554" i="8"/>
  <c r="P2549" i="8"/>
  <c r="P2553" i="8"/>
  <c r="P2541" i="8"/>
  <c r="P2543" i="8"/>
  <c r="P2550" i="8"/>
  <c r="P2539" i="8"/>
  <c r="P2544" i="8"/>
  <c r="P2552" i="8"/>
  <c r="P2542" i="8"/>
  <c r="P2561" i="8"/>
  <c r="P2555" i="8"/>
  <c r="P3133" i="8"/>
  <c r="P3123" i="8"/>
  <c r="P3141" i="8"/>
  <c r="P3146" i="8"/>
  <c r="P3130" i="8"/>
  <c r="P3129" i="8"/>
  <c r="P3128" i="8"/>
  <c r="P3127" i="8"/>
  <c r="P3138" i="8"/>
  <c r="P3122" i="8"/>
  <c r="P3140" i="8"/>
  <c r="P3132" i="8"/>
  <c r="P3125" i="8"/>
  <c r="P3142" i="8"/>
  <c r="P3136" i="8"/>
  <c r="P3148" i="8"/>
  <c r="P3143" i="8"/>
  <c r="B2764" i="8"/>
  <c r="P3147" i="8"/>
  <c r="P3134" i="8"/>
  <c r="P3137" i="8"/>
  <c r="P3135" i="8"/>
  <c r="P3124" i="8"/>
  <c r="P3145" i="8"/>
  <c r="P3126" i="8"/>
  <c r="P3131" i="8"/>
  <c r="P3144" i="8"/>
  <c r="P3139" i="8"/>
  <c r="B153" i="8"/>
  <c r="O116" i="8"/>
  <c r="B154" i="8"/>
  <c r="I21" i="8"/>
  <c r="B21" i="8" s="1"/>
  <c r="C61" i="7" s="1"/>
  <c r="P2684" i="8"/>
  <c r="P2676" i="8"/>
  <c r="P2692" i="8"/>
  <c r="P2685" i="8"/>
  <c r="P2677" i="8"/>
  <c r="P2671" i="8"/>
  <c r="P2686" i="8"/>
  <c r="P2687" i="8"/>
  <c r="P2673" i="8"/>
  <c r="P2674" i="8"/>
  <c r="P2683" i="8"/>
  <c r="P2694" i="8"/>
  <c r="P2668" i="8"/>
  <c r="P2680" i="8"/>
  <c r="P2675" i="8"/>
  <c r="P2688" i="8"/>
  <c r="P2681" i="8"/>
  <c r="P2672" i="8"/>
  <c r="P2670" i="8"/>
  <c r="P2693" i="8"/>
  <c r="P2690" i="8"/>
  <c r="P2678" i="8"/>
  <c r="P2682" i="8"/>
  <c r="P2679" i="8"/>
  <c r="P2689" i="8"/>
  <c r="P2669" i="8"/>
  <c r="P2691" i="8"/>
  <c r="B2223" i="8"/>
  <c r="I12" i="8"/>
  <c r="B12" i="8" s="1"/>
  <c r="C52" i="7" s="1"/>
  <c r="P2922" i="8"/>
  <c r="P2919" i="8"/>
  <c r="P2910" i="8"/>
  <c r="P2916" i="8"/>
  <c r="P2909" i="8"/>
  <c r="P2908" i="8"/>
  <c r="P2906" i="8"/>
  <c r="P2915" i="8"/>
  <c r="P2907" i="8"/>
  <c r="P2924" i="8"/>
  <c r="P2917" i="8"/>
  <c r="P2903" i="8"/>
  <c r="P2914" i="8"/>
  <c r="P2925" i="8"/>
  <c r="P2926" i="8"/>
  <c r="P2913" i="8"/>
  <c r="P2905" i="8"/>
  <c r="P2921" i="8"/>
  <c r="P2902" i="8"/>
  <c r="P2904" i="8"/>
  <c r="P2911" i="8"/>
  <c r="P2928" i="8"/>
  <c r="P2923" i="8"/>
  <c r="P2918" i="8"/>
  <c r="P2920" i="8"/>
  <c r="B2759" i="8"/>
  <c r="P2912" i="8"/>
  <c r="P2927" i="8"/>
  <c r="B111" i="8"/>
  <c r="B2003" i="8"/>
  <c r="B727" i="8"/>
  <c r="B2443" i="8"/>
  <c r="B1167" i="8"/>
  <c r="P309" i="8"/>
  <c r="P312" i="8"/>
  <c r="P316" i="8"/>
  <c r="P292" i="8"/>
  <c r="P306" i="8"/>
  <c r="P302" i="8"/>
  <c r="P305" i="8"/>
  <c r="P304" i="8"/>
  <c r="P310" i="8"/>
  <c r="P303" i="8"/>
  <c r="P307" i="8"/>
  <c r="G10" i="8"/>
  <c r="P308" i="8"/>
  <c r="P318" i="8"/>
  <c r="P301" i="8"/>
  <c r="P314" i="8"/>
  <c r="P298" i="8"/>
  <c r="P296" i="8"/>
  <c r="P299" i="8"/>
  <c r="P293" i="8"/>
  <c r="P311" i="8"/>
  <c r="P300" i="8"/>
  <c r="P294" i="8"/>
  <c r="P317" i="8"/>
  <c r="P295" i="8"/>
  <c r="P315" i="8"/>
  <c r="P297" i="8"/>
  <c r="P313" i="8"/>
  <c r="I15" i="8"/>
  <c r="B15" i="8" s="1"/>
  <c r="C55" i="7" s="1"/>
  <c r="I14" i="8"/>
  <c r="B14" i="8" s="1"/>
  <c r="C54" i="7" s="1"/>
  <c r="I20" i="8"/>
  <c r="B20" i="8" s="1"/>
  <c r="C60" i="7" s="1"/>
  <c r="B1123" i="8"/>
  <c r="P3003" i="8"/>
  <c r="P3006" i="8"/>
  <c r="P3007" i="8"/>
  <c r="P3002" i="8"/>
  <c r="P3000" i="8"/>
  <c r="P3012" i="8"/>
  <c r="P2998" i="8"/>
  <c r="P3015" i="8"/>
  <c r="P3009" i="8"/>
  <c r="P3010" i="8"/>
  <c r="P2996" i="8"/>
  <c r="P3016" i="8"/>
  <c r="P3014" i="8"/>
  <c r="P2994" i="8"/>
  <c r="P2992" i="8"/>
  <c r="P2990" i="8"/>
  <c r="B2761" i="8"/>
  <c r="P3011" i="8"/>
  <c r="P3008" i="8"/>
  <c r="P3005" i="8"/>
  <c r="P3001" i="8"/>
  <c r="P2993" i="8"/>
  <c r="P3013" i="8"/>
  <c r="P2995" i="8"/>
  <c r="P2999" i="8"/>
  <c r="P2991" i="8"/>
  <c r="P2997" i="8"/>
  <c r="P3004" i="8"/>
  <c r="P1901" i="8"/>
  <c r="P1898" i="8"/>
  <c r="P1902" i="8"/>
  <c r="P1884" i="8"/>
  <c r="P1879" i="8"/>
  <c r="P1895" i="8"/>
  <c r="P1899" i="8"/>
  <c r="P1892" i="8"/>
  <c r="P1883" i="8"/>
  <c r="P1878" i="8"/>
  <c r="P1893" i="8"/>
  <c r="P1897" i="8"/>
  <c r="P1887" i="8"/>
  <c r="P1876" i="8"/>
  <c r="P1885" i="8"/>
  <c r="P1881" i="8"/>
  <c r="P1877" i="8"/>
  <c r="P1891" i="8"/>
  <c r="P1882" i="8"/>
  <c r="P1886" i="8"/>
  <c r="P1900" i="8"/>
  <c r="P1889" i="8"/>
  <c r="P1890" i="8"/>
  <c r="P1888" i="8"/>
  <c r="P1896" i="8"/>
  <c r="P1880" i="8"/>
  <c r="P1894" i="8"/>
  <c r="P2882" i="8"/>
  <c r="P2883" i="8"/>
  <c r="P2870" i="8"/>
  <c r="P2869" i="8"/>
  <c r="P2865" i="8"/>
  <c r="P2863" i="8"/>
  <c r="P2875" i="8"/>
  <c r="P2871" i="8"/>
  <c r="P2864" i="8"/>
  <c r="P2872" i="8"/>
  <c r="B2758" i="8"/>
  <c r="P2877" i="8"/>
  <c r="P2873" i="8"/>
  <c r="P2880" i="8"/>
  <c r="P2862" i="8"/>
  <c r="P2860" i="8"/>
  <c r="P2881" i="8"/>
  <c r="P2868" i="8"/>
  <c r="P2879" i="8"/>
  <c r="P2866" i="8"/>
  <c r="P2878" i="8"/>
  <c r="P2867" i="8"/>
  <c r="P2861" i="8"/>
  <c r="P2858" i="8"/>
  <c r="P2874" i="8"/>
  <c r="P2876" i="8"/>
  <c r="P2859" i="8"/>
  <c r="P2884" i="8"/>
  <c r="B1299" i="8"/>
  <c r="O124" i="8"/>
  <c r="P2472" i="8"/>
  <c r="P2468" i="8"/>
  <c r="P2466" i="8"/>
  <c r="P2463" i="8"/>
  <c r="P2456" i="8"/>
  <c r="P2451" i="8"/>
  <c r="P2471" i="8"/>
  <c r="P2467" i="8"/>
  <c r="P2462" i="8"/>
  <c r="P2452" i="8"/>
  <c r="P2469" i="8"/>
  <c r="P2464" i="8"/>
  <c r="P2460" i="8"/>
  <c r="P2453" i="8"/>
  <c r="P2458" i="8"/>
  <c r="P2473" i="8"/>
  <c r="P2454" i="8"/>
  <c r="P2448" i="8"/>
  <c r="P2455" i="8"/>
  <c r="P2450" i="8"/>
  <c r="P2449" i="8"/>
  <c r="P2457" i="8"/>
  <c r="P2474" i="8"/>
  <c r="P2470" i="8"/>
  <c r="P2461" i="8"/>
  <c r="P2459" i="8"/>
  <c r="P2465" i="8"/>
  <c r="P1663" i="8"/>
  <c r="P1665" i="8"/>
  <c r="P1677" i="8"/>
  <c r="P1664" i="8"/>
  <c r="P1681" i="8"/>
  <c r="P1678" i="8"/>
  <c r="P1682" i="8"/>
  <c r="P1675" i="8"/>
  <c r="P1672" i="8"/>
  <c r="P1660" i="8"/>
  <c r="P1657" i="8"/>
  <c r="P1680" i="8"/>
  <c r="P1669" i="8"/>
  <c r="P1666" i="8"/>
  <c r="P1676" i="8"/>
  <c r="P1674" i="8"/>
  <c r="P1658" i="8"/>
  <c r="P1670" i="8"/>
  <c r="P1661" i="8"/>
  <c r="P1659" i="8"/>
  <c r="P1668" i="8"/>
  <c r="P1671" i="8"/>
  <c r="P1656" i="8"/>
  <c r="P1662" i="8"/>
  <c r="P1667" i="8"/>
  <c r="P1679" i="8"/>
  <c r="P1673" i="8"/>
  <c r="P1327" i="8"/>
  <c r="P1314" i="8"/>
  <c r="P1315" i="8"/>
  <c r="P1305" i="8"/>
  <c r="P1323" i="8"/>
  <c r="P1320" i="8"/>
  <c r="P1304" i="8"/>
  <c r="P1311" i="8"/>
  <c r="P1307" i="8"/>
  <c r="P1326" i="8"/>
  <c r="P1312" i="8"/>
  <c r="P1309" i="8"/>
  <c r="P1318" i="8"/>
  <c r="P1313" i="8"/>
  <c r="P1329" i="8"/>
  <c r="P1324" i="8"/>
  <c r="P1321" i="8"/>
  <c r="P1306" i="8"/>
  <c r="P1308" i="8"/>
  <c r="P1330" i="8"/>
  <c r="P1310" i="8"/>
  <c r="P1328" i="8"/>
  <c r="P1317" i="8"/>
  <c r="P1322" i="8"/>
  <c r="P1316" i="8"/>
  <c r="P1319" i="8"/>
  <c r="P1325" i="8"/>
  <c r="I19" i="8"/>
  <c r="B19" i="8" s="1"/>
  <c r="C59" i="7" s="1"/>
  <c r="P1063" i="8"/>
  <c r="P1050" i="8"/>
  <c r="P1051" i="8"/>
  <c r="P1041" i="8"/>
  <c r="P1059" i="8"/>
  <c r="P1056" i="8"/>
  <c r="P1040" i="8"/>
  <c r="P1064" i="8"/>
  <c r="P1062" i="8"/>
  <c r="P1047" i="8"/>
  <c r="P1060" i="8"/>
  <c r="P1058" i="8"/>
  <c r="P1053" i="8"/>
  <c r="P1048" i="8"/>
  <c r="P1044" i="8"/>
  <c r="P1057" i="8"/>
  <c r="P1045" i="8"/>
  <c r="P1066" i="8"/>
  <c r="P1061" i="8"/>
  <c r="P1055" i="8"/>
  <c r="P1042" i="8"/>
  <c r="P1049" i="8"/>
  <c r="P1065" i="8"/>
  <c r="P1043" i="8"/>
  <c r="P1052" i="8"/>
  <c r="P1046" i="8"/>
  <c r="P1054" i="8"/>
  <c r="G27" i="8"/>
  <c r="P3182" i="8"/>
  <c r="P3166" i="8"/>
  <c r="P3167" i="8"/>
  <c r="P3183" i="8"/>
  <c r="P3180" i="8"/>
  <c r="P3186" i="8"/>
  <c r="P3170" i="8"/>
  <c r="P3188" i="8"/>
  <c r="P3174" i="8"/>
  <c r="P3184" i="8"/>
  <c r="P3176" i="8"/>
  <c r="P3179" i="8"/>
  <c r="P3192" i="8"/>
  <c r="P3178" i="8"/>
  <c r="P3172" i="8"/>
  <c r="B2765" i="8"/>
  <c r="P3190" i="8"/>
  <c r="P3185" i="8"/>
  <c r="P3173" i="8"/>
  <c r="P3175" i="8"/>
  <c r="P3168" i="8"/>
  <c r="P3191" i="8"/>
  <c r="P3169" i="8"/>
  <c r="P3177" i="8"/>
  <c r="P3187" i="8"/>
  <c r="P3181" i="8"/>
  <c r="P3189" i="8"/>
  <c r="P3171" i="8"/>
  <c r="B20" i="7"/>
  <c r="B3" i="7"/>
  <c r="B28" i="7"/>
  <c r="B815" i="8"/>
  <c r="I27" i="8"/>
  <c r="B27" i="8" s="1"/>
  <c r="C67" i="7" s="1"/>
  <c r="B463" i="8"/>
  <c r="P2648" i="8"/>
  <c r="P2641" i="8"/>
  <c r="P2632" i="8"/>
  <c r="P2640" i="8"/>
  <c r="P2635" i="8"/>
  <c r="P2636" i="8"/>
  <c r="P2634" i="8"/>
  <c r="P2626" i="8"/>
  <c r="P2627" i="8"/>
  <c r="P2650" i="8"/>
  <c r="P2637" i="8"/>
  <c r="P2630" i="8"/>
  <c r="P2625" i="8"/>
  <c r="P2644" i="8"/>
  <c r="P2647" i="8"/>
  <c r="P2639" i="8"/>
  <c r="P2649" i="8"/>
  <c r="P2628" i="8"/>
  <c r="P2638" i="8"/>
  <c r="P2646" i="8"/>
  <c r="P2643" i="8"/>
  <c r="P2629" i="8"/>
  <c r="P2631" i="8"/>
  <c r="P2642" i="8"/>
  <c r="P2645" i="8"/>
  <c r="P2633" i="8"/>
  <c r="P2624" i="8"/>
  <c r="I28" i="8"/>
  <c r="B28" i="8" s="1"/>
  <c r="C68" i="7" s="1"/>
  <c r="P263" i="8"/>
  <c r="P260" i="8"/>
  <c r="P271" i="8"/>
  <c r="P258" i="8"/>
  <c r="P259" i="8"/>
  <c r="P249" i="8"/>
  <c r="P267" i="8"/>
  <c r="P264" i="8"/>
  <c r="P248" i="8"/>
  <c r="P272" i="8"/>
  <c r="P261" i="8"/>
  <c r="P253" i="8"/>
  <c r="P274" i="8"/>
  <c r="P268" i="8"/>
  <c r="P270" i="8"/>
  <c r="P266" i="8"/>
  <c r="P257" i="8"/>
  <c r="P251" i="8"/>
  <c r="P262" i="8"/>
  <c r="P254" i="8"/>
  <c r="P265" i="8"/>
  <c r="P255" i="8"/>
  <c r="P252" i="8"/>
  <c r="P250" i="8"/>
  <c r="P273" i="8"/>
  <c r="P256" i="8"/>
  <c r="G9" i="8"/>
  <c r="P269" i="8"/>
  <c r="B2179" i="8"/>
  <c r="I11" i="8"/>
  <c r="B11" i="8" s="1"/>
  <c r="C51" i="7" s="1"/>
  <c r="B1387" i="8"/>
  <c r="B2135" i="8"/>
  <c r="B199" i="8"/>
  <c r="B507" i="8"/>
  <c r="I10" i="8"/>
  <c r="B10" i="8" s="1"/>
  <c r="C50" i="7" s="1"/>
  <c r="I13" i="8"/>
  <c r="B13" i="8" s="1"/>
  <c r="C53" i="7" s="1"/>
  <c r="B1783" i="8"/>
  <c r="P3095" i="8"/>
  <c r="P3086" i="8"/>
  <c r="P3096" i="8"/>
  <c r="P3093" i="8"/>
  <c r="P3085" i="8"/>
  <c r="P3084" i="8"/>
  <c r="P3099" i="8"/>
  <c r="P3082" i="8"/>
  <c r="P3079" i="8"/>
  <c r="P3094" i="8"/>
  <c r="P3090" i="8"/>
  <c r="P3081" i="8"/>
  <c r="P3091" i="8"/>
  <c r="P3088" i="8"/>
  <c r="P3101" i="8"/>
  <c r="P3097" i="8"/>
  <c r="P3103" i="8"/>
  <c r="P3100" i="8"/>
  <c r="B2763" i="8"/>
  <c r="P3080" i="8"/>
  <c r="P3098" i="8"/>
  <c r="P3092" i="8"/>
  <c r="P3083" i="8"/>
  <c r="P3102" i="8"/>
  <c r="P3078" i="8"/>
  <c r="P3087" i="8"/>
  <c r="P3104" i="8"/>
  <c r="P3089" i="8"/>
  <c r="B2399" i="8"/>
  <c r="P2833" i="8"/>
  <c r="P2830" i="8"/>
  <c r="P2836" i="8"/>
  <c r="P2825" i="8"/>
  <c r="P2826" i="8"/>
  <c r="P2818" i="8"/>
  <c r="P2840" i="8"/>
  <c r="B2757" i="8"/>
  <c r="P2823" i="8"/>
  <c r="P2820" i="8"/>
  <c r="P2839" i="8"/>
  <c r="P2817" i="8"/>
  <c r="P2837" i="8"/>
  <c r="P2815" i="8"/>
  <c r="P2822" i="8"/>
  <c r="P2835" i="8"/>
  <c r="P2824" i="8"/>
  <c r="P2832" i="8"/>
  <c r="P2829" i="8"/>
  <c r="P2827" i="8"/>
  <c r="P2828" i="8"/>
  <c r="P2831" i="8"/>
  <c r="P2821" i="8"/>
  <c r="P2838" i="8"/>
  <c r="P2834" i="8"/>
  <c r="P2814" i="8"/>
  <c r="P2816" i="8"/>
  <c r="P2819" i="8"/>
  <c r="C47" i="7" l="1"/>
  <c r="Q7" i="8"/>
  <c r="P7" i="8"/>
  <c r="O7" i="8"/>
  <c r="P614" i="8"/>
  <c r="P622" i="8"/>
  <c r="P606" i="8"/>
  <c r="P1455" i="8"/>
  <c r="P608" i="8"/>
  <c r="P618" i="8"/>
  <c r="P621" i="8"/>
  <c r="P603" i="8"/>
  <c r="P624" i="8"/>
  <c r="G17" i="8"/>
  <c r="P611" i="8"/>
  <c r="P610" i="8"/>
  <c r="P617" i="8"/>
  <c r="P626" i="8"/>
  <c r="P1451" i="8"/>
  <c r="P1459" i="8"/>
  <c r="P619" i="8"/>
  <c r="P613" i="8"/>
  <c r="P616" i="8"/>
  <c r="P1548" i="8"/>
  <c r="P1172" i="8"/>
  <c r="P620" i="8"/>
  <c r="P1448" i="8"/>
  <c r="P1195" i="8"/>
  <c r="P1544" i="8"/>
  <c r="P623" i="8"/>
  <c r="P609" i="8"/>
  <c r="P601" i="8"/>
  <c r="P1532" i="8"/>
  <c r="P602" i="8"/>
  <c r="P612" i="8"/>
  <c r="P615" i="8"/>
  <c r="P604" i="8"/>
  <c r="P1632" i="8"/>
  <c r="P625" i="8"/>
  <c r="P607" i="8"/>
  <c r="P600" i="8"/>
  <c r="P1181" i="8"/>
  <c r="P1636" i="8"/>
  <c r="P1196" i="8"/>
  <c r="P1174" i="8"/>
  <c r="P1184" i="8"/>
  <c r="P1187" i="8"/>
  <c r="P1173" i="8"/>
  <c r="P1190" i="8"/>
  <c r="P205" i="8"/>
  <c r="P1618" i="8"/>
  <c r="P1189" i="8"/>
  <c r="P1625" i="8"/>
  <c r="P1178" i="8"/>
  <c r="P1626" i="8"/>
  <c r="P1549" i="8"/>
  <c r="P1638" i="8"/>
  <c r="P1198" i="8"/>
  <c r="P1182" i="8"/>
  <c r="P1543" i="8"/>
  <c r="P1183" i="8"/>
  <c r="P1179" i="8"/>
  <c r="P1631" i="8"/>
  <c r="P1176" i="8"/>
  <c r="P1527" i="8"/>
  <c r="P1537" i="8"/>
  <c r="P1177" i="8"/>
  <c r="P1180" i="8"/>
  <c r="P1616" i="8"/>
  <c r="P1194" i="8"/>
  <c r="P1524" i="8"/>
  <c r="P1633" i="8"/>
  <c r="P1185" i="8"/>
  <c r="P1635" i="8"/>
  <c r="P1526" i="8"/>
  <c r="P1197" i="8"/>
  <c r="P1188" i="8"/>
  <c r="P1620" i="8"/>
  <c r="P1531" i="8"/>
  <c r="P1528" i="8"/>
  <c r="P1186" i="8"/>
  <c r="P1175" i="8"/>
  <c r="P1619" i="8"/>
  <c r="P215" i="8"/>
  <c r="P214" i="8"/>
  <c r="P1191" i="8"/>
  <c r="P1192" i="8"/>
  <c r="P1700" i="8"/>
  <c r="P1615" i="8"/>
  <c r="P1574" i="8"/>
  <c r="P1573" i="8"/>
  <c r="P1436" i="8"/>
  <c r="P1457" i="8"/>
  <c r="P1450" i="8"/>
  <c r="P1447" i="8"/>
  <c r="P1443" i="8"/>
  <c r="P1712" i="8"/>
  <c r="P742" i="8"/>
  <c r="P1454" i="8"/>
  <c r="P964" i="8"/>
  <c r="P1449" i="8"/>
  <c r="P1452" i="8"/>
  <c r="P1529" i="8"/>
  <c r="P1546" i="8"/>
  <c r="P957" i="8"/>
  <c r="P1440" i="8"/>
  <c r="P1444" i="8"/>
  <c r="P1704" i="8"/>
  <c r="P1588" i="8"/>
  <c r="P1438" i="8"/>
  <c r="P967" i="8"/>
  <c r="P1439" i="8"/>
  <c r="P965" i="8"/>
  <c r="P1445" i="8"/>
  <c r="P753" i="8"/>
  <c r="C2757" i="8"/>
  <c r="P1538" i="8"/>
  <c r="P1458" i="8"/>
  <c r="P1453" i="8"/>
  <c r="P1725" i="8"/>
  <c r="P1442" i="8"/>
  <c r="P1462" i="8"/>
  <c r="P1460" i="8"/>
  <c r="P954" i="8"/>
  <c r="P1461" i="8"/>
  <c r="P754" i="8"/>
  <c r="P956" i="8"/>
  <c r="P1542" i="8"/>
  <c r="P1441" i="8"/>
  <c r="P1456" i="8"/>
  <c r="P1706" i="8"/>
  <c r="P1570" i="8"/>
  <c r="P1590" i="8"/>
  <c r="P1437" i="8"/>
  <c r="P1545" i="8"/>
  <c r="P2726" i="8"/>
  <c r="P223" i="8"/>
  <c r="P1707" i="8"/>
  <c r="P739" i="8"/>
  <c r="P227" i="8"/>
  <c r="P750" i="8"/>
  <c r="P226" i="8"/>
  <c r="P738" i="8"/>
  <c r="P755" i="8"/>
  <c r="P224" i="8"/>
  <c r="P744" i="8"/>
  <c r="P1627" i="8"/>
  <c r="P746" i="8"/>
  <c r="P757" i="8"/>
  <c r="P1533" i="8"/>
  <c r="P737" i="8"/>
  <c r="P1629" i="8"/>
  <c r="P1535" i="8"/>
  <c r="P230" i="8"/>
  <c r="P747" i="8"/>
  <c r="P1630" i="8"/>
  <c r="P2734" i="8"/>
  <c r="P225" i="8"/>
  <c r="P1530" i="8"/>
  <c r="P2730" i="8"/>
  <c r="P2714" i="8"/>
  <c r="P213" i="8"/>
  <c r="P1534" i="8"/>
  <c r="P228" i="8"/>
  <c r="P1621" i="8"/>
  <c r="P1623" i="8"/>
  <c r="P218" i="8"/>
  <c r="P222" i="8"/>
  <c r="P1614" i="8"/>
  <c r="P1547" i="8"/>
  <c r="P211" i="8"/>
  <c r="P1637" i="8"/>
  <c r="P1612" i="8"/>
  <c r="P735" i="8"/>
  <c r="P1541" i="8"/>
  <c r="P741" i="8"/>
  <c r="P1536" i="8"/>
  <c r="G8" i="8"/>
  <c r="P1628" i="8"/>
  <c r="P1622" i="8"/>
  <c r="P1550" i="8"/>
  <c r="P2738" i="8"/>
  <c r="P1613" i="8"/>
  <c r="P1525" i="8"/>
  <c r="P1540" i="8"/>
  <c r="P220" i="8"/>
  <c r="G20" i="8"/>
  <c r="P1617" i="8"/>
  <c r="P1592" i="8"/>
  <c r="P1568" i="8"/>
  <c r="P974" i="8"/>
  <c r="P961" i="8"/>
  <c r="P966" i="8"/>
  <c r="P970" i="8"/>
  <c r="P973" i="8"/>
  <c r="P953" i="8"/>
  <c r="C2761" i="8"/>
  <c r="P960" i="8"/>
  <c r="P745" i="8"/>
  <c r="P952" i="8"/>
  <c r="P229" i="8"/>
  <c r="P217" i="8"/>
  <c r="P736" i="8"/>
  <c r="P749" i="8"/>
  <c r="P963" i="8"/>
  <c r="P216" i="8"/>
  <c r="P743" i="8"/>
  <c r="P1571" i="8"/>
  <c r="G25" i="8"/>
  <c r="P207" i="8"/>
  <c r="P219" i="8"/>
  <c r="P751" i="8"/>
  <c r="P756" i="8"/>
  <c r="P1589" i="8"/>
  <c r="P1594" i="8"/>
  <c r="P972" i="8"/>
  <c r="P212" i="8"/>
  <c r="P206" i="8"/>
  <c r="P758" i="8"/>
  <c r="P752" i="8"/>
  <c r="P204" i="8"/>
  <c r="P748" i="8"/>
  <c r="P1572" i="8"/>
  <c r="P962" i="8"/>
  <c r="P221" i="8"/>
  <c r="P208" i="8"/>
  <c r="P734" i="8"/>
  <c r="P732" i="8"/>
  <c r="P1584" i="8"/>
  <c r="P968" i="8"/>
  <c r="P955" i="8"/>
  <c r="P1585" i="8"/>
  <c r="P975" i="8"/>
  <c r="P210" i="8"/>
  <c r="P740" i="8"/>
  <c r="P2717" i="8"/>
  <c r="P2736" i="8"/>
  <c r="P2712" i="8"/>
  <c r="P2719" i="8"/>
  <c r="P1587" i="8"/>
  <c r="P2732" i="8"/>
  <c r="P1726" i="8"/>
  <c r="P1586" i="8"/>
  <c r="P1569" i="8"/>
  <c r="P2727" i="8"/>
  <c r="P971" i="8"/>
  <c r="P978" i="8"/>
  <c r="P1710" i="8"/>
  <c r="P1711" i="8"/>
  <c r="P1720" i="8"/>
  <c r="P1719" i="8"/>
  <c r="P1724" i="8"/>
  <c r="P1703" i="8"/>
  <c r="P1714" i="8"/>
  <c r="P1701" i="8"/>
  <c r="P2725" i="8"/>
  <c r="P2720" i="8"/>
  <c r="P2731" i="8"/>
  <c r="P1718" i="8"/>
  <c r="P2728" i="8"/>
  <c r="P1721" i="8"/>
  <c r="P2729" i="8"/>
  <c r="P2735" i="8"/>
  <c r="P1579" i="8"/>
  <c r="P2723" i="8"/>
  <c r="P1582" i="8"/>
  <c r="P1578" i="8"/>
  <c r="P2733" i="8"/>
  <c r="P976" i="8"/>
  <c r="P1713" i="8"/>
  <c r="P1717" i="8"/>
  <c r="P1722" i="8"/>
  <c r="P1575" i="8"/>
  <c r="P2721" i="8"/>
  <c r="P1576" i="8"/>
  <c r="P1593" i="8"/>
  <c r="P1591" i="8"/>
  <c r="P2715" i="8"/>
  <c r="P959" i="8"/>
  <c r="P1709" i="8"/>
  <c r="P2716" i="8"/>
  <c r="P2737" i="8"/>
  <c r="P1705" i="8"/>
  <c r="P2724" i="8"/>
  <c r="P1716" i="8"/>
  <c r="P1702" i="8"/>
  <c r="P2713" i="8"/>
  <c r="P969" i="8"/>
  <c r="P1581" i="8"/>
  <c r="P1580" i="8"/>
  <c r="P2722" i="8"/>
  <c r="P958" i="8"/>
  <c r="P1708" i="8"/>
  <c r="P1577" i="8"/>
  <c r="P1723" i="8"/>
  <c r="P2164" i="8"/>
  <c r="P2157" i="8"/>
  <c r="P2148" i="8"/>
  <c r="P2165" i="8"/>
  <c r="P2166" i="8"/>
  <c r="P2160" i="8"/>
  <c r="P2155" i="8"/>
  <c r="P2149" i="8"/>
  <c r="P2163" i="8"/>
  <c r="P2158" i="8"/>
  <c r="P2156" i="8"/>
  <c r="P2161" i="8"/>
  <c r="P2146" i="8"/>
  <c r="P2154" i="8"/>
  <c r="P2151" i="8"/>
  <c r="P2144" i="8"/>
  <c r="P2142" i="8"/>
  <c r="P2162" i="8"/>
  <c r="P2152" i="8"/>
  <c r="P2147" i="8"/>
  <c r="P2143" i="8"/>
  <c r="P2150" i="8"/>
  <c r="P2153" i="8"/>
  <c r="P2140" i="8"/>
  <c r="P2159" i="8"/>
  <c r="P2145" i="8"/>
  <c r="P2141" i="8"/>
  <c r="P2201" i="8"/>
  <c r="P2192" i="8"/>
  <c r="P2209" i="8"/>
  <c r="P2193" i="8"/>
  <c r="P2187" i="8"/>
  <c r="P2207" i="8"/>
  <c r="P2198" i="8"/>
  <c r="P2196" i="8"/>
  <c r="P2195" i="8"/>
  <c r="P2189" i="8"/>
  <c r="P2210" i="8"/>
  <c r="P2191" i="8"/>
  <c r="P2184" i="8"/>
  <c r="P2208" i="8"/>
  <c r="P2186" i="8"/>
  <c r="P2194" i="8"/>
  <c r="P2185" i="8"/>
  <c r="P2206" i="8"/>
  <c r="P2199" i="8"/>
  <c r="P2203" i="8"/>
  <c r="P2205" i="8"/>
  <c r="P2200" i="8"/>
  <c r="P2202" i="8"/>
  <c r="P2188" i="8"/>
  <c r="P2197" i="8"/>
  <c r="P2204" i="8"/>
  <c r="P2190" i="8"/>
  <c r="P1364" i="8"/>
  <c r="P1348" i="8"/>
  <c r="P1372" i="8"/>
  <c r="P1362" i="8"/>
  <c r="P1354" i="8"/>
  <c r="P1351" i="8"/>
  <c r="P1368" i="8"/>
  <c r="P1355" i="8"/>
  <c r="P1366" i="8"/>
  <c r="P1356" i="8"/>
  <c r="P1361" i="8"/>
  <c r="P1358" i="8"/>
  <c r="P1365" i="8"/>
  <c r="P1367" i="8"/>
  <c r="P1352" i="8"/>
  <c r="P1350" i="8"/>
  <c r="P1363" i="8"/>
  <c r="P1371" i="8"/>
  <c r="P1353" i="8"/>
  <c r="P1360" i="8"/>
  <c r="P1373" i="8"/>
  <c r="P1357" i="8"/>
  <c r="P1369" i="8"/>
  <c r="P1370" i="8"/>
  <c r="P1374" i="8"/>
  <c r="P1359" i="8"/>
  <c r="P1349" i="8"/>
  <c r="P96" i="8"/>
  <c r="P92" i="8"/>
  <c r="G5" i="8"/>
  <c r="P89" i="8"/>
  <c r="P80" i="8"/>
  <c r="P79" i="8"/>
  <c r="P97" i="8"/>
  <c r="P81" i="8"/>
  <c r="P94" i="8"/>
  <c r="P84" i="8"/>
  <c r="P82" i="8"/>
  <c r="P72" i="8"/>
  <c r="P77" i="8"/>
  <c r="P74" i="8"/>
  <c r="P95" i="8"/>
  <c r="P88" i="8"/>
  <c r="P90" i="8"/>
  <c r="P73" i="8"/>
  <c r="P85" i="8"/>
  <c r="P75" i="8"/>
  <c r="P86" i="8"/>
  <c r="P76" i="8"/>
  <c r="P91" i="8"/>
  <c r="P98" i="8"/>
  <c r="P87" i="8"/>
  <c r="P78" i="8"/>
  <c r="P93" i="8"/>
  <c r="P83" i="8"/>
  <c r="C2759" i="8"/>
  <c r="P393" i="8"/>
  <c r="P397" i="8"/>
  <c r="P380" i="8"/>
  <c r="P394" i="8"/>
  <c r="P384" i="8"/>
  <c r="P388" i="8"/>
  <c r="P387" i="8"/>
  <c r="P386" i="8"/>
  <c r="P385" i="8"/>
  <c r="P400" i="8"/>
  <c r="P404" i="8"/>
  <c r="P395" i="8"/>
  <c r="P398" i="8"/>
  <c r="P401" i="8"/>
  <c r="P399" i="8"/>
  <c r="P383" i="8"/>
  <c r="P382" i="8"/>
  <c r="P405" i="8"/>
  <c r="P403" i="8"/>
  <c r="P389" i="8"/>
  <c r="P391" i="8"/>
  <c r="P406" i="8"/>
  <c r="P390" i="8"/>
  <c r="P392" i="8"/>
  <c r="P396" i="8"/>
  <c r="G12" i="8"/>
  <c r="P402" i="8"/>
  <c r="P381" i="8"/>
  <c r="C2760" i="8"/>
  <c r="P2112" i="8"/>
  <c r="P2096" i="8"/>
  <c r="P2117" i="8"/>
  <c r="P2105" i="8"/>
  <c r="P2121" i="8"/>
  <c r="P2118" i="8"/>
  <c r="P2122" i="8"/>
  <c r="P2115" i="8"/>
  <c r="P2111" i="8"/>
  <c r="P2100" i="8"/>
  <c r="P2108" i="8"/>
  <c r="P2103" i="8"/>
  <c r="P2097" i="8"/>
  <c r="P2107" i="8"/>
  <c r="P2110" i="8"/>
  <c r="P2116" i="8"/>
  <c r="P2120" i="8"/>
  <c r="P2102" i="8"/>
  <c r="P2099" i="8"/>
  <c r="P2114" i="8"/>
  <c r="P2104" i="8"/>
  <c r="P2109" i="8"/>
  <c r="P2098" i="8"/>
  <c r="P2119" i="8"/>
  <c r="P2113" i="8"/>
  <c r="P2106" i="8"/>
  <c r="P2101" i="8"/>
  <c r="P1990" i="8"/>
  <c r="P1972" i="8"/>
  <c r="P1981" i="8"/>
  <c r="P1984" i="8"/>
  <c r="P1971" i="8"/>
  <c r="P1988" i="8"/>
  <c r="P1973" i="8"/>
  <c r="P1967" i="8"/>
  <c r="P1983" i="8"/>
  <c r="P1966" i="8"/>
  <c r="P1964" i="8"/>
  <c r="P1979" i="8"/>
  <c r="P1965" i="8"/>
  <c r="P1986" i="8"/>
  <c r="P1968" i="8"/>
  <c r="P1978" i="8"/>
  <c r="P1987" i="8"/>
  <c r="P1976" i="8"/>
  <c r="P1974" i="8"/>
  <c r="P1989" i="8"/>
  <c r="P1975" i="8"/>
  <c r="P1980" i="8"/>
  <c r="P1977" i="8"/>
  <c r="P1969" i="8"/>
  <c r="P1970" i="8"/>
  <c r="P1985" i="8"/>
  <c r="P1982" i="8"/>
  <c r="P1416" i="8"/>
  <c r="P1412" i="8"/>
  <c r="P1409" i="8"/>
  <c r="P1400" i="8"/>
  <c r="P1410" i="8"/>
  <c r="P1417" i="8"/>
  <c r="P1404" i="8"/>
  <c r="P1401" i="8"/>
  <c r="P1415" i="8"/>
  <c r="P1396" i="8"/>
  <c r="P1408" i="8"/>
  <c r="P1407" i="8"/>
  <c r="P1413" i="8"/>
  <c r="P1411" i="8"/>
  <c r="P1402" i="8"/>
  <c r="P1393" i="8"/>
  <c r="P1405" i="8"/>
  <c r="P1397" i="8"/>
  <c r="P1403" i="8"/>
  <c r="P1398" i="8"/>
  <c r="P1395" i="8"/>
  <c r="P1414" i="8"/>
  <c r="P1399" i="8"/>
  <c r="P1392" i="8"/>
  <c r="P1394" i="8"/>
  <c r="P1406" i="8"/>
  <c r="P1418" i="8"/>
  <c r="P3057" i="8"/>
  <c r="P3045" i="8"/>
  <c r="P3035" i="8"/>
  <c r="P3053" i="8"/>
  <c r="P3049" i="8"/>
  <c r="P3041" i="8"/>
  <c r="P3052" i="8"/>
  <c r="P3040" i="8"/>
  <c r="P3038" i="8"/>
  <c r="P3043" i="8"/>
  <c r="P3056" i="8"/>
  <c r="P3054" i="8"/>
  <c r="P3044" i="8"/>
  <c r="P3034" i="8"/>
  <c r="P3060" i="8"/>
  <c r="P3058" i="8"/>
  <c r="P3048" i="8"/>
  <c r="P3042" i="8"/>
  <c r="P3051" i="8"/>
  <c r="P3059" i="8"/>
  <c r="P3036" i="8"/>
  <c r="P3050" i="8"/>
  <c r="P3046" i="8"/>
  <c r="P3037" i="8"/>
  <c r="P3055" i="8"/>
  <c r="B2762" i="8"/>
  <c r="C2762" i="8" s="1"/>
  <c r="P3047" i="8"/>
  <c r="P3039" i="8"/>
  <c r="P1759" i="8"/>
  <c r="P1756" i="8"/>
  <c r="P1767" i="8"/>
  <c r="P1754" i="8"/>
  <c r="P1769" i="8"/>
  <c r="P1763" i="8"/>
  <c r="P1760" i="8"/>
  <c r="P1770" i="8"/>
  <c r="P1758" i="8"/>
  <c r="P1761" i="8"/>
  <c r="P1749" i="8"/>
  <c r="P1765" i="8"/>
  <c r="P1757" i="8"/>
  <c r="P1755" i="8"/>
  <c r="P1744" i="8"/>
  <c r="P1750" i="8"/>
  <c r="P1753" i="8"/>
  <c r="P1762" i="8"/>
  <c r="P1764" i="8"/>
  <c r="P1745" i="8"/>
  <c r="P1752" i="8"/>
  <c r="P1746" i="8"/>
  <c r="P1751" i="8"/>
  <c r="P1768" i="8"/>
  <c r="P1766" i="8"/>
  <c r="P1748" i="8"/>
  <c r="P1747" i="8"/>
  <c r="P435" i="8"/>
  <c r="P425" i="8"/>
  <c r="P448" i="8"/>
  <c r="P434" i="8"/>
  <c r="P429" i="8"/>
  <c r="P445" i="8"/>
  <c r="P440" i="8"/>
  <c r="P430" i="8"/>
  <c r="P443" i="8"/>
  <c r="P431" i="8"/>
  <c r="P436" i="8"/>
  <c r="P446" i="8"/>
  <c r="P432" i="8"/>
  <c r="P450" i="8"/>
  <c r="G13" i="8"/>
  <c r="P449" i="8"/>
  <c r="P441" i="8"/>
  <c r="P439" i="8"/>
  <c r="P437" i="8"/>
  <c r="P428" i="8"/>
  <c r="P447" i="8"/>
  <c r="P438" i="8"/>
  <c r="P426" i="8"/>
  <c r="P442" i="8"/>
  <c r="P433" i="8"/>
  <c r="P427" i="8"/>
  <c r="P444" i="8"/>
  <c r="P424" i="8"/>
  <c r="P2376" i="8"/>
  <c r="P2360" i="8"/>
  <c r="P2384" i="8"/>
  <c r="P2362" i="8"/>
  <c r="P2361" i="8"/>
  <c r="P2371" i="8"/>
  <c r="P2363" i="8"/>
  <c r="P2381" i="8"/>
  <c r="P2383" i="8"/>
  <c r="P2368" i="8"/>
  <c r="P2386" i="8"/>
  <c r="P2377" i="8"/>
  <c r="P2378" i="8"/>
  <c r="P2380" i="8"/>
  <c r="P2372" i="8"/>
  <c r="P2367" i="8"/>
  <c r="P2365" i="8"/>
  <c r="P2369" i="8"/>
  <c r="P2373" i="8"/>
  <c r="P2385" i="8"/>
  <c r="P2379" i="8"/>
  <c r="P2366" i="8"/>
  <c r="P2382" i="8"/>
  <c r="P2370" i="8"/>
  <c r="P2375" i="8"/>
  <c r="P2374" i="8"/>
  <c r="P2364" i="8"/>
  <c r="C2765" i="8"/>
  <c r="P1146" i="8"/>
  <c r="P1139" i="8"/>
  <c r="P1143" i="8"/>
  <c r="P1149" i="8"/>
  <c r="P1153" i="8"/>
  <c r="P1150" i="8"/>
  <c r="P1154" i="8"/>
  <c r="P1136" i="8"/>
  <c r="P1135" i="8"/>
  <c r="P1131" i="8"/>
  <c r="P1128" i="8"/>
  <c r="P1134" i="8"/>
  <c r="P1151" i="8"/>
  <c r="P1145" i="8"/>
  <c r="P1147" i="8"/>
  <c r="P1140" i="8"/>
  <c r="P1130" i="8"/>
  <c r="P1129" i="8"/>
  <c r="P1142" i="8"/>
  <c r="P1138" i="8"/>
  <c r="P1132" i="8"/>
  <c r="P1148" i="8"/>
  <c r="P1137" i="8"/>
  <c r="P1144" i="8"/>
  <c r="P1141" i="8"/>
  <c r="P1133" i="8"/>
  <c r="P1152" i="8"/>
  <c r="G29" i="8"/>
  <c r="P1100" i="8"/>
  <c r="P1084" i="8"/>
  <c r="P1108" i="8"/>
  <c r="P1104" i="8"/>
  <c r="P1101" i="8"/>
  <c r="P1092" i="8"/>
  <c r="P1110" i="8"/>
  <c r="P1095" i="8"/>
  <c r="P1093" i="8"/>
  <c r="P1103" i="8"/>
  <c r="P1099" i="8"/>
  <c r="P1089" i="8"/>
  <c r="P1085" i="8"/>
  <c r="P1096" i="8"/>
  <c r="P1090" i="8"/>
  <c r="P1088" i="8"/>
  <c r="P1106" i="8"/>
  <c r="P1086" i="8"/>
  <c r="P1091" i="8"/>
  <c r="P1097" i="8"/>
  <c r="P1102" i="8"/>
  <c r="P1087" i="8"/>
  <c r="P1107" i="8"/>
  <c r="P1094" i="8"/>
  <c r="P1109" i="8"/>
  <c r="G28" i="8"/>
  <c r="P1098" i="8"/>
  <c r="P1105" i="8"/>
  <c r="P484" i="8"/>
  <c r="P468" i="8"/>
  <c r="P492" i="8"/>
  <c r="P472" i="8"/>
  <c r="P476" i="8"/>
  <c r="P488" i="8"/>
  <c r="P479" i="8"/>
  <c r="P486" i="8"/>
  <c r="P480" i="8"/>
  <c r="P477" i="8"/>
  <c r="P489" i="8"/>
  <c r="P491" i="8"/>
  <c r="P494" i="8"/>
  <c r="P483" i="8"/>
  <c r="P475" i="8"/>
  <c r="G14" i="8"/>
  <c r="P474" i="8"/>
  <c r="P469" i="8"/>
  <c r="P481" i="8"/>
  <c r="P473" i="8"/>
  <c r="P493" i="8"/>
  <c r="P482" i="8"/>
  <c r="P485" i="8"/>
  <c r="P487" i="8"/>
  <c r="P471" i="8"/>
  <c r="P478" i="8"/>
  <c r="P470" i="8"/>
  <c r="P490" i="8"/>
  <c r="C2758" i="8"/>
  <c r="L39" i="11"/>
  <c r="AC64" i="8" s="1"/>
  <c r="L20" i="11"/>
  <c r="AB45" i="8" s="1"/>
  <c r="L23" i="11"/>
  <c r="AB48" i="8" s="1"/>
  <c r="L38" i="11"/>
  <c r="AB63" i="8" s="1"/>
  <c r="L27" i="11"/>
  <c r="AB52" i="8" s="1"/>
  <c r="L18" i="11"/>
  <c r="AB44" i="8" s="1"/>
  <c r="L34" i="11"/>
  <c r="AC59" i="8" s="1"/>
  <c r="D2764" i="8"/>
  <c r="D2758" i="8"/>
  <c r="L25" i="11"/>
  <c r="AB50" i="8" s="1"/>
  <c r="D2763" i="8"/>
  <c r="D2756" i="8"/>
  <c r="D2765" i="8"/>
  <c r="L33" i="11"/>
  <c r="AC58" i="8" s="1"/>
  <c r="D2760" i="8"/>
  <c r="L37" i="11"/>
  <c r="AC62" i="8" s="1"/>
  <c r="L28" i="11"/>
  <c r="AC53" i="8" s="1"/>
  <c r="D2759" i="8"/>
  <c r="D2761" i="8"/>
  <c r="D2757" i="8"/>
  <c r="L36" i="11"/>
  <c r="AB61" i="8" s="1"/>
  <c r="L26" i="11"/>
  <c r="AC51" i="8" s="1"/>
  <c r="H23" i="8"/>
  <c r="F13" i="8"/>
  <c r="H5" i="8"/>
  <c r="H28" i="8"/>
  <c r="F18" i="8"/>
  <c r="H10" i="8"/>
  <c r="P27" i="6"/>
  <c r="P11" i="6"/>
  <c r="P5" i="6"/>
  <c r="C31" i="7" s="1"/>
  <c r="F28" i="8"/>
  <c r="H20" i="8"/>
  <c r="B60" i="7" s="1"/>
  <c r="F10" i="8"/>
  <c r="P23" i="6"/>
  <c r="P20" i="6"/>
  <c r="P16" i="6"/>
  <c r="C39" i="7" s="1"/>
  <c r="P4" i="6"/>
  <c r="C30" i="7" s="1"/>
  <c r="H17" i="8"/>
  <c r="H14" i="8"/>
  <c r="H11" i="8"/>
  <c r="H8" i="8"/>
  <c r="B48" i="7" s="1"/>
  <c r="F5" i="8"/>
  <c r="P6" i="6"/>
  <c r="H12" i="8"/>
  <c r="P7" i="6"/>
  <c r="C32" i="7" s="1"/>
  <c r="F25" i="8"/>
  <c r="F19" i="8"/>
  <c r="F16" i="8"/>
  <c r="F20" i="8"/>
  <c r="F17" i="8"/>
  <c r="F14" i="8"/>
  <c r="F11" i="8"/>
  <c r="F8" i="8"/>
  <c r="P26" i="6"/>
  <c r="P8" i="6"/>
  <c r="C33" i="7" s="1"/>
  <c r="P24" i="6"/>
  <c r="C40" i="7" s="1"/>
  <c r="H16" i="8"/>
  <c r="F22" i="8"/>
  <c r="H29" i="8"/>
  <c r="H26" i="8"/>
  <c r="B66" i="7" s="1"/>
  <c r="F23" i="8"/>
  <c r="P17" i="6"/>
  <c r="P10" i="6"/>
  <c r="C35" i="7" s="1"/>
  <c r="P9" i="6"/>
  <c r="C34" i="7" s="1"/>
  <c r="H19" i="8"/>
  <c r="P21" i="6"/>
  <c r="H7" i="8"/>
  <c r="F29" i="8"/>
  <c r="F26" i="8"/>
  <c r="F7" i="8"/>
  <c r="H25" i="8"/>
  <c r="H13" i="8"/>
  <c r="H9" i="8"/>
  <c r="H6" i="8"/>
  <c r="H22" i="8"/>
  <c r="B62" i="7" s="1"/>
  <c r="P18" i="6"/>
  <c r="F21" i="8"/>
  <c r="F6" i="8"/>
  <c r="F24" i="8"/>
  <c r="H15" i="8"/>
  <c r="P28" i="6"/>
  <c r="C41" i="7" s="1"/>
  <c r="P2" i="6"/>
  <c r="C28" i="7" s="1"/>
  <c r="P19" i="6"/>
  <c r="F15" i="8"/>
  <c r="P14" i="6"/>
  <c r="C37" i="7" s="1"/>
  <c r="F27" i="8"/>
  <c r="P13" i="6"/>
  <c r="C36" i="7" s="1"/>
  <c r="H24" i="8"/>
  <c r="F9" i="8"/>
  <c r="H21" i="8"/>
  <c r="B61" i="7" s="1"/>
  <c r="P22" i="6"/>
  <c r="P12" i="6"/>
  <c r="F12" i="8"/>
  <c r="P15" i="6"/>
  <c r="C38" i="7" s="1"/>
  <c r="H27" i="8"/>
  <c r="H18" i="8"/>
  <c r="P3" i="6"/>
  <c r="C29" i="7" s="1"/>
  <c r="P25" i="6"/>
  <c r="P1282" i="8"/>
  <c r="P1265" i="8"/>
  <c r="P1264" i="8"/>
  <c r="P1262" i="8"/>
  <c r="P1273" i="8"/>
  <c r="P1275" i="8"/>
  <c r="P1272" i="8"/>
  <c r="P1283" i="8"/>
  <c r="P1270" i="8"/>
  <c r="P1284" i="8"/>
  <c r="P1276" i="8"/>
  <c r="P1281" i="8"/>
  <c r="P1285" i="8"/>
  <c r="P1266" i="8"/>
  <c r="P1263" i="8"/>
  <c r="P1278" i="8"/>
  <c r="P1267" i="8"/>
  <c r="P1274" i="8"/>
  <c r="P1268" i="8"/>
  <c r="P1286" i="8"/>
  <c r="P1261" i="8"/>
  <c r="P1279" i="8"/>
  <c r="P1260" i="8"/>
  <c r="P1269" i="8"/>
  <c r="P1271" i="8"/>
  <c r="P1277" i="8"/>
  <c r="P1280" i="8"/>
  <c r="P2428" i="8"/>
  <c r="P2424" i="8"/>
  <c r="P2421" i="8"/>
  <c r="P2412" i="8"/>
  <c r="P2425" i="8"/>
  <c r="P2415" i="8"/>
  <c r="P2413" i="8"/>
  <c r="P2417" i="8"/>
  <c r="P2423" i="8"/>
  <c r="P2418" i="8"/>
  <c r="P2408" i="8"/>
  <c r="P2414" i="8"/>
  <c r="P2430" i="8"/>
  <c r="P2422" i="8"/>
  <c r="P2416" i="8"/>
  <c r="P2420" i="8"/>
  <c r="P2406" i="8"/>
  <c r="P2404" i="8"/>
  <c r="P2427" i="8"/>
  <c r="P2411" i="8"/>
  <c r="P2426" i="8"/>
  <c r="P2410" i="8"/>
  <c r="P2405" i="8"/>
  <c r="P2407" i="8"/>
  <c r="P2409" i="8"/>
  <c r="P2419" i="8"/>
  <c r="P2429" i="8"/>
  <c r="B155" i="8"/>
  <c r="P795" i="8"/>
  <c r="P800" i="8"/>
  <c r="P782" i="8"/>
  <c r="P780" i="8"/>
  <c r="P781" i="8"/>
  <c r="P777" i="8"/>
  <c r="P785" i="8"/>
  <c r="P776" i="8"/>
  <c r="P797" i="8"/>
  <c r="P792" i="8"/>
  <c r="P798" i="8"/>
  <c r="P789" i="8"/>
  <c r="P786" i="8"/>
  <c r="P794" i="8"/>
  <c r="P784" i="8"/>
  <c r="P796" i="8"/>
  <c r="P790" i="8"/>
  <c r="P778" i="8"/>
  <c r="P802" i="8"/>
  <c r="P788" i="8"/>
  <c r="P779" i="8"/>
  <c r="P793" i="8"/>
  <c r="P801" i="8"/>
  <c r="P783" i="8"/>
  <c r="P791" i="8"/>
  <c r="P799" i="8"/>
  <c r="P787" i="8"/>
  <c r="G21" i="8"/>
  <c r="C2764" i="8"/>
  <c r="P167" i="8"/>
  <c r="P185" i="8"/>
  <c r="P169" i="8"/>
  <c r="P163" i="8"/>
  <c r="P186" i="8"/>
  <c r="P166" i="8"/>
  <c r="P181" i="8"/>
  <c r="P178" i="8"/>
  <c r="P174" i="8"/>
  <c r="P182" i="8"/>
  <c r="P165" i="8"/>
  <c r="P164" i="8"/>
  <c r="P162" i="8"/>
  <c r="P173" i="8"/>
  <c r="P175" i="8"/>
  <c r="P172" i="8"/>
  <c r="P183" i="8"/>
  <c r="P170" i="8"/>
  <c r="P184" i="8"/>
  <c r="P161" i="8"/>
  <c r="P180" i="8"/>
  <c r="P176" i="8"/>
  <c r="P168" i="8"/>
  <c r="G7" i="8"/>
  <c r="P171" i="8"/>
  <c r="P160" i="8"/>
  <c r="P179" i="8"/>
  <c r="P177" i="8"/>
  <c r="P709" i="8"/>
  <c r="P706" i="8"/>
  <c r="P702" i="8"/>
  <c r="P711" i="8"/>
  <c r="P690" i="8"/>
  <c r="P696" i="8"/>
  <c r="P695" i="8"/>
  <c r="P692" i="8"/>
  <c r="P694" i="8"/>
  <c r="P693" i="8"/>
  <c r="P689" i="8"/>
  <c r="P697" i="8"/>
  <c r="P705" i="8"/>
  <c r="P704" i="8"/>
  <c r="P701" i="8"/>
  <c r="P691" i="8"/>
  <c r="P713" i="8"/>
  <c r="P688" i="8"/>
  <c r="P707" i="8"/>
  <c r="P699" i="8"/>
  <c r="P700" i="8"/>
  <c r="G19" i="8"/>
  <c r="P708" i="8"/>
  <c r="P710" i="8"/>
  <c r="P712" i="8"/>
  <c r="P714" i="8"/>
  <c r="P703" i="8"/>
  <c r="P698" i="8"/>
  <c r="I6" i="8"/>
  <c r="B6" i="8" s="1"/>
  <c r="C46" i="7" s="1"/>
  <c r="AC63" i="8" l="1"/>
  <c r="AC44" i="8"/>
  <c r="AC52" i="8"/>
  <c r="AB62" i="8"/>
  <c r="AC48" i="8"/>
  <c r="AB58" i="8"/>
  <c r="AB53" i="8"/>
  <c r="D2762" i="8"/>
  <c r="AB64" i="8"/>
  <c r="AB59" i="8"/>
  <c r="AC45" i="8"/>
  <c r="H642" i="10"/>
  <c r="H641" i="10"/>
  <c r="H638" i="10"/>
  <c r="H655" i="10"/>
  <c r="H644" i="10"/>
  <c r="H643" i="10"/>
  <c r="H640" i="10"/>
  <c r="H639" i="10"/>
  <c r="H651" i="10"/>
  <c r="H650" i="10"/>
  <c r="H649" i="10"/>
  <c r="H648" i="10"/>
  <c r="H654" i="10"/>
  <c r="K5" i="10"/>
  <c r="H652" i="10"/>
  <c r="H647" i="10"/>
  <c r="H646" i="10"/>
  <c r="H645" i="10"/>
  <c r="H653" i="10"/>
  <c r="B58" i="7"/>
  <c r="H624" i="10"/>
  <c r="H623" i="10"/>
  <c r="H64" i="10"/>
  <c r="H94" i="10"/>
  <c r="H48" i="10"/>
  <c r="H637" i="10"/>
  <c r="H415" i="10"/>
  <c r="K17" i="10"/>
  <c r="D9" i="9"/>
  <c r="E9" i="9" s="1"/>
  <c r="G9" i="9" s="1"/>
  <c r="H636" i="10"/>
  <c r="H304" i="10"/>
  <c r="H254" i="10"/>
  <c r="H635" i="10"/>
  <c r="H95" i="10"/>
  <c r="H634" i="10"/>
  <c r="H144" i="10"/>
  <c r="H633" i="10"/>
  <c r="H286" i="10"/>
  <c r="H414" i="10"/>
  <c r="H224" i="10"/>
  <c r="H127" i="10"/>
  <c r="H126" i="10"/>
  <c r="H384" i="10"/>
  <c r="H207" i="10"/>
  <c r="H621" i="10"/>
  <c r="H620" i="10"/>
  <c r="H32" i="10"/>
  <c r="H367" i="10"/>
  <c r="H627" i="10"/>
  <c r="H287" i="10"/>
  <c r="H16" i="10"/>
  <c r="H626" i="10"/>
  <c r="H625" i="10"/>
  <c r="H255" i="10"/>
  <c r="H622" i="10"/>
  <c r="H632" i="10"/>
  <c r="H206" i="10"/>
  <c r="H447" i="10"/>
  <c r="K9" i="9"/>
  <c r="L9" i="9" s="1"/>
  <c r="N9" i="9" s="1"/>
  <c r="H175" i="10"/>
  <c r="H630" i="10"/>
  <c r="H335" i="10"/>
  <c r="H334" i="10"/>
  <c r="H174" i="10"/>
  <c r="H446" i="10"/>
  <c r="K22" i="10"/>
  <c r="H631" i="10"/>
  <c r="H629" i="10"/>
  <c r="H366" i="10"/>
  <c r="H628" i="10"/>
  <c r="B45" i="7"/>
  <c r="H660" i="10"/>
  <c r="H516" i="10"/>
  <c r="H480" i="10"/>
  <c r="H659" i="10"/>
  <c r="H515" i="10"/>
  <c r="H479" i="10"/>
  <c r="H658" i="10"/>
  <c r="H518" i="10"/>
  <c r="H476" i="10"/>
  <c r="H657" i="10"/>
  <c r="H517" i="10"/>
  <c r="H475" i="10"/>
  <c r="H662" i="10"/>
  <c r="H524" i="10"/>
  <c r="H478" i="10"/>
  <c r="H661" i="10"/>
  <c r="H523" i="10"/>
  <c r="H477" i="10"/>
  <c r="H656" i="10"/>
  <c r="H522" i="10"/>
  <c r="H474" i="10"/>
  <c r="H521" i="10"/>
  <c r="H473" i="10"/>
  <c r="H670" i="10"/>
  <c r="H526" i="10"/>
  <c r="H669" i="10"/>
  <c r="H525" i="10"/>
  <c r="H668" i="10"/>
  <c r="H520" i="10"/>
  <c r="H667" i="10"/>
  <c r="H519" i="10"/>
  <c r="H666" i="10"/>
  <c r="H665" i="10"/>
  <c r="H513" i="10"/>
  <c r="H471" i="10"/>
  <c r="H664" i="10"/>
  <c r="H512" i="10"/>
  <c r="H470" i="10"/>
  <c r="H663" i="10"/>
  <c r="H469" i="10"/>
  <c r="H468" i="10"/>
  <c r="H485" i="10"/>
  <c r="H483" i="10"/>
  <c r="H482" i="10"/>
  <c r="H481" i="10"/>
  <c r="H472" i="10"/>
  <c r="H484" i="10"/>
  <c r="K16" i="10"/>
  <c r="H528" i="10"/>
  <c r="H527" i="10"/>
  <c r="H673" i="10"/>
  <c r="H514" i="10"/>
  <c r="H672" i="10"/>
  <c r="H529" i="10"/>
  <c r="H671" i="10"/>
  <c r="B51" i="7"/>
  <c r="E29" i="11"/>
  <c r="L29" i="11" s="1"/>
  <c r="H5" i="11"/>
  <c r="E5" i="11"/>
  <c r="H11" i="11"/>
  <c r="B54" i="7"/>
  <c r="E8" i="11"/>
  <c r="L8" i="11" s="1"/>
  <c r="H50" i="10"/>
  <c r="H98" i="10"/>
  <c r="H387" i="10"/>
  <c r="H259" i="10"/>
  <c r="H418" i="10"/>
  <c r="H2" i="10"/>
  <c r="H386" i="10"/>
  <c r="H179" i="10"/>
  <c r="H66" i="10"/>
  <c r="H18" i="10"/>
  <c r="H307" i="10"/>
  <c r="H290" i="10"/>
  <c r="H227" i="10"/>
  <c r="H130" i="10"/>
  <c r="H419" i="10"/>
  <c r="H178" i="10"/>
  <c r="H306" i="10"/>
  <c r="H147" i="10"/>
  <c r="H146" i="10"/>
  <c r="H258" i="10"/>
  <c r="K10" i="10"/>
  <c r="H370" i="10"/>
  <c r="H34" i="10"/>
  <c r="H210" i="10"/>
  <c r="K6" i="9"/>
  <c r="L6" i="9" s="1"/>
  <c r="N6" i="9" s="1"/>
  <c r="H226" i="10"/>
  <c r="H67" i="10"/>
  <c r="H99" i="10"/>
  <c r="H339" i="10"/>
  <c r="H338" i="10"/>
  <c r="H696" i="10"/>
  <c r="H9" i="10"/>
  <c r="H695" i="10"/>
  <c r="H25" i="10"/>
  <c r="H700" i="10"/>
  <c r="H272" i="10"/>
  <c r="H699" i="10"/>
  <c r="H81" i="10"/>
  <c r="H41" i="10"/>
  <c r="H706" i="10"/>
  <c r="H400" i="10"/>
  <c r="H193" i="10"/>
  <c r="H705" i="10"/>
  <c r="H297" i="10"/>
  <c r="H241" i="10"/>
  <c r="H192" i="10"/>
  <c r="H704" i="10"/>
  <c r="H240" i="10"/>
  <c r="H80" i="10"/>
  <c r="E17" i="11"/>
  <c r="L17" i="11" s="1"/>
  <c r="H703" i="10"/>
  <c r="H137" i="10"/>
  <c r="H698" i="10"/>
  <c r="H697" i="10"/>
  <c r="H273" i="10"/>
  <c r="K21" i="10"/>
  <c r="E35" i="11"/>
  <c r="L35" i="11" s="1"/>
  <c r="H694" i="10"/>
  <c r="H693" i="10"/>
  <c r="H401" i="10"/>
  <c r="H692" i="10"/>
  <c r="H217" i="10"/>
  <c r="H113" i="10"/>
  <c r="E21" i="11"/>
  <c r="L21" i="11" s="1"/>
  <c r="H377" i="10"/>
  <c r="H112" i="10"/>
  <c r="H160" i="10"/>
  <c r="H12" i="11"/>
  <c r="E11" i="11"/>
  <c r="H321" i="10"/>
  <c r="H320" i="10"/>
  <c r="K18" i="10"/>
  <c r="E16" i="11"/>
  <c r="H709" i="10"/>
  <c r="H701" i="10"/>
  <c r="E41" i="11"/>
  <c r="L41" i="11" s="1"/>
  <c r="H433" i="10"/>
  <c r="H161" i="10"/>
  <c r="H432" i="10"/>
  <c r="E32" i="11"/>
  <c r="L32" i="11" s="1"/>
  <c r="H352" i="10"/>
  <c r="H57" i="10"/>
  <c r="H708" i="10"/>
  <c r="H707" i="10"/>
  <c r="H702" i="10"/>
  <c r="H353" i="10"/>
  <c r="B46" i="7"/>
  <c r="E15" i="11"/>
  <c r="H15" i="11"/>
  <c r="H502" i="10"/>
  <c r="K13" i="10"/>
  <c r="H501" i="10"/>
  <c r="H500" i="10"/>
  <c r="E42" i="11"/>
  <c r="L42" i="11" s="1"/>
  <c r="H499" i="10"/>
  <c r="H505" i="10"/>
  <c r="H504" i="10"/>
  <c r="H503" i="10"/>
  <c r="H511" i="10"/>
  <c r="H510" i="10"/>
  <c r="H507" i="10"/>
  <c r="H506" i="10"/>
  <c r="H509" i="10"/>
  <c r="H508" i="10"/>
  <c r="E40" i="11"/>
  <c r="L40" i="11" s="1"/>
  <c r="B57" i="7"/>
  <c r="H606" i="10"/>
  <c r="H588" i="10"/>
  <c r="H605" i="10"/>
  <c r="H587" i="10"/>
  <c r="H618" i="10"/>
  <c r="H598" i="10"/>
  <c r="H617" i="10"/>
  <c r="H597" i="10"/>
  <c r="H614" i="10"/>
  <c r="H592" i="10"/>
  <c r="H613" i="10"/>
  <c r="H591" i="10"/>
  <c r="H612" i="10"/>
  <c r="H590" i="10"/>
  <c r="H611" i="10"/>
  <c r="H589" i="10"/>
  <c r="H610" i="10"/>
  <c r="H609" i="10"/>
  <c r="H608" i="10"/>
  <c r="H607" i="10"/>
  <c r="H619" i="10"/>
  <c r="H616" i="10"/>
  <c r="H615" i="10"/>
  <c r="K3" i="10"/>
  <c r="H604" i="10"/>
  <c r="H603" i="10"/>
  <c r="H602" i="10"/>
  <c r="H601" i="10"/>
  <c r="H599" i="10"/>
  <c r="H596" i="10"/>
  <c r="H595" i="10"/>
  <c r="H594" i="10"/>
  <c r="H593" i="10"/>
  <c r="H600" i="10"/>
  <c r="H586" i="10"/>
  <c r="H585" i="10"/>
  <c r="H584" i="10"/>
  <c r="B64" i="7"/>
  <c r="C2763" i="8"/>
  <c r="E30" i="11"/>
  <c r="L30" i="11" s="1"/>
  <c r="E13" i="11"/>
  <c r="L13" i="11" s="1"/>
  <c r="E24" i="11"/>
  <c r="L24" i="11" s="1"/>
  <c r="E7" i="11"/>
  <c r="L7" i="11" s="1"/>
  <c r="H16" i="11"/>
  <c r="E31" i="11"/>
  <c r="L31" i="11" s="1"/>
  <c r="B49" i="7"/>
  <c r="E22" i="11"/>
  <c r="L22" i="11" s="1"/>
  <c r="H390" i="10"/>
  <c r="H183" i="10"/>
  <c r="H102" i="10"/>
  <c r="H263" i="10"/>
  <c r="H182" i="10"/>
  <c r="H230" i="10"/>
  <c r="K11" i="10"/>
  <c r="H343" i="10"/>
  <c r="H36" i="10"/>
  <c r="H342" i="10"/>
  <c r="H151" i="10"/>
  <c r="H212" i="10"/>
  <c r="H150" i="10"/>
  <c r="H71" i="10"/>
  <c r="H132" i="10"/>
  <c r="H70" i="10"/>
  <c r="H20" i="10"/>
  <c r="H310" i="10"/>
  <c r="H52" i="10"/>
  <c r="H4" i="10"/>
  <c r="H292" i="10"/>
  <c r="H372" i="10"/>
  <c r="H423" i="10"/>
  <c r="H422" i="10"/>
  <c r="H262" i="10"/>
  <c r="H391" i="10"/>
  <c r="H103" i="10"/>
  <c r="H311" i="10"/>
  <c r="H6" i="11"/>
  <c r="L6" i="11" s="1"/>
  <c r="H231" i="10"/>
  <c r="B47" i="7"/>
  <c r="H462" i="10"/>
  <c r="H461" i="10"/>
  <c r="H456" i="10"/>
  <c r="H455" i="10"/>
  <c r="H454" i="10"/>
  <c r="H453" i="10"/>
  <c r="H452" i="10"/>
  <c r="H451" i="10"/>
  <c r="H466" i="10"/>
  <c r="H465" i="10"/>
  <c r="H464" i="10"/>
  <c r="H463" i="10"/>
  <c r="H467" i="10"/>
  <c r="H460" i="10"/>
  <c r="H459" i="10"/>
  <c r="H458" i="10"/>
  <c r="H457" i="10"/>
  <c r="H450" i="10"/>
  <c r="K27" i="10"/>
  <c r="B67" i="7"/>
  <c r="H534" i="10"/>
  <c r="H533" i="10"/>
  <c r="H538" i="10"/>
  <c r="H537" i="10"/>
  <c r="H546" i="10"/>
  <c r="H545" i="10"/>
  <c r="H544" i="10"/>
  <c r="H543" i="10"/>
  <c r="H539" i="10"/>
  <c r="H536" i="10"/>
  <c r="H535" i="10"/>
  <c r="H532" i="10"/>
  <c r="K7" i="10"/>
  <c r="H547" i="10"/>
  <c r="H542" i="10"/>
  <c r="H541" i="10"/>
  <c r="H540" i="10"/>
  <c r="H530" i="10"/>
  <c r="H531" i="10"/>
  <c r="B69" i="7"/>
  <c r="D8" i="9"/>
  <c r="E8" i="9" s="1"/>
  <c r="G8" i="9" s="1"/>
  <c r="B63" i="7"/>
  <c r="H309" i="10"/>
  <c r="H228" i="10"/>
  <c r="H389" i="10"/>
  <c r="H308" i="10"/>
  <c r="H101" i="10"/>
  <c r="H371" i="10"/>
  <c r="H181" i="10"/>
  <c r="H229" i="10"/>
  <c r="H180" i="10"/>
  <c r="H149" i="10"/>
  <c r="H148" i="10"/>
  <c r="H35" i="10"/>
  <c r="H420" i="10"/>
  <c r="H341" i="10"/>
  <c r="H340" i="10"/>
  <c r="H211" i="10"/>
  <c r="H131" i="10"/>
  <c r="H69" i="10"/>
  <c r="K4" i="10"/>
  <c r="H51" i="10"/>
  <c r="H3" i="10"/>
  <c r="H261" i="10"/>
  <c r="H260" i="10"/>
  <c r="H421" i="10"/>
  <c r="H100" i="10"/>
  <c r="H19" i="10"/>
  <c r="H291" i="10"/>
  <c r="H388" i="10"/>
  <c r="H68" i="10"/>
  <c r="B56" i="7"/>
  <c r="AC50" i="8"/>
  <c r="H426" i="10"/>
  <c r="K8" i="9"/>
  <c r="L8" i="9" s="1"/>
  <c r="N8" i="9" s="1"/>
  <c r="H315" i="10"/>
  <c r="H134" i="10"/>
  <c r="H314" i="10"/>
  <c r="H267" i="10"/>
  <c r="H347" i="10"/>
  <c r="H38" i="10"/>
  <c r="H395" i="10"/>
  <c r="H346" i="10"/>
  <c r="H394" i="10"/>
  <c r="H294" i="10"/>
  <c r="H187" i="10"/>
  <c r="H235" i="10"/>
  <c r="H186" i="10"/>
  <c r="H75" i="10"/>
  <c r="H22" i="10"/>
  <c r="H266" i="10"/>
  <c r="H214" i="10"/>
  <c r="H374" i="10"/>
  <c r="H54" i="10"/>
  <c r="H155" i="10"/>
  <c r="H154" i="10"/>
  <c r="E12" i="11"/>
  <c r="H107" i="10"/>
  <c r="H106" i="10"/>
  <c r="H234" i="10"/>
  <c r="H6" i="10"/>
  <c r="D6" i="9"/>
  <c r="E6" i="9" s="1"/>
  <c r="G6" i="9" s="1"/>
  <c r="H74" i="10"/>
  <c r="K23" i="10"/>
  <c r="H427" i="10"/>
  <c r="B53" i="7"/>
  <c r="H10" i="11"/>
  <c r="D5" i="9"/>
  <c r="E5" i="9" s="1"/>
  <c r="G5" i="9" s="1"/>
  <c r="K5" i="9"/>
  <c r="L5" i="9" s="1"/>
  <c r="N5" i="9" s="1"/>
  <c r="B65" i="7"/>
  <c r="AB51" i="8"/>
  <c r="H678" i="10"/>
  <c r="H677" i="10"/>
  <c r="H680" i="10"/>
  <c r="H679" i="10"/>
  <c r="H684" i="10"/>
  <c r="H683" i="10"/>
  <c r="H682" i="10"/>
  <c r="H681" i="10"/>
  <c r="H690" i="10"/>
  <c r="H689" i="10"/>
  <c r="H688" i="10"/>
  <c r="H687" i="10"/>
  <c r="K28" i="10"/>
  <c r="H686" i="10"/>
  <c r="H685" i="10"/>
  <c r="H676" i="10"/>
  <c r="H675" i="10"/>
  <c r="H674" i="10"/>
  <c r="H691" i="10"/>
  <c r="B59" i="7"/>
  <c r="P136" i="8"/>
  <c r="P133" i="8"/>
  <c r="P124" i="8"/>
  <c r="P123" i="8"/>
  <c r="P141" i="8"/>
  <c r="P125" i="8"/>
  <c r="P119" i="8"/>
  <c r="P142" i="8"/>
  <c r="P122" i="8"/>
  <c r="P137" i="8"/>
  <c r="P134" i="8"/>
  <c r="P130" i="8"/>
  <c r="P138" i="8"/>
  <c r="P121" i="8"/>
  <c r="P120" i="8"/>
  <c r="P118" i="8"/>
  <c r="P117" i="8"/>
  <c r="P126" i="8"/>
  <c r="P139" i="8"/>
  <c r="P127" i="8"/>
  <c r="P135" i="8"/>
  <c r="P131" i="8"/>
  <c r="P128" i="8"/>
  <c r="P129" i="8"/>
  <c r="P132" i="8"/>
  <c r="P140" i="8"/>
  <c r="G6" i="8"/>
  <c r="P116" i="8"/>
  <c r="K7" i="9"/>
  <c r="L7" i="9" s="1"/>
  <c r="N7" i="9" s="1"/>
  <c r="B50" i="7"/>
  <c r="H14" i="11"/>
  <c r="E14" i="11"/>
  <c r="H570" i="10"/>
  <c r="H552" i="10"/>
  <c r="H569" i="10"/>
  <c r="H551" i="10"/>
  <c r="K8" i="10"/>
  <c r="H578" i="10"/>
  <c r="H558" i="10"/>
  <c r="H577" i="10"/>
  <c r="H557" i="10"/>
  <c r="H568" i="10"/>
  <c r="H567" i="10"/>
  <c r="H566" i="10"/>
  <c r="H565" i="10"/>
  <c r="K9" i="10"/>
  <c r="H582" i="10"/>
  <c r="H554" i="10"/>
  <c r="H581" i="10"/>
  <c r="H553" i="10"/>
  <c r="H580" i="10"/>
  <c r="H550" i="10"/>
  <c r="H579" i="10"/>
  <c r="H549" i="10"/>
  <c r="H575" i="10"/>
  <c r="H574" i="10"/>
  <c r="H573" i="10"/>
  <c r="H572" i="10"/>
  <c r="H563" i="10"/>
  <c r="H562" i="10"/>
  <c r="D7" i="9"/>
  <c r="E7" i="9" s="1"/>
  <c r="G7" i="9" s="1"/>
  <c r="H561" i="10"/>
  <c r="H560" i="10"/>
  <c r="H559" i="10"/>
  <c r="H556" i="10"/>
  <c r="H555" i="10"/>
  <c r="H548" i="10"/>
  <c r="H583" i="10"/>
  <c r="H576" i="10"/>
  <c r="H571" i="10"/>
  <c r="H564" i="10"/>
  <c r="B55" i="7"/>
  <c r="H345" i="10"/>
  <c r="H264" i="10"/>
  <c r="K26" i="10"/>
  <c r="H425" i="10"/>
  <c r="H344" i="10"/>
  <c r="H133" i="10"/>
  <c r="H37" i="10"/>
  <c r="H393" i="10"/>
  <c r="H293" i="10"/>
  <c r="H213" i="10"/>
  <c r="H72" i="10"/>
  <c r="H21" i="10"/>
  <c r="H265" i="10"/>
  <c r="H373" i="10"/>
  <c r="H53" i="10"/>
  <c r="H153" i="10"/>
  <c r="H105" i="10"/>
  <c r="E10" i="11"/>
  <c r="H392" i="10"/>
  <c r="H104" i="10"/>
  <c r="H233" i="10"/>
  <c r="H152" i="10"/>
  <c r="H313" i="10"/>
  <c r="H312" i="10"/>
  <c r="H232" i="10"/>
  <c r="H5" i="10"/>
  <c r="H185" i="10"/>
  <c r="H184" i="10"/>
  <c r="H73" i="10"/>
  <c r="H424" i="10"/>
  <c r="B52" i="7"/>
  <c r="AC61" i="8"/>
  <c r="H498" i="10"/>
  <c r="H497" i="10"/>
  <c r="H496" i="10"/>
  <c r="H495" i="10"/>
  <c r="H492" i="10"/>
  <c r="H491" i="10"/>
  <c r="H490" i="10"/>
  <c r="H489" i="10"/>
  <c r="H494" i="10"/>
  <c r="H493" i="10"/>
  <c r="H488" i="10"/>
  <c r="H487" i="10"/>
  <c r="K6" i="10"/>
  <c r="H486" i="10"/>
  <c r="B68" i="7"/>
  <c r="L5" i="11" l="1"/>
  <c r="AC32" i="8" s="1"/>
  <c r="D12" i="9"/>
  <c r="D13" i="9" s="1"/>
  <c r="L16" i="11"/>
  <c r="AB42" i="8" s="1"/>
  <c r="L12" i="11"/>
  <c r="AC33" i="8"/>
  <c r="AB33" i="8"/>
  <c r="AC38" i="8"/>
  <c r="AB38" i="8"/>
  <c r="AB46" i="8"/>
  <c r="AC46" i="8"/>
  <c r="AB47" i="8"/>
  <c r="AC47" i="8"/>
  <c r="L10" i="11"/>
  <c r="AC57" i="8"/>
  <c r="AB57" i="8"/>
  <c r="AB56" i="8"/>
  <c r="AC56" i="8"/>
  <c r="L14" i="11"/>
  <c r="K12" i="9"/>
  <c r="K13" i="9" s="1"/>
  <c r="AB34" i="8"/>
  <c r="AC34" i="8"/>
  <c r="AB49" i="8"/>
  <c r="AC49" i="8"/>
  <c r="AB67" i="8"/>
  <c r="AC67" i="8"/>
  <c r="AC66" i="8"/>
  <c r="AB66" i="8"/>
  <c r="AC39" i="8"/>
  <c r="AB39" i="8"/>
  <c r="AB60" i="8"/>
  <c r="AC60" i="8"/>
  <c r="AB55" i="8"/>
  <c r="AC55" i="8"/>
  <c r="AB35" i="8"/>
  <c r="AC35" i="8"/>
  <c r="L11" i="11"/>
  <c r="AB32" i="8"/>
  <c r="AC65" i="8"/>
  <c r="AB65" i="8"/>
  <c r="AB43" i="8"/>
  <c r="AC43" i="8"/>
  <c r="L15" i="11"/>
  <c r="AC54" i="8"/>
  <c r="AB54" i="8"/>
  <c r="AC42" i="8" l="1"/>
  <c r="D15" i="9"/>
  <c r="AB40" i="8"/>
  <c r="AC40" i="8"/>
  <c r="AB41" i="8"/>
  <c r="AC41" i="8"/>
  <c r="AB37" i="8"/>
  <c r="AC37" i="8"/>
  <c r="AC36" i="8"/>
  <c r="AE66" i="8" s="1"/>
  <c r="AB36" i="8"/>
  <c r="AE41" i="8" l="1"/>
  <c r="AE40" i="8"/>
  <c r="AE37" i="8"/>
  <c r="AE36" i="8"/>
  <c r="AE35" i="8"/>
  <c r="AE62" i="8"/>
  <c r="AE44" i="8"/>
  <c r="AE38" i="8"/>
  <c r="AE47" i="8"/>
  <c r="AE43" i="8"/>
  <c r="AE39" i="8"/>
  <c r="AE34" i="8"/>
  <c r="AE54" i="8"/>
  <c r="AE42" i="8"/>
  <c r="AE57" i="8"/>
  <c r="AE33" i="8"/>
  <c r="AE60" i="8"/>
  <c r="AE49" i="8"/>
  <c r="AE56" i="8"/>
  <c r="AE46" i="8"/>
  <c r="AE67" i="8"/>
  <c r="AE65" i="8"/>
  <c r="AE32" i="8"/>
  <c r="AE50" i="8"/>
  <c r="AE61" i="8"/>
  <c r="AE52" i="8"/>
  <c r="AE55" i="8"/>
  <c r="B48" i="8" l="1"/>
  <c r="B89" i="7" s="1"/>
  <c r="B41" i="8"/>
  <c r="B82" i="7" s="1"/>
  <c r="A53" i="8"/>
  <c r="A94" i="7" s="1"/>
  <c r="A38" i="8"/>
  <c r="A79" i="7" s="1"/>
  <c r="B37" i="8"/>
  <c r="B78" i="7" s="1"/>
  <c r="A36" i="8"/>
  <c r="A77" i="7" s="1"/>
  <c r="A50" i="8"/>
  <c r="A91" i="7" s="1"/>
  <c r="A35" i="8"/>
  <c r="A76" i="7" s="1"/>
  <c r="B50" i="8"/>
  <c r="B91" i="7" s="1"/>
  <c r="C47" i="8"/>
  <c r="C88" i="7" s="1"/>
  <c r="A32" i="8"/>
  <c r="A73" i="7" s="1"/>
  <c r="B53" i="8"/>
  <c r="B94" i="7" s="1"/>
  <c r="A59" i="8"/>
  <c r="A100" i="7" s="1"/>
  <c r="C44" i="8"/>
  <c r="C85" i="7" s="1"/>
  <c r="C58" i="8"/>
  <c r="C99" i="7" s="1"/>
  <c r="C54" i="8"/>
  <c r="C95" i="7" s="1"/>
  <c r="C42" i="8"/>
  <c r="C83" i="7" s="1"/>
  <c r="C51" i="8"/>
  <c r="C92" i="7" s="1"/>
  <c r="C38" i="8"/>
  <c r="C79" i="7" s="1"/>
  <c r="C55" i="8"/>
  <c r="C96" i="7" s="1"/>
  <c r="A42" i="8"/>
  <c r="A83" i="7" s="1"/>
  <c r="C32" i="8"/>
  <c r="C73" i="7" s="1"/>
  <c r="C35" i="8"/>
  <c r="C76" i="7" s="1"/>
  <c r="A39" i="8"/>
  <c r="A80" i="7" s="1"/>
  <c r="B39" i="8"/>
  <c r="B80" i="7" s="1"/>
  <c r="A48" i="8"/>
  <c r="A89" i="7" s="1"/>
  <c r="C50" i="8"/>
  <c r="C91" i="7" s="1"/>
  <c r="A45" i="8"/>
  <c r="A86" i="7" s="1"/>
  <c r="B45" i="8"/>
  <c r="B86" i="7" s="1"/>
  <c r="C34" i="8"/>
  <c r="C75" i="7" s="1"/>
  <c r="A47" i="8"/>
  <c r="A88" i="7" s="1"/>
  <c r="B49" i="8"/>
  <c r="B90" i="7" s="1"/>
  <c r="B56" i="8"/>
  <c r="B97" i="7" s="1"/>
  <c r="A40" i="8"/>
  <c r="A81" i="7" s="1"/>
  <c r="A44" i="8"/>
  <c r="A85" i="7" s="1"/>
  <c r="C40" i="8"/>
  <c r="C81" i="7" s="1"/>
  <c r="A51" i="8"/>
  <c r="A92" i="7" s="1"/>
  <c r="B58" i="8"/>
  <c r="B99" i="7" s="1"/>
  <c r="A52" i="8"/>
  <c r="A93" i="7" s="1"/>
  <c r="C43" i="8"/>
  <c r="C84" i="7" s="1"/>
  <c r="C37" i="8"/>
  <c r="C78" i="7" s="1"/>
  <c r="A43" i="8"/>
  <c r="A84" i="7" s="1"/>
  <c r="C39" i="8"/>
  <c r="C80" i="7" s="1"/>
  <c r="C57" i="8"/>
  <c r="C98" i="7" s="1"/>
  <c r="B38" i="8"/>
  <c r="B79" i="7" s="1"/>
  <c r="C48" i="8"/>
  <c r="C89" i="7" s="1"/>
  <c r="A58" i="8"/>
  <c r="A99" i="7" s="1"/>
  <c r="B51" i="8"/>
  <c r="B92" i="7" s="1"/>
  <c r="B36" i="8"/>
  <c r="B77" i="7" s="1"/>
  <c r="A41" i="8"/>
  <c r="A82" i="7" s="1"/>
  <c r="B42" i="8"/>
  <c r="B83" i="7" s="1"/>
  <c r="C33" i="8"/>
  <c r="C74" i="7" s="1"/>
  <c r="C45" i="8"/>
  <c r="C86" i="7" s="1"/>
  <c r="B55" i="8"/>
  <c r="B96" i="7" s="1"/>
  <c r="A33" i="8"/>
  <c r="A74" i="7" s="1"/>
  <c r="B52" i="8"/>
  <c r="B93" i="7" s="1"/>
  <c r="B33" i="8"/>
  <c r="B74" i="7" s="1"/>
  <c r="B54" i="8"/>
  <c r="B95" i="7" s="1"/>
  <c r="A34" i="8"/>
  <c r="A75" i="7" s="1"/>
  <c r="A46" i="8"/>
  <c r="A87" i="7" s="1"/>
  <c r="C53" i="8"/>
  <c r="C94" i="7" s="1"/>
  <c r="C59" i="8"/>
  <c r="C100" i="7" s="1"/>
  <c r="B34" i="8"/>
  <c r="B75" i="7" s="1"/>
  <c r="C36" i="8"/>
  <c r="C77" i="7" s="1"/>
  <c r="B35" i="8"/>
  <c r="B76" i="7" s="1"/>
  <c r="B32" i="8"/>
  <c r="B73" i="7" s="1"/>
  <c r="A49" i="8"/>
  <c r="A90" i="7" s="1"/>
  <c r="B57" i="8"/>
  <c r="B98" i="7" s="1"/>
  <c r="C52" i="8"/>
  <c r="C93" i="7" s="1"/>
  <c r="B59" i="8"/>
  <c r="B100" i="7" s="1"/>
  <c r="C49" i="8"/>
  <c r="C90" i="7" s="1"/>
  <c r="A54" i="8"/>
  <c r="A95" i="7" s="1"/>
  <c r="C46" i="8"/>
  <c r="C87" i="7" s="1"/>
  <c r="B47" i="8"/>
  <c r="B88" i="7" s="1"/>
  <c r="A55" i="8"/>
  <c r="A96" i="7" s="1"/>
  <c r="B44" i="8"/>
  <c r="B85" i="7" s="1"/>
  <c r="B40" i="8"/>
  <c r="B81" i="7" s="1"/>
  <c r="B46" i="8"/>
  <c r="B87" i="7" s="1"/>
  <c r="C41" i="8"/>
  <c r="C82" i="7" s="1"/>
  <c r="A37" i="8"/>
  <c r="A78" i="7" s="1"/>
  <c r="C56" i="8"/>
  <c r="C97" i="7" s="1"/>
  <c r="A57" i="8"/>
  <c r="A98" i="7" s="1"/>
  <c r="B43" i="8"/>
  <c r="B84" i="7" s="1"/>
  <c r="A56" i="8"/>
  <c r="A97" i="7" s="1"/>
</calcChain>
</file>

<file path=xl/sharedStrings.xml><?xml version="1.0" encoding="utf-8"?>
<sst xmlns="http://schemas.openxmlformats.org/spreadsheetml/2006/main" count="5631" uniqueCount="638">
  <si>
    <t>Fire/Poison Arch Mage — DPS Calculator: How to Use This Workbook</t>
  </si>
  <si>
    <t>How to use this workbook</t>
  </si>
  <si>
    <t>Only edit the yellow-highlighted cells on the Inputs sheet — every other sheet is computed from those values and will be overwritten if you rebuild the workbook.</t>
  </si>
  <si>
    <t>Summary shows Total DPS, a Per-Skill DPS Breakdown (damage-dealing skills only — buffs/passives that never deal their own damage are omitted), and a Marginal DPS &amp; Stat Value table showing the DPS gained per +1 of each stat.</t>
  </si>
  <si>
    <t>Sensitivity has the full detail behind that marginal-value table — one self-contained block per stat, showing exactly how bumping that stat by +1 changes every downstream number.</t>
  </si>
  <si>
    <t>CubeData/PotentialCubes model your current gear's Potential Cube lines and drive cube-reroll expected-value decisions. For the full standalone Potential Cube EV calculator (exact optimal-stopping math, works from this workbook alone), see tools/potential_cubes_ev.py in the project repo.</t>
  </si>
  <si>
    <t>Design decisions &amp; assumptions</t>
  </si>
  <si>
    <t>Poison/DoT skills (Poison Breath, Poison Mist, Creeping Toxin, Ignite) and Burning Magic/Elemental Decrease assume the target is permanently afflicted at steady state, not an exact on/off timer.</t>
  </si>
  <si>
    <t>Crit Rate pushed above 100% (e.g. by cube potential lines) automatically redirects its stat-value to Crit Damage's own per-unit DPS value on the PotentialCubes sheet, since excess Crit Rate cannot do anything past 100%.</t>
  </si>
  <si>
    <t>Buffs (Meditation, Magic Guard, Infinity, Nimble Feet) are modeled at steady-state duty-cycle average uptime, not as an exact moment-to-moment state machine.</t>
  </si>
  <si>
    <t>Meteor Proc's trigger rate is the combined cast rate of every attack that can trigger it (including Basic Attack), averaged rather than simulated hit-by-hit.</t>
  </si>
  <si>
    <t>Ifrit is a summon skill (own cooldown/duration/DoT-tick mechanism), not part of the game's separate Companion roster system — its damage is modeled as a real DPS source like any other skill.</t>
  </si>
  <si>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</si>
  <si>
    <t>Not modeled (out of scope): crowd control, Accuracy/Evasion/Defense reduction, movement speed, the character's own Defense stat, and Companion Summoning Time (the Companion roster system, unrelated to Ifrit).</t>
  </si>
  <si>
    <t>Fire/Poison Arch Mage — DPS Calculator Inputs</t>
  </si>
  <si>
    <t>(none)</t>
  </si>
  <si>
    <t>Chapter Boss</t>
  </si>
  <si>
    <t>Breakthrough</t>
  </si>
  <si>
    <t>PvP</t>
  </si>
  <si>
    <t>EXP Dungeon</t>
  </si>
  <si>
    <t>Equipment Dungeon</t>
  </si>
  <si>
    <t>Weapon Dungeon</t>
  </si>
  <si>
    <t>Enhancement Dungeon</t>
  </si>
  <si>
    <t>Hero Dungeon</t>
  </si>
  <si>
    <t>World Boss</t>
  </si>
  <si>
    <t>Chapter Hunt</t>
  </si>
  <si>
    <t>Charm of the Undead</t>
  </si>
  <si>
    <t>Character Level</t>
  </si>
  <si>
    <t>Pig's Ribbon</t>
  </si>
  <si>
    <t>Content Type</t>
  </si>
  <si>
    <t>Shamaness Marble</t>
  </si>
  <si>
    <t>Chapter-Stage — 'chapter-substage' (e.g. '28-9') for Breakthrough/Chapter Hunt, just the chapter number for Chapter Boss, or just the stage number for Weapon/Equipment/Enhancement/EXP/Hero Dungeon. Not applicable to World Boss/PvP.</t>
  </si>
  <si>
    <t>36</t>
  </si>
  <si>
    <t>36-8</t>
  </si>
  <si>
    <t>The Contract of Darkness</t>
  </si>
  <si>
    <t>Flat ATTACK</t>
  </si>
  <si>
    <t>Rainbow-colored Snail Shell</t>
  </si>
  <si>
    <t>ATTACK %</t>
  </si>
  <si>
    <t>Hexagon Necklace</t>
  </si>
  <si>
    <t>Defense (your own DEF stat; PvP assumes the opponent has the same Defense as you)</t>
  </si>
  <si>
    <t>Arwen's Glass Shoes</t>
  </si>
  <si>
    <t>CRIT_RATE %</t>
  </si>
  <si>
    <t>Mushmom's Cap</t>
  </si>
  <si>
    <t>CRIT_DAMAGE %</t>
  </si>
  <si>
    <t>Clear Spring Water</t>
  </si>
  <si>
    <t>ATTACK_SPEED % (base, excludes Nimble Feet)</t>
  </si>
  <si>
    <t>Athena Pierce's Old Gloves</t>
  </si>
  <si>
    <t>Flat INT</t>
  </si>
  <si>
    <t>Zakum's Stone Piece</t>
  </si>
  <si>
    <t>INT %</t>
  </si>
  <si>
    <t>Horntail's Scale</t>
  </si>
  <si>
    <t>LUK</t>
  </si>
  <si>
    <t>Pink Bean's Giant Rib</t>
  </si>
  <si>
    <t>DAMAGE %</t>
  </si>
  <si>
    <t>Chalice</t>
  </si>
  <si>
    <t>DAMAGE_AMP %</t>
  </si>
  <si>
    <t>Old Music Box</t>
  </si>
  <si>
    <t>BASIC_ATTACK_DAMAGE %</t>
  </si>
  <si>
    <t>Silver Pendant</t>
  </si>
  <si>
    <t>SKILL_DAMAGE %</t>
  </si>
  <si>
    <t>Star Rock</t>
  </si>
  <si>
    <t>DEF_PEN %</t>
  </si>
  <si>
    <t>Book of Ancient</t>
  </si>
  <si>
    <t>BOSS_DAMAGE %</t>
  </si>
  <si>
    <t>Lunar Dew</t>
  </si>
  <si>
    <t>NORMAL_DAMAGE %</t>
  </si>
  <si>
    <t>Fire Flower</t>
  </si>
  <si>
    <t>MIN_DAMAGE %</t>
  </si>
  <si>
    <t>Soul Contract</t>
  </si>
  <si>
    <t>MAX_DAMAGE %</t>
  </si>
  <si>
    <t>Lit Lamp</t>
  </si>
  <si>
    <t>FINAL_DAMAGE % (base, excludes Infinity)</t>
  </si>
  <si>
    <t>Soul Pouch</t>
  </si>
  <si>
    <t>Skill Level Bonus — 1st Job</t>
  </si>
  <si>
    <t>Ancient Text Piece</t>
  </si>
  <si>
    <t>Skill Level Bonus — 2nd Job</t>
  </si>
  <si>
    <t>Icy Soul Rock</t>
  </si>
  <si>
    <t>Skill Level Bonus — 3rd Job</t>
  </si>
  <si>
    <t>Flaming Lava</t>
  </si>
  <si>
    <t>Skill Level Bonus — 4th Job</t>
  </si>
  <si>
    <t>Sayram's Necklace</t>
  </si>
  <si>
    <t>Skill Level Bonus — All Skills</t>
  </si>
  <si>
    <t>Bottle of Emotion</t>
  </si>
  <si>
    <t>Peach Tree Herb Pouch</t>
  </si>
  <si>
    <t>Additional Bonuses</t>
  </si>
  <si>
    <t>Candle</t>
  </si>
  <si>
    <t>Skill Cooldown Decrease (seconds; applies to every cooldown — skills, buffs and passives)</t>
  </si>
  <si>
    <t>Alliance Badge</t>
  </si>
  <si>
    <t>Basic Attack Target Increase (flat, adds to the 6-target normal-monster base)</t>
  </si>
  <si>
    <t>Horn Flute</t>
  </si>
  <si>
    <t>Buff Duration Increase %</t>
  </si>
  <si>
    <t>Cursed Doll</t>
  </si>
  <si>
    <t>Companion Summoning Time Increase % (companions not modeled — always 0 DPS impact)</t>
  </si>
  <si>
    <t>Reindeer's Spear</t>
  </si>
  <si>
    <t>Boss/Normal Emphasis (Breakthrough/Hero Dungeon only)</t>
  </si>
  <si>
    <t>Equal</t>
  </si>
  <si>
    <t>Secret Map</t>
  </si>
  <si>
    <t>Max Enemies Actually In Range (normal-monster content only; default 999 = uncapped)</t>
  </si>
  <si>
    <t>Ring of Cycles</t>
  </si>
  <si>
    <t>Monster Type (auto-computed from Content Type) — computed, do not edit</t>
  </si>
  <si>
    <t>Chapter (parsed from Chapter-Stage) — computed, do not edit</t>
  </si>
  <si>
    <t>Stage (parsed from Chapter-Stage) — computed, do not edit</t>
  </si>
  <si>
    <t>Breakthrough Global Stage Index (helper) — computed, do not edit</t>
  </si>
  <si>
    <t>Monster Defense (auto-computed from Content Type) — computed, do not edit</t>
  </si>
  <si>
    <t>Fixed Fight Duration (auto-computed from Content Type; 0 = steady-state) — computed, do not edit</t>
  </si>
  <si>
    <t>Boss/Normal Weight % (parsed from Boss/Normal Emphasis) — computed, do not edit</t>
  </si>
  <si>
    <t>Equipped Artifacts (up to 4)</t>
  </si>
  <si>
    <t>Slot 1</t>
  </si>
  <si>
    <t>Slot 2</t>
  </si>
  <si>
    <t>Slot 3</t>
  </si>
  <si>
    <t>Slot 4</t>
  </si>
  <si>
    <t>Level</t>
  </si>
  <si>
    <t>F0</t>
  </si>
  <si>
    <t>F1</t>
  </si>
  <si>
    <t>F2</t>
  </si>
  <si>
    <t>F3</t>
  </si>
  <si>
    <t>F4</t>
  </si>
  <si>
    <t>F5</t>
  </si>
  <si>
    <t>F6</t>
  </si>
  <si>
    <t>F7</t>
  </si>
  <si>
    <t>F8</t>
  </si>
  <si>
    <t>F9</t>
  </si>
  <si>
    <t>F10</t>
  </si>
  <si>
    <t>F11</t>
  </si>
  <si>
    <t>F12</t>
  </si>
  <si>
    <t>F13</t>
  </si>
  <si>
    <t>F14</t>
  </si>
  <si>
    <t>F15</t>
  </si>
  <si>
    <t>F16</t>
  </si>
  <si>
    <t>F17</t>
  </si>
  <si>
    <t>F18</t>
  </si>
  <si>
    <t>F19</t>
  </si>
  <si>
    <t>F20</t>
  </si>
  <si>
    <t>F21</t>
  </si>
  <si>
    <t>F22</t>
  </si>
  <si>
    <t>F23</t>
  </si>
  <si>
    <t>Key</t>
  </si>
  <si>
    <t>Name</t>
  </si>
  <si>
    <t>JobStep</t>
  </si>
  <si>
    <t>Element</t>
  </si>
  <si>
    <t>Cooldown(s)</t>
  </si>
  <si>
    <t>CostsActionSlot</t>
  </si>
  <si>
    <t>HitsPerCast</t>
  </si>
  <si>
    <t>ICD(s)</t>
  </si>
  <si>
    <t>ActiveWindow(s)</t>
  </si>
  <si>
    <t>ProcChance%</t>
  </si>
  <si>
    <t>RollsPerCast</t>
  </si>
  <si>
    <t>BaseDamage(tenths%)</t>
  </si>
  <si>
    <t>FactorIndex</t>
  </si>
  <si>
    <t>ScalesWithLevel</t>
  </si>
  <si>
    <t>SkillMasteryBonus%</t>
  </si>
  <si>
    <t>MasteryBossDamage%</t>
  </si>
  <si>
    <t>MasteryNormalDamage%</t>
  </si>
  <si>
    <t>NormalMonsterTargets</t>
  </si>
  <si>
    <t>BuffTargetStat</t>
  </si>
  <si>
    <t>BuffDuration(s)</t>
  </si>
  <si>
    <t>TriggersElementalDecrease</t>
  </si>
  <si>
    <t>TriggersMeteorProc</t>
  </si>
  <si>
    <t>MeteorProcTriggersPerCast</t>
  </si>
  <si>
    <t>MapleHeroBase(tenths%)</t>
  </si>
  <si>
    <t>MapleHeroFactorIndex</t>
  </si>
  <si>
    <t>Stacks</t>
  </si>
  <si>
    <t>Note</t>
  </si>
  <si>
    <t>BASIC_ATTACK</t>
  </si>
  <si>
    <t>Basic Attack</t>
  </si>
  <si>
    <t>Fire</t>
  </si>
  <si>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</si>
  <si>
    <t>IGNITE</t>
  </si>
  <si>
    <t>Ignite</t>
  </si>
  <si>
    <t>3 walls of fire assumed permanently maintained (max instances). +250% vs Normal Monster not modeled. Skill Mastery: +100% added directly to the coefficient%. Hits 3 targets vs normal monsters.</t>
  </si>
  <si>
    <t>POISON_BREATH</t>
  </si>
  <si>
    <t>Poison Breath</t>
  </si>
  <si>
    <t>Poison</t>
  </si>
  <si>
    <t>Skill Mastery: +70% added directly to the coefficient%. Hits 6 targets vs normal monsters.</t>
  </si>
  <si>
    <t>ELEMENTAL_DRAIN</t>
  </si>
  <si>
    <t>Elemental Drain</t>
  </si>
  <si>
    <t>Poison assumed permanently at 5 stacks (max instances).</t>
  </si>
  <si>
    <t>MEDITATION</t>
  </si>
  <si>
    <t>Meditation</t>
  </si>
  <si>
    <t>ATTACK</t>
  </si>
  <si>
    <t>Buff — averaged Attack% = BaseDamage/10 * Factor/1000 * Duration/Cooldown. FactorIndex 21 (game table: 20%/f21 — shared with Ice/Lightning's identical Meditation; an earlier version had 22, found in the 2026-10-21 audit).</t>
  </si>
  <si>
    <t>POISON_MIST_BURST</t>
  </si>
  <si>
    <t>Poison Mist (burst)</t>
  </si>
  <si>
    <t>Skill Mastery: +50% added directly to the coefficient%. (Does not apply to the fog DoT — see that row.) Hits 10 targets vs normal monsters.</t>
  </si>
  <si>
    <t>POISON_MIST_DOT</t>
  </si>
  <si>
    <t>Poison Mist (fog DoT)</t>
  </si>
  <si>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</si>
  <si>
    <t>MIST_ERUPTION</t>
  </si>
  <si>
    <t>Mist Eruption</t>
  </si>
  <si>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</si>
  <si>
    <t>CREEPING_TOXIN</t>
  </si>
  <si>
    <t>Creeping Toxin</t>
  </si>
  <si>
    <t>Assumes a qualifying Fire-element hit is always available within the 2s ICD window. Skill Mastery: +50% added directly to the coefficient%, plus +100% Normal Monster Damage mastery. Deliberately excluded from Meteor Proc's trigger set (confirmed by the user).</t>
  </si>
  <si>
    <t>BURNING_MAGIC</t>
  </si>
  <si>
    <t>Burning Magic</t>
  </si>
  <si>
    <t>Global always-on multiplier: 1 + (BaseDamage/10 * Stacks)/100. Does not scale with level.</t>
  </si>
  <si>
    <t>ELEMENTAL_DECREASE</t>
  </si>
  <si>
    <t>Elemental Decrease</t>
  </si>
  <si>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</si>
  <si>
    <t>METEOR_SHOWER_BURST</t>
  </si>
  <si>
    <t>Meteor Shower (burst)</t>
  </si>
  <si>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</si>
  <si>
    <t>METEOR_PROC</t>
  </si>
  <si>
    <t>Meteor Proc (30% on-hit, 1s ICD)</t>
  </si>
  <si>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</si>
  <si>
    <t>FLAME_HAZE_BURST</t>
  </si>
  <si>
    <t>Flame Haze (burst)</t>
  </si>
  <si>
    <t>Hits 10 targets vs normal monsters.</t>
  </si>
  <si>
    <t>FLAME_HAZE_DOT</t>
  </si>
  <si>
    <t>Flame Haze (burn DoT)</t>
  </si>
  <si>
    <t>Burn duration is 20s vs boss, 10s vs normal monsters and PvP (confirmed by the user); Chapter Breakthrough blends the two by Inputs!normal_weight_frac. Hits 10 targets vs normal monsters, same as the burst.</t>
  </si>
  <si>
    <t>MAGIC_GUARD</t>
  </si>
  <si>
    <t>Magic Guard</t>
  </si>
  <si>
    <t>Buff — only the Attack component is modeled (Defense component doesn't affect own damage).</t>
  </si>
  <si>
    <t>NIMBLE_FEET</t>
  </si>
  <si>
    <t>Nimble Feet</t>
  </si>
  <si>
    <t>ATTACK_SPEED</t>
  </si>
  <si>
    <t>Buff — flat +15% Attack Speed, does not scale with level (FactorIndex is an unused placeholder here, same as Burning Magic). Averaged into effective Attack Speed before the 150% cap.</t>
  </si>
  <si>
    <t>INFINITY</t>
  </si>
  <si>
    <t>Infinity</t>
  </si>
  <si>
    <t>FINAL_DAMAGE</t>
  </si>
  <si>
    <t>Ramps +15%-&gt;+25% Final Damage over 10s of its 15s duration; time-averaged while active = 21.6667% at factor 1000, now scaled by FactorTable[level][21]/1000 like Magic Guard/Meditation.</t>
  </si>
  <si>
    <t>MAGIC_CRITICAL_RATE</t>
  </si>
  <si>
    <t>Magic Critical (Crit Rate)</t>
  </si>
  <si>
    <t>CRIT_RATE</t>
  </si>
  <si>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</si>
  <si>
    <t>MAGIC_CRITICAL_DAMAGE</t>
  </si>
  <si>
    <t>Magic Critical (Crit Damage)</t>
  </si>
  <si>
    <t>CRIT_DAMAGE</t>
  </si>
  <si>
    <t>Same mechanism as Magic Critical (Crit Rate) above, targeting CRIT_DAMAGE% instead.</t>
  </si>
  <si>
    <t>SPELL_MASTERY</t>
  </si>
  <si>
    <t>Spell Mastery</t>
  </si>
  <si>
    <t>MIN_DAMAGE</t>
  </si>
  <si>
    <t>Passive, always on (2nd job) — no cooldown/duration, not a damage row. Its current contribution is already baked into Inputs!MIN_DAMAGE% by the user; this row's Calc!F is only used by the Sensitivity sheet to compute the marginal delta when 'Skill Level Bonus — 2nd Job' is swept.</t>
  </si>
  <si>
    <t>ELEMENT_AMPLIFICATION</t>
  </si>
  <si>
    <t>Element Amplification</t>
  </si>
  <si>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</si>
  <si>
    <t>IFRIT</t>
  </si>
  <si>
    <t>Ifrit</t>
  </si>
  <si>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</si>
  <si>
    <t>BUFF_MASTERY</t>
  </si>
  <si>
    <t>Buff Mastery</t>
  </si>
  <si>
    <t>Passive, always on (4th job, unlocked level 117) — no cooldown/duration, not a damage row. Already included in Inputs!buff_duration_increase_pct (confirmed by the user), so it is NOT added again anywhere — informational row only (see bdi_with_buff_mastery_expr).</t>
  </si>
  <si>
    <t>ARCANE_AIM</t>
  </si>
  <si>
    <t>Arcane Aim</t>
  </si>
  <si>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</si>
  <si>
    <t>FERVENT_DRAIN</t>
  </si>
  <si>
    <t>Fervent Drain</t>
  </si>
  <si>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</si>
  <si>
    <t>FLAME_HAZE_FOG</t>
  </si>
  <si>
    <t>Flame Haze (poison fog DoT)</t>
  </si>
  <si>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</si>
  <si>
    <t>Fire/Poison Arch Mage — Artifacts (Equip Effect)</t>
  </si>
  <si>
    <t>Book of Ancient — Crit Damage (from Crit Rate, reference only)</t>
  </si>
  <si>
    <t>Ring of Cycles — Threshold Crit Rate (excl. self)</t>
  </si>
  <si>
    <t>Ring of Cycles — Crit Rate (if threshold &lt; 100%)</t>
  </si>
  <si>
    <t>Ring of Cycles — Skill Damage (if threshold &gt;= 100%)</t>
  </si>
  <si>
    <t>Ring of Cycles — Excess-100% Points (capped at 100)</t>
  </si>
  <si>
    <t>Ring of Cycles — Basic Attack Damage (excess points x per-point)</t>
  </si>
  <si>
    <t>Candle — Effective Fight Duration</t>
  </si>
  <si>
    <t>Candle — Effective Active (fixed-duration or PvP)</t>
  </si>
  <si>
    <t>Candle — Final Damage (100% uptime, patched)</t>
  </si>
  <si>
    <t>Candle — Boss Monster Damage (20-40s window / boss-present-time uptime, patched)</t>
  </si>
  <si>
    <t>Peach Tree Herb Pouch — Proc Rate (per second)</t>
  </si>
  <si>
    <t>Peach Tree Herb Pouch — Uptime (refreshing 5s timer)</t>
  </si>
  <si>
    <t>Peach Tree Herb Pouch — Enemy Damage Taken</t>
  </si>
  <si>
    <t>Silver Pendant — Offered Load (rho = lambda x duration)</t>
  </si>
  <si>
    <t>Silver Pendant — Erlang Loss Weight (n=0)</t>
  </si>
  <si>
    <t>Silver Pendant — Erlang Loss Weight (n=1)</t>
  </si>
  <si>
    <t>Silver Pendant — Erlang Loss Weight (n=2)</t>
  </si>
  <si>
    <t>Silver Pendant — Erlang Loss Weight (n=3)</t>
  </si>
  <si>
    <t>Silver Pendant — Erlang Loss Weight (n=4)</t>
  </si>
  <si>
    <t>Silver Pendant — Erlang Loss Weight (n=5)</t>
  </si>
  <si>
    <t>Silver Pendant — Average Stacks (Erlang-loss mean)</t>
  </si>
  <si>
    <t>Silver Pendant — Enemy Damage Taken</t>
  </si>
  <si>
    <t>Athena Pierce's Old Gloves — Max Damage (from Attack Speed, reference only)</t>
  </si>
  <si>
    <t>Hexagon Necklace — Average Stacks</t>
  </si>
  <si>
    <t>Hexagon Necklace — Damage %</t>
  </si>
  <si>
    <t>Rainbow-colored Snail Shell — Uptime (0-15s window)</t>
  </si>
  <si>
    <t>Rainbow-colored Snail Shell — Crit Rate</t>
  </si>
  <si>
    <t>Rainbow-colored Snail Shell — Crit Damage</t>
  </si>
  <si>
    <t>TOTAL — Artifact Crit Rate Bonus</t>
  </si>
  <si>
    <t>TOTAL — Artifact Crit Damage Bonus</t>
  </si>
  <si>
    <t>TOTAL — Artifact Final Damage Bonus (equivalent %, each real source combines MULTIPLICATIVELY — Candle x Flaming Lava x Horn Flute, not summed)</t>
  </si>
  <si>
    <t>TOTAL — Artifact Boss Monster Damage Bonus</t>
  </si>
  <si>
    <t>TOTAL — Artifact Enemy Damage Taken Bonus</t>
  </si>
  <si>
    <t>TOTAL — Artifact Damage Bonus (own separate final multiplier, like Magic Guard/Meditation's Average Buff Multiplier — not blended into Inputs!DAMAGE%)</t>
  </si>
  <si>
    <t>TOTAL — Artifact Skill Damage Bonus</t>
  </si>
  <si>
    <t>TOTAL — Artifact Basic Attack Damage Bonus</t>
  </si>
  <si>
    <t>Candle — Boss Appear Time (Breakthrough/Hero Dungeon only)</t>
  </si>
  <si>
    <t>Clear Spring Water — Final Damage (reference only, Growth Dungeon types)</t>
  </si>
  <si>
    <t>Old Music Box — Attack % (content-type uptime assumption)</t>
  </si>
  <si>
    <t>Soul Contract — Skill Cooldown Decrease % (Chapter Hunt only)</t>
  </si>
  <si>
    <t>Soul Pouch — Final Damage (reference only, PvP/"Arena")</t>
  </si>
  <si>
    <t>Flaming Lava — Final Damage (always assumes target is debuffed)</t>
  </si>
  <si>
    <t>Icy Soul Rock — Crit Damage (1.5x-averaged, MP not modeled)</t>
  </si>
  <si>
    <t>Secret Map — Attack %</t>
  </si>
  <si>
    <t>Secret Map — Final Damage (normal-monster branch only)</t>
  </si>
  <si>
    <t>Reindeer's Spear — Attack %</t>
  </si>
  <si>
    <t>Reindeer's Spear — Base (1x) Defense Penetration (reference only)</t>
  </si>
  <si>
    <t>TOTAL — Artifact Attack % Bonus (Old Music Box/Secret Map/Reindeer's Spear/Alliance Badge/Bottle of Emotion/Charm of the Undead — additive into the same bucket as Magic Guard/Meditation's Average Buff Multiplier)</t>
  </si>
  <si>
    <t>TOTAL — Artifact Final Damage Bonus, NORMAL-MONSTER BRANCH ONLY (Secret Map/Fire Flower/Chalice)</t>
  </si>
  <si>
    <t>Cursed Doll — Final Damage (reference only)</t>
  </si>
  <si>
    <t>Horn Flute — Final Damage (character's own portion only)</t>
  </si>
  <si>
    <t>Bottle of Emotion — Attack %</t>
  </si>
  <si>
    <t>Bottle of Emotion — Final Damage from Attack Speed (reference only)</t>
  </si>
  <si>
    <t>Alliance Badge — Attack %</t>
  </si>
  <si>
    <t>Sayram's Necklace — Normal Monster Damage</t>
  </si>
  <si>
    <t>Sayram's Necklace — Boss Monster Damage</t>
  </si>
  <si>
    <t>Lit Lamp — Final Damage (reference only, World Boss)</t>
  </si>
  <si>
    <t>Fire Flower — Final Damage (normal-monster branch, 10 targets assumed)</t>
  </si>
  <si>
    <t>Fire Flower — Final Damage (boss/PvP branch, 1 target assumed)</t>
  </si>
  <si>
    <t>Star Rock — Boss Monster Damage (reference only)</t>
  </si>
  <si>
    <t>Chalice — Final Damage (normal-monster branch)</t>
  </si>
  <si>
    <t>Chalice — Final Damage (boss branch)</t>
  </si>
  <si>
    <t>The Contract of Darkness — Crit Rate (boss branch only)</t>
  </si>
  <si>
    <t>Shamaness Marble — Buff Duration Increase % (reference only)</t>
  </si>
  <si>
    <t>Charm of the Undead — Attack % (periodic uptime)</t>
  </si>
  <si>
    <t>Ancient Text Piece — always 0 (Guild Conquest not modeled)</t>
  </si>
  <si>
    <t>Lunar Dew — always 0 (no attacking effect)</t>
  </si>
  <si>
    <t>Pink Bean's Giant Rib — always 0 (raid content not modeled)</t>
  </si>
  <si>
    <t>Horntail's Scale — always 0 (raid content not modeled)</t>
  </si>
  <si>
    <t>Zakum's Stone Piece — always 0 (raid content not modeled)</t>
  </si>
  <si>
    <t>Mushmom's Cap — always 0 (Accuracy-vs-Evasion not modeled)</t>
  </si>
  <si>
    <t>Arwen's Glass Shoes — always 0 (companions not modeled)</t>
  </si>
  <si>
    <t>Pig's Ribbon — always 0 (no attacking effect)</t>
  </si>
  <si>
    <t>TOTAL — Artifact Normal Monster Damage Bonus</t>
  </si>
  <si>
    <t>TOTAL — Artifact Final Damage Bonus, BOSS BRANCH ONLY (Fire Flower/Chalice)</t>
  </si>
  <si>
    <t>Unlocked</t>
  </si>
  <si>
    <t>InputLevel</t>
  </si>
  <si>
    <t>Factor</t>
  </si>
  <si>
    <t>CoefficientPercent</t>
  </si>
  <si>
    <t>EffectiveHits</t>
  </si>
  <si>
    <t>ProcProbability</t>
  </si>
  <si>
    <t>MapleHeroMultiplier</t>
  </si>
  <si>
    <t>BaseDamage</t>
  </si>
  <si>
    <t>BaseHitDamage</t>
  </si>
  <si>
    <t>NonCritAvg</t>
  </si>
  <si>
    <t>CritAvg</t>
  </si>
  <si>
    <t>ExpectedDamage(perHit)</t>
  </si>
  <si>
    <t>DPS</t>
  </si>
  <si>
    <t>% of Total</t>
  </si>
  <si>
    <t>InvCooldown</t>
  </si>
  <si>
    <t>CastsInFight</t>
  </si>
  <si>
    <t>BossOnlyDPS</t>
  </si>
  <si>
    <t>NormalOnlyDPS</t>
  </si>
  <si>
    <t>Maple Hero helper (jobStep4, factorIndex23)</t>
  </si>
  <si>
    <t>Fire/Poison Arch Mage — DPS Summary</t>
  </si>
  <si>
    <t>TOTAL DPS</t>
  </si>
  <si>
    <t>Derived Values (read-only, computed from Inputs)</t>
  </si>
  <si>
    <t>ATTACK (= Flat ATTACK x (1+ATTACK%/100))</t>
  </si>
  <si>
    <t>STAT_DAMAGE % (= 1% of total INT + 0.25% of LUK)</t>
  </si>
  <si>
    <t>Basic Attack Input Level (4th job formula)</t>
  </si>
  <si>
    <t>Basic Attack Factor (factorIndex 21)</t>
  </si>
  <si>
    <t>SKILL_COEFFICIENT — Basic Attack base coefficient % (before Skill Mastery)</t>
  </si>
  <si>
    <t>Normal-Monster Weight (= 0 for boss, 1 for normal, Breakthrough Normal Weight % for breakthrough, 0 for pvp)</t>
  </si>
  <si>
    <t>Burning Magic Multiplier</t>
  </si>
  <si>
    <t>Elemental Decrease Multiplier (always-on) + Artifact Enemy Damage Taken Bonus</t>
  </si>
  <si>
    <t>Average Buff Multiplier (Magic Guard + Meditation + Artifact Attack%, summed; then Infinity)</t>
  </si>
  <si>
    <t>Attack Speed Buff Bonus % (Nimble Feet, averaged)</t>
  </si>
  <si>
    <t>Actions Per Second (Attack Speed combined via diminishing-returns stack, factor 150, then capped)</t>
  </si>
  <si>
    <t>Skill + Buff Cast Rate (subtracted from Basic Attack, 1/s)</t>
  </si>
  <si>
    <t>Basic Attacks Per Second</t>
  </si>
  <si>
    <t>Basic Attack DPS</t>
  </si>
  <si>
    <t>Meteor Proc — triggering attacks' combined cast rate, incl. Basic Attack (1/s)</t>
  </si>
  <si>
    <t>Buff-Casting Startup Delay (s, before first damage-skill cast; fixed-duration only)</t>
  </si>
  <si>
    <t>Boss-Only Total DPS (Sensitivity baseline)</t>
  </si>
  <si>
    <t>Normal-Only Total DPS (Sensitivity baseline)</t>
  </si>
  <si>
    <t>Per-Skill DPS Breakdown</t>
  </si>
  <si>
    <t>Skill</t>
  </si>
  <si>
    <t>Marginal DPS &amp; Stat Value (see Sensitivity for full detail)</t>
  </si>
  <si>
    <t>Stat</t>
  </si>
  <si>
    <t>DPS per +1</t>
  </si>
  <si>
    <t>Units per +1% DPS</t>
  </si>
  <si>
    <t>Artifact Equip-Toggle DPS Gain, best to worst (see Sensitivity for full detail)</t>
  </si>
  <si>
    <t>Artifact</t>
  </si>
  <si>
    <t>DPS Gain</t>
  </si>
  <si>
    <t>% Gain</t>
  </si>
  <si>
    <t>Marginal DPS per +1 (percentage point / skill level / flat point)</t>
  </si>
  <si>
    <t>Attack Speed and Def Pen combine their +1 via the diminishing-returns formula (new = (1-(1-old/factor)*(1-1/factor))*factor), not a flat add.</t>
  </si>
  <si>
    <t>Type</t>
  </si>
  <si>
    <t>Current Value</t>
  </si>
  <si>
    <t>New Value</t>
  </si>
  <si>
    <t>Baseline Total DPS</t>
  </si>
  <si>
    <t>New Total DPS</t>
  </si>
  <si>
    <t>flat</t>
  </si>
  <si>
    <t>pct</t>
  </si>
  <si>
    <t>FINAL_DAMAGE % (multiplicative source)</t>
  </si>
  <si>
    <t>mult</t>
  </si>
  <si>
    <t>ATTACK_SPEED % (diminishing returns, factor 150)</t>
  </si>
  <si>
    <t>dr150</t>
  </si>
  <si>
    <t>DEF_PEN % (diminishing returns, factor 100)</t>
  </si>
  <si>
    <t>dr100</t>
  </si>
  <si>
    <t>level</t>
  </si>
  <si>
    <t>Skill Cooldown Decrease (seconds)</t>
  </si>
  <si>
    <t>Basic Attack Target Increase (flat)</t>
  </si>
  <si>
    <t>Artifact Equip-Toggle DPS Gain</t>
  </si>
  <si>
    <t>Charm of the Undead (Equip)</t>
  </si>
  <si>
    <t>Pig's Ribbon (Equip)</t>
  </si>
  <si>
    <t>Shamaness Marble (Equip)</t>
  </si>
  <si>
    <t>The Contract of Darkness (Equip)</t>
  </si>
  <si>
    <t>Rainbow-colored Snail Shell (Equip)</t>
  </si>
  <si>
    <t>Hexagon Necklace (Equip)</t>
  </si>
  <si>
    <t>Arwen's Glass Shoes (Equip)</t>
  </si>
  <si>
    <t>Mushmom's Cap (Equip)</t>
  </si>
  <si>
    <t>Clear Spring Water (Equip)</t>
  </si>
  <si>
    <t>Athena Pierce's Old Gloves (Equip)</t>
  </si>
  <si>
    <t>Zakum's Stone Piece (Equip)</t>
  </si>
  <si>
    <t>Horntail's Scale (Equip)</t>
  </si>
  <si>
    <t>Pink Bean's Giant Rib (Equip)</t>
  </si>
  <si>
    <t>Chalice (Equip)</t>
  </si>
  <si>
    <t>Old Music Box (Equip)</t>
  </si>
  <si>
    <t>Silver Pendant (Equip)</t>
  </si>
  <si>
    <t>Star Rock (Equip)</t>
  </si>
  <si>
    <t>Book of Ancient (Equip)</t>
  </si>
  <si>
    <t>Lunar Dew (Equip)</t>
  </si>
  <si>
    <t>Fire Flower (Equip)</t>
  </si>
  <si>
    <t>Soul Contract (Equip)</t>
  </si>
  <si>
    <t>Lit Lamp (Equip)</t>
  </si>
  <si>
    <t>Soul Pouch (Equip)</t>
  </si>
  <si>
    <t>Ancient Text Piece (Equip)</t>
  </si>
  <si>
    <t>Icy Soul Rock (Equip)</t>
  </si>
  <si>
    <t>Flaming Lava (Equip)</t>
  </si>
  <si>
    <t>Sayram's Necklace (Equip)</t>
  </si>
  <si>
    <t>Bottle of Emotion (Equip)</t>
  </si>
  <si>
    <t>Peach Tree Herb Pouch (Equip)</t>
  </si>
  <si>
    <t>Candle (Equip)</t>
  </si>
  <si>
    <t>Alliance Badge (Equip)</t>
  </si>
  <si>
    <t>Horn Flute (Equip)</t>
  </si>
  <si>
    <t>Cursed Doll (Equip)</t>
  </si>
  <si>
    <t>Reindeer's Spear (Equip)</t>
  </si>
  <si>
    <t>Secret Map (Equip)</t>
  </si>
  <si>
    <t>Ring of Cycles (Equip)</t>
  </si>
  <si>
    <t>Stat: Flat INT</t>
  </si>
  <si>
    <t>helpers</t>
  </si>
  <si>
    <t>Elemental Decrease Multiplier (always-on)</t>
  </si>
  <si>
    <t>Actions Per Second</t>
  </si>
  <si>
    <t>Skill + Buff Cast Rate</t>
  </si>
  <si>
    <t>Meteor Proc — combined trigger cast rate</t>
  </si>
  <si>
    <t>Buff-Casting Startup Delay (s, fixed-duration only)</t>
  </si>
  <si>
    <t>Boss-Only Total DPS (this block's swept value)</t>
  </si>
  <si>
    <t>Normal-Only Total DPS (this block's swept value)</t>
  </si>
  <si>
    <t>Stat: INT %</t>
  </si>
  <si>
    <t>Stat: DAMAGE %</t>
  </si>
  <si>
    <t>Stat: DAMAGE_AMP %</t>
  </si>
  <si>
    <t>Stat: BOSS_DAMAGE %</t>
  </si>
  <si>
    <t>Stat: NORMAL_DAMAGE %</t>
  </si>
  <si>
    <t>Stat: FINAL_DAMAGE % (multiplicative source)</t>
  </si>
  <si>
    <t>Stat: MIN_DAMAGE %</t>
  </si>
  <si>
    <t>Stat: MAX_DAMAGE %</t>
  </si>
  <si>
    <t>Stat: CRIT_RATE %</t>
  </si>
  <si>
    <t>Stat: CRIT_DAMAGE %</t>
  </si>
  <si>
    <t>Stat: ATTACK_SPEED % (diminishing returns, factor 150)</t>
  </si>
  <si>
    <t>Stat: DEF_PEN % (diminishing returns, factor 100)</t>
  </si>
  <si>
    <t>Stat: BASIC_ATTACK_DAMAGE %</t>
  </si>
  <si>
    <t>Stat: SKILL_DAMAGE %</t>
  </si>
  <si>
    <t>Stat: Skill Level Bonus — 1st Job</t>
  </si>
  <si>
    <t>Stat: Skill Level Bonus — 2nd Job</t>
  </si>
  <si>
    <t>Stat: Skill Level Bonus — 3rd Job</t>
  </si>
  <si>
    <t>Stat: Skill Level Bonus — 4th Job</t>
  </si>
  <si>
    <t>Stat: Skill Level Bonus — All Skills</t>
  </si>
  <si>
    <t>Stat: Flat ATTACK</t>
  </si>
  <si>
    <t>Stat: ATTACK %</t>
  </si>
  <si>
    <t>Stat: Skill Cooldown Decrease (seconds)</t>
  </si>
  <si>
    <t>Stat: Basic Attack Target Increase (flat)</t>
  </si>
  <si>
    <t>Stat: Buff Duration Increase %</t>
  </si>
  <si>
    <t>Stat: Charm of the Undead (Equip)</t>
  </si>
  <si>
    <t>Stat: Pig's Ribbon (Equip)</t>
  </si>
  <si>
    <t>Stat: Shamaness Marble (Equip)</t>
  </si>
  <si>
    <t>Stat: The Contract of Darkness (Equip)</t>
  </si>
  <si>
    <t>Stat: Rainbow-colored Snail Shell (Equip)</t>
  </si>
  <si>
    <t>Stat: Hexagon Necklace (Equip)</t>
  </si>
  <si>
    <t>Stat: Arwen's Glass Shoes (Equip)</t>
  </si>
  <si>
    <t>Stat: Mushmom's Cap (Equip)</t>
  </si>
  <si>
    <t>Stat: Clear Spring Water (Equip)</t>
  </si>
  <si>
    <t>Stat: Athena Pierce's Old Gloves (Equip)</t>
  </si>
  <si>
    <t>Stat: Zakum's Stone Piece (Equip)</t>
  </si>
  <si>
    <t>Stat: Horntail's Scale (Equip)</t>
  </si>
  <si>
    <t>Stat: Pink Bean's Giant Rib (Equip)</t>
  </si>
  <si>
    <t>Stat: Chalice (Equip)</t>
  </si>
  <si>
    <t>Stat: Old Music Box (Equip)</t>
  </si>
  <si>
    <t>Stat: Silver Pendant (Equip)</t>
  </si>
  <si>
    <t>Stat: Star Rock (Equip)</t>
  </si>
  <si>
    <t>Stat: Book of Ancient (Equip)</t>
  </si>
  <si>
    <t>Stat: Lunar Dew (Equip)</t>
  </si>
  <si>
    <t>Stat: Fire Flower (Equip)</t>
  </si>
  <si>
    <t>Stat: Soul Contract (Equip)</t>
  </si>
  <si>
    <t>Stat: Lit Lamp (Equip)</t>
  </si>
  <si>
    <t>Stat: Soul Pouch (Equip)</t>
  </si>
  <si>
    <t>Stat: Ancient Text Piece (Equip)</t>
  </si>
  <si>
    <t>Stat: Icy Soul Rock (Equip)</t>
  </si>
  <si>
    <t>Stat: Flaming Lava (Equip)</t>
  </si>
  <si>
    <t>Stat: Sayram's Necklace (Equip)</t>
  </si>
  <si>
    <t>Stat: Bottle of Emotion (Equip)</t>
  </si>
  <si>
    <t>Stat: Peach Tree Herb Pouch (Equip)</t>
  </si>
  <si>
    <t>Stat: Candle (Equip)</t>
  </si>
  <si>
    <t>Stat: Alliance Badge (Equip)</t>
  </si>
  <si>
    <t>Stat: Horn Flute (Equip)</t>
  </si>
  <si>
    <t>Stat: Cursed Doll (Equip)</t>
  </si>
  <si>
    <t>Stat: Reindeer's Spear (Equip)</t>
  </si>
  <si>
    <t>Stat: Secret Map (Equip)</t>
  </si>
  <si>
    <t>Stat: Ring of Cycles (Equip)</t>
  </si>
  <si>
    <t>Cooldown Reduction Milestone Sweep (absolute CDR seconds, fixed-duration content only)</t>
  </si>
  <si>
    <t>CDR (s)</t>
  </si>
  <si>
    <t>Total DPS</t>
  </si>
  <si>
    <t>DPS Gain (vs prior step)</t>
  </si>
  <si>
    <t>% Gain (vs current CDR)</t>
  </si>
  <si>
    <t>Stat: CDR = 0.5s</t>
  </si>
  <si>
    <t>Stat: CDR = 1.0s</t>
  </si>
  <si>
    <t>Stat: CDR = 1.5s</t>
  </si>
  <si>
    <t>Stat: CDR = 2.0s</t>
  </si>
  <si>
    <t>Stat: CDR = 2.5s</t>
  </si>
  <si>
    <t>Stat: CDR = 3.0s</t>
  </si>
  <si>
    <t>Stat: CDR = 3.5s</t>
  </si>
  <si>
    <t>Stat: CDR = 4.0s</t>
  </si>
  <si>
    <t>Stat: CDR = 4.5s</t>
  </si>
  <si>
    <t>Stat: CDR = 5.0s</t>
  </si>
  <si>
    <t>Fire/Poison Arch Mage — Equipment Compare</t>
  </si>
  <si>
    <t>Main Stat (flat)</t>
  </si>
  <si>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</si>
  <si>
    <t>Main Stat %</t>
  </si>
  <si>
    <t>Attack (flat)</t>
  </si>
  <si>
    <t>Current Equip</t>
  </si>
  <si>
    <t>New Equip</t>
  </si>
  <si>
    <t>Min Damage %</t>
  </si>
  <si>
    <t>Max Damage %</t>
  </si>
  <si>
    <t>Line 2</t>
  </si>
  <si>
    <t>Critical Rate %</t>
  </si>
  <si>
    <t>Damage %</t>
  </si>
  <si>
    <t>Line 3</t>
  </si>
  <si>
    <t>Critical Damage %</t>
  </si>
  <si>
    <t>Normal Monster Damage %</t>
  </si>
  <si>
    <t>Line 4</t>
  </si>
  <si>
    <t>Line 5</t>
  </si>
  <si>
    <t>Boss Monster Damage %</t>
  </si>
  <si>
    <t>Line 6</t>
  </si>
  <si>
    <t>Defense Penetration %</t>
  </si>
  <si>
    <t>Total DPS Gain</t>
  </si>
  <si>
    <t>Defense (flat)</t>
  </si>
  <si>
    <t>% of Total DPS</t>
  </si>
  <si>
    <t>New vs Current — DPS % Delta</t>
  </si>
  <si>
    <t>Final Damage %</t>
  </si>
  <si>
    <t>Basic Attack Damage %</t>
  </si>
  <si>
    <t>Skill Damage %</t>
  </si>
  <si>
    <t>Attack Speed %</t>
  </si>
  <si>
    <t>Slot</t>
  </si>
  <si>
    <t>Rarity</t>
  </si>
  <si>
    <t>Line</t>
  </si>
  <si>
    <t>Value</t>
  </si>
  <si>
    <t>Weight</t>
  </si>
  <si>
    <t>Prime</t>
  </si>
  <si>
    <t>DPSPerUnit</t>
  </si>
  <si>
    <t>Rate</t>
  </si>
  <si>
    <t>MaxPity</t>
  </si>
  <si>
    <t>PotentialType</t>
  </si>
  <si>
    <t>SlotList</t>
  </si>
  <si>
    <t>ALL</t>
  </si>
  <si>
    <t>normal</t>
  </si>
  <si>
    <t>Potential</t>
  </si>
  <si>
    <t>head</t>
  </si>
  <si>
    <t>All Skill Level</t>
  </si>
  <si>
    <t>rare</t>
  </si>
  <si>
    <t>cape</t>
  </si>
  <si>
    <t>epic</t>
  </si>
  <si>
    <t>chest</t>
  </si>
  <si>
    <t>Min Damage Multiplier %</t>
  </si>
  <si>
    <t>unique</t>
  </si>
  <si>
    <t>shoulders</t>
  </si>
  <si>
    <t>Max Damage Multiplier %</t>
  </si>
  <si>
    <t>Basic Attack Target Increase</t>
  </si>
  <si>
    <t>legendary</t>
  </si>
  <si>
    <t>legs</t>
  </si>
  <si>
    <t>Str %</t>
  </si>
  <si>
    <t>0</t>
  </si>
  <si>
    <t>mystic</t>
  </si>
  <si>
    <t>belt</t>
  </si>
  <si>
    <t>Dex %</t>
  </si>
  <si>
    <t>Companion Summoning Time Increase %</t>
  </si>
  <si>
    <t>Bonus Potential</t>
  </si>
  <si>
    <t>gloves</t>
  </si>
  <si>
    <t>Int %</t>
  </si>
  <si>
    <t>boots</t>
  </si>
  <si>
    <t>Luk %</t>
  </si>
  <si>
    <t>ring</t>
  </si>
  <si>
    <t>Defense %</t>
  </si>
  <si>
    <t>neck</t>
  </si>
  <si>
    <t>Max HP %</t>
  </si>
  <si>
    <t>eye-accessory</t>
  </si>
  <si>
    <t>Max MP %</t>
  </si>
  <si>
    <t>Defense Penetration</t>
  </si>
  <si>
    <t>ring2</t>
  </si>
  <si>
    <t>Str</t>
  </si>
  <si>
    <t>Dex</t>
  </si>
  <si>
    <t>face</t>
  </si>
  <si>
    <t>earrings</t>
  </si>
  <si>
    <t>Int</t>
  </si>
  <si>
    <t>pocket</t>
  </si>
  <si>
    <t>Luk</t>
  </si>
  <si>
    <t>Main Stat % per 4 Levels</t>
  </si>
  <si>
    <t>Main Stat Per Level</t>
  </si>
  <si>
    <t>Fire/Poison Arch Mage — Artifacts (Star Level + Potentials)</t>
  </si>
  <si>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</si>
  <si>
    <t>All Artifacts — Star Level + Potentials</t>
  </si>
  <si>
    <t>Star Level</t>
  </si>
  <si>
    <t>Line 1 Rarity</t>
  </si>
  <si>
    <t>Line 1 Stat</t>
  </si>
  <si>
    <t>Line 1 DPS Gain</t>
  </si>
  <si>
    <t>Line 2 Rarity</t>
  </si>
  <si>
    <t>Line 2 Stat</t>
  </si>
  <si>
    <t>Line 2 DPS Gain</t>
  </si>
  <si>
    <t>Line 3 Rarity (Legendary only)</t>
  </si>
  <si>
    <t>Line 3 Stat (Legendary only)</t>
  </si>
  <si>
    <t>Line 3 DPS Gain</t>
  </si>
  <si>
    <t>Total Potential DPS Gain</t>
  </si>
  <si>
    <t>Equipped? (computed)</t>
  </si>
  <si>
    <t>Star Level, resolved (computed)</t>
  </si>
  <si>
    <t>Legendary</t>
  </si>
  <si>
    <t>Epic</t>
  </si>
  <si>
    <t>Rare</t>
  </si>
  <si>
    <t>Damage Taken Decrease %</t>
  </si>
  <si>
    <t>Mystic</t>
  </si>
  <si>
    <t>Status Effect Damage %</t>
  </si>
  <si>
    <t>Mystic (Prime)</t>
  </si>
  <si>
    <t>Unique</t>
  </si>
  <si>
    <t>Accuracy</t>
  </si>
  <si>
    <t>Not Unlocked</t>
  </si>
  <si>
    <t>Potential Cubes — Current Gear State</t>
  </si>
  <si>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</si>
  <si>
    <t>Leave a line's Stat as "(none)" if that line isn't rolled yet / doesn't matter.</t>
  </si>
  <si>
    <t>Potential Type</t>
  </si>
  <si>
    <t>Current Rarity</t>
  </si>
  <si>
    <t>Current Pity Count</t>
  </si>
  <si>
    <t>Line 1 Value</t>
  </si>
  <si>
    <t>Line 2 Value</t>
  </si>
  <si>
    <t>Line 3 Stat</t>
  </si>
  <si>
    <t>Line 3 Value</t>
  </si>
  <si>
    <t>36-12</t>
  </si>
  <si>
    <t>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</si>
</sst>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quot;%&quot;"/>
    <numFmt numFmtId="165" formatCode="\+0.00&quot;%&quot;;\-0.00&quot;%&quot;;0.00&quot;%&quot;"/>
  </numFmts>
  <fonts count="6" x14ac:knownFonts="1">
    <font>
      <sz val="11"/>
      <color theme="1"/>
      <name val="Calibri"/>
      <family val="2"/>
      <scheme val="minor"/>
    </font>
    <font>
      <b/>
      <sz val="14"/>
      <name val="Calibri"/>
      <family val="2"/>
    </font>
    <font>
      <b/>
      <sz val="12"/>
      <name val="Calibri"/>
      <family val="2"/>
    </font>
    <font>
      <b/>
      <sz val="11"/>
      <color rgb="FFFFFFFF"/>
      <name val="Calibri"/>
      <family val="2"/>
    </font>
    <font>
      <b/>
      <sz val="11"/>
      <name val="Calibri"/>
      <family val="2"/>
    </font>
    <font>
      <b/>
      <sz val="13"/>
      <name val="Calibri"/>
      <family val="2"/>
    </font>
  </fonts>
  <fills count="5">
    <fill>
      <patternFill patternType="none"/>
    </fill>
    <fill>
      <patternFill patternType="gray125"/>
    </fill>
    <fill>
      <patternFill patternType="solid">
        <fgColor rgb="FF1F4E78"/>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1" fillId="0" borderId="0" xfId="0" applyFont="1"/>
    <xf numFmtId="0" fontId="3" fillId="2" borderId="0" xfId="0" applyFont="1" applyFill="1" applyAlignment="1">
      <alignment horizontal="center"/>
    </xf>
    <xf numFmtId="0" fontId="4" fillId="0" borderId="0" xfId="0" applyFont="1"/>
    <xf numFmtId="0" fontId="0" fillId="3" borderId="0" xfId="0" applyFill="1"/>
    <xf numFmtId="0" fontId="0" fillId="4" borderId="0" xfId="0" applyFill="1"/>
    <xf numFmtId="0" fontId="2" fillId="0" borderId="0" xfId="0" applyFont="1"/>
    <xf numFmtId="0" fontId="5" fillId="0" borderId="0" xfId="0" applyFont="1"/>
    <xf numFmtId="0" fontId="3" fillId="2" borderId="0" xfId="0" applyFont="1" applyFill="1"/>
    <xf numFmtId="0" fontId="0" fillId="2" borderId="0" xfId="0" applyFill="1"/>
    <xf numFmtId="164" fontId="0" fillId="0" borderId="0" xfId="0" applyNumberFormat="1"/>
    <xf numFmtId="165"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7"/>
  <sheetViews>
    <sheetView workbookViewId="0"/>
  </sheetViews>
  <sheetFormatPr baseColWidth="10" defaultColWidth="8.83203125" defaultRowHeight="15" x14ac:dyDescent="0.2"/>
  <cols>
    <col min="1" max="1" width="110" customWidth="1"/>
  </cols>
  <sheetData>
    <row r="1" spans="1:1" ht="20" x14ac:dyDescent="0.2">
      <c r="A1" s="1" t="s">
        <v>0</v>
      </c>
    </row>
    <row r="2" spans="1:1" x14ac:dyDescent="0.2">
      <c r="A2" s="2"/>
    </row>
    <row r="3" spans="1:1" ht="17" x14ac:dyDescent="0.2">
      <c r="A3" s="3" t="s">
        <v>1</v>
      </c>
    </row>
    <row r="4" spans="1:1" ht="32" x14ac:dyDescent="0.2">
      <c r="A4" s="2" t="s">
        <v>2</v>
      </c>
    </row>
    <row r="5" spans="1:1" ht="32" x14ac:dyDescent="0.2">
      <c r="A5" s="2" t="s">
        <v>3</v>
      </c>
    </row>
    <row r="6" spans="1:1" ht="32" x14ac:dyDescent="0.2">
      <c r="A6" s="2" t="s">
        <v>4</v>
      </c>
    </row>
    <row r="7" spans="1:1" ht="48" x14ac:dyDescent="0.2">
      <c r="A7" s="2" t="s">
        <v>5</v>
      </c>
    </row>
    <row r="8" spans="1:1" x14ac:dyDescent="0.2">
      <c r="A8" s="2"/>
    </row>
    <row r="9" spans="1:1" ht="17" x14ac:dyDescent="0.2">
      <c r="A9" s="3" t="s">
        <v>6</v>
      </c>
    </row>
    <row r="10" spans="1:1" ht="32" x14ac:dyDescent="0.2">
      <c r="A10" s="2" t="s">
        <v>7</v>
      </c>
    </row>
    <row r="11" spans="1:1" ht="32" x14ac:dyDescent="0.2">
      <c r="A11" s="2" t="s">
        <v>8</v>
      </c>
    </row>
    <row r="12" spans="1:1" ht="32" x14ac:dyDescent="0.2">
      <c r="A12" s="2" t="s">
        <v>9</v>
      </c>
    </row>
    <row r="13" spans="1:1" ht="32" x14ac:dyDescent="0.2">
      <c r="A13" s="2" t="s">
        <v>10</v>
      </c>
    </row>
    <row r="14" spans="1:1" ht="32" x14ac:dyDescent="0.2">
      <c r="A14" s="2" t="s">
        <v>11</v>
      </c>
    </row>
    <row r="15" spans="1:1" ht="64" x14ac:dyDescent="0.2">
      <c r="A15" s="2" t="s">
        <v>12</v>
      </c>
    </row>
    <row r="16" spans="1:1" ht="32" x14ac:dyDescent="0.2">
      <c r="A16" s="2" t="s">
        <v>13</v>
      </c>
    </row>
    <row r="17" spans="1:1" x14ac:dyDescent="0.2">
      <c r="A17"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0"/>
  <sheetViews>
    <sheetView workbookViewId="0">
      <pane xSplit="2" ySplit="2" topLeftCell="C3" activePane="bottomRight" state="frozen"/>
      <selection pane="topRight"/>
      <selection pane="bottomLeft"/>
      <selection pane="bottomRight" activeCell="D13" sqref="D13"/>
    </sheetView>
  </sheetViews>
  <sheetFormatPr baseColWidth="10" defaultColWidth="8.83203125" defaultRowHeight="15" x14ac:dyDescent="0.2"/>
  <cols>
    <col min="1" max="1" width="46" customWidth="1"/>
    <col min="2" max="2" width="16" customWidth="1"/>
    <col min="3" max="12" width="14" customWidth="1"/>
    <col min="14" max="14" width="13" hidden="1" customWidth="1"/>
  </cols>
  <sheetData>
    <row r="1" spans="1:14" ht="19" x14ac:dyDescent="0.25">
      <c r="A1" s="4" t="s">
        <v>14</v>
      </c>
      <c r="N1" t="s">
        <v>15</v>
      </c>
    </row>
    <row r="2" spans="1:14" x14ac:dyDescent="0.2">
      <c r="C2" s="5" t="s">
        <v>16</v>
      </c>
      <c r="D2" s="5" t="s">
        <v>17</v>
      </c>
      <c r="E2" s="5" t="s">
        <v>18</v>
      </c>
      <c r="F2" s="5" t="s">
        <v>19</v>
      </c>
      <c r="G2" s="5" t="s">
        <v>20</v>
      </c>
      <c r="H2" s="5" t="s">
        <v>21</v>
      </c>
      <c r="I2" s="5" t="s">
        <v>22</v>
      </c>
      <c r="J2" s="5" t="s">
        <v>23</v>
      </c>
      <c r="K2" s="5" t="s">
        <v>24</v>
      </c>
      <c r="L2" s="5" t="s">
        <v>25</v>
      </c>
      <c r="N2" t="s">
        <v>26</v>
      </c>
    </row>
    <row r="3" spans="1:14" x14ac:dyDescent="0.2">
      <c r="A3" s="6" t="s">
        <v>27</v>
      </c>
      <c r="B3" s="7">
        <v>117</v>
      </c>
      <c r="N3" t="s">
        <v>28</v>
      </c>
    </row>
    <row r="4" spans="1:14" x14ac:dyDescent="0.2">
      <c r="A4" s="6" t="s">
        <v>29</v>
      </c>
      <c r="B4" s="7" t="s">
        <v>17</v>
      </c>
      <c r="N4" t="s">
        <v>30</v>
      </c>
    </row>
    <row r="5" spans="1:14" x14ac:dyDescent="0.2">
      <c r="A5" s="6" t="s">
        <v>31</v>
      </c>
      <c r="B5" s="8" t="str">
        <f>INDEX($C$5:$L$5,MATCH($B$4,$C$2:$L$2,0))</f>
        <v>36-12</v>
      </c>
      <c r="C5" s="7" t="s">
        <v>32</v>
      </c>
      <c r="D5" s="7" t="s">
        <v>636</v>
      </c>
      <c r="E5" s="8"/>
      <c r="F5" s="7">
        <v>113</v>
      </c>
      <c r="G5" s="7">
        <v>111</v>
      </c>
      <c r="H5" s="7">
        <v>114</v>
      </c>
      <c r="I5" s="7">
        <v>104</v>
      </c>
      <c r="J5" s="7">
        <v>112</v>
      </c>
      <c r="K5" s="8"/>
      <c r="L5" s="7" t="s">
        <v>33</v>
      </c>
      <c r="N5" t="s">
        <v>34</v>
      </c>
    </row>
    <row r="6" spans="1:14" x14ac:dyDescent="0.2">
      <c r="A6" s="6" t="s">
        <v>35</v>
      </c>
      <c r="B6" s="8">
        <f>INDEX($C$6:$L$6,MATCH($B$4,$C$2:$L$2,0))</f>
        <v>1061277</v>
      </c>
      <c r="C6" s="7">
        <v>972067</v>
      </c>
      <c r="D6" s="7">
        <v>1061277</v>
      </c>
      <c r="E6" s="7">
        <v>10879117</v>
      </c>
      <c r="F6" s="7">
        <v>1096466</v>
      </c>
      <c r="G6" s="7">
        <v>972067</v>
      </c>
      <c r="H6" s="7">
        <v>1018641</v>
      </c>
      <c r="I6" s="7">
        <v>972067</v>
      </c>
      <c r="J6" s="7">
        <v>972067</v>
      </c>
      <c r="K6" s="7">
        <v>1085040</v>
      </c>
      <c r="L6" s="7">
        <v>1032459</v>
      </c>
      <c r="N6" t="s">
        <v>36</v>
      </c>
    </row>
    <row r="7" spans="1:14" x14ac:dyDescent="0.2">
      <c r="A7" s="6" t="s">
        <v>37</v>
      </c>
      <c r="B7" s="8">
        <f>INDEX($C$7:$L$7,MATCH($B$4,$C$2:$L$2,0))</f>
        <v>33928.300000000003</v>
      </c>
      <c r="C7" s="7">
        <v>33328.300000000003</v>
      </c>
      <c r="D7" s="7">
        <v>33928.300000000003</v>
      </c>
      <c r="E7" s="7">
        <v>33328.300000000003</v>
      </c>
      <c r="F7" s="7">
        <v>33328.300000000003</v>
      </c>
      <c r="G7" s="7">
        <v>33328.300000000003</v>
      </c>
      <c r="H7" s="7">
        <v>33328.300000000003</v>
      </c>
      <c r="I7" s="7">
        <v>33328.300000000003</v>
      </c>
      <c r="J7" s="7">
        <v>33328.300000000003</v>
      </c>
      <c r="K7" s="7">
        <v>33328.300000000003</v>
      </c>
      <c r="L7" s="7">
        <v>33328.300000000003</v>
      </c>
      <c r="N7" t="s">
        <v>38</v>
      </c>
    </row>
    <row r="8" spans="1:14" x14ac:dyDescent="0.2">
      <c r="A8" s="6" t="s">
        <v>39</v>
      </c>
      <c r="B8" s="8">
        <f>INDEX($C$8:$L$8,MATCH($B$4,$C$2:$L$2,0))</f>
        <v>57421</v>
      </c>
      <c r="C8" s="7">
        <v>54763</v>
      </c>
      <c r="D8" s="7">
        <v>57421</v>
      </c>
      <c r="E8" s="7">
        <v>60030</v>
      </c>
      <c r="F8" s="7">
        <v>54763</v>
      </c>
      <c r="G8" s="7">
        <v>54763</v>
      </c>
      <c r="H8" s="7">
        <v>54763</v>
      </c>
      <c r="I8" s="7">
        <v>54763</v>
      </c>
      <c r="J8" s="7">
        <v>54763</v>
      </c>
      <c r="K8" s="7">
        <v>55812</v>
      </c>
      <c r="L8" s="7">
        <v>54997</v>
      </c>
      <c r="N8" t="s">
        <v>40</v>
      </c>
    </row>
    <row r="9" spans="1:14" x14ac:dyDescent="0.2">
      <c r="A9" s="6" t="s">
        <v>41</v>
      </c>
      <c r="B9" s="8">
        <f>INDEX($C$9:$L$9,MATCH($B$4,$C$2:$L$2,0))</f>
        <v>152.4</v>
      </c>
      <c r="C9" s="7">
        <v>172.8</v>
      </c>
      <c r="D9" s="7">
        <v>152.4</v>
      </c>
      <c r="E9" s="7">
        <v>128.4</v>
      </c>
      <c r="F9" s="7">
        <v>129.69999999999999</v>
      </c>
      <c r="G9" s="7">
        <v>172.8</v>
      </c>
      <c r="H9" s="7">
        <v>153.80000000000001</v>
      </c>
      <c r="I9" s="7">
        <v>172.8</v>
      </c>
      <c r="J9" s="7">
        <v>172.8</v>
      </c>
      <c r="K9" s="7">
        <v>136.5</v>
      </c>
      <c r="L9" s="7">
        <v>142.9</v>
      </c>
      <c r="N9" t="s">
        <v>42</v>
      </c>
    </row>
    <row r="10" spans="1:14" x14ac:dyDescent="0.2">
      <c r="A10" s="6" t="s">
        <v>43</v>
      </c>
      <c r="B10" s="8">
        <f>INDEX($C$10:$L$10,MATCH($B$4,$C$2:$L$2,0))</f>
        <v>371.9</v>
      </c>
      <c r="C10" s="7">
        <v>327.60000000000002</v>
      </c>
      <c r="D10" s="7">
        <v>371.9</v>
      </c>
      <c r="E10" s="7">
        <v>311.8</v>
      </c>
      <c r="F10" s="7">
        <v>293.10000000000002</v>
      </c>
      <c r="G10" s="7">
        <v>327.60000000000002</v>
      </c>
      <c r="H10" s="7">
        <v>351.3</v>
      </c>
      <c r="I10" s="7">
        <v>327.60000000000002</v>
      </c>
      <c r="J10" s="7">
        <v>327.60000000000002</v>
      </c>
      <c r="K10" s="7">
        <v>297.60000000000002</v>
      </c>
      <c r="L10" s="7">
        <v>279</v>
      </c>
      <c r="N10" t="s">
        <v>44</v>
      </c>
    </row>
    <row r="11" spans="1:14" x14ac:dyDescent="0.2">
      <c r="A11" s="6" t="s">
        <v>45</v>
      </c>
      <c r="B11" s="8">
        <f>INDEX($C$11:$L$11,MATCH($B$4,$C$2:$L$2,0))</f>
        <v>66.2</v>
      </c>
      <c r="C11" s="7">
        <v>70</v>
      </c>
      <c r="D11" s="7">
        <v>66.2</v>
      </c>
      <c r="E11" s="7">
        <v>61.3</v>
      </c>
      <c r="F11" s="7">
        <v>61.5</v>
      </c>
      <c r="G11" s="7">
        <v>70</v>
      </c>
      <c r="H11" s="7">
        <v>61.7</v>
      </c>
      <c r="I11" s="7">
        <v>70</v>
      </c>
      <c r="J11" s="7">
        <v>70</v>
      </c>
      <c r="K11" s="7">
        <v>61.6</v>
      </c>
      <c r="L11" s="7">
        <v>85.5</v>
      </c>
      <c r="N11" t="s">
        <v>46</v>
      </c>
    </row>
    <row r="12" spans="1:14" x14ac:dyDescent="0.2">
      <c r="A12" s="6" t="s">
        <v>47</v>
      </c>
      <c r="B12" s="8">
        <f>INDEX($C$12:$L$12,MATCH($B$4,$C$2:$L$2,0))</f>
        <v>66028</v>
      </c>
      <c r="C12" s="7">
        <v>59700</v>
      </c>
      <c r="D12" s="7">
        <v>66028</v>
      </c>
      <c r="E12" s="7">
        <v>64831</v>
      </c>
      <c r="F12" s="7">
        <v>64936</v>
      </c>
      <c r="G12" s="7">
        <v>59700</v>
      </c>
      <c r="H12" s="7">
        <v>63549</v>
      </c>
      <c r="I12" s="7">
        <v>59700</v>
      </c>
      <c r="J12" s="7">
        <v>59700</v>
      </c>
      <c r="K12" s="7">
        <v>64908</v>
      </c>
      <c r="L12" s="7">
        <v>64937</v>
      </c>
      <c r="N12" t="s">
        <v>48</v>
      </c>
    </row>
    <row r="13" spans="1:14" x14ac:dyDescent="0.2">
      <c r="A13" s="6" t="s">
        <v>49</v>
      </c>
      <c r="B13" s="8">
        <f>INDEX($C$13:$L$13,MATCH($B$4,$C$2:$L$2,0))</f>
        <v>286.7</v>
      </c>
      <c r="C13" s="7">
        <v>248.1</v>
      </c>
      <c r="D13" s="7">
        <v>286.7</v>
      </c>
      <c r="E13" s="7">
        <v>244.2</v>
      </c>
      <c r="F13" s="7">
        <v>244.2</v>
      </c>
      <c r="G13" s="7">
        <v>248.1</v>
      </c>
      <c r="H13" s="7">
        <v>262.3</v>
      </c>
      <c r="I13" s="7">
        <v>248.1</v>
      </c>
      <c r="J13" s="7">
        <v>248.1</v>
      </c>
      <c r="K13" s="7">
        <v>219.8</v>
      </c>
      <c r="L13" s="7">
        <v>242.5</v>
      </c>
      <c r="N13" t="s">
        <v>50</v>
      </c>
    </row>
    <row r="14" spans="1:14" x14ac:dyDescent="0.2">
      <c r="A14" s="6" t="s">
        <v>51</v>
      </c>
      <c r="B14" s="8">
        <f>INDEX($C$14:$L$14,MATCH($B$4,$C$2:$L$2,0))</f>
        <v>224</v>
      </c>
      <c r="C14" s="7">
        <v>224</v>
      </c>
      <c r="D14" s="7">
        <v>224</v>
      </c>
      <c r="E14" s="7">
        <v>224</v>
      </c>
      <c r="F14" s="7">
        <v>224</v>
      </c>
      <c r="G14" s="7">
        <v>224</v>
      </c>
      <c r="H14" s="7">
        <v>224</v>
      </c>
      <c r="I14" s="7">
        <v>224</v>
      </c>
      <c r="J14" s="7">
        <v>224</v>
      </c>
      <c r="K14" s="7">
        <v>224</v>
      </c>
      <c r="L14" s="7">
        <v>224</v>
      </c>
      <c r="N14" t="s">
        <v>52</v>
      </c>
    </row>
    <row r="15" spans="1:14" x14ac:dyDescent="0.2">
      <c r="A15" s="6" t="s">
        <v>53</v>
      </c>
      <c r="B15" s="8">
        <f>INDEX($C$15:$L$15,MATCH($B$4,$C$2:$L$2,0))</f>
        <v>924.8</v>
      </c>
      <c r="C15" s="7">
        <v>957.7</v>
      </c>
      <c r="D15" s="7">
        <v>924.8</v>
      </c>
      <c r="E15" s="7">
        <v>923.6</v>
      </c>
      <c r="F15" s="7">
        <v>934.8</v>
      </c>
      <c r="G15" s="7">
        <v>957.7</v>
      </c>
      <c r="H15" s="7">
        <v>904.4</v>
      </c>
      <c r="I15" s="7">
        <v>957.7</v>
      </c>
      <c r="J15" s="7">
        <v>957.7</v>
      </c>
      <c r="K15" s="7">
        <v>937.2</v>
      </c>
      <c r="L15" s="7">
        <v>934.8</v>
      </c>
      <c r="N15" t="s">
        <v>54</v>
      </c>
    </row>
    <row r="16" spans="1:14" x14ac:dyDescent="0.2">
      <c r="A16" s="6" t="s">
        <v>55</v>
      </c>
      <c r="B16" s="8">
        <f>INDEX($C$16:$L$16,MATCH($B$4,$C$2:$L$2,0))</f>
        <v>92</v>
      </c>
      <c r="C16" s="7">
        <v>87.6</v>
      </c>
      <c r="D16" s="7">
        <v>92</v>
      </c>
      <c r="E16" s="7">
        <v>87.6</v>
      </c>
      <c r="F16" s="7">
        <v>87.6</v>
      </c>
      <c r="G16" s="7">
        <v>87.6</v>
      </c>
      <c r="H16" s="7">
        <v>87.6</v>
      </c>
      <c r="I16" s="7">
        <v>87.6</v>
      </c>
      <c r="J16" s="7">
        <v>87.6</v>
      </c>
      <c r="K16" s="7">
        <v>87.6</v>
      </c>
      <c r="L16" s="7">
        <v>87.6</v>
      </c>
      <c r="N16" t="s">
        <v>56</v>
      </c>
    </row>
    <row r="17" spans="1:14" x14ac:dyDescent="0.2">
      <c r="A17" s="6" t="s">
        <v>57</v>
      </c>
      <c r="B17" s="8">
        <f>INDEX($C$17:$L$17,MATCH($B$4,$C$2:$L$2,0))</f>
        <v>34.6</v>
      </c>
      <c r="C17" s="7">
        <v>45.6</v>
      </c>
      <c r="D17" s="7">
        <v>34.6</v>
      </c>
      <c r="E17" s="7">
        <v>34.6</v>
      </c>
      <c r="F17" s="7">
        <v>34.6</v>
      </c>
      <c r="G17" s="7">
        <v>45.6</v>
      </c>
      <c r="H17" s="7">
        <v>33.6</v>
      </c>
      <c r="I17" s="7">
        <v>45.6</v>
      </c>
      <c r="J17" s="7">
        <v>45.6</v>
      </c>
      <c r="K17" s="7">
        <v>34.6</v>
      </c>
      <c r="L17" s="7">
        <v>34.6</v>
      </c>
      <c r="N17" t="s">
        <v>58</v>
      </c>
    </row>
    <row r="18" spans="1:14" x14ac:dyDescent="0.2">
      <c r="A18" s="6" t="s">
        <v>59</v>
      </c>
      <c r="B18" s="8">
        <f>INDEX($C$18:$L$18,MATCH($B$4,$C$2:$L$2,0))</f>
        <v>105.4</v>
      </c>
      <c r="C18" s="7">
        <v>105.4</v>
      </c>
      <c r="D18" s="7">
        <v>105.4</v>
      </c>
      <c r="E18" s="7">
        <v>104.4</v>
      </c>
      <c r="F18" s="7">
        <v>105.4</v>
      </c>
      <c r="G18" s="7">
        <v>105.4</v>
      </c>
      <c r="H18" s="7">
        <v>104.6</v>
      </c>
      <c r="I18" s="7">
        <v>105.4</v>
      </c>
      <c r="J18" s="7">
        <v>105.4</v>
      </c>
      <c r="K18" s="7">
        <v>104.6</v>
      </c>
      <c r="L18" s="7">
        <v>105.4</v>
      </c>
      <c r="N18" t="s">
        <v>60</v>
      </c>
    </row>
    <row r="19" spans="1:14" x14ac:dyDescent="0.2">
      <c r="A19" s="6" t="s">
        <v>61</v>
      </c>
      <c r="B19" s="8">
        <f>INDEX($C$19:$L$19,MATCH($B$4,$C$2:$L$2,0))</f>
        <v>44.8</v>
      </c>
      <c r="C19" s="7">
        <v>49.6</v>
      </c>
      <c r="D19" s="7">
        <v>44.8</v>
      </c>
      <c r="E19" s="7">
        <v>73.5</v>
      </c>
      <c r="F19" s="7">
        <v>44.8</v>
      </c>
      <c r="G19" s="7">
        <v>49.6</v>
      </c>
      <c r="H19" s="7">
        <v>41.1</v>
      </c>
      <c r="I19" s="7">
        <v>49.6</v>
      </c>
      <c r="J19" s="7">
        <v>49.6</v>
      </c>
      <c r="K19" s="7">
        <v>73.5</v>
      </c>
      <c r="L19" s="7">
        <v>33.200000000000003</v>
      </c>
      <c r="N19" t="s">
        <v>62</v>
      </c>
    </row>
    <row r="20" spans="1:14" x14ac:dyDescent="0.2">
      <c r="A20" s="6" t="s">
        <v>63</v>
      </c>
      <c r="B20" s="8">
        <f>INDEX($C$20:$L$20,MATCH($B$4,$C$2:$L$2,0))</f>
        <v>217</v>
      </c>
      <c r="C20" s="7">
        <v>192.1</v>
      </c>
      <c r="D20" s="7">
        <v>217</v>
      </c>
      <c r="E20" s="7">
        <v>86</v>
      </c>
      <c r="F20" s="7">
        <v>52</v>
      </c>
      <c r="G20" s="7">
        <v>192.1</v>
      </c>
      <c r="H20" s="7">
        <v>379.3</v>
      </c>
      <c r="I20" s="7">
        <v>192.1</v>
      </c>
      <c r="J20" s="7">
        <v>192.1</v>
      </c>
      <c r="K20" s="7">
        <v>248.5</v>
      </c>
      <c r="L20" s="7">
        <v>52</v>
      </c>
      <c r="N20" t="s">
        <v>64</v>
      </c>
    </row>
    <row r="21" spans="1:14" x14ac:dyDescent="0.2">
      <c r="A21" s="6" t="s">
        <v>65</v>
      </c>
      <c r="B21" s="8">
        <f>INDEX($C$21:$L$21,MATCH($B$4,$C$2:$L$2,0))</f>
        <v>201</v>
      </c>
      <c r="C21" s="7">
        <v>223.8</v>
      </c>
      <c r="D21" s="7">
        <v>201</v>
      </c>
      <c r="E21" s="7">
        <v>102.2</v>
      </c>
      <c r="F21" s="7">
        <v>354.9</v>
      </c>
      <c r="G21" s="7">
        <v>223.8</v>
      </c>
      <c r="H21" s="7">
        <v>72</v>
      </c>
      <c r="I21" s="7">
        <v>223.8</v>
      </c>
      <c r="J21" s="7">
        <v>223.8</v>
      </c>
      <c r="K21" s="7">
        <v>67.099999999999994</v>
      </c>
      <c r="L21" s="7">
        <v>249.2</v>
      </c>
      <c r="N21" t="s">
        <v>66</v>
      </c>
    </row>
    <row r="22" spans="1:14" x14ac:dyDescent="0.2">
      <c r="A22" s="6" t="s">
        <v>67</v>
      </c>
      <c r="B22" s="8">
        <f>INDEX($C$22:$L$22,MATCH($B$4,$C$2:$L$2,0))</f>
        <v>319.89999999999998</v>
      </c>
      <c r="C22" s="7">
        <v>307.7</v>
      </c>
      <c r="D22" s="7">
        <v>319.89999999999998</v>
      </c>
      <c r="E22" s="7">
        <v>246.3</v>
      </c>
      <c r="F22" s="7">
        <v>285.7</v>
      </c>
      <c r="G22" s="7">
        <v>307.7</v>
      </c>
      <c r="H22" s="7">
        <v>245.9</v>
      </c>
      <c r="I22" s="7">
        <v>307.7</v>
      </c>
      <c r="J22" s="7">
        <v>307.7</v>
      </c>
      <c r="K22" s="7">
        <v>223.3</v>
      </c>
      <c r="L22" s="7">
        <v>222.6</v>
      </c>
      <c r="N22" t="s">
        <v>68</v>
      </c>
    </row>
    <row r="23" spans="1:14" x14ac:dyDescent="0.2">
      <c r="A23" s="6" t="s">
        <v>69</v>
      </c>
      <c r="B23" s="8">
        <f>INDEX($C$23:$L$23,MATCH($B$4,$C$2:$L$2,0))</f>
        <v>345.1</v>
      </c>
      <c r="C23" s="7">
        <v>313.5</v>
      </c>
      <c r="D23" s="7">
        <v>345.1</v>
      </c>
      <c r="E23" s="7">
        <v>308</v>
      </c>
      <c r="F23" s="7">
        <v>291.39999999999998</v>
      </c>
      <c r="G23" s="7">
        <v>313.5</v>
      </c>
      <c r="H23" s="7">
        <v>314.39999999999998</v>
      </c>
      <c r="I23" s="7">
        <v>313.5</v>
      </c>
      <c r="J23" s="7">
        <v>313.5</v>
      </c>
      <c r="K23" s="7">
        <v>291.39999999999998</v>
      </c>
      <c r="L23" s="7">
        <v>329.8</v>
      </c>
      <c r="N23" t="s">
        <v>70</v>
      </c>
    </row>
    <row r="24" spans="1:14" x14ac:dyDescent="0.2">
      <c r="A24" s="6" t="s">
        <v>71</v>
      </c>
      <c r="B24" s="8">
        <f>INDEX($C$24:$L$24,MATCH($B$4,$C$2:$L$2,0))</f>
        <v>104.3</v>
      </c>
      <c r="C24" s="7">
        <v>91.4</v>
      </c>
      <c r="D24" s="7">
        <v>104.3</v>
      </c>
      <c r="E24" s="7">
        <v>106</v>
      </c>
      <c r="F24" s="7">
        <v>141.5</v>
      </c>
      <c r="G24" s="7">
        <v>91.4</v>
      </c>
      <c r="H24" s="7">
        <v>133.6</v>
      </c>
      <c r="I24" s="7">
        <v>91.4</v>
      </c>
      <c r="J24" s="7">
        <v>91.4</v>
      </c>
      <c r="K24" s="7">
        <v>104.3</v>
      </c>
      <c r="L24" s="7">
        <v>171.8</v>
      </c>
      <c r="N24" t="s">
        <v>72</v>
      </c>
    </row>
    <row r="25" spans="1:14" x14ac:dyDescent="0.2">
      <c r="A25" s="6" t="s">
        <v>73</v>
      </c>
      <c r="B25" s="8">
        <f>INDEX($C$25:$L$25,MATCH($B$4,$C$2:$L$2,0))</f>
        <v>12</v>
      </c>
      <c r="C25" s="7">
        <v>0</v>
      </c>
      <c r="D25" s="7">
        <v>12</v>
      </c>
      <c r="E25" s="7">
        <v>0</v>
      </c>
      <c r="F25" s="7">
        <v>12</v>
      </c>
      <c r="G25" s="7">
        <v>0</v>
      </c>
      <c r="H25" s="7">
        <v>0</v>
      </c>
      <c r="I25" s="7">
        <v>0</v>
      </c>
      <c r="J25" s="7">
        <v>0</v>
      </c>
      <c r="K25" s="7">
        <v>0</v>
      </c>
      <c r="L25" s="7">
        <v>12</v>
      </c>
      <c r="N25" t="s">
        <v>74</v>
      </c>
    </row>
    <row r="26" spans="1:14" x14ac:dyDescent="0.2">
      <c r="A26" s="6" t="s">
        <v>75</v>
      </c>
      <c r="B26" s="8">
        <f>INDEX($C$26:$L$26,MATCH($B$4,$C$2:$L$2,0))</f>
        <v>23</v>
      </c>
      <c r="C26" s="7">
        <v>19</v>
      </c>
      <c r="D26" s="7">
        <v>23</v>
      </c>
      <c r="E26" s="7">
        <v>0</v>
      </c>
      <c r="F26" s="7">
        <v>18</v>
      </c>
      <c r="G26" s="7">
        <v>19</v>
      </c>
      <c r="H26" s="7">
        <v>35</v>
      </c>
      <c r="I26" s="7">
        <v>19</v>
      </c>
      <c r="J26" s="7">
        <v>19</v>
      </c>
      <c r="K26" s="7">
        <v>22</v>
      </c>
      <c r="L26" s="7">
        <v>9</v>
      </c>
      <c r="N26" t="s">
        <v>76</v>
      </c>
    </row>
    <row r="27" spans="1:14" x14ac:dyDescent="0.2">
      <c r="A27" s="6" t="s">
        <v>77</v>
      </c>
      <c r="B27" s="8">
        <f>INDEX($C$27:$L$27,MATCH($B$4,$C$2:$L$2,0))</f>
        <v>9</v>
      </c>
      <c r="C27" s="7">
        <v>22</v>
      </c>
      <c r="D27" s="7">
        <v>9</v>
      </c>
      <c r="E27" s="7">
        <v>30</v>
      </c>
      <c r="F27" s="7">
        <v>12</v>
      </c>
      <c r="G27" s="7">
        <v>22</v>
      </c>
      <c r="H27" s="7">
        <v>9</v>
      </c>
      <c r="I27" s="7">
        <v>22</v>
      </c>
      <c r="J27" s="7">
        <v>22</v>
      </c>
      <c r="K27" s="7">
        <v>9</v>
      </c>
      <c r="L27" s="7">
        <v>23</v>
      </c>
      <c r="N27" t="s">
        <v>78</v>
      </c>
    </row>
    <row r="28" spans="1:14" x14ac:dyDescent="0.2">
      <c r="A28" s="6" t="s">
        <v>79</v>
      </c>
      <c r="B28" s="8">
        <f>INDEX($C$28:$L$28,MATCH($B$4,$C$2:$L$2,0))</f>
        <v>79</v>
      </c>
      <c r="C28" s="7">
        <v>54</v>
      </c>
      <c r="D28" s="7">
        <v>79</v>
      </c>
      <c r="E28" s="7">
        <v>66</v>
      </c>
      <c r="F28" s="7">
        <v>77</v>
      </c>
      <c r="G28" s="7">
        <v>54</v>
      </c>
      <c r="H28" s="7">
        <v>63</v>
      </c>
      <c r="I28" s="7">
        <v>54</v>
      </c>
      <c r="J28" s="7">
        <v>54</v>
      </c>
      <c r="K28" s="7">
        <v>76</v>
      </c>
      <c r="L28" s="7">
        <v>64</v>
      </c>
      <c r="N28" t="s">
        <v>80</v>
      </c>
    </row>
    <row r="29" spans="1:14" x14ac:dyDescent="0.2">
      <c r="A29" s="6" t="s">
        <v>81</v>
      </c>
      <c r="B29" s="8">
        <f>INDEX($C$29:$L$29,MATCH($B$4,$C$2:$L$2,0))</f>
        <v>55</v>
      </c>
      <c r="C29" s="7">
        <v>55</v>
      </c>
      <c r="D29" s="7">
        <v>55</v>
      </c>
      <c r="E29" s="7">
        <v>55</v>
      </c>
      <c r="F29" s="7">
        <v>55</v>
      </c>
      <c r="G29" s="7">
        <v>55</v>
      </c>
      <c r="H29" s="7">
        <v>55</v>
      </c>
      <c r="I29" s="7">
        <v>55</v>
      </c>
      <c r="J29" s="7">
        <v>55</v>
      </c>
      <c r="K29" s="7">
        <v>55</v>
      </c>
      <c r="L29" s="7">
        <v>55</v>
      </c>
      <c r="N29" t="s">
        <v>82</v>
      </c>
    </row>
    <row r="30" spans="1:14" x14ac:dyDescent="0.2">
      <c r="N30" t="s">
        <v>83</v>
      </c>
    </row>
    <row r="31" spans="1:14" ht="16" x14ac:dyDescent="0.2">
      <c r="A31" s="9" t="s">
        <v>84</v>
      </c>
      <c r="N31" t="s">
        <v>85</v>
      </c>
    </row>
    <row r="32" spans="1:14" x14ac:dyDescent="0.2">
      <c r="A32" s="6" t="s">
        <v>86</v>
      </c>
      <c r="B32" s="8">
        <f>INDEX($C$32:$L$32,MATCH($B$4,$C$2:$L$2,0))</f>
        <v>0</v>
      </c>
      <c r="C32" s="7">
        <v>0</v>
      </c>
      <c r="D32" s="7">
        <v>0</v>
      </c>
      <c r="E32" s="7">
        <v>0</v>
      </c>
      <c r="F32" s="7">
        <v>0</v>
      </c>
      <c r="G32" s="7">
        <v>0</v>
      </c>
      <c r="H32" s="7">
        <v>0</v>
      </c>
      <c r="I32" s="7">
        <v>0</v>
      </c>
      <c r="J32" s="7">
        <v>0</v>
      </c>
      <c r="K32" s="7">
        <v>0</v>
      </c>
      <c r="L32" s="7">
        <v>0</v>
      </c>
      <c r="N32" t="s">
        <v>87</v>
      </c>
    </row>
    <row r="33" spans="1:14" x14ac:dyDescent="0.2">
      <c r="A33" s="6" t="s">
        <v>88</v>
      </c>
      <c r="B33" s="8">
        <f>INDEX($C$33:$L$33,MATCH($B$4,$C$2:$L$2,0))</f>
        <v>6</v>
      </c>
      <c r="C33" s="7">
        <v>6</v>
      </c>
      <c r="D33" s="7">
        <v>6</v>
      </c>
      <c r="E33" s="7">
        <v>6</v>
      </c>
      <c r="F33" s="7">
        <v>6</v>
      </c>
      <c r="G33" s="7">
        <v>6</v>
      </c>
      <c r="H33" s="7">
        <v>6</v>
      </c>
      <c r="I33" s="7">
        <v>6</v>
      </c>
      <c r="J33" s="7">
        <v>6</v>
      </c>
      <c r="K33" s="7">
        <v>6</v>
      </c>
      <c r="L33" s="7">
        <v>6</v>
      </c>
      <c r="N33" t="s">
        <v>89</v>
      </c>
    </row>
    <row r="34" spans="1:14" x14ac:dyDescent="0.2">
      <c r="A34" s="6" t="s">
        <v>90</v>
      </c>
      <c r="B34" s="8">
        <f>INDEX($C$34:$L$34,MATCH($B$4,$C$2:$L$2,0))</f>
        <v>15.5</v>
      </c>
      <c r="C34" s="7">
        <v>20</v>
      </c>
      <c r="D34" s="7">
        <v>15.5</v>
      </c>
      <c r="E34" s="7">
        <v>35.1</v>
      </c>
      <c r="F34" s="7">
        <v>35.4</v>
      </c>
      <c r="G34" s="7">
        <v>20</v>
      </c>
      <c r="H34" s="7">
        <v>20</v>
      </c>
      <c r="I34" s="7">
        <v>20</v>
      </c>
      <c r="J34" s="7">
        <v>20</v>
      </c>
      <c r="K34" s="7">
        <v>35.4</v>
      </c>
      <c r="L34" s="7">
        <v>35.1</v>
      </c>
      <c r="N34" t="s">
        <v>91</v>
      </c>
    </row>
    <row r="35" spans="1:14" x14ac:dyDescent="0.2">
      <c r="A35" s="6" t="s">
        <v>92</v>
      </c>
      <c r="B35" s="8">
        <f>INDEX($C$35:$L$35,MATCH($B$4,$C$2:$L$2,0))</f>
        <v>0</v>
      </c>
      <c r="C35" s="7">
        <v>0</v>
      </c>
      <c r="D35" s="7">
        <v>0</v>
      </c>
      <c r="E35" s="7">
        <v>0</v>
      </c>
      <c r="F35" s="7">
        <v>0</v>
      </c>
      <c r="G35" s="7">
        <v>0</v>
      </c>
      <c r="H35" s="7">
        <v>0</v>
      </c>
      <c r="I35" s="7">
        <v>0</v>
      </c>
      <c r="J35" s="7">
        <v>0</v>
      </c>
      <c r="K35" s="7">
        <v>0</v>
      </c>
      <c r="L35" s="7">
        <v>0</v>
      </c>
      <c r="N35" t="s">
        <v>93</v>
      </c>
    </row>
    <row r="36" spans="1:14" x14ac:dyDescent="0.2">
      <c r="A36" s="6" t="s">
        <v>94</v>
      </c>
      <c r="B36" s="8" t="str">
        <f>INDEX($C$36:$L$36,MATCH($B$4,$C$2:$L$2,0))</f>
        <v>Equal</v>
      </c>
      <c r="C36" s="8"/>
      <c r="D36" s="7" t="s">
        <v>95</v>
      </c>
      <c r="E36" s="8"/>
      <c r="F36" s="8"/>
      <c r="G36" s="8"/>
      <c r="H36" s="8"/>
      <c r="I36" s="8"/>
      <c r="J36" s="7" t="s">
        <v>95</v>
      </c>
      <c r="K36" s="8"/>
      <c r="L36" s="8"/>
      <c r="N36" t="s">
        <v>96</v>
      </c>
    </row>
    <row r="37" spans="1:14" x14ac:dyDescent="0.2">
      <c r="A37" s="6" t="s">
        <v>97</v>
      </c>
      <c r="B37" s="8">
        <f>INDEX($C$37:$L$37,MATCH($B$4,$C$2:$L$2,0))</f>
        <v>999</v>
      </c>
      <c r="C37" s="8"/>
      <c r="D37" s="7">
        <v>999</v>
      </c>
      <c r="E37" s="8"/>
      <c r="F37" s="7">
        <v>999</v>
      </c>
      <c r="G37" s="7">
        <v>999</v>
      </c>
      <c r="H37" s="8"/>
      <c r="I37" s="8"/>
      <c r="J37" s="7">
        <v>999</v>
      </c>
      <c r="K37" s="8"/>
      <c r="L37" s="7">
        <v>999</v>
      </c>
      <c r="N37" t="s">
        <v>98</v>
      </c>
    </row>
    <row r="38" spans="1:14" hidden="1" x14ac:dyDescent="0.2">
      <c r="A38" s="6" t="s">
        <v>99</v>
      </c>
      <c r="B38" s="8" t="str">
        <f>IF(Inputs!$B$4="PvP","pvp",IF(OR(Inputs!$B$4="Breakthrough",Inputs!$B$4="Hero Dungeon"),"breakthrough",IF(OR(Inputs!$B$4="EXP Dungeon",Inputs!$B$4="Equipment Dungeon",Inputs!$B$4="Chapter Hunt"),"normal","boss")))</f>
        <v>breakthrough</v>
      </c>
    </row>
    <row r="39" spans="1:14" hidden="1" x14ac:dyDescent="0.2">
      <c r="A39" s="6" t="s">
        <v>100</v>
      </c>
      <c r="B39" s="8">
        <f>IFERROR(IF(ISNUMBER(FIND("-",Inputs!$B$5)),VALUE(LEFT(Inputs!$B$5,FIND("-",Inputs!$B$5)-1)),VALUE(Inputs!$B$5)),28)</f>
        <v>36</v>
      </c>
    </row>
    <row r="40" spans="1:14" hidden="1" x14ac:dyDescent="0.2">
      <c r="A40" s="6" t="s">
        <v>101</v>
      </c>
      <c r="B40" s="8">
        <f>IFERROR(IF(ISNUMBER(FIND("-",Inputs!$B$5)),VALUE(MID(Inputs!$B$5,FIND("-",Inputs!$B$5)+1,50)),VALUE(Inputs!$B$5)),9)</f>
        <v>12</v>
      </c>
    </row>
    <row r="41" spans="1:14" hidden="1" x14ac:dyDescent="0.2">
      <c r="A41" s="6" t="s">
        <v>102</v>
      </c>
      <c r="B41" s="8">
        <f>IF(Inputs!$B$39=28,Inputs!$B$40-9,Inputs!$B$40+14*MAX(0,MIN(Inputs!$B$39-1,38)-28)+19*MAX(0,Inputs!$B$39-39))</f>
        <v>110</v>
      </c>
    </row>
    <row r="42" spans="1:14" hidden="1" x14ac:dyDescent="0.2">
      <c r="A42" s="6" t="s">
        <v>103</v>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7060</v>
      </c>
    </row>
    <row r="43" spans="1:14" hidden="1" x14ac:dyDescent="0.2">
      <c r="A43" s="6" t="s">
        <v>104</v>
      </c>
      <c r="B43" s="8">
        <f>IF(Inputs!$B$4="Chapter Hunt",0,IF(Inputs!$B$4="Weapon Dungeon",22,IF(Inputs!$B$4="Equipment Dungeon",40,IF(Inputs!$B$4="Enhancement Dungeon",25,IF(Inputs!$B$4="Hero Dungeon",50,IF(Inputs!$B$4="EXP Dungeon",40,IF(Inputs!$B$4="World Boss",75,IF(Inputs!$B$4="Chapter Boss",70,IF(Inputs!$B$4="Breakthrough",40,0)))))))))</f>
        <v>40</v>
      </c>
    </row>
    <row r="44" spans="1:14" hidden="1" x14ac:dyDescent="0.2">
      <c r="A44" s="6" t="s">
        <v>105</v>
      </c>
      <c r="B44" s="8">
        <f>IF(Inputs!$B$36="More Normal",70,IF(Inputs!$B$36="A Little More Normal",60,IF(Inputs!$B$36="Equal",50,IF(Inputs!$B$36="A Little More Boss",40,IF(Inputs!$B$36="More Boss",30,60)))))</f>
        <v>50</v>
      </c>
    </row>
    <row r="46" spans="1:14" ht="16" x14ac:dyDescent="0.2">
      <c r="A46" s="9" t="s">
        <v>106</v>
      </c>
    </row>
    <row r="47" spans="1:14" x14ac:dyDescent="0.2">
      <c r="A47" s="6" t="s">
        <v>107</v>
      </c>
      <c r="B47" s="8" t="str">
        <f>INDEX($C$47:$L$47,MATCH($B$4,$C$2:$L$2,0))</f>
        <v>Book of Ancient</v>
      </c>
      <c r="C47" s="7" t="s">
        <v>62</v>
      </c>
      <c r="D47" s="7" t="s">
        <v>62</v>
      </c>
      <c r="E47" s="7" t="s">
        <v>93</v>
      </c>
      <c r="F47" s="7" t="s">
        <v>96</v>
      </c>
      <c r="G47" s="7" t="s">
        <v>62</v>
      </c>
      <c r="H47" s="7" t="s">
        <v>62</v>
      </c>
      <c r="I47" s="7" t="s">
        <v>62</v>
      </c>
      <c r="J47" s="7" t="s">
        <v>62</v>
      </c>
      <c r="K47" s="7" t="s">
        <v>93</v>
      </c>
      <c r="L47" s="7" t="s">
        <v>68</v>
      </c>
    </row>
    <row r="48" spans="1:14" x14ac:dyDescent="0.2">
      <c r="A48" s="6" t="s">
        <v>108</v>
      </c>
      <c r="B48" s="8" t="str">
        <f>INDEX($C$48:$L$48,MATCH($B$4,$C$2:$L$2,0))</f>
        <v>Ring of Cycles</v>
      </c>
      <c r="C48" s="7" t="s">
        <v>15</v>
      </c>
      <c r="D48" s="7" t="s">
        <v>98</v>
      </c>
      <c r="E48" s="7" t="s">
        <v>72</v>
      </c>
      <c r="F48" s="7" t="s">
        <v>98</v>
      </c>
      <c r="G48" s="7" t="s">
        <v>15</v>
      </c>
      <c r="H48" s="7" t="s">
        <v>98</v>
      </c>
      <c r="I48" s="7" t="s">
        <v>15</v>
      </c>
      <c r="J48" s="7" t="s">
        <v>15</v>
      </c>
      <c r="K48" s="7" t="s">
        <v>98</v>
      </c>
      <c r="L48" s="7" t="s">
        <v>38</v>
      </c>
    </row>
    <row r="49" spans="1:12" x14ac:dyDescent="0.2">
      <c r="A49" s="6" t="s">
        <v>109</v>
      </c>
      <c r="B49" s="8" t="str">
        <f>INDEX($C$49:$L$49,MATCH($B$4,$C$2:$L$2,0))</f>
        <v>Hexagon Necklace</v>
      </c>
      <c r="C49" s="7" t="s">
        <v>15</v>
      </c>
      <c r="D49" s="7" t="s">
        <v>38</v>
      </c>
      <c r="E49" s="7" t="s">
        <v>56</v>
      </c>
      <c r="F49" s="7" t="s">
        <v>44</v>
      </c>
      <c r="G49" s="7" t="s">
        <v>15</v>
      </c>
      <c r="H49" s="7" t="s">
        <v>44</v>
      </c>
      <c r="I49" s="7" t="s">
        <v>15</v>
      </c>
      <c r="J49" s="7" t="s">
        <v>15</v>
      </c>
      <c r="K49" s="7" t="s">
        <v>38</v>
      </c>
      <c r="L49" s="7" t="s">
        <v>98</v>
      </c>
    </row>
    <row r="50" spans="1:12" x14ac:dyDescent="0.2">
      <c r="A50" s="6" t="s">
        <v>110</v>
      </c>
      <c r="B50" s="8" t="str">
        <f>INDEX($C$50:$L$50,MATCH($B$4,$C$2:$L$2,0))</f>
        <v>Athena Pierce's Old Gloves</v>
      </c>
      <c r="C50" s="7" t="s">
        <v>15</v>
      </c>
      <c r="D50" s="7" t="s">
        <v>46</v>
      </c>
      <c r="E50" s="7" t="s">
        <v>98</v>
      </c>
      <c r="F50" s="7" t="s">
        <v>38</v>
      </c>
      <c r="G50" s="7" t="s">
        <v>15</v>
      </c>
      <c r="H50" s="7" t="s">
        <v>38</v>
      </c>
      <c r="I50" s="7" t="s">
        <v>15</v>
      </c>
      <c r="J50" s="7" t="s">
        <v>15</v>
      </c>
      <c r="K50" s="7" t="s">
        <v>56</v>
      </c>
      <c r="L50" s="7" t="s">
        <v>46</v>
      </c>
    </row>
  </sheetData>
  <dataValidations count="3">
    <dataValidation type="list" sqref="B4" xr:uid="{00000000-0002-0000-0100-000000000000}">
      <formula1>"Chapter Boss,Breakthrough,PvP,EXP Dungeon,Equipment Dungeon,Weapon Dungeon,Enhancement Dungeon,Hero Dungeon,World Boss,Chapter Hunt"</formula1>
    </dataValidation>
    <dataValidation type="list" sqref="D36 J36" xr:uid="{00000000-0002-0000-0100-000001000000}">
      <formula1>"More Normal,A Little More Normal,Equal,A Little More Boss,More Boss"</formula1>
    </dataValidation>
    <dataValidation type="list" sqref="C47:L50" xr:uid="{00000000-0002-0000-0100-000002000000}">
      <formula1>$N$1:$N$37</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301"/>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8" customWidth="1"/>
  </cols>
  <sheetData>
    <row r="1" spans="1:25" x14ac:dyDescent="0.2">
      <c r="A1" s="5" t="s">
        <v>111</v>
      </c>
      <c r="B1" s="5" t="s">
        <v>112</v>
      </c>
      <c r="C1" s="5" t="s">
        <v>113</v>
      </c>
      <c r="D1" s="5" t="s">
        <v>114</v>
      </c>
      <c r="E1" s="5" t="s">
        <v>115</v>
      </c>
      <c r="F1" s="5" t="s">
        <v>116</v>
      </c>
      <c r="G1" s="5" t="s">
        <v>117</v>
      </c>
      <c r="H1" s="5" t="s">
        <v>118</v>
      </c>
      <c r="I1" s="5" t="s">
        <v>119</v>
      </c>
      <c r="J1" s="5" t="s">
        <v>120</v>
      </c>
      <c r="K1" s="5" t="s">
        <v>121</v>
      </c>
      <c r="L1" s="5" t="s">
        <v>122</v>
      </c>
      <c r="M1" s="5" t="s">
        <v>123</v>
      </c>
      <c r="N1" s="5" t="s">
        <v>124</v>
      </c>
      <c r="O1" s="5" t="s">
        <v>125</v>
      </c>
      <c r="P1" s="5" t="s">
        <v>126</v>
      </c>
      <c r="Q1" s="5" t="s">
        <v>127</v>
      </c>
      <c r="R1" s="5" t="s">
        <v>128</v>
      </c>
      <c r="S1" s="5" t="s">
        <v>129</v>
      </c>
      <c r="T1" s="5" t="s">
        <v>130</v>
      </c>
      <c r="U1" s="5" t="s">
        <v>131</v>
      </c>
      <c r="V1" s="5" t="s">
        <v>132</v>
      </c>
      <c r="W1" s="5" t="s">
        <v>133</v>
      </c>
      <c r="X1" s="5" t="s">
        <v>134</v>
      </c>
      <c r="Y1" s="5" t="s">
        <v>135</v>
      </c>
    </row>
    <row r="2" spans="1:25" x14ac:dyDescent="0.2">
      <c r="A2">
        <v>1</v>
      </c>
      <c r="B2">
        <v>0</v>
      </c>
      <c r="C2">
        <v>1000</v>
      </c>
      <c r="D2">
        <v>1000</v>
      </c>
      <c r="E2">
        <v>1000</v>
      </c>
      <c r="F2">
        <v>1000</v>
      </c>
      <c r="G2">
        <v>1000</v>
      </c>
      <c r="H2">
        <v>1000</v>
      </c>
      <c r="I2">
        <v>1000</v>
      </c>
      <c r="J2">
        <v>1000</v>
      </c>
      <c r="K2">
        <v>1000</v>
      </c>
      <c r="L2">
        <v>1000</v>
      </c>
      <c r="M2">
        <v>1000</v>
      </c>
      <c r="N2">
        <v>1000</v>
      </c>
      <c r="O2">
        <v>1000</v>
      </c>
      <c r="P2">
        <v>1000</v>
      </c>
      <c r="Q2">
        <v>1000</v>
      </c>
      <c r="R2">
        <v>1000</v>
      </c>
      <c r="S2">
        <v>1000</v>
      </c>
      <c r="T2">
        <v>1000</v>
      </c>
      <c r="U2">
        <v>1000</v>
      </c>
      <c r="V2">
        <v>1000</v>
      </c>
      <c r="W2">
        <v>1000</v>
      </c>
      <c r="X2">
        <v>1000</v>
      </c>
      <c r="Y2">
        <v>1000</v>
      </c>
    </row>
    <row r="3" spans="1:25" x14ac:dyDescent="0.2">
      <c r="A3">
        <v>2</v>
      </c>
      <c r="B3">
        <v>0</v>
      </c>
      <c r="C3">
        <v>1015</v>
      </c>
      <c r="D3">
        <v>1020</v>
      </c>
      <c r="E3">
        <v>1030</v>
      </c>
      <c r="F3">
        <v>1040</v>
      </c>
      <c r="G3">
        <v>1050</v>
      </c>
      <c r="H3">
        <v>1060</v>
      </c>
      <c r="I3">
        <v>1070</v>
      </c>
      <c r="J3">
        <v>1020</v>
      </c>
      <c r="K3">
        <v>1020</v>
      </c>
      <c r="L3">
        <v>1020</v>
      </c>
      <c r="M3">
        <v>1000</v>
      </c>
      <c r="N3">
        <v>1010</v>
      </c>
      <c r="O3">
        <v>1020</v>
      </c>
      <c r="P3">
        <v>1030</v>
      </c>
      <c r="Q3">
        <v>1040</v>
      </c>
      <c r="R3">
        <v>1050</v>
      </c>
      <c r="S3">
        <v>1060</v>
      </c>
      <c r="T3">
        <v>1070</v>
      </c>
      <c r="U3">
        <v>1080</v>
      </c>
      <c r="V3">
        <v>1010</v>
      </c>
      <c r="W3">
        <v>1008</v>
      </c>
      <c r="X3">
        <v>1006</v>
      </c>
      <c r="Y3">
        <v>1100</v>
      </c>
    </row>
    <row r="4" spans="1:25" x14ac:dyDescent="0.2">
      <c r="A4">
        <v>3</v>
      </c>
      <c r="B4">
        <v>0</v>
      </c>
      <c r="C4">
        <v>1031</v>
      </c>
      <c r="D4">
        <v>1041</v>
      </c>
      <c r="E4">
        <v>1061</v>
      </c>
      <c r="F4">
        <v>1082</v>
      </c>
      <c r="G4">
        <v>1103</v>
      </c>
      <c r="H4">
        <v>1124</v>
      </c>
      <c r="I4">
        <v>1145</v>
      </c>
      <c r="J4">
        <v>1030</v>
      </c>
      <c r="K4">
        <v>1041</v>
      </c>
      <c r="L4">
        <v>1030</v>
      </c>
      <c r="M4">
        <v>1000</v>
      </c>
      <c r="N4">
        <v>1015</v>
      </c>
      <c r="O4">
        <v>1030</v>
      </c>
      <c r="P4">
        <v>1045</v>
      </c>
      <c r="Q4">
        <v>1060</v>
      </c>
      <c r="R4">
        <v>1075</v>
      </c>
      <c r="S4">
        <v>1090</v>
      </c>
      <c r="T4">
        <v>1105</v>
      </c>
      <c r="U4">
        <v>1120</v>
      </c>
      <c r="V4">
        <v>1020</v>
      </c>
      <c r="W4">
        <v>1012</v>
      </c>
      <c r="X4">
        <v>1009</v>
      </c>
      <c r="Y4">
        <v>1150</v>
      </c>
    </row>
    <row r="5" spans="1:25" x14ac:dyDescent="0.2">
      <c r="A5">
        <v>4</v>
      </c>
      <c r="B5">
        <v>0</v>
      </c>
      <c r="C5">
        <v>1047</v>
      </c>
      <c r="D5">
        <v>1062</v>
      </c>
      <c r="E5">
        <v>1093</v>
      </c>
      <c r="F5">
        <v>1126</v>
      </c>
      <c r="G5">
        <v>1159</v>
      </c>
      <c r="H5">
        <v>1192</v>
      </c>
      <c r="I5">
        <v>1226</v>
      </c>
      <c r="J5">
        <v>1040</v>
      </c>
      <c r="K5">
        <v>1062</v>
      </c>
      <c r="L5">
        <v>1040</v>
      </c>
      <c r="M5">
        <v>1000</v>
      </c>
      <c r="N5">
        <v>1020</v>
      </c>
      <c r="O5">
        <v>1040</v>
      </c>
      <c r="P5">
        <v>1060</v>
      </c>
      <c r="Q5">
        <v>1080</v>
      </c>
      <c r="R5">
        <v>1100</v>
      </c>
      <c r="S5">
        <v>1120</v>
      </c>
      <c r="T5">
        <v>1140</v>
      </c>
      <c r="U5">
        <v>1160</v>
      </c>
      <c r="V5">
        <v>1030</v>
      </c>
      <c r="W5">
        <v>1016</v>
      </c>
      <c r="X5">
        <v>1012</v>
      </c>
      <c r="Y5">
        <v>1200</v>
      </c>
    </row>
    <row r="6" spans="1:25" x14ac:dyDescent="0.2">
      <c r="A6">
        <v>5</v>
      </c>
      <c r="B6">
        <v>0</v>
      </c>
      <c r="C6">
        <v>1063</v>
      </c>
      <c r="D6">
        <v>1084</v>
      </c>
      <c r="E6">
        <v>1126</v>
      </c>
      <c r="F6">
        <v>1172</v>
      </c>
      <c r="G6">
        <v>1217</v>
      </c>
      <c r="H6">
        <v>1264</v>
      </c>
      <c r="I6">
        <v>1312</v>
      </c>
      <c r="J6">
        <v>1050</v>
      </c>
      <c r="K6">
        <v>1084</v>
      </c>
      <c r="L6">
        <v>1050</v>
      </c>
      <c r="M6">
        <v>1000</v>
      </c>
      <c r="N6">
        <v>1025</v>
      </c>
      <c r="O6">
        <v>1050</v>
      </c>
      <c r="P6">
        <v>1075</v>
      </c>
      <c r="Q6">
        <v>1100</v>
      </c>
      <c r="R6">
        <v>1125</v>
      </c>
      <c r="S6">
        <v>1150</v>
      </c>
      <c r="T6">
        <v>1175</v>
      </c>
      <c r="U6">
        <v>1200</v>
      </c>
      <c r="V6">
        <v>1040</v>
      </c>
      <c r="W6">
        <v>1020</v>
      </c>
      <c r="X6">
        <v>1015</v>
      </c>
      <c r="Y6">
        <v>1250</v>
      </c>
    </row>
    <row r="7" spans="1:25" x14ac:dyDescent="0.2">
      <c r="A7">
        <v>6</v>
      </c>
      <c r="B7">
        <v>0</v>
      </c>
      <c r="C7">
        <v>1079</v>
      </c>
      <c r="D7">
        <v>1106</v>
      </c>
      <c r="E7">
        <v>1160</v>
      </c>
      <c r="F7">
        <v>1219</v>
      </c>
      <c r="G7">
        <v>1278</v>
      </c>
      <c r="H7">
        <v>1340</v>
      </c>
      <c r="I7">
        <v>1404</v>
      </c>
      <c r="J7">
        <v>1060</v>
      </c>
      <c r="K7">
        <v>1106</v>
      </c>
      <c r="L7">
        <v>1060</v>
      </c>
      <c r="M7">
        <v>1000</v>
      </c>
      <c r="N7">
        <v>1030</v>
      </c>
      <c r="O7">
        <v>1060</v>
      </c>
      <c r="P7">
        <v>1090</v>
      </c>
      <c r="Q7">
        <v>1120</v>
      </c>
      <c r="R7">
        <v>1150</v>
      </c>
      <c r="S7">
        <v>1180</v>
      </c>
      <c r="T7">
        <v>1210</v>
      </c>
      <c r="U7">
        <v>1240</v>
      </c>
      <c r="V7">
        <v>1050</v>
      </c>
      <c r="W7">
        <v>1024</v>
      </c>
      <c r="X7">
        <v>1018</v>
      </c>
      <c r="Y7">
        <v>1300</v>
      </c>
    </row>
    <row r="8" spans="1:25" x14ac:dyDescent="0.2">
      <c r="A8">
        <v>7</v>
      </c>
      <c r="B8">
        <v>0</v>
      </c>
      <c r="C8">
        <v>1096</v>
      </c>
      <c r="D8">
        <v>1129</v>
      </c>
      <c r="E8">
        <v>1195</v>
      </c>
      <c r="F8">
        <v>1268</v>
      </c>
      <c r="G8">
        <v>1342</v>
      </c>
      <c r="H8">
        <v>1421</v>
      </c>
      <c r="I8">
        <v>1503</v>
      </c>
      <c r="J8">
        <v>1070</v>
      </c>
      <c r="K8">
        <v>1129</v>
      </c>
      <c r="L8">
        <v>1070</v>
      </c>
      <c r="M8">
        <v>1000</v>
      </c>
      <c r="N8">
        <v>1035</v>
      </c>
      <c r="O8">
        <v>1070</v>
      </c>
      <c r="P8">
        <v>1105</v>
      </c>
      <c r="Q8">
        <v>1140</v>
      </c>
      <c r="R8">
        <v>1175</v>
      </c>
      <c r="S8">
        <v>1210</v>
      </c>
      <c r="T8">
        <v>1245</v>
      </c>
      <c r="U8">
        <v>1280</v>
      </c>
      <c r="V8">
        <v>1060</v>
      </c>
      <c r="W8">
        <v>1028</v>
      </c>
      <c r="X8">
        <v>1021</v>
      </c>
      <c r="Y8">
        <v>1350</v>
      </c>
    </row>
    <row r="9" spans="1:25" x14ac:dyDescent="0.2">
      <c r="A9">
        <v>8</v>
      </c>
      <c r="B9">
        <v>0</v>
      </c>
      <c r="C9">
        <v>1113</v>
      </c>
      <c r="D9">
        <v>1152</v>
      </c>
      <c r="E9">
        <v>1231</v>
      </c>
      <c r="F9">
        <v>1319</v>
      </c>
      <c r="G9">
        <v>1410</v>
      </c>
      <c r="H9">
        <v>1507</v>
      </c>
      <c r="I9">
        <v>1609</v>
      </c>
      <c r="J9">
        <v>1080</v>
      </c>
      <c r="K9">
        <v>1152</v>
      </c>
      <c r="L9">
        <v>1080</v>
      </c>
      <c r="M9">
        <v>1000</v>
      </c>
      <c r="N9">
        <v>1040</v>
      </c>
      <c r="O9">
        <v>1080</v>
      </c>
      <c r="P9">
        <v>1120</v>
      </c>
      <c r="Q9">
        <v>1160</v>
      </c>
      <c r="R9">
        <v>1200</v>
      </c>
      <c r="S9">
        <v>1240</v>
      </c>
      <c r="T9">
        <v>1280</v>
      </c>
      <c r="U9">
        <v>1320</v>
      </c>
      <c r="V9">
        <v>1070</v>
      </c>
      <c r="W9">
        <v>1032</v>
      </c>
      <c r="X9">
        <v>1024</v>
      </c>
      <c r="Y9">
        <v>1400</v>
      </c>
    </row>
    <row r="10" spans="1:25" x14ac:dyDescent="0.2">
      <c r="A10">
        <v>9</v>
      </c>
      <c r="B10">
        <v>0</v>
      </c>
      <c r="C10">
        <v>1130</v>
      </c>
      <c r="D10">
        <v>1176</v>
      </c>
      <c r="E10">
        <v>1268</v>
      </c>
      <c r="F10">
        <v>1372</v>
      </c>
      <c r="G10">
        <v>1481</v>
      </c>
      <c r="H10">
        <v>1598</v>
      </c>
      <c r="I10">
        <v>1722</v>
      </c>
      <c r="J10">
        <v>1090</v>
      </c>
      <c r="K10">
        <v>1176</v>
      </c>
      <c r="L10">
        <v>1090</v>
      </c>
      <c r="M10">
        <v>1000</v>
      </c>
      <c r="N10">
        <v>1045</v>
      </c>
      <c r="O10">
        <v>1090</v>
      </c>
      <c r="P10">
        <v>1135</v>
      </c>
      <c r="Q10">
        <v>1180</v>
      </c>
      <c r="R10">
        <v>1225</v>
      </c>
      <c r="S10">
        <v>1270</v>
      </c>
      <c r="T10">
        <v>1315</v>
      </c>
      <c r="U10">
        <v>1360</v>
      </c>
      <c r="V10">
        <v>1080</v>
      </c>
      <c r="W10">
        <v>1036</v>
      </c>
      <c r="X10">
        <v>1027</v>
      </c>
      <c r="Y10">
        <v>1450</v>
      </c>
    </row>
    <row r="11" spans="1:25" x14ac:dyDescent="0.2">
      <c r="A11">
        <v>10</v>
      </c>
      <c r="B11">
        <v>0</v>
      </c>
      <c r="C11">
        <v>1147</v>
      </c>
      <c r="D11">
        <v>1200</v>
      </c>
      <c r="E11">
        <v>1307</v>
      </c>
      <c r="F11">
        <v>1427</v>
      </c>
      <c r="G11">
        <v>1556</v>
      </c>
      <c r="H11">
        <v>1694</v>
      </c>
      <c r="I11">
        <v>1843</v>
      </c>
      <c r="J11">
        <v>1100</v>
      </c>
      <c r="K11">
        <v>1200</v>
      </c>
      <c r="L11">
        <v>1100</v>
      </c>
      <c r="M11">
        <v>1000</v>
      </c>
      <c r="N11">
        <v>1050</v>
      </c>
      <c r="O11">
        <v>1100</v>
      </c>
      <c r="P11">
        <v>1150</v>
      </c>
      <c r="Q11">
        <v>1200</v>
      </c>
      <c r="R11">
        <v>1250</v>
      </c>
      <c r="S11">
        <v>1300</v>
      </c>
      <c r="T11">
        <v>1350</v>
      </c>
      <c r="U11">
        <v>1400</v>
      </c>
      <c r="V11">
        <v>1090</v>
      </c>
      <c r="W11">
        <v>1040</v>
      </c>
      <c r="X11">
        <v>1030</v>
      </c>
      <c r="Y11">
        <v>1500</v>
      </c>
    </row>
    <row r="12" spans="1:25" x14ac:dyDescent="0.2">
      <c r="A12">
        <v>11</v>
      </c>
      <c r="B12">
        <v>0</v>
      </c>
      <c r="C12">
        <v>1165</v>
      </c>
      <c r="D12">
        <v>1224</v>
      </c>
      <c r="E12">
        <v>1347</v>
      </c>
      <c r="F12">
        <v>1485</v>
      </c>
      <c r="G12">
        <v>1634</v>
      </c>
      <c r="H12">
        <v>1796</v>
      </c>
      <c r="I12">
        <v>1973</v>
      </c>
      <c r="J12">
        <v>1110</v>
      </c>
      <c r="K12">
        <v>1224</v>
      </c>
      <c r="L12">
        <v>1110</v>
      </c>
      <c r="M12">
        <v>1000</v>
      </c>
      <c r="N12">
        <v>1055</v>
      </c>
      <c r="O12">
        <v>1110</v>
      </c>
      <c r="P12">
        <v>1165</v>
      </c>
      <c r="Q12">
        <v>1220</v>
      </c>
      <c r="R12">
        <v>1275</v>
      </c>
      <c r="S12">
        <v>1330</v>
      </c>
      <c r="T12">
        <v>1385</v>
      </c>
      <c r="U12">
        <v>1440</v>
      </c>
      <c r="V12">
        <v>1100</v>
      </c>
      <c r="W12">
        <v>1044</v>
      </c>
      <c r="X12">
        <v>1033</v>
      </c>
      <c r="Y12">
        <v>1550</v>
      </c>
    </row>
    <row r="13" spans="1:25" x14ac:dyDescent="0.2">
      <c r="A13">
        <v>12</v>
      </c>
      <c r="B13">
        <v>0</v>
      </c>
      <c r="C13">
        <v>1183</v>
      </c>
      <c r="D13">
        <v>1249</v>
      </c>
      <c r="E13">
        <v>1388</v>
      </c>
      <c r="F13">
        <v>1545</v>
      </c>
      <c r="G13">
        <v>1716</v>
      </c>
      <c r="H13">
        <v>1904</v>
      </c>
      <c r="I13">
        <v>2112</v>
      </c>
      <c r="J13">
        <v>1120</v>
      </c>
      <c r="K13">
        <v>1249</v>
      </c>
      <c r="L13">
        <v>1120</v>
      </c>
      <c r="M13">
        <v>1000</v>
      </c>
      <c r="N13">
        <v>1060</v>
      </c>
      <c r="O13">
        <v>1120</v>
      </c>
      <c r="P13">
        <v>1180</v>
      </c>
      <c r="Q13">
        <v>1240</v>
      </c>
      <c r="R13">
        <v>1300</v>
      </c>
      <c r="S13">
        <v>1360</v>
      </c>
      <c r="T13">
        <v>1420</v>
      </c>
      <c r="U13">
        <v>1480</v>
      </c>
      <c r="V13">
        <v>1110</v>
      </c>
      <c r="W13">
        <v>1048</v>
      </c>
      <c r="X13">
        <v>1036</v>
      </c>
      <c r="Y13">
        <v>1600</v>
      </c>
    </row>
    <row r="14" spans="1:25" x14ac:dyDescent="0.2">
      <c r="A14">
        <v>13</v>
      </c>
      <c r="B14">
        <v>0</v>
      </c>
      <c r="C14">
        <v>1201</v>
      </c>
      <c r="D14">
        <v>1274</v>
      </c>
      <c r="E14">
        <v>1430</v>
      </c>
      <c r="F14">
        <v>1607</v>
      </c>
      <c r="G14">
        <v>1802</v>
      </c>
      <c r="H14">
        <v>2019</v>
      </c>
      <c r="I14">
        <v>2260</v>
      </c>
      <c r="J14">
        <v>1130</v>
      </c>
      <c r="K14">
        <v>1274</v>
      </c>
      <c r="L14">
        <v>1130</v>
      </c>
      <c r="M14">
        <v>1000</v>
      </c>
      <c r="N14">
        <v>1065</v>
      </c>
      <c r="O14">
        <v>1130</v>
      </c>
      <c r="P14">
        <v>1195</v>
      </c>
      <c r="Q14">
        <v>1260</v>
      </c>
      <c r="R14">
        <v>1325</v>
      </c>
      <c r="S14">
        <v>1390</v>
      </c>
      <c r="T14">
        <v>1455</v>
      </c>
      <c r="U14">
        <v>1520</v>
      </c>
      <c r="V14">
        <v>1120</v>
      </c>
      <c r="W14">
        <v>1052</v>
      </c>
      <c r="X14">
        <v>1039</v>
      </c>
      <c r="Y14">
        <v>1650</v>
      </c>
    </row>
    <row r="15" spans="1:25" x14ac:dyDescent="0.2">
      <c r="A15">
        <v>14</v>
      </c>
      <c r="B15">
        <v>0</v>
      </c>
      <c r="C15">
        <v>1220</v>
      </c>
      <c r="D15">
        <v>1300</v>
      </c>
      <c r="E15">
        <v>1473</v>
      </c>
      <c r="F15">
        <v>1672</v>
      </c>
      <c r="G15">
        <v>1893</v>
      </c>
      <c r="H15">
        <v>2141</v>
      </c>
      <c r="I15">
        <v>2419</v>
      </c>
      <c r="J15">
        <v>1140</v>
      </c>
      <c r="K15">
        <v>1300</v>
      </c>
      <c r="L15">
        <v>1140</v>
      </c>
      <c r="M15">
        <v>1000</v>
      </c>
      <c r="N15">
        <v>1070</v>
      </c>
      <c r="O15">
        <v>1140</v>
      </c>
      <c r="P15">
        <v>1210</v>
      </c>
      <c r="Q15">
        <v>1280</v>
      </c>
      <c r="R15">
        <v>1350</v>
      </c>
      <c r="S15">
        <v>1420</v>
      </c>
      <c r="T15">
        <v>1490</v>
      </c>
      <c r="U15">
        <v>1560</v>
      </c>
      <c r="V15">
        <v>1130</v>
      </c>
      <c r="W15">
        <v>1056</v>
      </c>
      <c r="X15">
        <v>1042</v>
      </c>
      <c r="Y15">
        <v>1700</v>
      </c>
    </row>
    <row r="16" spans="1:25" x14ac:dyDescent="0.2">
      <c r="A16">
        <v>15</v>
      </c>
      <c r="B16">
        <v>0</v>
      </c>
      <c r="C16">
        <v>1239</v>
      </c>
      <c r="D16">
        <v>1326</v>
      </c>
      <c r="E16">
        <v>1518</v>
      </c>
      <c r="F16">
        <v>1739</v>
      </c>
      <c r="G16">
        <v>1988</v>
      </c>
      <c r="H16">
        <v>2270</v>
      </c>
      <c r="I16">
        <v>2589</v>
      </c>
      <c r="J16">
        <v>1150</v>
      </c>
      <c r="K16">
        <v>1326</v>
      </c>
      <c r="L16">
        <v>1150</v>
      </c>
      <c r="M16">
        <v>1000</v>
      </c>
      <c r="N16">
        <v>1075</v>
      </c>
      <c r="O16">
        <v>1150</v>
      </c>
      <c r="P16">
        <v>1225</v>
      </c>
      <c r="Q16">
        <v>1300</v>
      </c>
      <c r="R16">
        <v>1375</v>
      </c>
      <c r="S16">
        <v>1450</v>
      </c>
      <c r="T16">
        <v>1525</v>
      </c>
      <c r="U16">
        <v>1600</v>
      </c>
      <c r="V16">
        <v>1140</v>
      </c>
      <c r="W16">
        <v>1060</v>
      </c>
      <c r="X16">
        <v>1045</v>
      </c>
      <c r="Y16">
        <v>1750</v>
      </c>
    </row>
    <row r="17" spans="1:25" x14ac:dyDescent="0.2">
      <c r="A17">
        <v>16</v>
      </c>
      <c r="B17">
        <v>0</v>
      </c>
      <c r="C17">
        <v>1258</v>
      </c>
      <c r="D17">
        <v>1353</v>
      </c>
      <c r="E17">
        <v>1564</v>
      </c>
      <c r="F17">
        <v>1809</v>
      </c>
      <c r="G17">
        <v>2088</v>
      </c>
      <c r="H17">
        <v>2407</v>
      </c>
      <c r="I17">
        <v>2771</v>
      </c>
      <c r="J17">
        <v>1160</v>
      </c>
      <c r="K17">
        <v>1353</v>
      </c>
      <c r="L17">
        <v>1160</v>
      </c>
      <c r="M17">
        <v>1000</v>
      </c>
      <c r="N17">
        <v>1080</v>
      </c>
      <c r="O17">
        <v>1160</v>
      </c>
      <c r="P17">
        <v>1240</v>
      </c>
      <c r="Q17">
        <v>1320</v>
      </c>
      <c r="R17">
        <v>1400</v>
      </c>
      <c r="S17">
        <v>1480</v>
      </c>
      <c r="T17">
        <v>1560</v>
      </c>
      <c r="U17">
        <v>1640</v>
      </c>
      <c r="V17">
        <v>1150</v>
      </c>
      <c r="W17">
        <v>1064</v>
      </c>
      <c r="X17">
        <v>1048</v>
      </c>
      <c r="Y17">
        <v>1800</v>
      </c>
    </row>
    <row r="18" spans="1:25" x14ac:dyDescent="0.2">
      <c r="A18">
        <v>17</v>
      </c>
      <c r="B18">
        <v>0</v>
      </c>
      <c r="C18">
        <v>1277</v>
      </c>
      <c r="D18">
        <v>1381</v>
      </c>
      <c r="E18">
        <v>1611</v>
      </c>
      <c r="F18">
        <v>1882</v>
      </c>
      <c r="G18">
        <v>2193</v>
      </c>
      <c r="H18">
        <v>2552</v>
      </c>
      <c r="I18">
        <v>2965</v>
      </c>
      <c r="J18">
        <v>1170</v>
      </c>
      <c r="K18">
        <v>1381</v>
      </c>
      <c r="L18">
        <v>1170</v>
      </c>
      <c r="M18">
        <v>1000</v>
      </c>
      <c r="N18">
        <v>1085</v>
      </c>
      <c r="O18">
        <v>1170</v>
      </c>
      <c r="P18">
        <v>1255</v>
      </c>
      <c r="Q18">
        <v>1340</v>
      </c>
      <c r="R18">
        <v>1425</v>
      </c>
      <c r="S18">
        <v>1510</v>
      </c>
      <c r="T18">
        <v>1595</v>
      </c>
      <c r="U18">
        <v>1680</v>
      </c>
      <c r="V18">
        <v>1160</v>
      </c>
      <c r="W18">
        <v>1068</v>
      </c>
      <c r="X18">
        <v>1051</v>
      </c>
      <c r="Y18">
        <v>1850</v>
      </c>
    </row>
    <row r="19" spans="1:25" x14ac:dyDescent="0.2">
      <c r="A19">
        <v>18</v>
      </c>
      <c r="B19">
        <v>0</v>
      </c>
      <c r="C19">
        <v>1297</v>
      </c>
      <c r="D19">
        <v>1409</v>
      </c>
      <c r="E19">
        <v>1660</v>
      </c>
      <c r="F19">
        <v>1958</v>
      </c>
      <c r="G19">
        <v>2303</v>
      </c>
      <c r="H19">
        <v>2706</v>
      </c>
      <c r="I19">
        <v>3173</v>
      </c>
      <c r="J19">
        <v>1180</v>
      </c>
      <c r="K19">
        <v>1409</v>
      </c>
      <c r="L19">
        <v>1180</v>
      </c>
      <c r="M19">
        <v>1000</v>
      </c>
      <c r="N19">
        <v>1090</v>
      </c>
      <c r="O19">
        <v>1180</v>
      </c>
      <c r="P19">
        <v>1270</v>
      </c>
      <c r="Q19">
        <v>1360</v>
      </c>
      <c r="R19">
        <v>1450</v>
      </c>
      <c r="S19">
        <v>1540</v>
      </c>
      <c r="T19">
        <v>1630</v>
      </c>
      <c r="U19">
        <v>1720</v>
      </c>
      <c r="V19">
        <v>1170</v>
      </c>
      <c r="W19">
        <v>1072</v>
      </c>
      <c r="X19">
        <v>1054</v>
      </c>
      <c r="Y19">
        <v>1900</v>
      </c>
    </row>
    <row r="20" spans="1:25" x14ac:dyDescent="0.2">
      <c r="A20">
        <v>19</v>
      </c>
      <c r="B20">
        <v>0</v>
      </c>
      <c r="C20">
        <v>1317</v>
      </c>
      <c r="D20">
        <v>1438</v>
      </c>
      <c r="E20">
        <v>1710</v>
      </c>
      <c r="F20">
        <v>2037</v>
      </c>
      <c r="G20">
        <v>2419</v>
      </c>
      <c r="H20">
        <v>2869</v>
      </c>
      <c r="I20">
        <v>3396</v>
      </c>
      <c r="J20">
        <v>1190</v>
      </c>
      <c r="K20">
        <v>1438</v>
      </c>
      <c r="L20">
        <v>1190</v>
      </c>
      <c r="M20">
        <v>1000</v>
      </c>
      <c r="N20">
        <v>1095</v>
      </c>
      <c r="O20">
        <v>1190</v>
      </c>
      <c r="P20">
        <v>1285</v>
      </c>
      <c r="Q20">
        <v>1380</v>
      </c>
      <c r="R20">
        <v>1475</v>
      </c>
      <c r="S20">
        <v>1570</v>
      </c>
      <c r="T20">
        <v>1665</v>
      </c>
      <c r="U20">
        <v>1760</v>
      </c>
      <c r="V20">
        <v>1180</v>
      </c>
      <c r="W20">
        <v>1076</v>
      </c>
      <c r="X20">
        <v>1057</v>
      </c>
      <c r="Y20">
        <v>1950</v>
      </c>
    </row>
    <row r="21" spans="1:25" x14ac:dyDescent="0.2">
      <c r="A21">
        <v>20</v>
      </c>
      <c r="B21">
        <v>0</v>
      </c>
      <c r="C21">
        <v>1337</v>
      </c>
      <c r="D21">
        <v>1467</v>
      </c>
      <c r="E21">
        <v>1762</v>
      </c>
      <c r="F21">
        <v>2119</v>
      </c>
      <c r="G21">
        <v>2540</v>
      </c>
      <c r="H21">
        <v>3042</v>
      </c>
      <c r="I21">
        <v>3634</v>
      </c>
      <c r="J21">
        <v>1200</v>
      </c>
      <c r="K21">
        <v>1467</v>
      </c>
      <c r="L21">
        <v>1200</v>
      </c>
      <c r="M21">
        <v>1000</v>
      </c>
      <c r="N21">
        <v>1100</v>
      </c>
      <c r="O21">
        <v>1200</v>
      </c>
      <c r="P21">
        <v>1300</v>
      </c>
      <c r="Q21">
        <v>1400</v>
      </c>
      <c r="R21">
        <v>1500</v>
      </c>
      <c r="S21">
        <v>1600</v>
      </c>
      <c r="T21">
        <v>1700</v>
      </c>
      <c r="U21">
        <v>1800</v>
      </c>
      <c r="V21">
        <v>1190</v>
      </c>
      <c r="W21">
        <v>1080</v>
      </c>
      <c r="X21">
        <v>1060</v>
      </c>
      <c r="Y21">
        <v>2000</v>
      </c>
    </row>
    <row r="22" spans="1:25" x14ac:dyDescent="0.2">
      <c r="A22">
        <v>21</v>
      </c>
      <c r="B22">
        <v>0</v>
      </c>
      <c r="C22">
        <v>1358</v>
      </c>
      <c r="D22">
        <v>1497</v>
      </c>
      <c r="E22">
        <v>1815</v>
      </c>
      <c r="F22">
        <v>2204</v>
      </c>
      <c r="G22">
        <v>2667</v>
      </c>
      <c r="H22">
        <v>3225</v>
      </c>
      <c r="I22">
        <v>3889</v>
      </c>
      <c r="J22">
        <v>1210</v>
      </c>
      <c r="K22">
        <v>1497</v>
      </c>
      <c r="L22">
        <v>1210</v>
      </c>
      <c r="M22">
        <v>1000</v>
      </c>
      <c r="N22">
        <v>1105</v>
      </c>
      <c r="O22">
        <v>1210</v>
      </c>
      <c r="P22">
        <v>1315</v>
      </c>
      <c r="Q22">
        <v>1420</v>
      </c>
      <c r="R22">
        <v>1525</v>
      </c>
      <c r="S22">
        <v>1630</v>
      </c>
      <c r="T22">
        <v>1735</v>
      </c>
      <c r="U22">
        <v>1840</v>
      </c>
      <c r="V22">
        <v>1200</v>
      </c>
      <c r="W22">
        <v>1084</v>
      </c>
      <c r="X22">
        <v>1063</v>
      </c>
      <c r="Y22">
        <v>2050</v>
      </c>
    </row>
    <row r="23" spans="1:25" x14ac:dyDescent="0.2">
      <c r="A23">
        <v>22</v>
      </c>
      <c r="B23">
        <v>0</v>
      </c>
      <c r="C23">
        <v>1379</v>
      </c>
      <c r="D23">
        <v>1527</v>
      </c>
      <c r="E23">
        <v>1870</v>
      </c>
      <c r="F23">
        <v>2293</v>
      </c>
      <c r="G23">
        <v>2801</v>
      </c>
      <c r="H23">
        <v>3419</v>
      </c>
      <c r="I23">
        <v>4162</v>
      </c>
      <c r="J23">
        <v>1220</v>
      </c>
      <c r="K23">
        <v>1527</v>
      </c>
      <c r="L23">
        <v>1220</v>
      </c>
      <c r="M23">
        <v>1000</v>
      </c>
      <c r="N23">
        <v>1110</v>
      </c>
      <c r="O23">
        <v>1220</v>
      </c>
      <c r="P23">
        <v>1330</v>
      </c>
      <c r="Q23">
        <v>1440</v>
      </c>
      <c r="R23">
        <v>1550</v>
      </c>
      <c r="S23">
        <v>1660</v>
      </c>
      <c r="T23">
        <v>1770</v>
      </c>
      <c r="U23">
        <v>1880</v>
      </c>
      <c r="V23">
        <v>1211</v>
      </c>
      <c r="W23">
        <v>1088</v>
      </c>
      <c r="X23">
        <v>1066</v>
      </c>
      <c r="Y23">
        <v>2100</v>
      </c>
    </row>
    <row r="24" spans="1:25" x14ac:dyDescent="0.2">
      <c r="A24">
        <v>23</v>
      </c>
      <c r="B24">
        <v>0</v>
      </c>
      <c r="C24">
        <v>1400</v>
      </c>
      <c r="D24">
        <v>1558</v>
      </c>
      <c r="E24">
        <v>1927</v>
      </c>
      <c r="F24">
        <v>2385</v>
      </c>
      <c r="G24">
        <v>2942</v>
      </c>
      <c r="H24">
        <v>3625</v>
      </c>
      <c r="I24">
        <v>4454</v>
      </c>
      <c r="J24">
        <v>1230</v>
      </c>
      <c r="K24">
        <v>1558</v>
      </c>
      <c r="L24">
        <v>1230</v>
      </c>
      <c r="M24">
        <v>1000</v>
      </c>
      <c r="N24">
        <v>1115</v>
      </c>
      <c r="O24">
        <v>1230</v>
      </c>
      <c r="P24">
        <v>1345</v>
      </c>
      <c r="Q24">
        <v>1460</v>
      </c>
      <c r="R24">
        <v>1575</v>
      </c>
      <c r="S24">
        <v>1690</v>
      </c>
      <c r="T24">
        <v>1805</v>
      </c>
      <c r="U24">
        <v>1920</v>
      </c>
      <c r="V24">
        <v>1222</v>
      </c>
      <c r="W24">
        <v>1092</v>
      </c>
      <c r="X24">
        <v>1069</v>
      </c>
      <c r="Y24">
        <v>2150</v>
      </c>
    </row>
    <row r="25" spans="1:25" x14ac:dyDescent="0.2">
      <c r="A25">
        <v>24</v>
      </c>
      <c r="B25">
        <v>0</v>
      </c>
      <c r="C25">
        <v>1421</v>
      </c>
      <c r="D25">
        <v>1590</v>
      </c>
      <c r="E25">
        <v>1985</v>
      </c>
      <c r="F25">
        <v>2481</v>
      </c>
      <c r="G25">
        <v>3090</v>
      </c>
      <c r="H25">
        <v>3843</v>
      </c>
      <c r="I25">
        <v>4766</v>
      </c>
      <c r="J25">
        <v>1240</v>
      </c>
      <c r="K25">
        <v>1590</v>
      </c>
      <c r="L25">
        <v>1240</v>
      </c>
      <c r="M25">
        <v>1000</v>
      </c>
      <c r="N25">
        <v>1120</v>
      </c>
      <c r="O25">
        <v>1240</v>
      </c>
      <c r="P25">
        <v>1360</v>
      </c>
      <c r="Q25">
        <v>1480</v>
      </c>
      <c r="R25">
        <v>1600</v>
      </c>
      <c r="S25">
        <v>1720</v>
      </c>
      <c r="T25">
        <v>1840</v>
      </c>
      <c r="U25">
        <v>1960</v>
      </c>
      <c r="V25">
        <v>1233</v>
      </c>
      <c r="W25">
        <v>1096</v>
      </c>
      <c r="X25">
        <v>1072</v>
      </c>
      <c r="Y25">
        <v>2200</v>
      </c>
    </row>
    <row r="26" spans="1:25" x14ac:dyDescent="0.2">
      <c r="A26">
        <v>25</v>
      </c>
      <c r="B26">
        <v>0</v>
      </c>
      <c r="C26">
        <v>1443</v>
      </c>
      <c r="D26">
        <v>1622</v>
      </c>
      <c r="E26">
        <v>2045</v>
      </c>
      <c r="F26">
        <v>2581</v>
      </c>
      <c r="G26">
        <v>3245</v>
      </c>
      <c r="H26">
        <v>4074</v>
      </c>
      <c r="I26">
        <v>5100</v>
      </c>
      <c r="J26">
        <v>1250</v>
      </c>
      <c r="K26">
        <v>1622</v>
      </c>
      <c r="L26">
        <v>1250</v>
      </c>
      <c r="M26">
        <v>1000</v>
      </c>
      <c r="N26">
        <v>1125</v>
      </c>
      <c r="O26">
        <v>1250</v>
      </c>
      <c r="P26">
        <v>1375</v>
      </c>
      <c r="Q26">
        <v>1500</v>
      </c>
      <c r="R26">
        <v>1625</v>
      </c>
      <c r="S26">
        <v>1750</v>
      </c>
      <c r="T26">
        <v>1875</v>
      </c>
      <c r="U26">
        <v>2000</v>
      </c>
      <c r="V26">
        <v>1244</v>
      </c>
      <c r="W26">
        <v>1100</v>
      </c>
      <c r="X26">
        <v>1075</v>
      </c>
      <c r="Y26">
        <v>2250</v>
      </c>
    </row>
    <row r="27" spans="1:25" x14ac:dyDescent="0.2">
      <c r="A27">
        <v>26</v>
      </c>
      <c r="B27">
        <v>0</v>
      </c>
      <c r="C27">
        <v>1465</v>
      </c>
      <c r="D27">
        <v>1655</v>
      </c>
      <c r="E27">
        <v>2107</v>
      </c>
      <c r="F27">
        <v>2685</v>
      </c>
      <c r="G27">
        <v>3408</v>
      </c>
      <c r="H27">
        <v>4319</v>
      </c>
      <c r="I27">
        <v>5457</v>
      </c>
      <c r="J27">
        <v>1260</v>
      </c>
      <c r="K27">
        <v>1655</v>
      </c>
      <c r="L27">
        <v>1260</v>
      </c>
      <c r="M27">
        <v>1000</v>
      </c>
      <c r="N27">
        <v>1130</v>
      </c>
      <c r="O27">
        <v>1260</v>
      </c>
      <c r="P27">
        <v>1390</v>
      </c>
      <c r="Q27">
        <v>1520</v>
      </c>
      <c r="R27">
        <v>1650</v>
      </c>
      <c r="S27">
        <v>1780</v>
      </c>
      <c r="T27">
        <v>1910</v>
      </c>
      <c r="U27">
        <v>2040</v>
      </c>
      <c r="V27">
        <v>1255</v>
      </c>
      <c r="W27">
        <v>1104</v>
      </c>
      <c r="X27">
        <v>1078</v>
      </c>
      <c r="Y27">
        <v>2300</v>
      </c>
    </row>
    <row r="28" spans="1:25" x14ac:dyDescent="0.2">
      <c r="A28">
        <v>27</v>
      </c>
      <c r="B28">
        <v>0</v>
      </c>
      <c r="C28">
        <v>1487</v>
      </c>
      <c r="D28">
        <v>1689</v>
      </c>
      <c r="E28">
        <v>2171</v>
      </c>
      <c r="F28">
        <v>2793</v>
      </c>
      <c r="G28">
        <v>3579</v>
      </c>
      <c r="H28">
        <v>4579</v>
      </c>
      <c r="I28">
        <v>5839</v>
      </c>
      <c r="J28">
        <v>1270</v>
      </c>
      <c r="K28">
        <v>1689</v>
      </c>
      <c r="L28">
        <v>1270</v>
      </c>
      <c r="M28">
        <v>1000</v>
      </c>
      <c r="N28">
        <v>1135</v>
      </c>
      <c r="O28">
        <v>1270</v>
      </c>
      <c r="P28">
        <v>1405</v>
      </c>
      <c r="Q28">
        <v>1540</v>
      </c>
      <c r="R28">
        <v>1675</v>
      </c>
      <c r="S28">
        <v>1810</v>
      </c>
      <c r="T28">
        <v>1945</v>
      </c>
      <c r="U28">
        <v>2080</v>
      </c>
      <c r="V28">
        <v>1266</v>
      </c>
      <c r="W28">
        <v>1108</v>
      </c>
      <c r="X28">
        <v>1081</v>
      </c>
      <c r="Y28">
        <v>2350</v>
      </c>
    </row>
    <row r="29" spans="1:25" x14ac:dyDescent="0.2">
      <c r="A29">
        <v>28</v>
      </c>
      <c r="B29">
        <v>0</v>
      </c>
      <c r="C29">
        <v>1510</v>
      </c>
      <c r="D29">
        <v>1723</v>
      </c>
      <c r="E29">
        <v>2237</v>
      </c>
      <c r="F29">
        <v>2905</v>
      </c>
      <c r="G29">
        <v>3758</v>
      </c>
      <c r="H29">
        <v>4854</v>
      </c>
      <c r="I29">
        <v>6248</v>
      </c>
      <c r="J29">
        <v>1280</v>
      </c>
      <c r="K29">
        <v>1723</v>
      </c>
      <c r="L29">
        <v>1280</v>
      </c>
      <c r="M29">
        <v>1000</v>
      </c>
      <c r="N29">
        <v>1140</v>
      </c>
      <c r="O29">
        <v>1280</v>
      </c>
      <c r="P29">
        <v>1420</v>
      </c>
      <c r="Q29">
        <v>1560</v>
      </c>
      <c r="R29">
        <v>1700</v>
      </c>
      <c r="S29">
        <v>1840</v>
      </c>
      <c r="T29">
        <v>1980</v>
      </c>
      <c r="U29">
        <v>2120</v>
      </c>
      <c r="V29">
        <v>1277</v>
      </c>
      <c r="W29">
        <v>1112</v>
      </c>
      <c r="X29">
        <v>1084</v>
      </c>
      <c r="Y29">
        <v>2400</v>
      </c>
    </row>
    <row r="30" spans="1:25" x14ac:dyDescent="0.2">
      <c r="A30">
        <v>29</v>
      </c>
      <c r="B30">
        <v>0</v>
      </c>
      <c r="C30">
        <v>1533</v>
      </c>
      <c r="D30">
        <v>1758</v>
      </c>
      <c r="E30">
        <v>2305</v>
      </c>
      <c r="F30">
        <v>3022</v>
      </c>
      <c r="G30">
        <v>3946</v>
      </c>
      <c r="H30">
        <v>5146</v>
      </c>
      <c r="I30">
        <v>6686</v>
      </c>
      <c r="J30">
        <v>1290</v>
      </c>
      <c r="K30">
        <v>1758</v>
      </c>
      <c r="L30">
        <v>1290</v>
      </c>
      <c r="M30">
        <v>1000</v>
      </c>
      <c r="N30">
        <v>1145</v>
      </c>
      <c r="O30">
        <v>1290</v>
      </c>
      <c r="P30">
        <v>1435</v>
      </c>
      <c r="Q30">
        <v>1580</v>
      </c>
      <c r="R30">
        <v>1725</v>
      </c>
      <c r="S30">
        <v>1870</v>
      </c>
      <c r="T30">
        <v>2015</v>
      </c>
      <c r="U30">
        <v>2160</v>
      </c>
      <c r="V30">
        <v>1288</v>
      </c>
      <c r="W30">
        <v>1116</v>
      </c>
      <c r="X30">
        <v>1087</v>
      </c>
      <c r="Y30">
        <v>2450</v>
      </c>
    </row>
    <row r="31" spans="1:25" x14ac:dyDescent="0.2">
      <c r="A31">
        <v>30</v>
      </c>
      <c r="B31">
        <v>0</v>
      </c>
      <c r="C31">
        <v>1556</v>
      </c>
      <c r="D31">
        <v>1794</v>
      </c>
      <c r="E31">
        <v>2375</v>
      </c>
      <c r="F31">
        <v>3143</v>
      </c>
      <c r="G31">
        <v>4144</v>
      </c>
      <c r="H31">
        <v>5455</v>
      </c>
      <c r="I31">
        <v>7155</v>
      </c>
      <c r="J31">
        <v>1300</v>
      </c>
      <c r="K31">
        <v>1794</v>
      </c>
      <c r="L31">
        <v>1300</v>
      </c>
      <c r="M31">
        <v>1000</v>
      </c>
      <c r="N31">
        <v>1150</v>
      </c>
      <c r="O31">
        <v>1300</v>
      </c>
      <c r="P31">
        <v>1450</v>
      </c>
      <c r="Q31">
        <v>1600</v>
      </c>
      <c r="R31">
        <v>1750</v>
      </c>
      <c r="S31">
        <v>1900</v>
      </c>
      <c r="T31">
        <v>2050</v>
      </c>
      <c r="U31">
        <v>2200</v>
      </c>
      <c r="V31">
        <v>1299</v>
      </c>
      <c r="W31">
        <v>1120</v>
      </c>
      <c r="X31">
        <v>1090</v>
      </c>
      <c r="Y31">
        <v>2500</v>
      </c>
    </row>
    <row r="32" spans="1:25" x14ac:dyDescent="0.2">
      <c r="A32">
        <v>31</v>
      </c>
      <c r="B32">
        <v>0</v>
      </c>
      <c r="C32">
        <v>1580</v>
      </c>
      <c r="D32">
        <v>1830</v>
      </c>
      <c r="E32">
        <v>2447</v>
      </c>
      <c r="F32">
        <v>3269</v>
      </c>
      <c r="G32">
        <v>4352</v>
      </c>
      <c r="H32">
        <v>5783</v>
      </c>
      <c r="I32">
        <v>7656</v>
      </c>
      <c r="J32">
        <v>1310</v>
      </c>
      <c r="K32">
        <v>1830</v>
      </c>
      <c r="L32">
        <v>1310</v>
      </c>
      <c r="M32">
        <v>1000</v>
      </c>
      <c r="N32">
        <v>1155</v>
      </c>
      <c r="O32">
        <v>1310</v>
      </c>
      <c r="P32">
        <v>1465</v>
      </c>
      <c r="Q32">
        <v>1620</v>
      </c>
      <c r="R32">
        <v>1775</v>
      </c>
      <c r="S32">
        <v>1930</v>
      </c>
      <c r="T32">
        <v>2085</v>
      </c>
      <c r="U32">
        <v>2240</v>
      </c>
      <c r="V32">
        <v>1310</v>
      </c>
      <c r="W32">
        <v>1124</v>
      </c>
      <c r="X32">
        <v>1093</v>
      </c>
      <c r="Y32">
        <v>2550</v>
      </c>
    </row>
    <row r="33" spans="1:25" x14ac:dyDescent="0.2">
      <c r="A33">
        <v>32</v>
      </c>
      <c r="B33">
        <v>0</v>
      </c>
      <c r="C33">
        <v>1604</v>
      </c>
      <c r="D33">
        <v>1867</v>
      </c>
      <c r="E33">
        <v>2521</v>
      </c>
      <c r="F33">
        <v>3400</v>
      </c>
      <c r="G33">
        <v>4570</v>
      </c>
      <c r="H33">
        <v>6130</v>
      </c>
      <c r="I33">
        <v>8192</v>
      </c>
      <c r="J33">
        <v>1320</v>
      </c>
      <c r="K33">
        <v>1867</v>
      </c>
      <c r="L33">
        <v>1320</v>
      </c>
      <c r="M33">
        <v>1000</v>
      </c>
      <c r="N33">
        <v>1160</v>
      </c>
      <c r="O33">
        <v>1320</v>
      </c>
      <c r="P33">
        <v>1480</v>
      </c>
      <c r="Q33">
        <v>1640</v>
      </c>
      <c r="R33">
        <v>1800</v>
      </c>
      <c r="S33">
        <v>1960</v>
      </c>
      <c r="T33">
        <v>2120</v>
      </c>
      <c r="U33">
        <v>2280</v>
      </c>
      <c r="V33">
        <v>1321</v>
      </c>
      <c r="W33">
        <v>1128</v>
      </c>
      <c r="X33">
        <v>1096</v>
      </c>
      <c r="Y33">
        <v>2600</v>
      </c>
    </row>
    <row r="34" spans="1:25" x14ac:dyDescent="0.2">
      <c r="A34">
        <v>33</v>
      </c>
      <c r="B34">
        <v>0</v>
      </c>
      <c r="C34">
        <v>1629</v>
      </c>
      <c r="D34">
        <v>1905</v>
      </c>
      <c r="E34">
        <v>2597</v>
      </c>
      <c r="F34">
        <v>3536</v>
      </c>
      <c r="G34">
        <v>4799</v>
      </c>
      <c r="H34">
        <v>6498</v>
      </c>
      <c r="I34">
        <v>8766</v>
      </c>
      <c r="J34">
        <v>1330</v>
      </c>
      <c r="K34">
        <v>1905</v>
      </c>
      <c r="L34">
        <v>1330</v>
      </c>
      <c r="M34">
        <v>1000</v>
      </c>
      <c r="N34">
        <v>1165</v>
      </c>
      <c r="O34">
        <v>1330</v>
      </c>
      <c r="P34">
        <v>1495</v>
      </c>
      <c r="Q34">
        <v>1660</v>
      </c>
      <c r="R34">
        <v>1825</v>
      </c>
      <c r="S34">
        <v>1990</v>
      </c>
      <c r="T34">
        <v>2155</v>
      </c>
      <c r="U34">
        <v>2320</v>
      </c>
      <c r="V34">
        <v>1332</v>
      </c>
      <c r="W34">
        <v>1132</v>
      </c>
      <c r="X34">
        <v>1099</v>
      </c>
      <c r="Y34">
        <v>2650</v>
      </c>
    </row>
    <row r="35" spans="1:25" x14ac:dyDescent="0.2">
      <c r="A35">
        <v>34</v>
      </c>
      <c r="B35">
        <v>0</v>
      </c>
      <c r="C35">
        <v>1654</v>
      </c>
      <c r="D35">
        <v>1944</v>
      </c>
      <c r="E35">
        <v>2675</v>
      </c>
      <c r="F35">
        <v>3678</v>
      </c>
      <c r="G35">
        <v>5039</v>
      </c>
      <c r="H35">
        <v>6888</v>
      </c>
      <c r="I35">
        <v>9380</v>
      </c>
      <c r="J35">
        <v>1340</v>
      </c>
      <c r="K35">
        <v>1944</v>
      </c>
      <c r="L35">
        <v>1340</v>
      </c>
      <c r="M35">
        <v>1000</v>
      </c>
      <c r="N35">
        <v>1170</v>
      </c>
      <c r="O35">
        <v>1340</v>
      </c>
      <c r="P35">
        <v>1510</v>
      </c>
      <c r="Q35">
        <v>1680</v>
      </c>
      <c r="R35">
        <v>1850</v>
      </c>
      <c r="S35">
        <v>2020</v>
      </c>
      <c r="T35">
        <v>2190</v>
      </c>
      <c r="U35">
        <v>2360</v>
      </c>
      <c r="V35">
        <v>1343</v>
      </c>
      <c r="W35">
        <v>1136</v>
      </c>
      <c r="X35">
        <v>1102</v>
      </c>
      <c r="Y35">
        <v>2700</v>
      </c>
    </row>
    <row r="36" spans="1:25" x14ac:dyDescent="0.2">
      <c r="A36">
        <v>35</v>
      </c>
      <c r="B36">
        <v>0</v>
      </c>
      <c r="C36">
        <v>1679</v>
      </c>
      <c r="D36">
        <v>1983</v>
      </c>
      <c r="E36">
        <v>2756</v>
      </c>
      <c r="F36">
        <v>3826</v>
      </c>
      <c r="G36">
        <v>5291</v>
      </c>
      <c r="H36">
        <v>7302</v>
      </c>
      <c r="I36">
        <v>10037</v>
      </c>
      <c r="J36">
        <v>1350</v>
      </c>
      <c r="K36">
        <v>1983</v>
      </c>
      <c r="L36">
        <v>1350</v>
      </c>
      <c r="M36">
        <v>1000</v>
      </c>
      <c r="N36">
        <v>1175</v>
      </c>
      <c r="O36">
        <v>1350</v>
      </c>
      <c r="P36">
        <v>1525</v>
      </c>
      <c r="Q36">
        <v>1700</v>
      </c>
      <c r="R36">
        <v>1875</v>
      </c>
      <c r="S36">
        <v>2050</v>
      </c>
      <c r="T36">
        <v>2225</v>
      </c>
      <c r="U36">
        <v>2400</v>
      </c>
      <c r="V36">
        <v>1354</v>
      </c>
      <c r="W36">
        <v>1140</v>
      </c>
      <c r="X36">
        <v>1105</v>
      </c>
      <c r="Y36">
        <v>2750</v>
      </c>
    </row>
    <row r="37" spans="1:25" x14ac:dyDescent="0.2">
      <c r="A37">
        <v>36</v>
      </c>
      <c r="B37">
        <v>0</v>
      </c>
      <c r="C37">
        <v>1705</v>
      </c>
      <c r="D37">
        <v>2023</v>
      </c>
      <c r="E37">
        <v>2839</v>
      </c>
      <c r="F37">
        <v>3980</v>
      </c>
      <c r="G37">
        <v>5556</v>
      </c>
      <c r="H37">
        <v>7741</v>
      </c>
      <c r="I37">
        <v>10740</v>
      </c>
      <c r="J37">
        <v>1360</v>
      </c>
      <c r="K37">
        <v>2023</v>
      </c>
      <c r="L37">
        <v>1360</v>
      </c>
      <c r="M37">
        <v>1000</v>
      </c>
      <c r="N37">
        <v>1180</v>
      </c>
      <c r="O37">
        <v>1360</v>
      </c>
      <c r="P37">
        <v>1540</v>
      </c>
      <c r="Q37">
        <v>1720</v>
      </c>
      <c r="R37">
        <v>1900</v>
      </c>
      <c r="S37">
        <v>2080</v>
      </c>
      <c r="T37">
        <v>2260</v>
      </c>
      <c r="U37">
        <v>2440</v>
      </c>
      <c r="V37">
        <v>1365</v>
      </c>
      <c r="W37">
        <v>1144</v>
      </c>
      <c r="X37">
        <v>1108</v>
      </c>
      <c r="Y37">
        <v>2800</v>
      </c>
    </row>
    <row r="38" spans="1:25" x14ac:dyDescent="0.2">
      <c r="A38">
        <v>37</v>
      </c>
      <c r="B38">
        <v>0</v>
      </c>
      <c r="C38">
        <v>1731</v>
      </c>
      <c r="D38">
        <v>2064</v>
      </c>
      <c r="E38">
        <v>2925</v>
      </c>
      <c r="F38">
        <v>4140</v>
      </c>
      <c r="G38">
        <v>5834</v>
      </c>
      <c r="H38">
        <v>8206</v>
      </c>
      <c r="I38">
        <v>11492</v>
      </c>
      <c r="J38">
        <v>1370</v>
      </c>
      <c r="K38">
        <v>2064</v>
      </c>
      <c r="L38">
        <v>1370</v>
      </c>
      <c r="M38">
        <v>1000</v>
      </c>
      <c r="N38">
        <v>1185</v>
      </c>
      <c r="O38">
        <v>1370</v>
      </c>
      <c r="P38">
        <v>1555</v>
      </c>
      <c r="Q38">
        <v>1740</v>
      </c>
      <c r="R38">
        <v>1925</v>
      </c>
      <c r="S38">
        <v>2110</v>
      </c>
      <c r="T38">
        <v>2295</v>
      </c>
      <c r="U38">
        <v>2480</v>
      </c>
      <c r="V38">
        <v>1376</v>
      </c>
      <c r="W38">
        <v>1148</v>
      </c>
      <c r="X38">
        <v>1111</v>
      </c>
      <c r="Y38">
        <v>2850</v>
      </c>
    </row>
    <row r="39" spans="1:25" x14ac:dyDescent="0.2">
      <c r="A39">
        <v>38</v>
      </c>
      <c r="B39">
        <v>0</v>
      </c>
      <c r="C39">
        <v>1757</v>
      </c>
      <c r="D39">
        <v>2106</v>
      </c>
      <c r="E39">
        <v>3013</v>
      </c>
      <c r="F39">
        <v>4306</v>
      </c>
      <c r="G39">
        <v>6126</v>
      </c>
      <c r="H39">
        <v>8699</v>
      </c>
      <c r="I39">
        <v>12297</v>
      </c>
      <c r="J39">
        <v>1380</v>
      </c>
      <c r="K39">
        <v>2106</v>
      </c>
      <c r="L39">
        <v>1380</v>
      </c>
      <c r="M39">
        <v>1000</v>
      </c>
      <c r="N39">
        <v>1190</v>
      </c>
      <c r="O39">
        <v>1380</v>
      </c>
      <c r="P39">
        <v>1570</v>
      </c>
      <c r="Q39">
        <v>1760</v>
      </c>
      <c r="R39">
        <v>1950</v>
      </c>
      <c r="S39">
        <v>2140</v>
      </c>
      <c r="T39">
        <v>2330</v>
      </c>
      <c r="U39">
        <v>2520</v>
      </c>
      <c r="V39">
        <v>1387</v>
      </c>
      <c r="W39">
        <v>1152</v>
      </c>
      <c r="X39">
        <v>1114</v>
      </c>
      <c r="Y39">
        <v>2900</v>
      </c>
    </row>
    <row r="40" spans="1:25" x14ac:dyDescent="0.2">
      <c r="A40">
        <v>39</v>
      </c>
      <c r="B40">
        <v>0</v>
      </c>
      <c r="C40">
        <v>1784</v>
      </c>
      <c r="D40">
        <v>2149</v>
      </c>
      <c r="E40">
        <v>3104</v>
      </c>
      <c r="F40">
        <v>4479</v>
      </c>
      <c r="G40">
        <v>6433</v>
      </c>
      <c r="H40">
        <v>9221</v>
      </c>
      <c r="I40">
        <v>13158</v>
      </c>
      <c r="J40">
        <v>1390</v>
      </c>
      <c r="K40">
        <v>2149</v>
      </c>
      <c r="L40">
        <v>1390</v>
      </c>
      <c r="M40">
        <v>1000</v>
      </c>
      <c r="N40">
        <v>1195</v>
      </c>
      <c r="O40">
        <v>1390</v>
      </c>
      <c r="P40">
        <v>1585</v>
      </c>
      <c r="Q40">
        <v>1780</v>
      </c>
      <c r="R40">
        <v>1975</v>
      </c>
      <c r="S40">
        <v>2170</v>
      </c>
      <c r="T40">
        <v>2365</v>
      </c>
      <c r="U40">
        <v>2560</v>
      </c>
      <c r="V40">
        <v>1398</v>
      </c>
      <c r="W40">
        <v>1156</v>
      </c>
      <c r="X40">
        <v>1117</v>
      </c>
      <c r="Y40">
        <v>2950</v>
      </c>
    </row>
    <row r="41" spans="1:25" x14ac:dyDescent="0.2">
      <c r="A41">
        <v>40</v>
      </c>
      <c r="B41">
        <v>0</v>
      </c>
      <c r="C41">
        <v>1811</v>
      </c>
      <c r="D41">
        <v>2192</v>
      </c>
      <c r="E41">
        <v>3198</v>
      </c>
      <c r="F41">
        <v>4659</v>
      </c>
      <c r="G41">
        <v>6755</v>
      </c>
      <c r="H41">
        <v>9775</v>
      </c>
      <c r="I41">
        <v>14080</v>
      </c>
      <c r="J41">
        <v>1400</v>
      </c>
      <c r="K41">
        <v>2192</v>
      </c>
      <c r="L41">
        <v>1400</v>
      </c>
      <c r="M41">
        <v>1000</v>
      </c>
      <c r="N41">
        <v>1200</v>
      </c>
      <c r="O41">
        <v>1400</v>
      </c>
      <c r="P41">
        <v>1600</v>
      </c>
      <c r="Q41">
        <v>1800</v>
      </c>
      <c r="R41">
        <v>2000</v>
      </c>
      <c r="S41">
        <v>2200</v>
      </c>
      <c r="T41">
        <v>2400</v>
      </c>
      <c r="U41">
        <v>2600</v>
      </c>
      <c r="V41">
        <v>1410</v>
      </c>
      <c r="W41">
        <v>1160</v>
      </c>
      <c r="X41">
        <v>1120</v>
      </c>
      <c r="Y41">
        <v>3000</v>
      </c>
    </row>
    <row r="42" spans="1:25" x14ac:dyDescent="0.2">
      <c r="A42">
        <v>41</v>
      </c>
      <c r="B42">
        <v>0</v>
      </c>
      <c r="C42">
        <v>1839</v>
      </c>
      <c r="D42">
        <v>2236</v>
      </c>
      <c r="E42">
        <v>3294</v>
      </c>
      <c r="F42">
        <v>4846</v>
      </c>
      <c r="G42">
        <v>7093</v>
      </c>
      <c r="H42">
        <v>10362</v>
      </c>
      <c r="I42">
        <v>15066</v>
      </c>
      <c r="J42">
        <v>1410</v>
      </c>
      <c r="K42">
        <v>2236</v>
      </c>
      <c r="L42">
        <v>1410</v>
      </c>
      <c r="M42">
        <v>1000</v>
      </c>
      <c r="N42">
        <v>1205</v>
      </c>
      <c r="O42">
        <v>1410</v>
      </c>
      <c r="P42">
        <v>1615</v>
      </c>
      <c r="Q42">
        <v>1820</v>
      </c>
      <c r="R42">
        <v>2025</v>
      </c>
      <c r="S42">
        <v>2230</v>
      </c>
      <c r="T42">
        <v>2435</v>
      </c>
      <c r="U42">
        <v>2640</v>
      </c>
      <c r="V42">
        <v>1422</v>
      </c>
      <c r="W42">
        <v>1164</v>
      </c>
      <c r="X42">
        <v>1123</v>
      </c>
      <c r="Y42">
        <v>3050</v>
      </c>
    </row>
    <row r="43" spans="1:25" x14ac:dyDescent="0.2">
      <c r="A43">
        <v>42</v>
      </c>
      <c r="B43">
        <v>0</v>
      </c>
      <c r="C43">
        <v>1867</v>
      </c>
      <c r="D43">
        <v>2281</v>
      </c>
      <c r="E43">
        <v>3393</v>
      </c>
      <c r="F43">
        <v>5040</v>
      </c>
      <c r="G43">
        <v>7448</v>
      </c>
      <c r="H43">
        <v>10984</v>
      </c>
      <c r="I43">
        <v>16121</v>
      </c>
      <c r="J43">
        <v>1420</v>
      </c>
      <c r="K43">
        <v>2281</v>
      </c>
      <c r="L43">
        <v>1420</v>
      </c>
      <c r="M43">
        <v>1000</v>
      </c>
      <c r="N43">
        <v>1210</v>
      </c>
      <c r="O43">
        <v>1420</v>
      </c>
      <c r="P43">
        <v>1630</v>
      </c>
      <c r="Q43">
        <v>1840</v>
      </c>
      <c r="R43">
        <v>2050</v>
      </c>
      <c r="S43">
        <v>2260</v>
      </c>
      <c r="T43">
        <v>2470</v>
      </c>
      <c r="U43">
        <v>2680</v>
      </c>
      <c r="V43">
        <v>1434</v>
      </c>
      <c r="W43">
        <v>1168</v>
      </c>
      <c r="X43">
        <v>1126</v>
      </c>
      <c r="Y43">
        <v>3100</v>
      </c>
    </row>
    <row r="44" spans="1:25" x14ac:dyDescent="0.2">
      <c r="A44">
        <v>43</v>
      </c>
      <c r="B44">
        <v>0</v>
      </c>
      <c r="C44">
        <v>1896</v>
      </c>
      <c r="D44">
        <v>2327</v>
      </c>
      <c r="E44">
        <v>3495</v>
      </c>
      <c r="F44">
        <v>5242</v>
      </c>
      <c r="G44">
        <v>7821</v>
      </c>
      <c r="H44">
        <v>11644</v>
      </c>
      <c r="I44">
        <v>17250</v>
      </c>
      <c r="J44">
        <v>1430</v>
      </c>
      <c r="K44">
        <v>2327</v>
      </c>
      <c r="L44">
        <v>1430</v>
      </c>
      <c r="M44">
        <v>1000</v>
      </c>
      <c r="N44">
        <v>1215</v>
      </c>
      <c r="O44">
        <v>1430</v>
      </c>
      <c r="P44">
        <v>1645</v>
      </c>
      <c r="Q44">
        <v>1860</v>
      </c>
      <c r="R44">
        <v>2075</v>
      </c>
      <c r="S44">
        <v>2290</v>
      </c>
      <c r="T44">
        <v>2505</v>
      </c>
      <c r="U44">
        <v>2720</v>
      </c>
      <c r="V44">
        <v>1446</v>
      </c>
      <c r="W44">
        <v>1172</v>
      </c>
      <c r="X44">
        <v>1129</v>
      </c>
      <c r="Y44">
        <v>3150</v>
      </c>
    </row>
    <row r="45" spans="1:25" x14ac:dyDescent="0.2">
      <c r="A45">
        <v>44</v>
      </c>
      <c r="B45">
        <v>0</v>
      </c>
      <c r="C45">
        <v>1925</v>
      </c>
      <c r="D45">
        <v>2374</v>
      </c>
      <c r="E45">
        <v>3600</v>
      </c>
      <c r="F45">
        <v>5452</v>
      </c>
      <c r="G45">
        <v>8213</v>
      </c>
      <c r="H45">
        <v>12343</v>
      </c>
      <c r="I45">
        <v>18458</v>
      </c>
      <c r="J45">
        <v>1440</v>
      </c>
      <c r="K45">
        <v>2374</v>
      </c>
      <c r="L45">
        <v>1440</v>
      </c>
      <c r="M45">
        <v>1000</v>
      </c>
      <c r="N45">
        <v>1220</v>
      </c>
      <c r="O45">
        <v>1440</v>
      </c>
      <c r="P45">
        <v>1660</v>
      </c>
      <c r="Q45">
        <v>1880</v>
      </c>
      <c r="R45">
        <v>2100</v>
      </c>
      <c r="S45">
        <v>2320</v>
      </c>
      <c r="T45">
        <v>2540</v>
      </c>
      <c r="U45">
        <v>2760</v>
      </c>
      <c r="V45">
        <v>1458</v>
      </c>
      <c r="W45">
        <v>1176</v>
      </c>
      <c r="X45">
        <v>1132</v>
      </c>
      <c r="Y45">
        <v>3200</v>
      </c>
    </row>
    <row r="46" spans="1:25" x14ac:dyDescent="0.2">
      <c r="A46">
        <v>45</v>
      </c>
      <c r="B46">
        <v>0</v>
      </c>
      <c r="C46">
        <v>1954</v>
      </c>
      <c r="D46">
        <v>2422</v>
      </c>
      <c r="E46">
        <v>3708</v>
      </c>
      <c r="F46">
        <v>5671</v>
      </c>
      <c r="G46">
        <v>8624</v>
      </c>
      <c r="H46">
        <v>13084</v>
      </c>
      <c r="I46">
        <v>19751</v>
      </c>
      <c r="J46">
        <v>1450</v>
      </c>
      <c r="K46">
        <v>2422</v>
      </c>
      <c r="L46">
        <v>1450</v>
      </c>
      <c r="M46">
        <v>1000</v>
      </c>
      <c r="N46">
        <v>1225</v>
      </c>
      <c r="O46">
        <v>1450</v>
      </c>
      <c r="P46">
        <v>1675</v>
      </c>
      <c r="Q46">
        <v>1900</v>
      </c>
      <c r="R46">
        <v>2125</v>
      </c>
      <c r="S46">
        <v>2350</v>
      </c>
      <c r="T46">
        <v>2575</v>
      </c>
      <c r="U46">
        <v>2800</v>
      </c>
      <c r="V46">
        <v>1470</v>
      </c>
      <c r="W46">
        <v>1180</v>
      </c>
      <c r="X46">
        <v>1135</v>
      </c>
      <c r="Y46">
        <v>3250</v>
      </c>
    </row>
    <row r="47" spans="1:25" x14ac:dyDescent="0.2">
      <c r="A47">
        <v>46</v>
      </c>
      <c r="B47">
        <v>0</v>
      </c>
      <c r="C47">
        <v>1984</v>
      </c>
      <c r="D47">
        <v>2471</v>
      </c>
      <c r="E47">
        <v>3820</v>
      </c>
      <c r="F47">
        <v>5898</v>
      </c>
      <c r="G47">
        <v>9056</v>
      </c>
      <c r="H47">
        <v>13870</v>
      </c>
      <c r="I47">
        <v>21134</v>
      </c>
      <c r="J47">
        <v>1460</v>
      </c>
      <c r="K47">
        <v>2471</v>
      </c>
      <c r="L47">
        <v>1460</v>
      </c>
      <c r="M47">
        <v>1000</v>
      </c>
      <c r="N47">
        <v>1230</v>
      </c>
      <c r="O47">
        <v>1460</v>
      </c>
      <c r="P47">
        <v>1690</v>
      </c>
      <c r="Q47">
        <v>1920</v>
      </c>
      <c r="R47">
        <v>2150</v>
      </c>
      <c r="S47">
        <v>2380</v>
      </c>
      <c r="T47">
        <v>2610</v>
      </c>
      <c r="U47">
        <v>2840</v>
      </c>
      <c r="V47">
        <v>1482</v>
      </c>
      <c r="W47">
        <v>1184</v>
      </c>
      <c r="X47">
        <v>1138</v>
      </c>
      <c r="Y47">
        <v>3300</v>
      </c>
    </row>
    <row r="48" spans="1:25" x14ac:dyDescent="0.2">
      <c r="A48">
        <v>47</v>
      </c>
      <c r="B48">
        <v>0</v>
      </c>
      <c r="C48">
        <v>2014</v>
      </c>
      <c r="D48">
        <v>2521</v>
      </c>
      <c r="E48">
        <v>3935</v>
      </c>
      <c r="F48">
        <v>6134</v>
      </c>
      <c r="G48">
        <v>9509</v>
      </c>
      <c r="H48">
        <v>14703</v>
      </c>
      <c r="I48">
        <v>22614</v>
      </c>
      <c r="J48">
        <v>1470</v>
      </c>
      <c r="K48">
        <v>2521</v>
      </c>
      <c r="L48">
        <v>1470</v>
      </c>
      <c r="M48">
        <v>1000</v>
      </c>
      <c r="N48">
        <v>1235</v>
      </c>
      <c r="O48">
        <v>1470</v>
      </c>
      <c r="P48">
        <v>1705</v>
      </c>
      <c r="Q48">
        <v>1940</v>
      </c>
      <c r="R48">
        <v>2175</v>
      </c>
      <c r="S48">
        <v>2410</v>
      </c>
      <c r="T48">
        <v>2645</v>
      </c>
      <c r="U48">
        <v>2880</v>
      </c>
      <c r="V48">
        <v>1494</v>
      </c>
      <c r="W48">
        <v>1188</v>
      </c>
      <c r="X48">
        <v>1141</v>
      </c>
      <c r="Y48">
        <v>3350</v>
      </c>
    </row>
    <row r="49" spans="1:25" x14ac:dyDescent="0.2">
      <c r="A49">
        <v>48</v>
      </c>
      <c r="B49">
        <v>0</v>
      </c>
      <c r="C49">
        <v>2045</v>
      </c>
      <c r="D49">
        <v>2572</v>
      </c>
      <c r="E49">
        <v>4054</v>
      </c>
      <c r="F49">
        <v>6380</v>
      </c>
      <c r="G49">
        <v>9985</v>
      </c>
      <c r="H49">
        <v>15586</v>
      </c>
      <c r="I49">
        <v>24197</v>
      </c>
      <c r="J49">
        <v>1480</v>
      </c>
      <c r="K49">
        <v>2572</v>
      </c>
      <c r="L49">
        <v>1480</v>
      </c>
      <c r="M49">
        <v>1000</v>
      </c>
      <c r="N49">
        <v>1240</v>
      </c>
      <c r="O49">
        <v>1480</v>
      </c>
      <c r="P49">
        <v>1720</v>
      </c>
      <c r="Q49">
        <v>1960</v>
      </c>
      <c r="R49">
        <v>2200</v>
      </c>
      <c r="S49">
        <v>2440</v>
      </c>
      <c r="T49">
        <v>2680</v>
      </c>
      <c r="U49">
        <v>2920</v>
      </c>
      <c r="V49">
        <v>1506</v>
      </c>
      <c r="W49">
        <v>1192</v>
      </c>
      <c r="X49">
        <v>1144</v>
      </c>
      <c r="Y49">
        <v>3400</v>
      </c>
    </row>
    <row r="50" spans="1:25" x14ac:dyDescent="0.2">
      <c r="A50">
        <v>49</v>
      </c>
      <c r="B50">
        <v>0</v>
      </c>
      <c r="C50">
        <v>2076</v>
      </c>
      <c r="D50">
        <v>2624</v>
      </c>
      <c r="E50">
        <v>4176</v>
      </c>
      <c r="F50">
        <v>6636</v>
      </c>
      <c r="G50">
        <v>10485</v>
      </c>
      <c r="H50">
        <v>16522</v>
      </c>
      <c r="I50">
        <v>25891</v>
      </c>
      <c r="J50">
        <v>1490</v>
      </c>
      <c r="K50">
        <v>2624</v>
      </c>
      <c r="L50">
        <v>1490</v>
      </c>
      <c r="M50">
        <v>1000</v>
      </c>
      <c r="N50">
        <v>1245</v>
      </c>
      <c r="O50">
        <v>1490</v>
      </c>
      <c r="P50">
        <v>1735</v>
      </c>
      <c r="Q50">
        <v>1980</v>
      </c>
      <c r="R50">
        <v>2225</v>
      </c>
      <c r="S50">
        <v>2470</v>
      </c>
      <c r="T50">
        <v>2715</v>
      </c>
      <c r="U50">
        <v>2960</v>
      </c>
      <c r="V50">
        <v>1518</v>
      </c>
      <c r="W50">
        <v>1196</v>
      </c>
      <c r="X50">
        <v>1147</v>
      </c>
      <c r="Y50">
        <v>3450</v>
      </c>
    </row>
    <row r="51" spans="1:25" x14ac:dyDescent="0.2">
      <c r="A51">
        <v>50</v>
      </c>
      <c r="B51">
        <v>0</v>
      </c>
      <c r="C51">
        <v>2108</v>
      </c>
      <c r="D51">
        <v>2677</v>
      </c>
      <c r="E51">
        <v>4302</v>
      </c>
      <c r="F51">
        <v>6902</v>
      </c>
      <c r="G51">
        <v>11010</v>
      </c>
      <c r="H51">
        <v>17514</v>
      </c>
      <c r="I51">
        <v>27704</v>
      </c>
      <c r="J51">
        <v>1500</v>
      </c>
      <c r="K51">
        <v>2677</v>
      </c>
      <c r="L51">
        <v>1500</v>
      </c>
      <c r="M51">
        <v>1000</v>
      </c>
      <c r="N51">
        <v>1250</v>
      </c>
      <c r="O51">
        <v>1500</v>
      </c>
      <c r="P51">
        <v>1750</v>
      </c>
      <c r="Q51">
        <v>2000</v>
      </c>
      <c r="R51">
        <v>2250</v>
      </c>
      <c r="S51">
        <v>2500</v>
      </c>
      <c r="T51">
        <v>2750</v>
      </c>
      <c r="U51">
        <v>3000</v>
      </c>
      <c r="V51">
        <v>1530</v>
      </c>
      <c r="W51">
        <v>1200</v>
      </c>
      <c r="X51">
        <v>1150</v>
      </c>
      <c r="Y51">
        <v>3500</v>
      </c>
    </row>
    <row r="52" spans="1:25" x14ac:dyDescent="0.2">
      <c r="A52">
        <v>51</v>
      </c>
      <c r="B52">
        <v>0</v>
      </c>
      <c r="C52">
        <v>2140</v>
      </c>
      <c r="D52">
        <v>2731</v>
      </c>
      <c r="E52">
        <v>4432</v>
      </c>
      <c r="F52">
        <v>7179</v>
      </c>
      <c r="G52">
        <v>11561</v>
      </c>
      <c r="H52">
        <v>18565</v>
      </c>
      <c r="I52">
        <v>29644</v>
      </c>
      <c r="J52">
        <v>1510</v>
      </c>
      <c r="K52">
        <v>2731</v>
      </c>
      <c r="L52">
        <v>1510</v>
      </c>
      <c r="M52">
        <v>1000</v>
      </c>
      <c r="N52">
        <v>1255</v>
      </c>
      <c r="O52">
        <v>1510</v>
      </c>
      <c r="P52">
        <v>1765</v>
      </c>
      <c r="Q52">
        <v>2020</v>
      </c>
      <c r="R52">
        <v>2275</v>
      </c>
      <c r="S52">
        <v>2530</v>
      </c>
      <c r="T52">
        <v>2785</v>
      </c>
      <c r="U52">
        <v>3040</v>
      </c>
      <c r="V52">
        <v>1542</v>
      </c>
      <c r="W52">
        <v>1204</v>
      </c>
      <c r="X52">
        <v>1153</v>
      </c>
      <c r="Y52">
        <v>3550</v>
      </c>
    </row>
    <row r="53" spans="1:25" x14ac:dyDescent="0.2">
      <c r="A53">
        <v>52</v>
      </c>
      <c r="B53">
        <v>0</v>
      </c>
      <c r="C53">
        <v>2173</v>
      </c>
      <c r="D53">
        <v>2786</v>
      </c>
      <c r="E53">
        <v>4565</v>
      </c>
      <c r="F53">
        <v>7467</v>
      </c>
      <c r="G53">
        <v>12140</v>
      </c>
      <c r="H53">
        <v>19679</v>
      </c>
      <c r="I53">
        <v>31720</v>
      </c>
      <c r="J53">
        <v>1520</v>
      </c>
      <c r="K53">
        <v>2786</v>
      </c>
      <c r="L53">
        <v>1520</v>
      </c>
      <c r="M53">
        <v>1000</v>
      </c>
      <c r="N53">
        <v>1260</v>
      </c>
      <c r="O53">
        <v>1520</v>
      </c>
      <c r="P53">
        <v>1780</v>
      </c>
      <c r="Q53">
        <v>2040</v>
      </c>
      <c r="R53">
        <v>2300</v>
      </c>
      <c r="S53">
        <v>2560</v>
      </c>
      <c r="T53">
        <v>2820</v>
      </c>
      <c r="U53">
        <v>3080</v>
      </c>
      <c r="V53">
        <v>1554</v>
      </c>
      <c r="W53">
        <v>1208</v>
      </c>
      <c r="X53">
        <v>1156</v>
      </c>
      <c r="Y53">
        <v>3600</v>
      </c>
    </row>
    <row r="54" spans="1:25" x14ac:dyDescent="0.2">
      <c r="A54">
        <v>53</v>
      </c>
      <c r="B54">
        <v>0</v>
      </c>
      <c r="C54">
        <v>2206</v>
      </c>
      <c r="D54">
        <v>2842</v>
      </c>
      <c r="E54">
        <v>4702</v>
      </c>
      <c r="F54">
        <v>7766</v>
      </c>
      <c r="G54">
        <v>12747</v>
      </c>
      <c r="H54">
        <v>20860</v>
      </c>
      <c r="I54">
        <v>33941</v>
      </c>
      <c r="J54">
        <v>1530</v>
      </c>
      <c r="K54">
        <v>2842</v>
      </c>
      <c r="L54">
        <v>1530</v>
      </c>
      <c r="M54">
        <v>1000</v>
      </c>
      <c r="N54">
        <v>1265</v>
      </c>
      <c r="O54">
        <v>1530</v>
      </c>
      <c r="P54">
        <v>1795</v>
      </c>
      <c r="Q54">
        <v>2060</v>
      </c>
      <c r="R54">
        <v>2325</v>
      </c>
      <c r="S54">
        <v>2590</v>
      </c>
      <c r="T54">
        <v>2855</v>
      </c>
      <c r="U54">
        <v>3120</v>
      </c>
      <c r="V54">
        <v>1566</v>
      </c>
      <c r="W54">
        <v>1212</v>
      </c>
      <c r="X54">
        <v>1159</v>
      </c>
      <c r="Y54">
        <v>3650</v>
      </c>
    </row>
    <row r="55" spans="1:25" x14ac:dyDescent="0.2">
      <c r="A55">
        <v>54</v>
      </c>
      <c r="B55">
        <v>0</v>
      </c>
      <c r="C55">
        <v>2240</v>
      </c>
      <c r="D55">
        <v>2899</v>
      </c>
      <c r="E55">
        <v>4844</v>
      </c>
      <c r="F55">
        <v>8077</v>
      </c>
      <c r="G55">
        <v>13385</v>
      </c>
      <c r="H55">
        <v>22112</v>
      </c>
      <c r="I55">
        <v>36317</v>
      </c>
      <c r="J55">
        <v>1540</v>
      </c>
      <c r="K55">
        <v>2899</v>
      </c>
      <c r="L55">
        <v>1540</v>
      </c>
      <c r="M55">
        <v>1000</v>
      </c>
      <c r="N55">
        <v>1270</v>
      </c>
      <c r="O55">
        <v>1540</v>
      </c>
      <c r="P55">
        <v>1810</v>
      </c>
      <c r="Q55">
        <v>2080</v>
      </c>
      <c r="R55">
        <v>2350</v>
      </c>
      <c r="S55">
        <v>2620</v>
      </c>
      <c r="T55">
        <v>2890</v>
      </c>
      <c r="U55">
        <v>3160</v>
      </c>
      <c r="V55">
        <v>1578</v>
      </c>
      <c r="W55">
        <v>1216</v>
      </c>
      <c r="X55">
        <v>1162</v>
      </c>
      <c r="Y55">
        <v>3700</v>
      </c>
    </row>
    <row r="56" spans="1:25" x14ac:dyDescent="0.2">
      <c r="A56">
        <v>55</v>
      </c>
      <c r="B56">
        <v>0</v>
      </c>
      <c r="C56">
        <v>2274</v>
      </c>
      <c r="D56">
        <v>2957</v>
      </c>
      <c r="E56">
        <v>4990</v>
      </c>
      <c r="F56">
        <v>8401</v>
      </c>
      <c r="G56">
        <v>14055</v>
      </c>
      <c r="H56">
        <v>23439</v>
      </c>
      <c r="I56">
        <v>38860</v>
      </c>
      <c r="J56">
        <v>1550</v>
      </c>
      <c r="K56">
        <v>2957</v>
      </c>
      <c r="L56">
        <v>1550</v>
      </c>
      <c r="M56">
        <v>1000</v>
      </c>
      <c r="N56">
        <v>1275</v>
      </c>
      <c r="O56">
        <v>1550</v>
      </c>
      <c r="P56">
        <v>1825</v>
      </c>
      <c r="Q56">
        <v>2100</v>
      </c>
      <c r="R56">
        <v>2375</v>
      </c>
      <c r="S56">
        <v>2650</v>
      </c>
      <c r="T56">
        <v>2925</v>
      </c>
      <c r="U56">
        <v>3200</v>
      </c>
      <c r="V56">
        <v>1590</v>
      </c>
      <c r="W56">
        <v>1220</v>
      </c>
      <c r="X56">
        <v>1165</v>
      </c>
      <c r="Y56">
        <v>3750</v>
      </c>
    </row>
    <row r="57" spans="1:25" x14ac:dyDescent="0.2">
      <c r="A57">
        <v>56</v>
      </c>
      <c r="B57">
        <v>0</v>
      </c>
      <c r="C57">
        <v>2309</v>
      </c>
      <c r="D57">
        <v>3017</v>
      </c>
      <c r="E57">
        <v>5140</v>
      </c>
      <c r="F57">
        <v>8738</v>
      </c>
      <c r="G57">
        <v>14758</v>
      </c>
      <c r="H57">
        <v>24846</v>
      </c>
      <c r="I57">
        <v>41581</v>
      </c>
      <c r="J57">
        <v>1560</v>
      </c>
      <c r="K57">
        <v>3017</v>
      </c>
      <c r="L57">
        <v>1560</v>
      </c>
      <c r="M57">
        <v>1000</v>
      </c>
      <c r="N57">
        <v>1280</v>
      </c>
      <c r="O57">
        <v>1560</v>
      </c>
      <c r="P57">
        <v>1840</v>
      </c>
      <c r="Q57">
        <v>2120</v>
      </c>
      <c r="R57">
        <v>2400</v>
      </c>
      <c r="S57">
        <v>2680</v>
      </c>
      <c r="T57">
        <v>2960</v>
      </c>
      <c r="U57">
        <v>3240</v>
      </c>
      <c r="V57">
        <v>1602</v>
      </c>
      <c r="W57">
        <v>1224</v>
      </c>
      <c r="X57">
        <v>1168</v>
      </c>
      <c r="Y57">
        <v>3800</v>
      </c>
    </row>
    <row r="58" spans="1:25" x14ac:dyDescent="0.2">
      <c r="A58">
        <v>57</v>
      </c>
      <c r="B58">
        <v>0</v>
      </c>
      <c r="C58">
        <v>2344</v>
      </c>
      <c r="D58">
        <v>3078</v>
      </c>
      <c r="E58">
        <v>5295</v>
      </c>
      <c r="F58">
        <v>9088</v>
      </c>
      <c r="G58">
        <v>15496</v>
      </c>
      <c r="H58">
        <v>26337</v>
      </c>
      <c r="I58">
        <v>44492</v>
      </c>
      <c r="J58">
        <v>1570</v>
      </c>
      <c r="K58">
        <v>3078</v>
      </c>
      <c r="L58">
        <v>1570</v>
      </c>
      <c r="M58">
        <v>1000</v>
      </c>
      <c r="N58">
        <v>1285</v>
      </c>
      <c r="O58">
        <v>1570</v>
      </c>
      <c r="P58">
        <v>1855</v>
      </c>
      <c r="Q58">
        <v>2140</v>
      </c>
      <c r="R58">
        <v>2425</v>
      </c>
      <c r="S58">
        <v>2710</v>
      </c>
      <c r="T58">
        <v>2995</v>
      </c>
      <c r="U58">
        <v>3280</v>
      </c>
      <c r="V58">
        <v>1615</v>
      </c>
      <c r="W58">
        <v>1228</v>
      </c>
      <c r="X58">
        <v>1171</v>
      </c>
      <c r="Y58">
        <v>3850</v>
      </c>
    </row>
    <row r="59" spans="1:25" x14ac:dyDescent="0.2">
      <c r="A59">
        <v>58</v>
      </c>
      <c r="B59">
        <v>0</v>
      </c>
      <c r="C59">
        <v>2380</v>
      </c>
      <c r="D59">
        <v>3140</v>
      </c>
      <c r="E59">
        <v>5454</v>
      </c>
      <c r="F59">
        <v>9452</v>
      </c>
      <c r="G59">
        <v>16271</v>
      </c>
      <c r="H59">
        <v>27918</v>
      </c>
      <c r="I59">
        <v>47607</v>
      </c>
      <c r="J59">
        <v>1580</v>
      </c>
      <c r="K59">
        <v>3140</v>
      </c>
      <c r="L59">
        <v>1580</v>
      </c>
      <c r="M59">
        <v>1000</v>
      </c>
      <c r="N59">
        <v>1290</v>
      </c>
      <c r="O59">
        <v>1580</v>
      </c>
      <c r="P59">
        <v>1870</v>
      </c>
      <c r="Q59">
        <v>2160</v>
      </c>
      <c r="R59">
        <v>2450</v>
      </c>
      <c r="S59">
        <v>2740</v>
      </c>
      <c r="T59">
        <v>3030</v>
      </c>
      <c r="U59">
        <v>3320</v>
      </c>
      <c r="V59">
        <v>1628</v>
      </c>
      <c r="W59">
        <v>1232</v>
      </c>
      <c r="X59">
        <v>1174</v>
      </c>
      <c r="Y59">
        <v>3900</v>
      </c>
    </row>
    <row r="60" spans="1:25" x14ac:dyDescent="0.2">
      <c r="A60">
        <v>59</v>
      </c>
      <c r="B60">
        <v>0</v>
      </c>
      <c r="C60">
        <v>2416</v>
      </c>
      <c r="D60">
        <v>3203</v>
      </c>
      <c r="E60">
        <v>5618</v>
      </c>
      <c r="F60">
        <v>9831</v>
      </c>
      <c r="G60">
        <v>17085</v>
      </c>
      <c r="H60">
        <v>29594</v>
      </c>
      <c r="I60">
        <v>50940</v>
      </c>
      <c r="J60">
        <v>1590</v>
      </c>
      <c r="K60">
        <v>3203</v>
      </c>
      <c r="L60">
        <v>1590</v>
      </c>
      <c r="M60">
        <v>1000</v>
      </c>
      <c r="N60">
        <v>1295</v>
      </c>
      <c r="O60">
        <v>1590</v>
      </c>
      <c r="P60">
        <v>1885</v>
      </c>
      <c r="Q60">
        <v>2180</v>
      </c>
      <c r="R60">
        <v>2475</v>
      </c>
      <c r="S60">
        <v>2770</v>
      </c>
      <c r="T60">
        <v>3065</v>
      </c>
      <c r="U60">
        <v>3360</v>
      </c>
      <c r="V60">
        <v>1641</v>
      </c>
      <c r="W60">
        <v>1236</v>
      </c>
      <c r="X60">
        <v>1177</v>
      </c>
      <c r="Y60">
        <v>3950</v>
      </c>
    </row>
    <row r="61" spans="1:25" x14ac:dyDescent="0.2">
      <c r="A61">
        <v>60</v>
      </c>
      <c r="B61">
        <v>0</v>
      </c>
      <c r="C61">
        <v>2453</v>
      </c>
      <c r="D61">
        <v>3268</v>
      </c>
      <c r="E61">
        <v>5787</v>
      </c>
      <c r="F61">
        <v>10225</v>
      </c>
      <c r="G61">
        <v>17940</v>
      </c>
      <c r="H61">
        <v>31370</v>
      </c>
      <c r="I61">
        <v>54506</v>
      </c>
      <c r="J61">
        <v>1600</v>
      </c>
      <c r="K61">
        <v>3268</v>
      </c>
      <c r="L61">
        <v>1600</v>
      </c>
      <c r="M61">
        <v>1000</v>
      </c>
      <c r="N61">
        <v>1300</v>
      </c>
      <c r="O61">
        <v>1600</v>
      </c>
      <c r="P61">
        <v>1900</v>
      </c>
      <c r="Q61">
        <v>2200</v>
      </c>
      <c r="R61">
        <v>2500</v>
      </c>
      <c r="S61">
        <v>2800</v>
      </c>
      <c r="T61">
        <v>3100</v>
      </c>
      <c r="U61">
        <v>3400</v>
      </c>
      <c r="V61">
        <v>1654</v>
      </c>
      <c r="W61">
        <v>1240</v>
      </c>
      <c r="X61">
        <v>1180</v>
      </c>
      <c r="Y61">
        <v>4000</v>
      </c>
    </row>
    <row r="62" spans="1:25" x14ac:dyDescent="0.2">
      <c r="A62">
        <v>61</v>
      </c>
      <c r="B62">
        <v>0</v>
      </c>
      <c r="C62">
        <v>2490</v>
      </c>
      <c r="D62">
        <v>3334</v>
      </c>
      <c r="E62">
        <v>5961</v>
      </c>
      <c r="F62">
        <v>10634</v>
      </c>
      <c r="G62">
        <v>18837</v>
      </c>
      <c r="H62">
        <v>33253</v>
      </c>
      <c r="I62">
        <v>58322</v>
      </c>
      <c r="J62">
        <v>1610</v>
      </c>
      <c r="K62">
        <v>3334</v>
      </c>
      <c r="L62">
        <v>1610</v>
      </c>
      <c r="M62">
        <v>1000</v>
      </c>
      <c r="N62">
        <v>1305</v>
      </c>
      <c r="O62">
        <v>1610</v>
      </c>
      <c r="P62">
        <v>1915</v>
      </c>
      <c r="Q62">
        <v>2220</v>
      </c>
      <c r="R62">
        <v>2525</v>
      </c>
      <c r="S62">
        <v>2830</v>
      </c>
      <c r="T62">
        <v>3135</v>
      </c>
      <c r="U62">
        <v>3440</v>
      </c>
      <c r="V62">
        <v>1667</v>
      </c>
      <c r="W62">
        <v>1244</v>
      </c>
      <c r="X62">
        <v>1183</v>
      </c>
      <c r="Y62">
        <v>4050</v>
      </c>
    </row>
    <row r="63" spans="1:25" x14ac:dyDescent="0.2">
      <c r="A63">
        <v>62</v>
      </c>
      <c r="B63">
        <v>0</v>
      </c>
      <c r="C63">
        <v>2528</v>
      </c>
      <c r="D63">
        <v>3401</v>
      </c>
      <c r="E63">
        <v>6140</v>
      </c>
      <c r="F63">
        <v>11060</v>
      </c>
      <c r="G63">
        <v>19779</v>
      </c>
      <c r="H63">
        <v>35249</v>
      </c>
      <c r="I63">
        <v>62405</v>
      </c>
      <c r="J63">
        <v>1620</v>
      </c>
      <c r="K63">
        <v>3401</v>
      </c>
      <c r="L63">
        <v>1620</v>
      </c>
      <c r="M63">
        <v>1000</v>
      </c>
      <c r="N63">
        <v>1310</v>
      </c>
      <c r="O63">
        <v>1620</v>
      </c>
      <c r="P63">
        <v>1930</v>
      </c>
      <c r="Q63">
        <v>2240</v>
      </c>
      <c r="R63">
        <v>2550</v>
      </c>
      <c r="S63">
        <v>2860</v>
      </c>
      <c r="T63">
        <v>3170</v>
      </c>
      <c r="U63">
        <v>3480</v>
      </c>
      <c r="V63">
        <v>1680</v>
      </c>
      <c r="W63">
        <v>1248</v>
      </c>
      <c r="X63">
        <v>1186</v>
      </c>
      <c r="Y63">
        <v>4100</v>
      </c>
    </row>
    <row r="64" spans="1:25" x14ac:dyDescent="0.2">
      <c r="A64">
        <v>63</v>
      </c>
      <c r="B64">
        <v>0</v>
      </c>
      <c r="C64">
        <v>2566</v>
      </c>
      <c r="D64">
        <v>3470</v>
      </c>
      <c r="E64">
        <v>6325</v>
      </c>
      <c r="F64">
        <v>11503</v>
      </c>
      <c r="G64">
        <v>20768</v>
      </c>
      <c r="H64">
        <v>37364</v>
      </c>
      <c r="I64">
        <v>66774</v>
      </c>
      <c r="J64">
        <v>1630</v>
      </c>
      <c r="K64">
        <v>3470</v>
      </c>
      <c r="L64">
        <v>1630</v>
      </c>
      <c r="M64">
        <v>1000</v>
      </c>
      <c r="N64">
        <v>1315</v>
      </c>
      <c r="O64">
        <v>1630</v>
      </c>
      <c r="P64">
        <v>1945</v>
      </c>
      <c r="Q64">
        <v>2260</v>
      </c>
      <c r="R64">
        <v>2575</v>
      </c>
      <c r="S64">
        <v>2890</v>
      </c>
      <c r="T64">
        <v>3205</v>
      </c>
      <c r="U64">
        <v>3520</v>
      </c>
      <c r="V64">
        <v>1693</v>
      </c>
      <c r="W64">
        <v>1252</v>
      </c>
      <c r="X64">
        <v>1189</v>
      </c>
      <c r="Y64">
        <v>4150</v>
      </c>
    </row>
    <row r="65" spans="1:25" x14ac:dyDescent="0.2">
      <c r="A65">
        <v>64</v>
      </c>
      <c r="B65">
        <v>0</v>
      </c>
      <c r="C65">
        <v>2605</v>
      </c>
      <c r="D65">
        <v>3540</v>
      </c>
      <c r="E65">
        <v>6515</v>
      </c>
      <c r="F65">
        <v>11964</v>
      </c>
      <c r="G65">
        <v>21807</v>
      </c>
      <c r="H65">
        <v>39606</v>
      </c>
      <c r="I65">
        <v>71449</v>
      </c>
      <c r="J65">
        <v>1640</v>
      </c>
      <c r="K65">
        <v>3540</v>
      </c>
      <c r="L65">
        <v>1640</v>
      </c>
      <c r="M65">
        <v>1000</v>
      </c>
      <c r="N65">
        <v>1320</v>
      </c>
      <c r="O65">
        <v>1640</v>
      </c>
      <c r="P65">
        <v>1960</v>
      </c>
      <c r="Q65">
        <v>2280</v>
      </c>
      <c r="R65">
        <v>2600</v>
      </c>
      <c r="S65">
        <v>2920</v>
      </c>
      <c r="T65">
        <v>3240</v>
      </c>
      <c r="U65">
        <v>3560</v>
      </c>
      <c r="V65">
        <v>1706</v>
      </c>
      <c r="W65">
        <v>1256</v>
      </c>
      <c r="X65">
        <v>1192</v>
      </c>
      <c r="Y65">
        <v>4200</v>
      </c>
    </row>
    <row r="66" spans="1:25" x14ac:dyDescent="0.2">
      <c r="A66">
        <v>65</v>
      </c>
      <c r="B66">
        <v>0</v>
      </c>
      <c r="C66">
        <v>2645</v>
      </c>
      <c r="D66">
        <v>3611</v>
      </c>
      <c r="E66">
        <v>6711</v>
      </c>
      <c r="F66">
        <v>12443</v>
      </c>
      <c r="G66">
        <v>22898</v>
      </c>
      <c r="H66">
        <v>41983</v>
      </c>
      <c r="I66">
        <v>76451</v>
      </c>
      <c r="J66">
        <v>1650</v>
      </c>
      <c r="K66">
        <v>3611</v>
      </c>
      <c r="L66">
        <v>1650</v>
      </c>
      <c r="M66">
        <v>1000</v>
      </c>
      <c r="N66">
        <v>1325</v>
      </c>
      <c r="O66">
        <v>1650</v>
      </c>
      <c r="P66">
        <v>1975</v>
      </c>
      <c r="Q66">
        <v>2300</v>
      </c>
      <c r="R66">
        <v>2625</v>
      </c>
      <c r="S66">
        <v>2950</v>
      </c>
      <c r="T66">
        <v>3275</v>
      </c>
      <c r="U66">
        <v>3600</v>
      </c>
      <c r="V66">
        <v>1719</v>
      </c>
      <c r="W66">
        <v>1260</v>
      </c>
      <c r="X66">
        <v>1195</v>
      </c>
      <c r="Y66">
        <v>4250</v>
      </c>
    </row>
    <row r="67" spans="1:25" x14ac:dyDescent="0.2">
      <c r="A67">
        <v>66</v>
      </c>
      <c r="B67">
        <v>0</v>
      </c>
      <c r="C67">
        <v>2685</v>
      </c>
      <c r="D67">
        <v>3684</v>
      </c>
      <c r="E67">
        <v>6913</v>
      </c>
      <c r="F67">
        <v>12941</v>
      </c>
      <c r="G67">
        <v>24043</v>
      </c>
      <c r="H67">
        <v>44502</v>
      </c>
      <c r="I67">
        <v>81803</v>
      </c>
      <c r="J67">
        <v>1660</v>
      </c>
      <c r="K67">
        <v>3684</v>
      </c>
      <c r="L67">
        <v>1660</v>
      </c>
      <c r="M67">
        <v>1000</v>
      </c>
      <c r="N67">
        <v>1330</v>
      </c>
      <c r="O67">
        <v>1660</v>
      </c>
      <c r="P67">
        <v>1990</v>
      </c>
      <c r="Q67">
        <v>2320</v>
      </c>
      <c r="R67">
        <v>2650</v>
      </c>
      <c r="S67">
        <v>2980</v>
      </c>
      <c r="T67">
        <v>3310</v>
      </c>
      <c r="U67">
        <v>3640</v>
      </c>
      <c r="V67">
        <v>1732</v>
      </c>
      <c r="W67">
        <v>1264</v>
      </c>
      <c r="X67">
        <v>1198</v>
      </c>
      <c r="Y67">
        <v>4300</v>
      </c>
    </row>
    <row r="68" spans="1:25" x14ac:dyDescent="0.2">
      <c r="A68">
        <v>67</v>
      </c>
      <c r="B68">
        <v>0</v>
      </c>
      <c r="C68">
        <v>2726</v>
      </c>
      <c r="D68">
        <v>3758</v>
      </c>
      <c r="E68">
        <v>7121</v>
      </c>
      <c r="F68">
        <v>13459</v>
      </c>
      <c r="G68">
        <v>25246</v>
      </c>
      <c r="H68">
        <v>47173</v>
      </c>
      <c r="I68">
        <v>87530</v>
      </c>
      <c r="J68">
        <v>1670</v>
      </c>
      <c r="K68">
        <v>3758</v>
      </c>
      <c r="L68">
        <v>1670</v>
      </c>
      <c r="M68">
        <v>1000</v>
      </c>
      <c r="N68">
        <v>1335</v>
      </c>
      <c r="O68">
        <v>1670</v>
      </c>
      <c r="P68">
        <v>2005</v>
      </c>
      <c r="Q68">
        <v>2340</v>
      </c>
      <c r="R68">
        <v>2675</v>
      </c>
      <c r="S68">
        <v>3010</v>
      </c>
      <c r="T68">
        <v>3345</v>
      </c>
      <c r="U68">
        <v>3680</v>
      </c>
      <c r="V68">
        <v>1745</v>
      </c>
      <c r="W68">
        <v>1268</v>
      </c>
      <c r="X68">
        <v>1201</v>
      </c>
      <c r="Y68">
        <v>4350</v>
      </c>
    </row>
    <row r="69" spans="1:25" x14ac:dyDescent="0.2">
      <c r="A69">
        <v>68</v>
      </c>
      <c r="B69">
        <v>0</v>
      </c>
      <c r="C69">
        <v>2767</v>
      </c>
      <c r="D69">
        <v>3834</v>
      </c>
      <c r="E69">
        <v>7335</v>
      </c>
      <c r="F69">
        <v>13998</v>
      </c>
      <c r="G69">
        <v>26509</v>
      </c>
      <c r="H69">
        <v>50004</v>
      </c>
      <c r="I69">
        <v>93658</v>
      </c>
      <c r="J69">
        <v>1680</v>
      </c>
      <c r="K69">
        <v>3834</v>
      </c>
      <c r="L69">
        <v>1680</v>
      </c>
      <c r="M69">
        <v>1000</v>
      </c>
      <c r="N69">
        <v>1340</v>
      </c>
      <c r="O69">
        <v>1680</v>
      </c>
      <c r="P69">
        <v>2020</v>
      </c>
      <c r="Q69">
        <v>2360</v>
      </c>
      <c r="R69">
        <v>2700</v>
      </c>
      <c r="S69">
        <v>3040</v>
      </c>
      <c r="T69">
        <v>3380</v>
      </c>
      <c r="U69">
        <v>3720</v>
      </c>
      <c r="V69">
        <v>1758</v>
      </c>
      <c r="W69">
        <v>1272</v>
      </c>
      <c r="X69">
        <v>1204</v>
      </c>
      <c r="Y69">
        <v>4400</v>
      </c>
    </row>
    <row r="70" spans="1:25" x14ac:dyDescent="0.2">
      <c r="A70">
        <v>69</v>
      </c>
      <c r="B70">
        <v>0</v>
      </c>
      <c r="C70">
        <v>2809</v>
      </c>
      <c r="D70">
        <v>3911</v>
      </c>
      <c r="E70">
        <v>7556</v>
      </c>
      <c r="F70">
        <v>14558</v>
      </c>
      <c r="G70">
        <v>27835</v>
      </c>
      <c r="H70">
        <v>53005</v>
      </c>
      <c r="I70">
        <v>100215</v>
      </c>
      <c r="J70">
        <v>1690</v>
      </c>
      <c r="K70">
        <v>3911</v>
      </c>
      <c r="L70">
        <v>1690</v>
      </c>
      <c r="M70">
        <v>1000</v>
      </c>
      <c r="N70">
        <v>1345</v>
      </c>
      <c r="O70">
        <v>1690</v>
      </c>
      <c r="P70">
        <v>2035</v>
      </c>
      <c r="Q70">
        <v>2380</v>
      </c>
      <c r="R70">
        <v>2725</v>
      </c>
      <c r="S70">
        <v>3070</v>
      </c>
      <c r="T70">
        <v>3415</v>
      </c>
      <c r="U70">
        <v>3760</v>
      </c>
      <c r="V70">
        <v>1771</v>
      </c>
      <c r="W70">
        <v>1276</v>
      </c>
      <c r="X70">
        <v>1207</v>
      </c>
      <c r="Y70">
        <v>4450</v>
      </c>
    </row>
    <row r="71" spans="1:25" x14ac:dyDescent="0.2">
      <c r="A71">
        <v>70</v>
      </c>
      <c r="B71">
        <v>0</v>
      </c>
      <c r="C71">
        <v>2852</v>
      </c>
      <c r="D71">
        <v>3990</v>
      </c>
      <c r="E71">
        <v>7783</v>
      </c>
      <c r="F71">
        <v>15141</v>
      </c>
      <c r="G71">
        <v>29227</v>
      </c>
      <c r="H71">
        <v>56186</v>
      </c>
      <c r="I71">
        <v>107231</v>
      </c>
      <c r="J71">
        <v>1700</v>
      </c>
      <c r="K71">
        <v>3990</v>
      </c>
      <c r="L71">
        <v>1700</v>
      </c>
      <c r="M71">
        <v>1000</v>
      </c>
      <c r="N71">
        <v>1350</v>
      </c>
      <c r="O71">
        <v>1700</v>
      </c>
      <c r="P71">
        <v>2050</v>
      </c>
      <c r="Q71">
        <v>2400</v>
      </c>
      <c r="R71">
        <v>2750</v>
      </c>
      <c r="S71">
        <v>3100</v>
      </c>
      <c r="T71">
        <v>3450</v>
      </c>
      <c r="U71">
        <v>3800</v>
      </c>
      <c r="V71">
        <v>1784</v>
      </c>
      <c r="W71">
        <v>1280</v>
      </c>
      <c r="X71">
        <v>1210</v>
      </c>
      <c r="Y71">
        <v>4500</v>
      </c>
    </row>
    <row r="72" spans="1:25" x14ac:dyDescent="0.2">
      <c r="A72">
        <v>71</v>
      </c>
      <c r="B72">
        <v>0</v>
      </c>
      <c r="C72">
        <v>2895</v>
      </c>
      <c r="D72">
        <v>4070</v>
      </c>
      <c r="E72">
        <v>8017</v>
      </c>
      <c r="F72">
        <v>15747</v>
      </c>
      <c r="G72">
        <v>30689</v>
      </c>
      <c r="H72">
        <v>59558</v>
      </c>
      <c r="I72">
        <v>114738</v>
      </c>
      <c r="J72">
        <v>1710</v>
      </c>
      <c r="K72">
        <v>4070</v>
      </c>
      <c r="L72">
        <v>1710</v>
      </c>
      <c r="M72">
        <v>1000</v>
      </c>
      <c r="N72">
        <v>1355</v>
      </c>
      <c r="O72">
        <v>1710</v>
      </c>
      <c r="P72">
        <v>2065</v>
      </c>
      <c r="Q72">
        <v>2420</v>
      </c>
      <c r="R72">
        <v>2775</v>
      </c>
      <c r="S72">
        <v>3130</v>
      </c>
      <c r="T72">
        <v>3485</v>
      </c>
      <c r="U72">
        <v>3840</v>
      </c>
      <c r="V72">
        <v>1797</v>
      </c>
      <c r="W72">
        <v>1284</v>
      </c>
      <c r="X72">
        <v>1213</v>
      </c>
      <c r="Y72">
        <v>4550</v>
      </c>
    </row>
    <row r="73" spans="1:25" x14ac:dyDescent="0.2">
      <c r="A73">
        <v>72</v>
      </c>
      <c r="B73">
        <v>0</v>
      </c>
      <c r="C73">
        <v>2939</v>
      </c>
      <c r="D73">
        <v>4152</v>
      </c>
      <c r="E73">
        <v>8258</v>
      </c>
      <c r="F73">
        <v>16377</v>
      </c>
      <c r="G73">
        <v>32224</v>
      </c>
      <c r="H73">
        <v>63132</v>
      </c>
      <c r="I73">
        <v>122770</v>
      </c>
      <c r="J73">
        <v>1720</v>
      </c>
      <c r="K73">
        <v>4152</v>
      </c>
      <c r="L73">
        <v>1720</v>
      </c>
      <c r="M73">
        <v>1000</v>
      </c>
      <c r="N73">
        <v>1360</v>
      </c>
      <c r="O73">
        <v>1720</v>
      </c>
      <c r="P73">
        <v>2080</v>
      </c>
      <c r="Q73">
        <v>2440</v>
      </c>
      <c r="R73">
        <v>2800</v>
      </c>
      <c r="S73">
        <v>3160</v>
      </c>
      <c r="T73">
        <v>3520</v>
      </c>
      <c r="U73">
        <v>3880</v>
      </c>
      <c r="V73">
        <v>1811</v>
      </c>
      <c r="W73">
        <v>1288</v>
      </c>
      <c r="X73">
        <v>1216</v>
      </c>
      <c r="Y73">
        <v>4600</v>
      </c>
    </row>
    <row r="74" spans="1:25" x14ac:dyDescent="0.2">
      <c r="A74">
        <v>73</v>
      </c>
      <c r="B74">
        <v>0</v>
      </c>
      <c r="C74">
        <v>2984</v>
      </c>
      <c r="D74">
        <v>4236</v>
      </c>
      <c r="E74">
        <v>8506</v>
      </c>
      <c r="F74">
        <v>17033</v>
      </c>
      <c r="G74">
        <v>33836</v>
      </c>
      <c r="H74">
        <v>66920</v>
      </c>
      <c r="I74">
        <v>131364</v>
      </c>
      <c r="J74">
        <v>1730</v>
      </c>
      <c r="K74">
        <v>4236</v>
      </c>
      <c r="L74">
        <v>1730</v>
      </c>
      <c r="M74">
        <v>1000</v>
      </c>
      <c r="N74">
        <v>1365</v>
      </c>
      <c r="O74">
        <v>1730</v>
      </c>
      <c r="P74">
        <v>2095</v>
      </c>
      <c r="Q74">
        <v>2460</v>
      </c>
      <c r="R74">
        <v>2825</v>
      </c>
      <c r="S74">
        <v>3190</v>
      </c>
      <c r="T74">
        <v>3555</v>
      </c>
      <c r="U74">
        <v>3920</v>
      </c>
      <c r="V74">
        <v>1825</v>
      </c>
      <c r="W74">
        <v>1292</v>
      </c>
      <c r="X74">
        <v>1219</v>
      </c>
      <c r="Y74">
        <v>4650</v>
      </c>
    </row>
    <row r="75" spans="1:25" x14ac:dyDescent="0.2">
      <c r="A75">
        <v>74</v>
      </c>
      <c r="B75">
        <v>0</v>
      </c>
      <c r="C75">
        <v>3029</v>
      </c>
      <c r="D75">
        <v>4321</v>
      </c>
      <c r="E75">
        <v>8762</v>
      </c>
      <c r="F75">
        <v>17715</v>
      </c>
      <c r="G75">
        <v>35528</v>
      </c>
      <c r="H75">
        <v>70936</v>
      </c>
      <c r="I75">
        <v>140560</v>
      </c>
      <c r="J75">
        <v>1740</v>
      </c>
      <c r="K75">
        <v>4321</v>
      </c>
      <c r="L75">
        <v>1740</v>
      </c>
      <c r="M75">
        <v>1000</v>
      </c>
      <c r="N75">
        <v>1370</v>
      </c>
      <c r="O75">
        <v>1740</v>
      </c>
      <c r="P75">
        <v>2110</v>
      </c>
      <c r="Q75">
        <v>2480</v>
      </c>
      <c r="R75">
        <v>2850</v>
      </c>
      <c r="S75">
        <v>3220</v>
      </c>
      <c r="T75">
        <v>3590</v>
      </c>
      <c r="U75">
        <v>3960</v>
      </c>
      <c r="V75">
        <v>1839</v>
      </c>
      <c r="W75">
        <v>1296</v>
      </c>
      <c r="X75">
        <v>1222</v>
      </c>
      <c r="Y75">
        <v>4700</v>
      </c>
    </row>
    <row r="76" spans="1:25" x14ac:dyDescent="0.2">
      <c r="A76">
        <v>75</v>
      </c>
      <c r="B76">
        <v>0</v>
      </c>
      <c r="C76">
        <v>3075</v>
      </c>
      <c r="D76">
        <v>4408</v>
      </c>
      <c r="E76">
        <v>9025</v>
      </c>
      <c r="F76">
        <v>18424</v>
      </c>
      <c r="G76">
        <v>37305</v>
      </c>
      <c r="H76">
        <v>75193</v>
      </c>
      <c r="I76">
        <v>150400</v>
      </c>
      <c r="J76">
        <v>1750</v>
      </c>
      <c r="K76">
        <v>4408</v>
      </c>
      <c r="L76">
        <v>1750</v>
      </c>
      <c r="M76">
        <v>1000</v>
      </c>
      <c r="N76">
        <v>1375</v>
      </c>
      <c r="O76">
        <v>1750</v>
      </c>
      <c r="P76">
        <v>2125</v>
      </c>
      <c r="Q76">
        <v>2500</v>
      </c>
      <c r="R76">
        <v>2875</v>
      </c>
      <c r="S76">
        <v>3250</v>
      </c>
      <c r="T76">
        <v>3625</v>
      </c>
      <c r="U76">
        <v>4000</v>
      </c>
      <c r="V76">
        <v>1853</v>
      </c>
      <c r="W76">
        <v>1300</v>
      </c>
      <c r="X76">
        <v>1225</v>
      </c>
      <c r="Y76">
        <v>4750</v>
      </c>
    </row>
    <row r="77" spans="1:25" x14ac:dyDescent="0.2">
      <c r="A77">
        <v>76</v>
      </c>
      <c r="B77">
        <v>0</v>
      </c>
      <c r="C77">
        <v>3122</v>
      </c>
      <c r="D77">
        <v>4497</v>
      </c>
      <c r="E77">
        <v>9296</v>
      </c>
      <c r="F77">
        <v>19161</v>
      </c>
      <c r="G77">
        <v>39171</v>
      </c>
      <c r="H77">
        <v>79705</v>
      </c>
      <c r="I77">
        <v>160928</v>
      </c>
      <c r="J77">
        <v>1760</v>
      </c>
      <c r="K77">
        <v>4497</v>
      </c>
      <c r="L77">
        <v>1760</v>
      </c>
      <c r="M77">
        <v>1000</v>
      </c>
      <c r="N77">
        <v>1380</v>
      </c>
      <c r="O77">
        <v>1760</v>
      </c>
      <c r="P77">
        <v>2140</v>
      </c>
      <c r="Q77">
        <v>2520</v>
      </c>
      <c r="R77">
        <v>2900</v>
      </c>
      <c r="S77">
        <v>3280</v>
      </c>
      <c r="T77">
        <v>3660</v>
      </c>
      <c r="U77">
        <v>4040</v>
      </c>
      <c r="V77">
        <v>1867</v>
      </c>
      <c r="W77">
        <v>1304</v>
      </c>
      <c r="X77">
        <v>1228</v>
      </c>
      <c r="Y77">
        <v>4800</v>
      </c>
    </row>
    <row r="78" spans="1:25" x14ac:dyDescent="0.2">
      <c r="A78">
        <v>77</v>
      </c>
      <c r="B78">
        <v>0</v>
      </c>
      <c r="C78">
        <v>3169</v>
      </c>
      <c r="D78">
        <v>4587</v>
      </c>
      <c r="E78">
        <v>9575</v>
      </c>
      <c r="F78">
        <v>19928</v>
      </c>
      <c r="G78">
        <v>41130</v>
      </c>
      <c r="H78">
        <v>84488</v>
      </c>
      <c r="I78">
        <v>172193</v>
      </c>
      <c r="J78">
        <v>1770</v>
      </c>
      <c r="K78">
        <v>4587</v>
      </c>
      <c r="L78">
        <v>1770</v>
      </c>
      <c r="M78">
        <v>1000</v>
      </c>
      <c r="N78">
        <v>1385</v>
      </c>
      <c r="O78">
        <v>1770</v>
      </c>
      <c r="P78">
        <v>2155</v>
      </c>
      <c r="Q78">
        <v>2540</v>
      </c>
      <c r="R78">
        <v>2925</v>
      </c>
      <c r="S78">
        <v>3310</v>
      </c>
      <c r="T78">
        <v>3695</v>
      </c>
      <c r="U78">
        <v>4080</v>
      </c>
      <c r="V78">
        <v>1881</v>
      </c>
      <c r="W78">
        <v>1308</v>
      </c>
      <c r="X78">
        <v>1231</v>
      </c>
      <c r="Y78">
        <v>4850</v>
      </c>
    </row>
    <row r="79" spans="1:25" x14ac:dyDescent="0.2">
      <c r="A79">
        <v>78</v>
      </c>
      <c r="B79">
        <v>0</v>
      </c>
      <c r="C79">
        <v>3217</v>
      </c>
      <c r="D79">
        <v>4679</v>
      </c>
      <c r="E79">
        <v>9863</v>
      </c>
      <c r="F79">
        <v>20726</v>
      </c>
      <c r="G79">
        <v>43187</v>
      </c>
      <c r="H79">
        <v>89558</v>
      </c>
      <c r="I79">
        <v>184247</v>
      </c>
      <c r="J79">
        <v>1780</v>
      </c>
      <c r="K79">
        <v>4679</v>
      </c>
      <c r="L79">
        <v>1780</v>
      </c>
      <c r="M79">
        <v>1000</v>
      </c>
      <c r="N79">
        <v>1390</v>
      </c>
      <c r="O79">
        <v>1780</v>
      </c>
      <c r="P79">
        <v>2170</v>
      </c>
      <c r="Q79">
        <v>2560</v>
      </c>
      <c r="R79">
        <v>2950</v>
      </c>
      <c r="S79">
        <v>3340</v>
      </c>
      <c r="T79">
        <v>3730</v>
      </c>
      <c r="U79">
        <v>4120</v>
      </c>
      <c r="V79">
        <v>1895</v>
      </c>
      <c r="W79">
        <v>1312</v>
      </c>
      <c r="X79">
        <v>1234</v>
      </c>
      <c r="Y79">
        <v>4900</v>
      </c>
    </row>
    <row r="80" spans="1:25" x14ac:dyDescent="0.2">
      <c r="A80">
        <v>79</v>
      </c>
      <c r="B80">
        <v>0</v>
      </c>
      <c r="C80">
        <v>3266</v>
      </c>
      <c r="D80">
        <v>4773</v>
      </c>
      <c r="E80">
        <v>10159</v>
      </c>
      <c r="F80">
        <v>21556</v>
      </c>
      <c r="G80">
        <v>45347</v>
      </c>
      <c r="H80">
        <v>94932</v>
      </c>
      <c r="I80">
        <v>197145</v>
      </c>
      <c r="J80">
        <v>1790</v>
      </c>
      <c r="K80">
        <v>4773</v>
      </c>
      <c r="L80">
        <v>1790</v>
      </c>
      <c r="M80">
        <v>1000</v>
      </c>
      <c r="N80">
        <v>1395</v>
      </c>
      <c r="O80">
        <v>1790</v>
      </c>
      <c r="P80">
        <v>2185</v>
      </c>
      <c r="Q80">
        <v>2580</v>
      </c>
      <c r="R80">
        <v>2975</v>
      </c>
      <c r="S80">
        <v>3370</v>
      </c>
      <c r="T80">
        <v>3765</v>
      </c>
      <c r="U80">
        <v>4160</v>
      </c>
      <c r="V80">
        <v>1909</v>
      </c>
      <c r="W80">
        <v>1316</v>
      </c>
      <c r="X80">
        <v>1237</v>
      </c>
      <c r="Y80">
        <v>4950</v>
      </c>
    </row>
    <row r="81" spans="1:25" x14ac:dyDescent="0.2">
      <c r="A81">
        <v>80</v>
      </c>
      <c r="B81">
        <v>0</v>
      </c>
      <c r="C81">
        <v>3315</v>
      </c>
      <c r="D81">
        <v>4869</v>
      </c>
      <c r="E81">
        <v>10464</v>
      </c>
      <c r="F81">
        <v>22419</v>
      </c>
      <c r="G81">
        <v>47615</v>
      </c>
      <c r="H81">
        <v>100628</v>
      </c>
      <c r="I81">
        <v>210946</v>
      </c>
      <c r="J81">
        <v>1800</v>
      </c>
      <c r="K81">
        <v>4869</v>
      </c>
      <c r="L81">
        <v>1800</v>
      </c>
      <c r="M81">
        <v>1000</v>
      </c>
      <c r="N81">
        <v>1400</v>
      </c>
      <c r="O81">
        <v>1800</v>
      </c>
      <c r="P81">
        <v>2200</v>
      </c>
      <c r="Q81">
        <v>2600</v>
      </c>
      <c r="R81">
        <v>3000</v>
      </c>
      <c r="S81">
        <v>3400</v>
      </c>
      <c r="T81">
        <v>3800</v>
      </c>
      <c r="U81">
        <v>4200</v>
      </c>
      <c r="V81">
        <v>1923</v>
      </c>
      <c r="W81">
        <v>1320</v>
      </c>
      <c r="X81">
        <v>1240</v>
      </c>
      <c r="Y81">
        <v>5000</v>
      </c>
    </row>
    <row r="82" spans="1:25" x14ac:dyDescent="0.2">
      <c r="A82">
        <v>81</v>
      </c>
      <c r="B82">
        <v>0</v>
      </c>
      <c r="C82">
        <v>3365</v>
      </c>
      <c r="D82">
        <v>4967</v>
      </c>
      <c r="E82">
        <v>10778</v>
      </c>
      <c r="F82">
        <v>23316</v>
      </c>
      <c r="G82">
        <v>49996</v>
      </c>
      <c r="H82">
        <v>106666</v>
      </c>
      <c r="I82">
        <v>225713</v>
      </c>
      <c r="J82">
        <v>1810</v>
      </c>
      <c r="K82">
        <v>4967</v>
      </c>
      <c r="L82">
        <v>1810</v>
      </c>
      <c r="M82">
        <v>1000</v>
      </c>
      <c r="N82">
        <v>1405</v>
      </c>
      <c r="O82">
        <v>1810</v>
      </c>
      <c r="P82">
        <v>2215</v>
      </c>
      <c r="Q82">
        <v>2620</v>
      </c>
      <c r="R82">
        <v>3025</v>
      </c>
      <c r="S82">
        <v>3430</v>
      </c>
      <c r="T82">
        <v>3835</v>
      </c>
      <c r="U82">
        <v>4240</v>
      </c>
      <c r="V82">
        <v>1937</v>
      </c>
      <c r="W82">
        <v>1324</v>
      </c>
      <c r="X82">
        <v>1243</v>
      </c>
      <c r="Y82">
        <v>5050</v>
      </c>
    </row>
    <row r="83" spans="1:25" x14ac:dyDescent="0.2">
      <c r="A83">
        <v>82</v>
      </c>
      <c r="B83">
        <v>0</v>
      </c>
      <c r="C83">
        <v>3416</v>
      </c>
      <c r="D83">
        <v>5067</v>
      </c>
      <c r="E83">
        <v>11102</v>
      </c>
      <c r="F83">
        <v>24249</v>
      </c>
      <c r="G83">
        <v>52496</v>
      </c>
      <c r="H83">
        <v>113066</v>
      </c>
      <c r="I83">
        <v>241513</v>
      </c>
      <c r="J83">
        <v>1820</v>
      </c>
      <c r="K83">
        <v>5067</v>
      </c>
      <c r="L83">
        <v>1820</v>
      </c>
      <c r="M83">
        <v>1000</v>
      </c>
      <c r="N83">
        <v>1410</v>
      </c>
      <c r="O83">
        <v>1820</v>
      </c>
      <c r="P83">
        <v>2230</v>
      </c>
      <c r="Q83">
        <v>2640</v>
      </c>
      <c r="R83">
        <v>3050</v>
      </c>
      <c r="S83">
        <v>3460</v>
      </c>
      <c r="T83">
        <v>3870</v>
      </c>
      <c r="U83">
        <v>4280</v>
      </c>
      <c r="V83">
        <v>1951</v>
      </c>
      <c r="W83">
        <v>1328</v>
      </c>
      <c r="X83">
        <v>1246</v>
      </c>
      <c r="Y83">
        <v>5100</v>
      </c>
    </row>
    <row r="84" spans="1:25" x14ac:dyDescent="0.2">
      <c r="A84">
        <v>83</v>
      </c>
      <c r="B84">
        <v>0</v>
      </c>
      <c r="C84">
        <v>3468</v>
      </c>
      <c r="D84">
        <v>5169</v>
      </c>
      <c r="E84">
        <v>11436</v>
      </c>
      <c r="F84">
        <v>25219</v>
      </c>
      <c r="G84">
        <v>55121</v>
      </c>
      <c r="H84">
        <v>119850</v>
      </c>
      <c r="I84">
        <v>258419</v>
      </c>
      <c r="J84">
        <v>1830</v>
      </c>
      <c r="K84">
        <v>5169</v>
      </c>
      <c r="L84">
        <v>1830</v>
      </c>
      <c r="M84">
        <v>1000</v>
      </c>
      <c r="N84">
        <v>1415</v>
      </c>
      <c r="O84">
        <v>1830</v>
      </c>
      <c r="P84">
        <v>2245</v>
      </c>
      <c r="Q84">
        <v>2660</v>
      </c>
      <c r="R84">
        <v>3075</v>
      </c>
      <c r="S84">
        <v>3490</v>
      </c>
      <c r="T84">
        <v>3905</v>
      </c>
      <c r="U84">
        <v>4320</v>
      </c>
      <c r="V84">
        <v>1965</v>
      </c>
      <c r="W84">
        <v>1332</v>
      </c>
      <c r="X84">
        <v>1249</v>
      </c>
      <c r="Y84">
        <v>5150</v>
      </c>
    </row>
    <row r="85" spans="1:25" x14ac:dyDescent="0.2">
      <c r="A85">
        <v>84</v>
      </c>
      <c r="B85">
        <v>0</v>
      </c>
      <c r="C85">
        <v>3521</v>
      </c>
      <c r="D85">
        <v>5273</v>
      </c>
      <c r="E85">
        <v>11780</v>
      </c>
      <c r="F85">
        <v>26228</v>
      </c>
      <c r="G85">
        <v>57878</v>
      </c>
      <c r="H85">
        <v>127041</v>
      </c>
      <c r="I85">
        <v>276509</v>
      </c>
      <c r="J85">
        <v>1840</v>
      </c>
      <c r="K85">
        <v>5273</v>
      </c>
      <c r="L85">
        <v>1840</v>
      </c>
      <c r="M85">
        <v>1000</v>
      </c>
      <c r="N85">
        <v>1420</v>
      </c>
      <c r="O85">
        <v>1840</v>
      </c>
      <c r="P85">
        <v>2260</v>
      </c>
      <c r="Q85">
        <v>2680</v>
      </c>
      <c r="R85">
        <v>3100</v>
      </c>
      <c r="S85">
        <v>3520</v>
      </c>
      <c r="T85">
        <v>3940</v>
      </c>
      <c r="U85">
        <v>4360</v>
      </c>
      <c r="V85">
        <v>1979</v>
      </c>
      <c r="W85">
        <v>1336</v>
      </c>
      <c r="X85">
        <v>1252</v>
      </c>
      <c r="Y85">
        <v>5200</v>
      </c>
    </row>
    <row r="86" spans="1:25" x14ac:dyDescent="0.2">
      <c r="A86">
        <v>85</v>
      </c>
      <c r="B86">
        <v>0</v>
      </c>
      <c r="C86">
        <v>3574</v>
      </c>
      <c r="D86">
        <v>5379</v>
      </c>
      <c r="E86">
        <v>12134</v>
      </c>
      <c r="F86">
        <v>27278</v>
      </c>
      <c r="G86">
        <v>60772</v>
      </c>
      <c r="H86">
        <v>134664</v>
      </c>
      <c r="I86">
        <v>295865</v>
      </c>
      <c r="J86">
        <v>1850</v>
      </c>
      <c r="K86">
        <v>5379</v>
      </c>
      <c r="L86">
        <v>1850</v>
      </c>
      <c r="M86">
        <v>1000</v>
      </c>
      <c r="N86">
        <v>1425</v>
      </c>
      <c r="O86">
        <v>1850</v>
      </c>
      <c r="P86">
        <v>2275</v>
      </c>
      <c r="Q86">
        <v>2700</v>
      </c>
      <c r="R86">
        <v>3125</v>
      </c>
      <c r="S86">
        <v>3550</v>
      </c>
      <c r="T86">
        <v>3975</v>
      </c>
      <c r="U86">
        <v>4400</v>
      </c>
      <c r="V86">
        <v>1993</v>
      </c>
      <c r="W86">
        <v>1340</v>
      </c>
      <c r="X86">
        <v>1255</v>
      </c>
      <c r="Y86">
        <v>5250</v>
      </c>
    </row>
    <row r="87" spans="1:25" x14ac:dyDescent="0.2">
      <c r="A87">
        <v>86</v>
      </c>
      <c r="B87">
        <v>0</v>
      </c>
      <c r="C87">
        <v>3628</v>
      </c>
      <c r="D87">
        <v>5487</v>
      </c>
      <c r="E87">
        <v>12499</v>
      </c>
      <c r="F87">
        <v>28370</v>
      </c>
      <c r="G87">
        <v>63811</v>
      </c>
      <c r="H87">
        <v>142744</v>
      </c>
      <c r="I87">
        <v>316576</v>
      </c>
      <c r="J87">
        <v>1860</v>
      </c>
      <c r="K87">
        <v>5487</v>
      </c>
      <c r="L87">
        <v>1860</v>
      </c>
      <c r="M87">
        <v>1000</v>
      </c>
      <c r="N87">
        <v>1430</v>
      </c>
      <c r="O87">
        <v>1860</v>
      </c>
      <c r="P87">
        <v>2290</v>
      </c>
      <c r="Q87">
        <v>2720</v>
      </c>
      <c r="R87">
        <v>3150</v>
      </c>
      <c r="S87">
        <v>3580</v>
      </c>
      <c r="T87">
        <v>4010</v>
      </c>
      <c r="U87">
        <v>4440</v>
      </c>
      <c r="V87">
        <v>2007</v>
      </c>
      <c r="W87">
        <v>1344</v>
      </c>
      <c r="X87">
        <v>1258</v>
      </c>
      <c r="Y87">
        <v>5300</v>
      </c>
    </row>
    <row r="88" spans="1:25" x14ac:dyDescent="0.2">
      <c r="A88">
        <v>87</v>
      </c>
      <c r="B88">
        <v>0</v>
      </c>
      <c r="C88">
        <v>3683</v>
      </c>
      <c r="D88">
        <v>5597</v>
      </c>
      <c r="E88">
        <v>12874</v>
      </c>
      <c r="F88">
        <v>29505</v>
      </c>
      <c r="G88">
        <v>67002</v>
      </c>
      <c r="H88">
        <v>151309</v>
      </c>
      <c r="I88">
        <v>338737</v>
      </c>
      <c r="J88">
        <v>1870</v>
      </c>
      <c r="K88">
        <v>5597</v>
      </c>
      <c r="L88">
        <v>1870</v>
      </c>
      <c r="M88">
        <v>1000</v>
      </c>
      <c r="N88">
        <v>1435</v>
      </c>
      <c r="O88">
        <v>1870</v>
      </c>
      <c r="P88">
        <v>2305</v>
      </c>
      <c r="Q88">
        <v>2740</v>
      </c>
      <c r="R88">
        <v>3175</v>
      </c>
      <c r="S88">
        <v>3610</v>
      </c>
      <c r="T88">
        <v>4045</v>
      </c>
      <c r="U88">
        <v>4480</v>
      </c>
      <c r="V88">
        <v>2022</v>
      </c>
      <c r="W88">
        <v>1348</v>
      </c>
      <c r="X88">
        <v>1261</v>
      </c>
      <c r="Y88">
        <v>5350</v>
      </c>
    </row>
    <row r="89" spans="1:25" x14ac:dyDescent="0.2">
      <c r="A89">
        <v>88</v>
      </c>
      <c r="B89">
        <v>0</v>
      </c>
      <c r="C89">
        <v>3739</v>
      </c>
      <c r="D89">
        <v>5709</v>
      </c>
      <c r="E89">
        <v>13261</v>
      </c>
      <c r="F89">
        <v>30686</v>
      </c>
      <c r="G89">
        <v>70353</v>
      </c>
      <c r="H89">
        <v>160388</v>
      </c>
      <c r="I89">
        <v>362449</v>
      </c>
      <c r="J89">
        <v>1880</v>
      </c>
      <c r="K89">
        <v>5709</v>
      </c>
      <c r="L89">
        <v>1880</v>
      </c>
      <c r="M89">
        <v>1000</v>
      </c>
      <c r="N89">
        <v>1440</v>
      </c>
      <c r="O89">
        <v>1880</v>
      </c>
      <c r="P89">
        <v>2320</v>
      </c>
      <c r="Q89">
        <v>2760</v>
      </c>
      <c r="R89">
        <v>3200</v>
      </c>
      <c r="S89">
        <v>3640</v>
      </c>
      <c r="T89">
        <v>4080</v>
      </c>
      <c r="U89">
        <v>4520</v>
      </c>
      <c r="V89">
        <v>2037</v>
      </c>
      <c r="W89">
        <v>1352</v>
      </c>
      <c r="X89">
        <v>1264</v>
      </c>
      <c r="Y89">
        <v>5400</v>
      </c>
    </row>
    <row r="90" spans="1:25" x14ac:dyDescent="0.2">
      <c r="A90">
        <v>89</v>
      </c>
      <c r="B90">
        <v>0</v>
      </c>
      <c r="C90">
        <v>3796</v>
      </c>
      <c r="D90">
        <v>5824</v>
      </c>
      <c r="E90">
        <v>13659</v>
      </c>
      <c r="F90">
        <v>31914</v>
      </c>
      <c r="G90">
        <v>73871</v>
      </c>
      <c r="H90">
        <v>170012</v>
      </c>
      <c r="I90">
        <v>387821</v>
      </c>
      <c r="J90">
        <v>1890</v>
      </c>
      <c r="K90">
        <v>5824</v>
      </c>
      <c r="L90">
        <v>1890</v>
      </c>
      <c r="M90">
        <v>1000</v>
      </c>
      <c r="N90">
        <v>1445</v>
      </c>
      <c r="O90">
        <v>1890</v>
      </c>
      <c r="P90">
        <v>2335</v>
      </c>
      <c r="Q90">
        <v>2780</v>
      </c>
      <c r="R90">
        <v>3225</v>
      </c>
      <c r="S90">
        <v>3670</v>
      </c>
      <c r="T90">
        <v>4115</v>
      </c>
      <c r="U90">
        <v>4560</v>
      </c>
      <c r="V90">
        <v>2052</v>
      </c>
      <c r="W90">
        <v>1356</v>
      </c>
      <c r="X90">
        <v>1267</v>
      </c>
      <c r="Y90">
        <v>5450</v>
      </c>
    </row>
    <row r="91" spans="1:25" x14ac:dyDescent="0.2">
      <c r="A91">
        <v>90</v>
      </c>
      <c r="B91">
        <v>0</v>
      </c>
      <c r="C91">
        <v>3853</v>
      </c>
      <c r="D91">
        <v>5941</v>
      </c>
      <c r="E91">
        <v>14069</v>
      </c>
      <c r="F91">
        <v>33191</v>
      </c>
      <c r="G91">
        <v>77565</v>
      </c>
      <c r="H91">
        <v>180213</v>
      </c>
      <c r="I91">
        <v>414969</v>
      </c>
      <c r="J91">
        <v>1900</v>
      </c>
      <c r="K91">
        <v>5941</v>
      </c>
      <c r="L91">
        <v>1900</v>
      </c>
      <c r="M91">
        <v>1000</v>
      </c>
      <c r="N91">
        <v>1450</v>
      </c>
      <c r="O91">
        <v>1900</v>
      </c>
      <c r="P91">
        <v>2350</v>
      </c>
      <c r="Q91">
        <v>2800</v>
      </c>
      <c r="R91">
        <v>3250</v>
      </c>
      <c r="S91">
        <v>3700</v>
      </c>
      <c r="T91">
        <v>4150</v>
      </c>
      <c r="U91">
        <v>4600</v>
      </c>
      <c r="V91">
        <v>2067</v>
      </c>
      <c r="W91">
        <v>1360</v>
      </c>
      <c r="X91">
        <v>1270</v>
      </c>
      <c r="Y91">
        <v>5500</v>
      </c>
    </row>
    <row r="92" spans="1:25" x14ac:dyDescent="0.2">
      <c r="A92">
        <v>91</v>
      </c>
      <c r="B92">
        <v>0</v>
      </c>
      <c r="C92">
        <v>3911</v>
      </c>
      <c r="D92">
        <v>6060</v>
      </c>
      <c r="E92">
        <v>14492</v>
      </c>
      <c r="F92">
        <v>34519</v>
      </c>
      <c r="G92">
        <v>81444</v>
      </c>
      <c r="H92">
        <v>191026</v>
      </c>
      <c r="I92">
        <v>444017</v>
      </c>
      <c r="J92">
        <v>1910</v>
      </c>
      <c r="K92">
        <v>6060</v>
      </c>
      <c r="L92">
        <v>1910</v>
      </c>
      <c r="M92">
        <v>1000</v>
      </c>
      <c r="N92">
        <v>1455</v>
      </c>
      <c r="O92">
        <v>1910</v>
      </c>
      <c r="P92">
        <v>2365</v>
      </c>
      <c r="Q92">
        <v>2820</v>
      </c>
      <c r="R92">
        <v>3275</v>
      </c>
      <c r="S92">
        <v>3730</v>
      </c>
      <c r="T92">
        <v>4185</v>
      </c>
      <c r="U92">
        <v>4640</v>
      </c>
      <c r="V92">
        <v>2082</v>
      </c>
      <c r="W92">
        <v>1364</v>
      </c>
      <c r="X92">
        <v>1273</v>
      </c>
      <c r="Y92">
        <v>5550</v>
      </c>
    </row>
    <row r="93" spans="1:25" x14ac:dyDescent="0.2">
      <c r="A93">
        <v>92</v>
      </c>
      <c r="B93">
        <v>0</v>
      </c>
      <c r="C93">
        <v>3970</v>
      </c>
      <c r="D93">
        <v>6182</v>
      </c>
      <c r="E93">
        <v>14927</v>
      </c>
      <c r="F93">
        <v>35900</v>
      </c>
      <c r="G93">
        <v>85517</v>
      </c>
      <c r="H93">
        <v>202488</v>
      </c>
      <c r="I93">
        <v>475099</v>
      </c>
      <c r="J93">
        <v>1920</v>
      </c>
      <c r="K93">
        <v>6182</v>
      </c>
      <c r="L93">
        <v>1920</v>
      </c>
      <c r="M93">
        <v>1000</v>
      </c>
      <c r="N93">
        <v>1460</v>
      </c>
      <c r="O93">
        <v>1920</v>
      </c>
      <c r="P93">
        <v>2380</v>
      </c>
      <c r="Q93">
        <v>2840</v>
      </c>
      <c r="R93">
        <v>3300</v>
      </c>
      <c r="S93">
        <v>3760</v>
      </c>
      <c r="T93">
        <v>4220</v>
      </c>
      <c r="U93">
        <v>4680</v>
      </c>
      <c r="V93">
        <v>2097</v>
      </c>
      <c r="W93">
        <v>1368</v>
      </c>
      <c r="X93">
        <v>1276</v>
      </c>
      <c r="Y93">
        <v>5600</v>
      </c>
    </row>
    <row r="94" spans="1:25" x14ac:dyDescent="0.2">
      <c r="A94">
        <v>93</v>
      </c>
      <c r="B94">
        <v>0</v>
      </c>
      <c r="C94">
        <v>4030</v>
      </c>
      <c r="D94">
        <v>6306</v>
      </c>
      <c r="E94">
        <v>15375</v>
      </c>
      <c r="F94">
        <v>37336</v>
      </c>
      <c r="G94">
        <v>89793</v>
      </c>
      <c r="H94">
        <v>214638</v>
      </c>
      <c r="I94">
        <v>508356</v>
      </c>
      <c r="J94">
        <v>1930</v>
      </c>
      <c r="K94">
        <v>6306</v>
      </c>
      <c r="L94">
        <v>1930</v>
      </c>
      <c r="M94">
        <v>1000</v>
      </c>
      <c r="N94">
        <v>1465</v>
      </c>
      <c r="O94">
        <v>1930</v>
      </c>
      <c r="P94">
        <v>2395</v>
      </c>
      <c r="Q94">
        <v>2860</v>
      </c>
      <c r="R94">
        <v>3325</v>
      </c>
      <c r="S94">
        <v>3790</v>
      </c>
      <c r="T94">
        <v>4255</v>
      </c>
      <c r="U94">
        <v>4720</v>
      </c>
      <c r="V94">
        <v>2112</v>
      </c>
      <c r="W94">
        <v>1372</v>
      </c>
      <c r="X94">
        <v>1279</v>
      </c>
      <c r="Y94">
        <v>5650</v>
      </c>
    </row>
    <row r="95" spans="1:25" x14ac:dyDescent="0.2">
      <c r="A95">
        <v>94</v>
      </c>
      <c r="B95">
        <v>0</v>
      </c>
      <c r="C95">
        <v>4091</v>
      </c>
      <c r="D95">
        <v>6433</v>
      </c>
      <c r="E95">
        <v>15837</v>
      </c>
      <c r="F95">
        <v>38830</v>
      </c>
      <c r="G95">
        <v>94283</v>
      </c>
      <c r="H95">
        <v>227517</v>
      </c>
      <c r="I95">
        <v>543941</v>
      </c>
      <c r="J95">
        <v>1940</v>
      </c>
      <c r="K95">
        <v>6433</v>
      </c>
      <c r="L95">
        <v>1940</v>
      </c>
      <c r="M95">
        <v>1000</v>
      </c>
      <c r="N95">
        <v>1470</v>
      </c>
      <c r="O95">
        <v>1940</v>
      </c>
      <c r="P95">
        <v>2410</v>
      </c>
      <c r="Q95">
        <v>2880</v>
      </c>
      <c r="R95">
        <v>3350</v>
      </c>
      <c r="S95">
        <v>3820</v>
      </c>
      <c r="T95">
        <v>4290</v>
      </c>
      <c r="U95">
        <v>4760</v>
      </c>
      <c r="V95">
        <v>2127</v>
      </c>
      <c r="W95">
        <v>1376</v>
      </c>
      <c r="X95">
        <v>1282</v>
      </c>
      <c r="Y95">
        <v>5700</v>
      </c>
    </row>
    <row r="96" spans="1:25" x14ac:dyDescent="0.2">
      <c r="A96">
        <v>95</v>
      </c>
      <c r="B96">
        <v>0</v>
      </c>
      <c r="C96">
        <v>4153</v>
      </c>
      <c r="D96">
        <v>6562</v>
      </c>
      <c r="E96">
        <v>16313</v>
      </c>
      <c r="F96">
        <v>40384</v>
      </c>
      <c r="G96">
        <v>98998</v>
      </c>
      <c r="H96">
        <v>241169</v>
      </c>
      <c r="I96">
        <v>582017</v>
      </c>
      <c r="J96">
        <v>1950</v>
      </c>
      <c r="K96">
        <v>6562</v>
      </c>
      <c r="L96">
        <v>1950</v>
      </c>
      <c r="M96">
        <v>1000</v>
      </c>
      <c r="N96">
        <v>1475</v>
      </c>
      <c r="O96">
        <v>1950</v>
      </c>
      <c r="P96">
        <v>2425</v>
      </c>
      <c r="Q96">
        <v>2900</v>
      </c>
      <c r="R96">
        <v>3375</v>
      </c>
      <c r="S96">
        <v>3850</v>
      </c>
      <c r="T96">
        <v>4325</v>
      </c>
      <c r="U96">
        <v>4800</v>
      </c>
      <c r="V96">
        <v>2142</v>
      </c>
      <c r="W96">
        <v>1380</v>
      </c>
      <c r="X96">
        <v>1285</v>
      </c>
      <c r="Y96">
        <v>5750</v>
      </c>
    </row>
    <row r="97" spans="1:25" x14ac:dyDescent="0.2">
      <c r="A97">
        <v>96</v>
      </c>
      <c r="B97">
        <v>0</v>
      </c>
      <c r="C97">
        <v>4216</v>
      </c>
      <c r="D97">
        <v>6694</v>
      </c>
      <c r="E97">
        <v>16803</v>
      </c>
      <c r="F97">
        <v>42000</v>
      </c>
      <c r="G97">
        <v>103948</v>
      </c>
      <c r="H97">
        <v>255640</v>
      </c>
      <c r="I97">
        <v>622759</v>
      </c>
      <c r="J97">
        <v>1960</v>
      </c>
      <c r="K97">
        <v>6694</v>
      </c>
      <c r="L97">
        <v>1960</v>
      </c>
      <c r="M97">
        <v>1000</v>
      </c>
      <c r="N97">
        <v>1480</v>
      </c>
      <c r="O97">
        <v>1960</v>
      </c>
      <c r="P97">
        <v>2440</v>
      </c>
      <c r="Q97">
        <v>2920</v>
      </c>
      <c r="R97">
        <v>3400</v>
      </c>
      <c r="S97">
        <v>3880</v>
      </c>
      <c r="T97">
        <v>4360</v>
      </c>
      <c r="U97">
        <v>4840</v>
      </c>
      <c r="V97">
        <v>2157</v>
      </c>
      <c r="W97">
        <v>1384</v>
      </c>
      <c r="X97">
        <v>1288</v>
      </c>
      <c r="Y97">
        <v>5800</v>
      </c>
    </row>
    <row r="98" spans="1:25" x14ac:dyDescent="0.2">
      <c r="A98">
        <v>97</v>
      </c>
      <c r="B98">
        <v>0</v>
      </c>
      <c r="C98">
        <v>4280</v>
      </c>
      <c r="D98">
        <v>6828</v>
      </c>
      <c r="E98">
        <v>17308</v>
      </c>
      <c r="F98">
        <v>43680</v>
      </c>
      <c r="G98">
        <v>109146</v>
      </c>
      <c r="H98">
        <v>270979</v>
      </c>
      <c r="I98">
        <v>666353</v>
      </c>
      <c r="J98">
        <v>1970</v>
      </c>
      <c r="K98">
        <v>6828</v>
      </c>
      <c r="L98">
        <v>1970</v>
      </c>
      <c r="M98">
        <v>1000</v>
      </c>
      <c r="N98">
        <v>1485</v>
      </c>
      <c r="O98">
        <v>1970</v>
      </c>
      <c r="P98">
        <v>2455</v>
      </c>
      <c r="Q98">
        <v>2940</v>
      </c>
      <c r="R98">
        <v>3425</v>
      </c>
      <c r="S98">
        <v>3910</v>
      </c>
      <c r="T98">
        <v>4395</v>
      </c>
      <c r="U98">
        <v>4880</v>
      </c>
      <c r="V98">
        <v>2172</v>
      </c>
      <c r="W98">
        <v>1388</v>
      </c>
      <c r="X98">
        <v>1291</v>
      </c>
      <c r="Y98">
        <v>5850</v>
      </c>
    </row>
    <row r="99" spans="1:25" x14ac:dyDescent="0.2">
      <c r="A99">
        <v>98</v>
      </c>
      <c r="B99">
        <v>0</v>
      </c>
      <c r="C99">
        <v>4345</v>
      </c>
      <c r="D99">
        <v>6965</v>
      </c>
      <c r="E99">
        <v>17828</v>
      </c>
      <c r="F99">
        <v>45428</v>
      </c>
      <c r="G99">
        <v>114604</v>
      </c>
      <c r="H99">
        <v>287238</v>
      </c>
      <c r="I99">
        <v>712998</v>
      </c>
      <c r="J99">
        <v>1980</v>
      </c>
      <c r="K99">
        <v>6965</v>
      </c>
      <c r="L99">
        <v>1980</v>
      </c>
      <c r="M99">
        <v>1000</v>
      </c>
      <c r="N99">
        <v>1490</v>
      </c>
      <c r="O99">
        <v>1980</v>
      </c>
      <c r="P99">
        <v>2470</v>
      </c>
      <c r="Q99">
        <v>2960</v>
      </c>
      <c r="R99">
        <v>3450</v>
      </c>
      <c r="S99">
        <v>3940</v>
      </c>
      <c r="T99">
        <v>4430</v>
      </c>
      <c r="U99">
        <v>4920</v>
      </c>
      <c r="V99">
        <v>2187</v>
      </c>
      <c r="W99">
        <v>1392</v>
      </c>
      <c r="X99">
        <v>1294</v>
      </c>
      <c r="Y99">
        <v>5900</v>
      </c>
    </row>
    <row r="100" spans="1:25" x14ac:dyDescent="0.2">
      <c r="A100">
        <v>99</v>
      </c>
      <c r="B100">
        <v>0</v>
      </c>
      <c r="C100">
        <v>4411</v>
      </c>
      <c r="D100">
        <v>7105</v>
      </c>
      <c r="E100">
        <v>18363</v>
      </c>
      <c r="F100">
        <v>47246</v>
      </c>
      <c r="G100">
        <v>120335</v>
      </c>
      <c r="H100">
        <v>304473</v>
      </c>
      <c r="I100">
        <v>762908</v>
      </c>
      <c r="J100">
        <v>1990</v>
      </c>
      <c r="K100">
        <v>7105</v>
      </c>
      <c r="L100">
        <v>1990</v>
      </c>
      <c r="M100">
        <v>1000</v>
      </c>
      <c r="N100">
        <v>1495</v>
      </c>
      <c r="O100">
        <v>1990</v>
      </c>
      <c r="P100">
        <v>2485</v>
      </c>
      <c r="Q100">
        <v>2980</v>
      </c>
      <c r="R100">
        <v>3475</v>
      </c>
      <c r="S100">
        <v>3970</v>
      </c>
      <c r="T100">
        <v>4465</v>
      </c>
      <c r="U100">
        <v>4960</v>
      </c>
      <c r="V100">
        <v>2202</v>
      </c>
      <c r="W100">
        <v>1396</v>
      </c>
      <c r="X100">
        <v>1297</v>
      </c>
      <c r="Y100">
        <v>5950</v>
      </c>
    </row>
    <row r="101" spans="1:25" x14ac:dyDescent="0.2">
      <c r="A101">
        <v>100</v>
      </c>
      <c r="B101">
        <v>0</v>
      </c>
      <c r="C101">
        <v>4478</v>
      </c>
      <c r="D101">
        <v>7248</v>
      </c>
      <c r="E101">
        <v>18914</v>
      </c>
      <c r="F101">
        <v>49136</v>
      </c>
      <c r="G101">
        <v>126352</v>
      </c>
      <c r="H101">
        <v>322742</v>
      </c>
      <c r="I101">
        <v>816312</v>
      </c>
      <c r="J101">
        <v>2000</v>
      </c>
      <c r="K101">
        <v>7248</v>
      </c>
      <c r="L101">
        <v>2000</v>
      </c>
      <c r="M101">
        <v>1000</v>
      </c>
      <c r="N101">
        <v>1500</v>
      </c>
      <c r="O101">
        <v>2000</v>
      </c>
      <c r="P101">
        <v>2500</v>
      </c>
      <c r="Q101">
        <v>3000</v>
      </c>
      <c r="R101">
        <v>3500</v>
      </c>
      <c r="S101">
        <v>4000</v>
      </c>
      <c r="T101">
        <v>4500</v>
      </c>
      <c r="U101">
        <v>5000</v>
      </c>
      <c r="V101">
        <v>2218</v>
      </c>
      <c r="W101">
        <v>1400</v>
      </c>
      <c r="X101">
        <v>1300</v>
      </c>
      <c r="Y101">
        <v>6000</v>
      </c>
    </row>
    <row r="102" spans="1:25" x14ac:dyDescent="0.2">
      <c r="A102">
        <v>101</v>
      </c>
      <c r="B102">
        <v>0</v>
      </c>
      <c r="C102">
        <v>4546</v>
      </c>
      <c r="D102">
        <v>7393</v>
      </c>
      <c r="E102">
        <v>19482</v>
      </c>
      <c r="F102">
        <v>51102</v>
      </c>
      <c r="G102">
        <v>132670</v>
      </c>
      <c r="H102">
        <v>342107</v>
      </c>
      <c r="I102">
        <v>873454</v>
      </c>
      <c r="J102">
        <v>2000</v>
      </c>
      <c r="K102">
        <v>7321</v>
      </c>
      <c r="L102">
        <v>2010</v>
      </c>
      <c r="M102">
        <v>1001</v>
      </c>
      <c r="N102">
        <v>1505</v>
      </c>
      <c r="O102">
        <v>2010</v>
      </c>
      <c r="P102">
        <v>2515</v>
      </c>
      <c r="Q102">
        <v>3020</v>
      </c>
      <c r="R102">
        <v>3525</v>
      </c>
      <c r="S102">
        <v>4030</v>
      </c>
      <c r="T102">
        <v>4535</v>
      </c>
      <c r="U102">
        <v>5040</v>
      </c>
      <c r="V102">
        <v>2234</v>
      </c>
      <c r="W102">
        <v>1404</v>
      </c>
      <c r="X102">
        <v>1303</v>
      </c>
      <c r="Y102">
        <v>6050</v>
      </c>
    </row>
    <row r="103" spans="1:25" x14ac:dyDescent="0.2">
      <c r="A103">
        <v>102</v>
      </c>
      <c r="B103">
        <v>0</v>
      </c>
      <c r="C103">
        <v>4615</v>
      </c>
      <c r="D103">
        <v>7541</v>
      </c>
      <c r="E103">
        <v>20067</v>
      </c>
      <c r="F103">
        <v>53147</v>
      </c>
      <c r="G103">
        <v>139304</v>
      </c>
      <c r="H103">
        <v>362634</v>
      </c>
      <c r="I103">
        <v>934596</v>
      </c>
      <c r="J103">
        <v>2000</v>
      </c>
      <c r="K103">
        <v>7395</v>
      </c>
      <c r="L103">
        <v>2020</v>
      </c>
      <c r="M103">
        <v>1002</v>
      </c>
      <c r="N103">
        <v>1510</v>
      </c>
      <c r="O103">
        <v>2020</v>
      </c>
      <c r="P103">
        <v>2530</v>
      </c>
      <c r="Q103">
        <v>3040</v>
      </c>
      <c r="R103">
        <v>3550</v>
      </c>
      <c r="S103">
        <v>4060</v>
      </c>
      <c r="T103">
        <v>4570</v>
      </c>
      <c r="U103">
        <v>5080</v>
      </c>
      <c r="V103">
        <v>2250</v>
      </c>
      <c r="W103">
        <v>1408</v>
      </c>
      <c r="X103">
        <v>1306</v>
      </c>
      <c r="Y103">
        <v>6100</v>
      </c>
    </row>
    <row r="104" spans="1:25" x14ac:dyDescent="0.2">
      <c r="A104">
        <v>103</v>
      </c>
      <c r="B104">
        <v>0</v>
      </c>
      <c r="C104">
        <v>4685</v>
      </c>
      <c r="D104">
        <v>7692</v>
      </c>
      <c r="E104">
        <v>20670</v>
      </c>
      <c r="F104">
        <v>55273</v>
      </c>
      <c r="G104">
        <v>146270</v>
      </c>
      <c r="H104">
        <v>384393</v>
      </c>
      <c r="I104">
        <v>1000018</v>
      </c>
      <c r="J104">
        <v>2000</v>
      </c>
      <c r="K104">
        <v>7469</v>
      </c>
      <c r="L104">
        <v>2030</v>
      </c>
      <c r="M104">
        <v>1003</v>
      </c>
      <c r="N104">
        <v>1515</v>
      </c>
      <c r="O104">
        <v>2030</v>
      </c>
      <c r="P104">
        <v>2545</v>
      </c>
      <c r="Q104">
        <v>3060</v>
      </c>
      <c r="R104">
        <v>3575</v>
      </c>
      <c r="S104">
        <v>4090</v>
      </c>
      <c r="T104">
        <v>4605</v>
      </c>
      <c r="U104">
        <v>5120</v>
      </c>
      <c r="V104">
        <v>2266</v>
      </c>
      <c r="W104">
        <v>1412</v>
      </c>
      <c r="X104">
        <v>1309</v>
      </c>
      <c r="Y104">
        <v>6150</v>
      </c>
    </row>
    <row r="105" spans="1:25" x14ac:dyDescent="0.2">
      <c r="A105">
        <v>104</v>
      </c>
      <c r="B105">
        <v>0</v>
      </c>
      <c r="C105">
        <v>4756</v>
      </c>
      <c r="D105">
        <v>7846</v>
      </c>
      <c r="E105">
        <v>21291</v>
      </c>
      <c r="F105">
        <v>57484</v>
      </c>
      <c r="G105">
        <v>153584</v>
      </c>
      <c r="H105">
        <v>407457</v>
      </c>
      <c r="I105">
        <v>1070020</v>
      </c>
      <c r="J105">
        <v>2000</v>
      </c>
      <c r="K105">
        <v>7544</v>
      </c>
      <c r="L105">
        <v>2040</v>
      </c>
      <c r="M105">
        <v>1004</v>
      </c>
      <c r="N105">
        <v>1520</v>
      </c>
      <c r="O105">
        <v>2040</v>
      </c>
      <c r="P105">
        <v>2560</v>
      </c>
      <c r="Q105">
        <v>3080</v>
      </c>
      <c r="R105">
        <v>3600</v>
      </c>
      <c r="S105">
        <v>4120</v>
      </c>
      <c r="T105">
        <v>4640</v>
      </c>
      <c r="U105">
        <v>5160</v>
      </c>
      <c r="V105">
        <v>2282</v>
      </c>
      <c r="W105">
        <v>1416</v>
      </c>
      <c r="X105">
        <v>1312</v>
      </c>
      <c r="Y105">
        <v>6200</v>
      </c>
    </row>
    <row r="106" spans="1:25" x14ac:dyDescent="0.2">
      <c r="A106">
        <v>105</v>
      </c>
      <c r="B106">
        <v>0</v>
      </c>
      <c r="C106">
        <v>4828</v>
      </c>
      <c r="D106">
        <v>8003</v>
      </c>
      <c r="E106">
        <v>21930</v>
      </c>
      <c r="F106">
        <v>59784</v>
      </c>
      <c r="G106">
        <v>161264</v>
      </c>
      <c r="H106">
        <v>431905</v>
      </c>
      <c r="I106">
        <v>1144922</v>
      </c>
      <c r="J106">
        <v>2000</v>
      </c>
      <c r="K106">
        <v>7620</v>
      </c>
      <c r="L106">
        <v>2050</v>
      </c>
      <c r="M106">
        <v>1005</v>
      </c>
      <c r="N106">
        <v>1525</v>
      </c>
      <c r="O106">
        <v>2050</v>
      </c>
      <c r="P106">
        <v>2575</v>
      </c>
      <c r="Q106">
        <v>3100</v>
      </c>
      <c r="R106">
        <v>3625</v>
      </c>
      <c r="S106">
        <v>4150</v>
      </c>
      <c r="T106">
        <v>4675</v>
      </c>
      <c r="U106">
        <v>5200</v>
      </c>
      <c r="V106">
        <v>2298</v>
      </c>
      <c r="W106">
        <v>1420</v>
      </c>
      <c r="X106">
        <v>1315</v>
      </c>
      <c r="Y106">
        <v>6250</v>
      </c>
    </row>
    <row r="107" spans="1:25" x14ac:dyDescent="0.2">
      <c r="A107">
        <v>106</v>
      </c>
      <c r="B107">
        <v>0</v>
      </c>
      <c r="C107">
        <v>4901</v>
      </c>
      <c r="D107">
        <v>8164</v>
      </c>
      <c r="E107">
        <v>22588</v>
      </c>
      <c r="F107">
        <v>62176</v>
      </c>
      <c r="G107">
        <v>169328</v>
      </c>
      <c r="H107">
        <v>457820</v>
      </c>
      <c r="I107">
        <v>1225067</v>
      </c>
      <c r="J107">
        <v>2000</v>
      </c>
      <c r="K107">
        <v>7697</v>
      </c>
      <c r="L107">
        <v>2060</v>
      </c>
      <c r="M107">
        <v>1006</v>
      </c>
      <c r="N107">
        <v>1530</v>
      </c>
      <c r="O107">
        <v>2060</v>
      </c>
      <c r="P107">
        <v>2590</v>
      </c>
      <c r="Q107">
        <v>3120</v>
      </c>
      <c r="R107">
        <v>3650</v>
      </c>
      <c r="S107">
        <v>4180</v>
      </c>
      <c r="T107">
        <v>4710</v>
      </c>
      <c r="U107">
        <v>5240</v>
      </c>
      <c r="V107">
        <v>2314</v>
      </c>
      <c r="W107">
        <v>1424</v>
      </c>
      <c r="X107">
        <v>1318</v>
      </c>
      <c r="Y107">
        <v>6300</v>
      </c>
    </row>
    <row r="108" spans="1:25" x14ac:dyDescent="0.2">
      <c r="A108">
        <v>107</v>
      </c>
      <c r="B108">
        <v>0</v>
      </c>
      <c r="C108">
        <v>4975</v>
      </c>
      <c r="D108">
        <v>8328</v>
      </c>
      <c r="E108">
        <v>23266</v>
      </c>
      <c r="F108">
        <v>64664</v>
      </c>
      <c r="G108">
        <v>177795</v>
      </c>
      <c r="H108">
        <v>485290</v>
      </c>
      <c r="I108">
        <v>1310822</v>
      </c>
      <c r="J108">
        <v>2000</v>
      </c>
      <c r="K108">
        <v>7774</v>
      </c>
      <c r="L108">
        <v>2070</v>
      </c>
      <c r="M108">
        <v>1007</v>
      </c>
      <c r="N108">
        <v>1535</v>
      </c>
      <c r="O108">
        <v>2070</v>
      </c>
      <c r="P108">
        <v>2605</v>
      </c>
      <c r="Q108">
        <v>3140</v>
      </c>
      <c r="R108">
        <v>3675</v>
      </c>
      <c r="S108">
        <v>4210</v>
      </c>
      <c r="T108">
        <v>4745</v>
      </c>
      <c r="U108">
        <v>5280</v>
      </c>
      <c r="V108">
        <v>2330</v>
      </c>
      <c r="W108">
        <v>1428</v>
      </c>
      <c r="X108">
        <v>1321</v>
      </c>
      <c r="Y108">
        <v>6350</v>
      </c>
    </row>
    <row r="109" spans="1:25" x14ac:dyDescent="0.2">
      <c r="A109">
        <v>108</v>
      </c>
      <c r="B109">
        <v>0</v>
      </c>
      <c r="C109">
        <v>5050</v>
      </c>
      <c r="D109">
        <v>8495</v>
      </c>
      <c r="E109">
        <v>23964</v>
      </c>
      <c r="F109">
        <v>67251</v>
      </c>
      <c r="G109">
        <v>186685</v>
      </c>
      <c r="H109">
        <v>514408</v>
      </c>
      <c r="I109">
        <v>1402580</v>
      </c>
      <c r="J109">
        <v>2000</v>
      </c>
      <c r="K109">
        <v>7852</v>
      </c>
      <c r="L109">
        <v>2080</v>
      </c>
      <c r="M109">
        <v>1008</v>
      </c>
      <c r="N109">
        <v>1540</v>
      </c>
      <c r="O109">
        <v>2080</v>
      </c>
      <c r="P109">
        <v>2620</v>
      </c>
      <c r="Q109">
        <v>3160</v>
      </c>
      <c r="R109">
        <v>3700</v>
      </c>
      <c r="S109">
        <v>4240</v>
      </c>
      <c r="T109">
        <v>4780</v>
      </c>
      <c r="U109">
        <v>5320</v>
      </c>
      <c r="V109">
        <v>2346</v>
      </c>
      <c r="W109">
        <v>1432</v>
      </c>
      <c r="X109">
        <v>1324</v>
      </c>
      <c r="Y109">
        <v>6400</v>
      </c>
    </row>
    <row r="110" spans="1:25" x14ac:dyDescent="0.2">
      <c r="A110">
        <v>109</v>
      </c>
      <c r="B110">
        <v>0</v>
      </c>
      <c r="C110">
        <v>5126</v>
      </c>
      <c r="D110">
        <v>8665</v>
      </c>
      <c r="E110">
        <v>24683</v>
      </c>
      <c r="F110">
        <v>69942</v>
      </c>
      <c r="G110">
        <v>196020</v>
      </c>
      <c r="H110">
        <v>545273</v>
      </c>
      <c r="I110">
        <v>1500761</v>
      </c>
      <c r="J110">
        <v>2000</v>
      </c>
      <c r="K110">
        <v>7931</v>
      </c>
      <c r="L110">
        <v>2090</v>
      </c>
      <c r="M110">
        <v>1009</v>
      </c>
      <c r="N110">
        <v>1545</v>
      </c>
      <c r="O110">
        <v>2090</v>
      </c>
      <c r="P110">
        <v>2635</v>
      </c>
      <c r="Q110">
        <v>3180</v>
      </c>
      <c r="R110">
        <v>3725</v>
      </c>
      <c r="S110">
        <v>4270</v>
      </c>
      <c r="T110">
        <v>4815</v>
      </c>
      <c r="U110">
        <v>5360</v>
      </c>
      <c r="V110">
        <v>2362</v>
      </c>
      <c r="W110">
        <v>1436</v>
      </c>
      <c r="X110">
        <v>1327</v>
      </c>
      <c r="Y110">
        <v>6450</v>
      </c>
    </row>
    <row r="111" spans="1:25" x14ac:dyDescent="0.2">
      <c r="A111">
        <v>110</v>
      </c>
      <c r="B111">
        <v>0</v>
      </c>
      <c r="C111">
        <v>5203</v>
      </c>
      <c r="D111">
        <v>8839</v>
      </c>
      <c r="E111">
        <v>25424</v>
      </c>
      <c r="F111">
        <v>72740</v>
      </c>
      <c r="G111">
        <v>205821</v>
      </c>
      <c r="H111">
        <v>577990</v>
      </c>
      <c r="I111">
        <v>1605815</v>
      </c>
      <c r="J111">
        <v>2000</v>
      </c>
      <c r="K111">
        <v>8011</v>
      </c>
      <c r="L111">
        <v>2100</v>
      </c>
      <c r="M111">
        <v>1010</v>
      </c>
      <c r="N111">
        <v>1550</v>
      </c>
      <c r="O111">
        <v>2100</v>
      </c>
      <c r="P111">
        <v>2650</v>
      </c>
      <c r="Q111">
        <v>3200</v>
      </c>
      <c r="R111">
        <v>3750</v>
      </c>
      <c r="S111">
        <v>4300</v>
      </c>
      <c r="T111">
        <v>4850</v>
      </c>
      <c r="U111">
        <v>5400</v>
      </c>
      <c r="V111">
        <v>2378</v>
      </c>
      <c r="W111">
        <v>1440</v>
      </c>
      <c r="X111">
        <v>1330</v>
      </c>
      <c r="Y111">
        <v>6500</v>
      </c>
    </row>
    <row r="112" spans="1:25" x14ac:dyDescent="0.2">
      <c r="A112">
        <v>111</v>
      </c>
      <c r="B112">
        <v>0</v>
      </c>
      <c r="C112">
        <v>5282</v>
      </c>
      <c r="D112">
        <v>9016</v>
      </c>
      <c r="E112">
        <v>26187</v>
      </c>
      <c r="F112">
        <v>75650</v>
      </c>
      <c r="G112">
        <v>216113</v>
      </c>
      <c r="H112">
        <v>612670</v>
      </c>
      <c r="I112">
        <v>1718223</v>
      </c>
      <c r="J112">
        <v>2000</v>
      </c>
      <c r="K112">
        <v>8092</v>
      </c>
      <c r="L112">
        <v>2110</v>
      </c>
      <c r="M112">
        <v>1011</v>
      </c>
      <c r="N112">
        <v>1555</v>
      </c>
      <c r="O112">
        <v>2110</v>
      </c>
      <c r="P112">
        <v>2665</v>
      </c>
      <c r="Q112">
        <v>3220</v>
      </c>
      <c r="R112">
        <v>3775</v>
      </c>
      <c r="S112">
        <v>4330</v>
      </c>
      <c r="T112">
        <v>4885</v>
      </c>
      <c r="U112">
        <v>5440</v>
      </c>
      <c r="V112">
        <v>2394</v>
      </c>
      <c r="W112">
        <v>1444</v>
      </c>
      <c r="X112">
        <v>1333</v>
      </c>
      <c r="Y112">
        <v>6550</v>
      </c>
    </row>
    <row r="113" spans="1:25" x14ac:dyDescent="0.2">
      <c r="A113">
        <v>112</v>
      </c>
      <c r="B113">
        <v>0</v>
      </c>
      <c r="C113">
        <v>5362</v>
      </c>
      <c r="D113">
        <v>9197</v>
      </c>
      <c r="E113">
        <v>26973</v>
      </c>
      <c r="F113">
        <v>78676</v>
      </c>
      <c r="G113">
        <v>226919</v>
      </c>
      <c r="H113">
        <v>649431</v>
      </c>
      <c r="I113">
        <v>1838499</v>
      </c>
      <c r="J113">
        <v>2000</v>
      </c>
      <c r="K113">
        <v>8173</v>
      </c>
      <c r="L113">
        <v>2120</v>
      </c>
      <c r="M113">
        <v>1012</v>
      </c>
      <c r="N113">
        <v>1560</v>
      </c>
      <c r="O113">
        <v>2120</v>
      </c>
      <c r="P113">
        <v>2680</v>
      </c>
      <c r="Q113">
        <v>3240</v>
      </c>
      <c r="R113">
        <v>3800</v>
      </c>
      <c r="S113">
        <v>4360</v>
      </c>
      <c r="T113">
        <v>4920</v>
      </c>
      <c r="U113">
        <v>5480</v>
      </c>
      <c r="V113">
        <v>2410</v>
      </c>
      <c r="W113">
        <v>1448</v>
      </c>
      <c r="X113">
        <v>1336</v>
      </c>
      <c r="Y113">
        <v>6600</v>
      </c>
    </row>
    <row r="114" spans="1:25" x14ac:dyDescent="0.2">
      <c r="A114">
        <v>113</v>
      </c>
      <c r="B114">
        <v>0</v>
      </c>
      <c r="C114">
        <v>5443</v>
      </c>
      <c r="D114">
        <v>9381</v>
      </c>
      <c r="E114">
        <v>27783</v>
      </c>
      <c r="F114">
        <v>81824</v>
      </c>
      <c r="G114">
        <v>238265</v>
      </c>
      <c r="H114">
        <v>688397</v>
      </c>
      <c r="I114">
        <v>1967194</v>
      </c>
      <c r="J114">
        <v>2000</v>
      </c>
      <c r="K114">
        <v>8255</v>
      </c>
      <c r="L114">
        <v>2130</v>
      </c>
      <c r="M114">
        <v>1013</v>
      </c>
      <c r="N114">
        <v>1565</v>
      </c>
      <c r="O114">
        <v>2130</v>
      </c>
      <c r="P114">
        <v>2695</v>
      </c>
      <c r="Q114">
        <v>3260</v>
      </c>
      <c r="R114">
        <v>3825</v>
      </c>
      <c r="S114">
        <v>4390</v>
      </c>
      <c r="T114">
        <v>4955</v>
      </c>
      <c r="U114">
        <v>5520</v>
      </c>
      <c r="V114">
        <v>2427</v>
      </c>
      <c r="W114">
        <v>1452</v>
      </c>
      <c r="X114">
        <v>1339</v>
      </c>
      <c r="Y114">
        <v>6650</v>
      </c>
    </row>
    <row r="115" spans="1:25" x14ac:dyDescent="0.2">
      <c r="A115">
        <v>114</v>
      </c>
      <c r="B115">
        <v>0</v>
      </c>
      <c r="C115">
        <v>5525</v>
      </c>
      <c r="D115">
        <v>9569</v>
      </c>
      <c r="E115">
        <v>28617</v>
      </c>
      <c r="F115">
        <v>85097</v>
      </c>
      <c r="G115">
        <v>250179</v>
      </c>
      <c r="H115">
        <v>729701</v>
      </c>
      <c r="I115">
        <v>2104898</v>
      </c>
      <c r="J115">
        <v>2000</v>
      </c>
      <c r="K115">
        <v>8338</v>
      </c>
      <c r="L115">
        <v>2140</v>
      </c>
      <c r="M115">
        <v>1014</v>
      </c>
      <c r="N115">
        <v>1570</v>
      </c>
      <c r="O115">
        <v>2140</v>
      </c>
      <c r="P115">
        <v>2710</v>
      </c>
      <c r="Q115">
        <v>3280</v>
      </c>
      <c r="R115">
        <v>3850</v>
      </c>
      <c r="S115">
        <v>4420</v>
      </c>
      <c r="T115">
        <v>4990</v>
      </c>
      <c r="U115">
        <v>5560</v>
      </c>
      <c r="V115">
        <v>2444</v>
      </c>
      <c r="W115">
        <v>1456</v>
      </c>
      <c r="X115">
        <v>1342</v>
      </c>
      <c r="Y115">
        <v>6700</v>
      </c>
    </row>
    <row r="116" spans="1:25" x14ac:dyDescent="0.2">
      <c r="A116">
        <v>115</v>
      </c>
      <c r="B116">
        <v>0</v>
      </c>
      <c r="C116">
        <v>5608</v>
      </c>
      <c r="D116">
        <v>9761</v>
      </c>
      <c r="E116">
        <v>29476</v>
      </c>
      <c r="F116">
        <v>88501</v>
      </c>
      <c r="G116">
        <v>262688</v>
      </c>
      <c r="H116">
        <v>773484</v>
      </c>
      <c r="I116">
        <v>2252241</v>
      </c>
      <c r="J116">
        <v>2000</v>
      </c>
      <c r="K116">
        <v>8422</v>
      </c>
      <c r="L116">
        <v>2150</v>
      </c>
      <c r="M116">
        <v>1015</v>
      </c>
      <c r="N116">
        <v>1575</v>
      </c>
      <c r="O116">
        <v>2150</v>
      </c>
      <c r="P116">
        <v>2725</v>
      </c>
      <c r="Q116">
        <v>3300</v>
      </c>
      <c r="R116">
        <v>3875</v>
      </c>
      <c r="S116">
        <v>4450</v>
      </c>
      <c r="T116">
        <v>5025</v>
      </c>
      <c r="U116">
        <v>5600</v>
      </c>
      <c r="V116">
        <v>2461</v>
      </c>
      <c r="W116">
        <v>1460</v>
      </c>
      <c r="X116">
        <v>1345</v>
      </c>
      <c r="Y116">
        <v>6750</v>
      </c>
    </row>
    <row r="117" spans="1:25" x14ac:dyDescent="0.2">
      <c r="A117">
        <v>116</v>
      </c>
      <c r="B117">
        <v>0</v>
      </c>
      <c r="C117">
        <v>5693</v>
      </c>
      <c r="D117">
        <v>9957</v>
      </c>
      <c r="E117">
        <v>30361</v>
      </c>
      <c r="F117">
        <v>92042</v>
      </c>
      <c r="G117">
        <v>275823</v>
      </c>
      <c r="H117">
        <v>819894</v>
      </c>
      <c r="I117">
        <v>2409898</v>
      </c>
      <c r="J117">
        <v>2000</v>
      </c>
      <c r="K117">
        <v>8507</v>
      </c>
      <c r="L117">
        <v>2160</v>
      </c>
      <c r="M117">
        <v>1016</v>
      </c>
      <c r="N117">
        <v>1580</v>
      </c>
      <c r="O117">
        <v>2160</v>
      </c>
      <c r="P117">
        <v>2740</v>
      </c>
      <c r="Q117">
        <v>3320</v>
      </c>
      <c r="R117">
        <v>3900</v>
      </c>
      <c r="S117">
        <v>4480</v>
      </c>
      <c r="T117">
        <v>5060</v>
      </c>
      <c r="U117">
        <v>5640</v>
      </c>
      <c r="V117">
        <v>2478</v>
      </c>
      <c r="W117">
        <v>1464</v>
      </c>
      <c r="X117">
        <v>1348</v>
      </c>
      <c r="Y117">
        <v>6800</v>
      </c>
    </row>
    <row r="118" spans="1:25" x14ac:dyDescent="0.2">
      <c r="A118">
        <v>117</v>
      </c>
      <c r="B118">
        <v>0</v>
      </c>
      <c r="C118">
        <v>5779</v>
      </c>
      <c r="D118">
        <v>10157</v>
      </c>
      <c r="E118">
        <v>31272</v>
      </c>
      <c r="F118">
        <v>95724</v>
      </c>
      <c r="G118">
        <v>289615</v>
      </c>
      <c r="H118">
        <v>869088</v>
      </c>
      <c r="I118">
        <v>2578591</v>
      </c>
      <c r="J118">
        <v>2000</v>
      </c>
      <c r="K118">
        <v>8593</v>
      </c>
      <c r="L118">
        <v>2170</v>
      </c>
      <c r="M118">
        <v>1017</v>
      </c>
      <c r="N118">
        <v>1585</v>
      </c>
      <c r="O118">
        <v>2170</v>
      </c>
      <c r="P118">
        <v>2755</v>
      </c>
      <c r="Q118">
        <v>3340</v>
      </c>
      <c r="R118">
        <v>3925</v>
      </c>
      <c r="S118">
        <v>4510</v>
      </c>
      <c r="T118">
        <v>5095</v>
      </c>
      <c r="U118">
        <v>5680</v>
      </c>
      <c r="V118">
        <v>2495</v>
      </c>
      <c r="W118">
        <v>1468</v>
      </c>
      <c r="X118">
        <v>1351</v>
      </c>
      <c r="Y118">
        <v>6850</v>
      </c>
    </row>
    <row r="119" spans="1:25" x14ac:dyDescent="0.2">
      <c r="A119">
        <v>118</v>
      </c>
      <c r="B119">
        <v>0</v>
      </c>
      <c r="C119">
        <v>5866</v>
      </c>
      <c r="D119">
        <v>10361</v>
      </c>
      <c r="E119">
        <v>32211</v>
      </c>
      <c r="F119">
        <v>99553</v>
      </c>
      <c r="G119">
        <v>304096</v>
      </c>
      <c r="H119">
        <v>921234</v>
      </c>
      <c r="I119">
        <v>2759093</v>
      </c>
      <c r="J119">
        <v>2000</v>
      </c>
      <c r="K119">
        <v>8679</v>
      </c>
      <c r="L119">
        <v>2180</v>
      </c>
      <c r="M119">
        <v>1018</v>
      </c>
      <c r="N119">
        <v>1590</v>
      </c>
      <c r="O119">
        <v>2180</v>
      </c>
      <c r="P119">
        <v>2770</v>
      </c>
      <c r="Q119">
        <v>3360</v>
      </c>
      <c r="R119">
        <v>3950</v>
      </c>
      <c r="S119">
        <v>4540</v>
      </c>
      <c r="T119">
        <v>5130</v>
      </c>
      <c r="U119">
        <v>5720</v>
      </c>
      <c r="V119">
        <v>2512</v>
      </c>
      <c r="W119">
        <v>1472</v>
      </c>
      <c r="X119">
        <v>1354</v>
      </c>
      <c r="Y119">
        <v>6900</v>
      </c>
    </row>
    <row r="120" spans="1:25" x14ac:dyDescent="0.2">
      <c r="A120">
        <v>119</v>
      </c>
      <c r="B120">
        <v>0</v>
      </c>
      <c r="C120">
        <v>5954</v>
      </c>
      <c r="D120">
        <v>10569</v>
      </c>
      <c r="E120">
        <v>33178</v>
      </c>
      <c r="F120">
        <v>103536</v>
      </c>
      <c r="G120">
        <v>319301</v>
      </c>
      <c r="H120">
        <v>976509</v>
      </c>
      <c r="I120">
        <v>2952230</v>
      </c>
      <c r="J120">
        <v>2000</v>
      </c>
      <c r="K120">
        <v>8766</v>
      </c>
      <c r="L120">
        <v>2190</v>
      </c>
      <c r="M120">
        <v>1019</v>
      </c>
      <c r="N120">
        <v>1595</v>
      </c>
      <c r="O120">
        <v>2190</v>
      </c>
      <c r="P120">
        <v>2785</v>
      </c>
      <c r="Q120">
        <v>3380</v>
      </c>
      <c r="R120">
        <v>3975</v>
      </c>
      <c r="S120">
        <v>4570</v>
      </c>
      <c r="T120">
        <v>5165</v>
      </c>
      <c r="U120">
        <v>5760</v>
      </c>
      <c r="V120">
        <v>2529</v>
      </c>
      <c r="W120">
        <v>1476</v>
      </c>
      <c r="X120">
        <v>1357</v>
      </c>
      <c r="Y120">
        <v>6950</v>
      </c>
    </row>
    <row r="121" spans="1:25" x14ac:dyDescent="0.2">
      <c r="A121">
        <v>120</v>
      </c>
      <c r="B121">
        <v>0</v>
      </c>
      <c r="C121">
        <v>6044</v>
      </c>
      <c r="D121">
        <v>10781</v>
      </c>
      <c r="E121">
        <v>34174</v>
      </c>
      <c r="F121">
        <v>107678</v>
      </c>
      <c r="G121">
        <v>335267</v>
      </c>
      <c r="H121">
        <v>1035100</v>
      </c>
      <c r="I121">
        <v>3158887</v>
      </c>
      <c r="J121">
        <v>2000</v>
      </c>
      <c r="K121">
        <v>8854</v>
      </c>
      <c r="L121">
        <v>2200</v>
      </c>
      <c r="M121">
        <v>1020</v>
      </c>
      <c r="N121">
        <v>1600</v>
      </c>
      <c r="O121">
        <v>2200</v>
      </c>
      <c r="P121">
        <v>2800</v>
      </c>
      <c r="Q121">
        <v>3400</v>
      </c>
      <c r="R121">
        <v>4000</v>
      </c>
      <c r="S121">
        <v>4600</v>
      </c>
      <c r="T121">
        <v>5200</v>
      </c>
      <c r="U121">
        <v>5800</v>
      </c>
      <c r="V121">
        <v>2546</v>
      </c>
      <c r="W121">
        <v>1480</v>
      </c>
      <c r="X121">
        <v>1360</v>
      </c>
      <c r="Y121">
        <v>7000</v>
      </c>
    </row>
    <row r="122" spans="1:25" x14ac:dyDescent="0.2">
      <c r="A122">
        <v>121</v>
      </c>
      <c r="B122">
        <v>0</v>
      </c>
      <c r="C122">
        <v>6135</v>
      </c>
      <c r="D122">
        <v>10997</v>
      </c>
      <c r="E122">
        <v>35200</v>
      </c>
      <c r="F122">
        <v>111986</v>
      </c>
      <c r="G122">
        <v>352031</v>
      </c>
      <c r="H122">
        <v>1097206</v>
      </c>
      <c r="I122">
        <v>3380010</v>
      </c>
      <c r="J122">
        <v>2000</v>
      </c>
      <c r="K122">
        <v>8943</v>
      </c>
      <c r="L122">
        <v>2210</v>
      </c>
      <c r="M122">
        <v>1021</v>
      </c>
      <c r="N122">
        <v>1605</v>
      </c>
      <c r="O122">
        <v>2210</v>
      </c>
      <c r="P122">
        <v>2815</v>
      </c>
      <c r="Q122">
        <v>3420</v>
      </c>
      <c r="R122">
        <v>4025</v>
      </c>
      <c r="S122">
        <v>4630</v>
      </c>
      <c r="T122">
        <v>5235</v>
      </c>
      <c r="U122">
        <v>5840</v>
      </c>
      <c r="V122">
        <v>2563</v>
      </c>
      <c r="W122">
        <v>1484</v>
      </c>
      <c r="X122">
        <v>1363</v>
      </c>
      <c r="Y122">
        <v>7010</v>
      </c>
    </row>
    <row r="123" spans="1:25" x14ac:dyDescent="0.2">
      <c r="A123">
        <v>122</v>
      </c>
      <c r="B123">
        <v>0</v>
      </c>
      <c r="C123">
        <v>6228</v>
      </c>
      <c r="D123">
        <v>11217</v>
      </c>
      <c r="E123">
        <v>36256</v>
      </c>
      <c r="F123">
        <v>116466</v>
      </c>
      <c r="G123">
        <v>369633</v>
      </c>
      <c r="H123">
        <v>1163039</v>
      </c>
      <c r="I123">
        <v>3616611</v>
      </c>
      <c r="J123">
        <v>2000</v>
      </c>
      <c r="K123">
        <v>9033</v>
      </c>
      <c r="L123">
        <v>2220</v>
      </c>
      <c r="M123">
        <v>1022</v>
      </c>
      <c r="N123">
        <v>1610</v>
      </c>
      <c r="O123">
        <v>2220</v>
      </c>
      <c r="P123">
        <v>2830</v>
      </c>
      <c r="Q123">
        <v>3440</v>
      </c>
      <c r="R123">
        <v>4050</v>
      </c>
      <c r="S123">
        <v>4660</v>
      </c>
      <c r="T123">
        <v>5270</v>
      </c>
      <c r="U123">
        <v>5880</v>
      </c>
      <c r="V123">
        <v>2580</v>
      </c>
      <c r="W123">
        <v>1488</v>
      </c>
      <c r="X123">
        <v>1366</v>
      </c>
      <c r="Y123">
        <v>7020</v>
      </c>
    </row>
    <row r="124" spans="1:25" x14ac:dyDescent="0.2">
      <c r="A124">
        <v>123</v>
      </c>
      <c r="B124">
        <v>0</v>
      </c>
      <c r="C124">
        <v>6322</v>
      </c>
      <c r="D124">
        <v>11442</v>
      </c>
      <c r="E124">
        <v>37344</v>
      </c>
      <c r="F124">
        <v>121125</v>
      </c>
      <c r="G124">
        <v>388115</v>
      </c>
      <c r="H124">
        <v>1232822</v>
      </c>
      <c r="I124">
        <v>3869774</v>
      </c>
      <c r="J124">
        <v>2000</v>
      </c>
      <c r="K124">
        <v>9124</v>
      </c>
      <c r="L124">
        <v>2230</v>
      </c>
      <c r="M124">
        <v>1023</v>
      </c>
      <c r="N124">
        <v>1615</v>
      </c>
      <c r="O124">
        <v>2230</v>
      </c>
      <c r="P124">
        <v>2845</v>
      </c>
      <c r="Q124">
        <v>3460</v>
      </c>
      <c r="R124">
        <v>4075</v>
      </c>
      <c r="S124">
        <v>4690</v>
      </c>
      <c r="T124">
        <v>5305</v>
      </c>
      <c r="U124">
        <v>5920</v>
      </c>
      <c r="V124">
        <v>2597</v>
      </c>
      <c r="W124">
        <v>1492</v>
      </c>
      <c r="X124">
        <v>1369</v>
      </c>
      <c r="Y124">
        <v>7030</v>
      </c>
    </row>
    <row r="125" spans="1:25" x14ac:dyDescent="0.2">
      <c r="A125">
        <v>124</v>
      </c>
      <c r="B125">
        <v>0</v>
      </c>
      <c r="C125">
        <v>6417</v>
      </c>
      <c r="D125">
        <v>11671</v>
      </c>
      <c r="E125">
        <v>38465</v>
      </c>
      <c r="F125">
        <v>125970</v>
      </c>
      <c r="G125">
        <v>407521</v>
      </c>
      <c r="H125">
        <v>1306792</v>
      </c>
      <c r="I125">
        <v>4140659</v>
      </c>
      <c r="J125">
        <v>2000</v>
      </c>
      <c r="K125">
        <v>9216</v>
      </c>
      <c r="L125">
        <v>2240</v>
      </c>
      <c r="M125">
        <v>1024</v>
      </c>
      <c r="N125">
        <v>1620</v>
      </c>
      <c r="O125">
        <v>2240</v>
      </c>
      <c r="P125">
        <v>2860</v>
      </c>
      <c r="Q125">
        <v>3480</v>
      </c>
      <c r="R125">
        <v>4100</v>
      </c>
      <c r="S125">
        <v>4720</v>
      </c>
      <c r="T125">
        <v>5340</v>
      </c>
      <c r="U125">
        <v>5960</v>
      </c>
      <c r="V125">
        <v>2615</v>
      </c>
      <c r="W125">
        <v>1496</v>
      </c>
      <c r="X125">
        <v>1372</v>
      </c>
      <c r="Y125">
        <v>7040</v>
      </c>
    </row>
    <row r="126" spans="1:25" x14ac:dyDescent="0.2">
      <c r="A126">
        <v>125</v>
      </c>
      <c r="B126">
        <v>0</v>
      </c>
      <c r="C126">
        <v>6514</v>
      </c>
      <c r="D126">
        <v>11905</v>
      </c>
      <c r="E126">
        <v>39619</v>
      </c>
      <c r="F126">
        <v>131009</v>
      </c>
      <c r="G126">
        <v>427898</v>
      </c>
      <c r="H126">
        <v>1385200</v>
      </c>
      <c r="I126">
        <v>4430506</v>
      </c>
      <c r="J126">
        <v>2000</v>
      </c>
      <c r="K126">
        <v>9309</v>
      </c>
      <c r="L126">
        <v>2250</v>
      </c>
      <c r="M126">
        <v>1025</v>
      </c>
      <c r="N126">
        <v>1625</v>
      </c>
      <c r="O126">
        <v>2250</v>
      </c>
      <c r="P126">
        <v>2875</v>
      </c>
      <c r="Q126">
        <v>3500</v>
      </c>
      <c r="R126">
        <v>4125</v>
      </c>
      <c r="S126">
        <v>4750</v>
      </c>
      <c r="T126">
        <v>5375</v>
      </c>
      <c r="U126">
        <v>6000</v>
      </c>
      <c r="V126">
        <v>2633</v>
      </c>
      <c r="W126">
        <v>1500</v>
      </c>
      <c r="X126">
        <v>1375</v>
      </c>
      <c r="Y126">
        <v>7050</v>
      </c>
    </row>
    <row r="127" spans="1:25" x14ac:dyDescent="0.2">
      <c r="A127">
        <v>126</v>
      </c>
      <c r="B127">
        <v>0</v>
      </c>
      <c r="C127">
        <v>6612</v>
      </c>
      <c r="D127">
        <v>12144</v>
      </c>
      <c r="E127">
        <v>40808</v>
      </c>
      <c r="F127">
        <v>136250</v>
      </c>
      <c r="G127">
        <v>449293</v>
      </c>
      <c r="H127">
        <v>1468312</v>
      </c>
      <c r="I127">
        <v>4740642</v>
      </c>
      <c r="J127">
        <v>2000</v>
      </c>
      <c r="K127">
        <v>9403</v>
      </c>
      <c r="L127">
        <v>2260</v>
      </c>
      <c r="M127">
        <v>1026</v>
      </c>
      <c r="N127">
        <v>1630</v>
      </c>
      <c r="O127">
        <v>2260</v>
      </c>
      <c r="P127">
        <v>2890</v>
      </c>
      <c r="Q127">
        <v>3520</v>
      </c>
      <c r="R127">
        <v>4150</v>
      </c>
      <c r="S127">
        <v>4780</v>
      </c>
      <c r="T127">
        <v>5410</v>
      </c>
      <c r="U127">
        <v>6040</v>
      </c>
      <c r="V127">
        <v>2651</v>
      </c>
      <c r="W127">
        <v>1504</v>
      </c>
      <c r="X127">
        <v>1378</v>
      </c>
      <c r="Y127">
        <v>7060</v>
      </c>
    </row>
    <row r="128" spans="1:25" x14ac:dyDescent="0.2">
      <c r="A128">
        <v>127</v>
      </c>
      <c r="B128">
        <v>0</v>
      </c>
      <c r="C128">
        <v>6712</v>
      </c>
      <c r="D128">
        <v>12387</v>
      </c>
      <c r="E128">
        <v>42033</v>
      </c>
      <c r="F128">
        <v>141700</v>
      </c>
      <c r="G128">
        <v>471758</v>
      </c>
      <c r="H128">
        <v>1556411</v>
      </c>
      <c r="I128">
        <v>5072487</v>
      </c>
      <c r="J128">
        <v>2000</v>
      </c>
      <c r="K128">
        <v>9498</v>
      </c>
      <c r="L128">
        <v>2270</v>
      </c>
      <c r="M128">
        <v>1027</v>
      </c>
      <c r="N128">
        <v>1635</v>
      </c>
      <c r="O128">
        <v>2270</v>
      </c>
      <c r="P128">
        <v>2905</v>
      </c>
      <c r="Q128">
        <v>3540</v>
      </c>
      <c r="R128">
        <v>4175</v>
      </c>
      <c r="S128">
        <v>4810</v>
      </c>
      <c r="T128">
        <v>5445</v>
      </c>
      <c r="U128">
        <v>6080</v>
      </c>
      <c r="V128">
        <v>2669</v>
      </c>
      <c r="W128">
        <v>1508</v>
      </c>
      <c r="X128">
        <v>1381</v>
      </c>
      <c r="Y128">
        <v>7070</v>
      </c>
    </row>
    <row r="129" spans="1:25" x14ac:dyDescent="0.2">
      <c r="A129">
        <v>128</v>
      </c>
      <c r="B129">
        <v>0</v>
      </c>
      <c r="C129">
        <v>6813</v>
      </c>
      <c r="D129">
        <v>12635</v>
      </c>
      <c r="E129">
        <v>43294</v>
      </c>
      <c r="F129">
        <v>147368</v>
      </c>
      <c r="G129">
        <v>495346</v>
      </c>
      <c r="H129">
        <v>1649796</v>
      </c>
      <c r="I129">
        <v>5427562</v>
      </c>
      <c r="J129">
        <v>2000</v>
      </c>
      <c r="K129">
        <v>9593</v>
      </c>
      <c r="L129">
        <v>2280</v>
      </c>
      <c r="M129">
        <v>1028</v>
      </c>
      <c r="N129">
        <v>1640</v>
      </c>
      <c r="O129">
        <v>2280</v>
      </c>
      <c r="P129">
        <v>2920</v>
      </c>
      <c r="Q129">
        <v>3560</v>
      </c>
      <c r="R129">
        <v>4200</v>
      </c>
      <c r="S129">
        <v>4840</v>
      </c>
      <c r="T129">
        <v>5480</v>
      </c>
      <c r="U129">
        <v>6120</v>
      </c>
      <c r="V129">
        <v>2687</v>
      </c>
      <c r="W129">
        <v>1512</v>
      </c>
      <c r="X129">
        <v>1384</v>
      </c>
      <c r="Y129">
        <v>7080</v>
      </c>
    </row>
    <row r="130" spans="1:25" x14ac:dyDescent="0.2">
      <c r="A130">
        <v>129</v>
      </c>
      <c r="B130">
        <v>0</v>
      </c>
      <c r="C130">
        <v>6916</v>
      </c>
      <c r="D130">
        <v>12888</v>
      </c>
      <c r="E130">
        <v>44593</v>
      </c>
      <c r="F130">
        <v>153263</v>
      </c>
      <c r="G130">
        <v>520114</v>
      </c>
      <c r="H130">
        <v>1748784</v>
      </c>
      <c r="I130">
        <v>5807492</v>
      </c>
      <c r="J130">
        <v>2000</v>
      </c>
      <c r="K130">
        <v>9689</v>
      </c>
      <c r="L130">
        <v>2290</v>
      </c>
      <c r="M130">
        <v>1029</v>
      </c>
      <c r="N130">
        <v>1645</v>
      </c>
      <c r="O130">
        <v>2290</v>
      </c>
      <c r="P130">
        <v>2935</v>
      </c>
      <c r="Q130">
        <v>3580</v>
      </c>
      <c r="R130">
        <v>4225</v>
      </c>
      <c r="S130">
        <v>4870</v>
      </c>
      <c r="T130">
        <v>5515</v>
      </c>
      <c r="U130">
        <v>6160</v>
      </c>
      <c r="V130">
        <v>2705</v>
      </c>
      <c r="W130">
        <v>1516</v>
      </c>
      <c r="X130">
        <v>1387</v>
      </c>
      <c r="Y130">
        <v>7090</v>
      </c>
    </row>
    <row r="131" spans="1:25" x14ac:dyDescent="0.2">
      <c r="A131">
        <v>130</v>
      </c>
      <c r="B131">
        <v>0</v>
      </c>
      <c r="C131">
        <v>7020</v>
      </c>
      <c r="D131">
        <v>13146</v>
      </c>
      <c r="E131">
        <v>45931</v>
      </c>
      <c r="F131">
        <v>159394</v>
      </c>
      <c r="G131">
        <v>546120</v>
      </c>
      <c r="H131">
        <v>1853712</v>
      </c>
      <c r="I131">
        <v>6214017</v>
      </c>
      <c r="J131">
        <v>2000</v>
      </c>
      <c r="K131">
        <v>9786</v>
      </c>
      <c r="L131">
        <v>2300</v>
      </c>
      <c r="M131">
        <v>1030</v>
      </c>
      <c r="N131">
        <v>1650</v>
      </c>
      <c r="O131">
        <v>2300</v>
      </c>
      <c r="P131">
        <v>2950</v>
      </c>
      <c r="Q131">
        <v>3600</v>
      </c>
      <c r="R131">
        <v>4250</v>
      </c>
      <c r="S131">
        <v>4900</v>
      </c>
      <c r="T131">
        <v>5550</v>
      </c>
      <c r="U131">
        <v>6200</v>
      </c>
      <c r="V131">
        <v>2723</v>
      </c>
      <c r="W131">
        <v>1520</v>
      </c>
      <c r="X131">
        <v>1390</v>
      </c>
      <c r="Y131">
        <v>7100</v>
      </c>
    </row>
    <row r="132" spans="1:25" x14ac:dyDescent="0.2">
      <c r="A132">
        <v>131</v>
      </c>
      <c r="B132">
        <v>0</v>
      </c>
      <c r="C132">
        <v>7126</v>
      </c>
      <c r="D132">
        <v>13409</v>
      </c>
      <c r="E132">
        <v>47309</v>
      </c>
      <c r="F132">
        <v>165770</v>
      </c>
      <c r="G132">
        <v>573426</v>
      </c>
      <c r="H132">
        <v>1964935</v>
      </c>
      <c r="I132">
        <v>6648999</v>
      </c>
      <c r="J132">
        <v>2000</v>
      </c>
      <c r="K132">
        <v>9884</v>
      </c>
      <c r="L132">
        <v>2310</v>
      </c>
      <c r="M132">
        <v>1031</v>
      </c>
      <c r="N132">
        <v>1655</v>
      </c>
      <c r="O132">
        <v>2310</v>
      </c>
      <c r="P132">
        <v>2965</v>
      </c>
      <c r="Q132">
        <v>3620</v>
      </c>
      <c r="R132">
        <v>4275</v>
      </c>
      <c r="S132">
        <v>4930</v>
      </c>
      <c r="T132">
        <v>5585</v>
      </c>
      <c r="U132">
        <v>6240</v>
      </c>
      <c r="V132">
        <v>2741</v>
      </c>
      <c r="W132">
        <v>1524</v>
      </c>
      <c r="X132">
        <v>1393</v>
      </c>
      <c r="Y132">
        <v>7110</v>
      </c>
    </row>
    <row r="133" spans="1:25" x14ac:dyDescent="0.2">
      <c r="A133">
        <v>132</v>
      </c>
      <c r="B133">
        <v>0</v>
      </c>
      <c r="C133">
        <v>7233</v>
      </c>
      <c r="D133">
        <v>13678</v>
      </c>
      <c r="E133">
        <v>48729</v>
      </c>
      <c r="F133">
        <v>172401</v>
      </c>
      <c r="G133">
        <v>602098</v>
      </c>
      <c r="H133">
        <v>2082832</v>
      </c>
      <c r="I133">
        <v>7114429</v>
      </c>
      <c r="J133">
        <v>2000</v>
      </c>
      <c r="K133">
        <v>9983</v>
      </c>
      <c r="L133">
        <v>2320</v>
      </c>
      <c r="M133">
        <v>1032</v>
      </c>
      <c r="N133">
        <v>1660</v>
      </c>
      <c r="O133">
        <v>2320</v>
      </c>
      <c r="P133">
        <v>2980</v>
      </c>
      <c r="Q133">
        <v>3640</v>
      </c>
      <c r="R133">
        <v>4300</v>
      </c>
      <c r="S133">
        <v>4960</v>
      </c>
      <c r="T133">
        <v>5620</v>
      </c>
      <c r="U133">
        <v>6280</v>
      </c>
      <c r="V133">
        <v>2759</v>
      </c>
      <c r="W133">
        <v>1528</v>
      </c>
      <c r="X133">
        <v>1396</v>
      </c>
      <c r="Y133">
        <v>7120</v>
      </c>
    </row>
    <row r="134" spans="1:25" x14ac:dyDescent="0.2">
      <c r="A134">
        <v>133</v>
      </c>
      <c r="B134">
        <v>0</v>
      </c>
      <c r="C134">
        <v>7342</v>
      </c>
      <c r="D134">
        <v>13952</v>
      </c>
      <c r="E134">
        <v>50191</v>
      </c>
      <c r="F134">
        <v>179298</v>
      </c>
      <c r="G134">
        <v>632203</v>
      </c>
      <c r="H134">
        <v>2207802</v>
      </c>
      <c r="I134">
        <v>7612440</v>
      </c>
      <c r="J134">
        <v>2000</v>
      </c>
      <c r="K134">
        <v>10083</v>
      </c>
      <c r="L134">
        <v>2330</v>
      </c>
      <c r="M134">
        <v>1033</v>
      </c>
      <c r="N134">
        <v>1665</v>
      </c>
      <c r="O134">
        <v>2330</v>
      </c>
      <c r="P134">
        <v>2995</v>
      </c>
      <c r="Q134">
        <v>3660</v>
      </c>
      <c r="R134">
        <v>4325</v>
      </c>
      <c r="S134">
        <v>4990</v>
      </c>
      <c r="T134">
        <v>5655</v>
      </c>
      <c r="U134">
        <v>6320</v>
      </c>
      <c r="V134">
        <v>2777</v>
      </c>
      <c r="W134">
        <v>1532</v>
      </c>
      <c r="X134">
        <v>1399</v>
      </c>
      <c r="Y134">
        <v>7130</v>
      </c>
    </row>
    <row r="135" spans="1:25" x14ac:dyDescent="0.2">
      <c r="A135">
        <v>134</v>
      </c>
      <c r="B135">
        <v>0</v>
      </c>
      <c r="C135">
        <v>7453</v>
      </c>
      <c r="D135">
        <v>14232</v>
      </c>
      <c r="E135">
        <v>51697</v>
      </c>
      <c r="F135">
        <v>186470</v>
      </c>
      <c r="G135">
        <v>663814</v>
      </c>
      <c r="H135">
        <v>2340271</v>
      </c>
      <c r="I135">
        <v>8145311</v>
      </c>
      <c r="J135">
        <v>2000</v>
      </c>
      <c r="K135">
        <v>10184</v>
      </c>
      <c r="L135">
        <v>2340</v>
      </c>
      <c r="M135">
        <v>1034</v>
      </c>
      <c r="N135">
        <v>1670</v>
      </c>
      <c r="O135">
        <v>2340</v>
      </c>
      <c r="P135">
        <v>3010</v>
      </c>
      <c r="Q135">
        <v>3680</v>
      </c>
      <c r="R135">
        <v>4350</v>
      </c>
      <c r="S135">
        <v>5020</v>
      </c>
      <c r="T135">
        <v>5690</v>
      </c>
      <c r="U135">
        <v>6360</v>
      </c>
      <c r="V135">
        <v>2795</v>
      </c>
      <c r="W135">
        <v>1536</v>
      </c>
      <c r="X135">
        <v>1402</v>
      </c>
      <c r="Y135">
        <v>7140</v>
      </c>
    </row>
    <row r="136" spans="1:25" x14ac:dyDescent="0.2">
      <c r="A136">
        <v>135</v>
      </c>
      <c r="B136">
        <v>0</v>
      </c>
      <c r="C136">
        <v>7565</v>
      </c>
      <c r="D136">
        <v>14517</v>
      </c>
      <c r="E136">
        <v>53248</v>
      </c>
      <c r="F136">
        <v>193929</v>
      </c>
      <c r="G136">
        <v>697005</v>
      </c>
      <c r="H136">
        <v>2480688</v>
      </c>
      <c r="I136">
        <v>8715483</v>
      </c>
      <c r="J136">
        <v>2000</v>
      </c>
      <c r="K136">
        <v>10286</v>
      </c>
      <c r="L136">
        <v>2350</v>
      </c>
      <c r="M136">
        <v>1035</v>
      </c>
      <c r="N136">
        <v>1675</v>
      </c>
      <c r="O136">
        <v>2350</v>
      </c>
      <c r="P136">
        <v>3025</v>
      </c>
      <c r="Q136">
        <v>3700</v>
      </c>
      <c r="R136">
        <v>4375</v>
      </c>
      <c r="S136">
        <v>5050</v>
      </c>
      <c r="T136">
        <v>5725</v>
      </c>
      <c r="U136">
        <v>6400</v>
      </c>
      <c r="V136">
        <v>2813</v>
      </c>
      <c r="W136">
        <v>1540</v>
      </c>
      <c r="X136">
        <v>1405</v>
      </c>
      <c r="Y136">
        <v>7150</v>
      </c>
    </row>
    <row r="137" spans="1:25" x14ac:dyDescent="0.2">
      <c r="A137">
        <v>136</v>
      </c>
      <c r="B137">
        <v>0</v>
      </c>
      <c r="C137">
        <v>7679</v>
      </c>
      <c r="D137">
        <v>14808</v>
      </c>
      <c r="E137">
        <v>54846</v>
      </c>
      <c r="F137">
        <v>201687</v>
      </c>
      <c r="G137">
        <v>731856</v>
      </c>
      <c r="H137">
        <v>2629530</v>
      </c>
      <c r="I137">
        <v>9325567</v>
      </c>
      <c r="J137">
        <v>2000</v>
      </c>
      <c r="K137">
        <v>10389</v>
      </c>
      <c r="L137">
        <v>2360</v>
      </c>
      <c r="M137">
        <v>1036</v>
      </c>
      <c r="N137">
        <v>1680</v>
      </c>
      <c r="O137">
        <v>2360</v>
      </c>
      <c r="P137">
        <v>3040</v>
      </c>
      <c r="Q137">
        <v>3720</v>
      </c>
      <c r="R137">
        <v>4400</v>
      </c>
      <c r="S137">
        <v>5080</v>
      </c>
      <c r="T137">
        <v>5760</v>
      </c>
      <c r="U137">
        <v>6440</v>
      </c>
      <c r="V137">
        <v>2832</v>
      </c>
      <c r="W137">
        <v>1544</v>
      </c>
      <c r="X137">
        <v>1408</v>
      </c>
      <c r="Y137">
        <v>7160</v>
      </c>
    </row>
    <row r="138" spans="1:25" x14ac:dyDescent="0.2">
      <c r="A138">
        <v>137</v>
      </c>
      <c r="B138">
        <v>0</v>
      </c>
      <c r="C138">
        <v>7795</v>
      </c>
      <c r="D138">
        <v>15105</v>
      </c>
      <c r="E138">
        <v>56492</v>
      </c>
      <c r="F138">
        <v>209755</v>
      </c>
      <c r="G138">
        <v>768449</v>
      </c>
      <c r="H138">
        <v>2787302</v>
      </c>
      <c r="I138">
        <v>9978357</v>
      </c>
      <c r="J138">
        <v>2000</v>
      </c>
      <c r="K138">
        <v>10493</v>
      </c>
      <c r="L138">
        <v>2370</v>
      </c>
      <c r="M138">
        <v>1037</v>
      </c>
      <c r="N138">
        <v>1685</v>
      </c>
      <c r="O138">
        <v>2370</v>
      </c>
      <c r="P138">
        <v>3055</v>
      </c>
      <c r="Q138">
        <v>3740</v>
      </c>
      <c r="R138">
        <v>4425</v>
      </c>
      <c r="S138">
        <v>5110</v>
      </c>
      <c r="T138">
        <v>5795</v>
      </c>
      <c r="U138">
        <v>6480</v>
      </c>
      <c r="V138">
        <v>2851</v>
      </c>
      <c r="W138">
        <v>1548</v>
      </c>
      <c r="X138">
        <v>1411</v>
      </c>
      <c r="Y138">
        <v>7170</v>
      </c>
    </row>
    <row r="139" spans="1:25" x14ac:dyDescent="0.2">
      <c r="A139">
        <v>138</v>
      </c>
      <c r="B139">
        <v>0</v>
      </c>
      <c r="C139">
        <v>7912</v>
      </c>
      <c r="D139">
        <v>15408</v>
      </c>
      <c r="E139">
        <v>58187</v>
      </c>
      <c r="F139">
        <v>218146</v>
      </c>
      <c r="G139">
        <v>806872</v>
      </c>
      <c r="H139">
        <v>2954541</v>
      </c>
      <c r="I139">
        <v>10676842</v>
      </c>
      <c r="J139">
        <v>2000</v>
      </c>
      <c r="K139">
        <v>10598</v>
      </c>
      <c r="L139">
        <v>2380</v>
      </c>
      <c r="M139">
        <v>1038</v>
      </c>
      <c r="N139">
        <v>1690</v>
      </c>
      <c r="O139">
        <v>2380</v>
      </c>
      <c r="P139">
        <v>3070</v>
      </c>
      <c r="Q139">
        <v>3760</v>
      </c>
      <c r="R139">
        <v>4450</v>
      </c>
      <c r="S139">
        <v>5140</v>
      </c>
      <c r="T139">
        <v>5830</v>
      </c>
      <c r="U139">
        <v>6520</v>
      </c>
      <c r="V139">
        <v>2870</v>
      </c>
      <c r="W139">
        <v>1552</v>
      </c>
      <c r="X139">
        <v>1414</v>
      </c>
      <c r="Y139">
        <v>7180</v>
      </c>
    </row>
    <row r="140" spans="1:25" x14ac:dyDescent="0.2">
      <c r="A140">
        <v>139</v>
      </c>
      <c r="B140">
        <v>0</v>
      </c>
      <c r="C140">
        <v>8031</v>
      </c>
      <c r="D140">
        <v>15717</v>
      </c>
      <c r="E140">
        <v>59933</v>
      </c>
      <c r="F140">
        <v>226872</v>
      </c>
      <c r="G140">
        <v>847216</v>
      </c>
      <c r="H140">
        <v>3131814</v>
      </c>
      <c r="I140">
        <v>11424221</v>
      </c>
      <c r="J140">
        <v>2000</v>
      </c>
      <c r="K140">
        <v>10704</v>
      </c>
      <c r="L140">
        <v>2390</v>
      </c>
      <c r="M140">
        <v>1039</v>
      </c>
      <c r="N140">
        <v>1695</v>
      </c>
      <c r="O140">
        <v>2390</v>
      </c>
      <c r="P140">
        <v>3085</v>
      </c>
      <c r="Q140">
        <v>3780</v>
      </c>
      <c r="R140">
        <v>4475</v>
      </c>
      <c r="S140">
        <v>5170</v>
      </c>
      <c r="T140">
        <v>5865</v>
      </c>
      <c r="U140">
        <v>6560</v>
      </c>
      <c r="V140">
        <v>2889</v>
      </c>
      <c r="W140">
        <v>1556</v>
      </c>
      <c r="X140">
        <v>1417</v>
      </c>
      <c r="Y140">
        <v>7190</v>
      </c>
    </row>
    <row r="141" spans="1:25" x14ac:dyDescent="0.2">
      <c r="A141">
        <v>140</v>
      </c>
      <c r="B141">
        <v>0</v>
      </c>
      <c r="C141">
        <v>8152</v>
      </c>
      <c r="D141">
        <v>16032</v>
      </c>
      <c r="E141">
        <v>61731</v>
      </c>
      <c r="F141">
        <v>235947</v>
      </c>
      <c r="G141">
        <v>889577</v>
      </c>
      <c r="H141">
        <v>3319723</v>
      </c>
      <c r="I141">
        <v>12223917</v>
      </c>
      <c r="J141">
        <v>2000</v>
      </c>
      <c r="K141">
        <v>10812</v>
      </c>
      <c r="L141">
        <v>2400</v>
      </c>
      <c r="M141">
        <v>1040</v>
      </c>
      <c r="N141">
        <v>1700</v>
      </c>
      <c r="O141">
        <v>2400</v>
      </c>
      <c r="P141">
        <v>3100</v>
      </c>
      <c r="Q141">
        <v>3800</v>
      </c>
      <c r="R141">
        <v>4500</v>
      </c>
      <c r="S141">
        <v>5200</v>
      </c>
      <c r="T141">
        <v>5900</v>
      </c>
      <c r="U141">
        <v>6600</v>
      </c>
      <c r="V141">
        <v>2908</v>
      </c>
      <c r="W141">
        <v>1560</v>
      </c>
      <c r="X141">
        <v>1420</v>
      </c>
      <c r="Y141">
        <v>7200</v>
      </c>
    </row>
    <row r="142" spans="1:25" x14ac:dyDescent="0.2">
      <c r="A142">
        <v>141</v>
      </c>
      <c r="B142">
        <v>0</v>
      </c>
      <c r="C142">
        <v>8275</v>
      </c>
      <c r="D142">
        <v>16353</v>
      </c>
      <c r="E142">
        <v>63583</v>
      </c>
      <c r="F142">
        <v>245385</v>
      </c>
      <c r="G142">
        <v>934056</v>
      </c>
      <c r="H142">
        <v>3518907</v>
      </c>
      <c r="I142">
        <v>13079592</v>
      </c>
      <c r="J142">
        <v>2000</v>
      </c>
      <c r="K142">
        <v>10921</v>
      </c>
      <c r="L142">
        <v>2410</v>
      </c>
      <c r="M142">
        <v>1041</v>
      </c>
      <c r="N142">
        <v>1705</v>
      </c>
      <c r="O142">
        <v>2410</v>
      </c>
      <c r="P142">
        <v>3115</v>
      </c>
      <c r="Q142">
        <v>3820</v>
      </c>
      <c r="R142">
        <v>4525</v>
      </c>
      <c r="S142">
        <v>5230</v>
      </c>
      <c r="T142">
        <v>5935</v>
      </c>
      <c r="U142">
        <v>6640</v>
      </c>
      <c r="V142">
        <v>2927</v>
      </c>
      <c r="W142">
        <v>1564</v>
      </c>
      <c r="X142">
        <v>1423</v>
      </c>
      <c r="Y142">
        <v>7210</v>
      </c>
    </row>
    <row r="143" spans="1:25" x14ac:dyDescent="0.2">
      <c r="A143">
        <v>142</v>
      </c>
      <c r="B143">
        <v>0</v>
      </c>
      <c r="C143">
        <v>8400</v>
      </c>
      <c r="D143">
        <v>16681</v>
      </c>
      <c r="E143">
        <v>65491</v>
      </c>
      <c r="F143">
        <v>255201</v>
      </c>
      <c r="G143">
        <v>980759</v>
      </c>
      <c r="H143">
        <v>3730042</v>
      </c>
      <c r="I143">
        <v>13995164</v>
      </c>
      <c r="J143">
        <v>2000</v>
      </c>
      <c r="K143">
        <v>11031</v>
      </c>
      <c r="L143">
        <v>2420</v>
      </c>
      <c r="M143">
        <v>1042</v>
      </c>
      <c r="N143">
        <v>1710</v>
      </c>
      <c r="O143">
        <v>2420</v>
      </c>
      <c r="P143">
        <v>3130</v>
      </c>
      <c r="Q143">
        <v>3840</v>
      </c>
      <c r="R143">
        <v>4550</v>
      </c>
      <c r="S143">
        <v>5260</v>
      </c>
      <c r="T143">
        <v>5970</v>
      </c>
      <c r="U143">
        <v>6680</v>
      </c>
      <c r="V143">
        <v>2946</v>
      </c>
      <c r="W143">
        <v>1568</v>
      </c>
      <c r="X143">
        <v>1426</v>
      </c>
      <c r="Y143">
        <v>7220</v>
      </c>
    </row>
    <row r="144" spans="1:25" x14ac:dyDescent="0.2">
      <c r="A144">
        <v>143</v>
      </c>
      <c r="B144">
        <v>0</v>
      </c>
      <c r="C144">
        <v>8526</v>
      </c>
      <c r="D144">
        <v>17015</v>
      </c>
      <c r="E144">
        <v>67456</v>
      </c>
      <c r="F144">
        <v>265410</v>
      </c>
      <c r="G144">
        <v>1029797</v>
      </c>
      <c r="H144">
        <v>3953845</v>
      </c>
      <c r="I144">
        <v>14974826</v>
      </c>
      <c r="J144">
        <v>2000</v>
      </c>
      <c r="K144">
        <v>11142</v>
      </c>
      <c r="L144">
        <v>2430</v>
      </c>
      <c r="M144">
        <v>1043</v>
      </c>
      <c r="N144">
        <v>1715</v>
      </c>
      <c r="O144">
        <v>2430</v>
      </c>
      <c r="P144">
        <v>3145</v>
      </c>
      <c r="Q144">
        <v>3860</v>
      </c>
      <c r="R144">
        <v>4575</v>
      </c>
      <c r="S144">
        <v>5290</v>
      </c>
      <c r="T144">
        <v>6005</v>
      </c>
      <c r="U144">
        <v>6720</v>
      </c>
      <c r="V144">
        <v>2965</v>
      </c>
      <c r="W144">
        <v>1572</v>
      </c>
      <c r="X144">
        <v>1429</v>
      </c>
      <c r="Y144">
        <v>7230</v>
      </c>
    </row>
    <row r="145" spans="1:25" x14ac:dyDescent="0.2">
      <c r="A145">
        <v>144</v>
      </c>
      <c r="B145">
        <v>0</v>
      </c>
      <c r="C145">
        <v>8654</v>
      </c>
      <c r="D145">
        <v>17356</v>
      </c>
      <c r="E145">
        <v>69480</v>
      </c>
      <c r="F145">
        <v>276027</v>
      </c>
      <c r="G145">
        <v>1081287</v>
      </c>
      <c r="H145">
        <v>4191076</v>
      </c>
      <c r="I145">
        <v>16023064</v>
      </c>
      <c r="J145">
        <v>2000</v>
      </c>
      <c r="K145">
        <v>11254</v>
      </c>
      <c r="L145">
        <v>2440</v>
      </c>
      <c r="M145">
        <v>1044</v>
      </c>
      <c r="N145">
        <v>1720</v>
      </c>
      <c r="O145">
        <v>2440</v>
      </c>
      <c r="P145">
        <v>3160</v>
      </c>
      <c r="Q145">
        <v>3880</v>
      </c>
      <c r="R145">
        <v>4600</v>
      </c>
      <c r="S145">
        <v>5320</v>
      </c>
      <c r="T145">
        <v>6040</v>
      </c>
      <c r="U145">
        <v>6760</v>
      </c>
      <c r="V145">
        <v>2984</v>
      </c>
      <c r="W145">
        <v>1576</v>
      </c>
      <c r="X145">
        <v>1432</v>
      </c>
      <c r="Y145">
        <v>7240</v>
      </c>
    </row>
    <row r="146" spans="1:25" x14ac:dyDescent="0.2">
      <c r="A146">
        <v>145</v>
      </c>
      <c r="B146">
        <v>0</v>
      </c>
      <c r="C146">
        <v>8784</v>
      </c>
      <c r="D146">
        <v>17704</v>
      </c>
      <c r="E146">
        <v>71565</v>
      </c>
      <c r="F146">
        <v>287069</v>
      </c>
      <c r="G146">
        <v>1135352</v>
      </c>
      <c r="H146">
        <v>4442541</v>
      </c>
      <c r="I146">
        <v>17144679</v>
      </c>
      <c r="J146">
        <v>2000</v>
      </c>
      <c r="K146">
        <v>11367</v>
      </c>
      <c r="L146">
        <v>2450</v>
      </c>
      <c r="M146">
        <v>1045</v>
      </c>
      <c r="N146">
        <v>1725</v>
      </c>
      <c r="O146">
        <v>2450</v>
      </c>
      <c r="P146">
        <v>3175</v>
      </c>
      <c r="Q146">
        <v>3900</v>
      </c>
      <c r="R146">
        <v>4625</v>
      </c>
      <c r="S146">
        <v>5350</v>
      </c>
      <c r="T146">
        <v>6075</v>
      </c>
      <c r="U146">
        <v>6800</v>
      </c>
      <c r="V146">
        <v>3003</v>
      </c>
      <c r="W146">
        <v>1580</v>
      </c>
      <c r="X146">
        <v>1435</v>
      </c>
      <c r="Y146">
        <v>7250</v>
      </c>
    </row>
    <row r="147" spans="1:25" x14ac:dyDescent="0.2">
      <c r="A147">
        <v>146</v>
      </c>
      <c r="B147">
        <v>0</v>
      </c>
      <c r="C147">
        <v>8916</v>
      </c>
      <c r="D147">
        <v>18059</v>
      </c>
      <c r="E147">
        <v>73712</v>
      </c>
      <c r="F147">
        <v>298552</v>
      </c>
      <c r="G147">
        <v>1192120</v>
      </c>
      <c r="H147">
        <v>4709094</v>
      </c>
      <c r="I147">
        <v>18344807</v>
      </c>
      <c r="J147">
        <v>2000</v>
      </c>
      <c r="K147">
        <v>11481</v>
      </c>
      <c r="L147">
        <v>2460</v>
      </c>
      <c r="M147">
        <v>1046</v>
      </c>
      <c r="N147">
        <v>1730</v>
      </c>
      <c r="O147">
        <v>2460</v>
      </c>
      <c r="P147">
        <v>3190</v>
      </c>
      <c r="Q147">
        <v>3920</v>
      </c>
      <c r="R147">
        <v>4650</v>
      </c>
      <c r="S147">
        <v>5380</v>
      </c>
      <c r="T147">
        <v>6110</v>
      </c>
      <c r="U147">
        <v>6840</v>
      </c>
      <c r="V147">
        <v>3023</v>
      </c>
      <c r="W147">
        <v>1584</v>
      </c>
      <c r="X147">
        <v>1438</v>
      </c>
      <c r="Y147">
        <v>7260</v>
      </c>
    </row>
    <row r="148" spans="1:25" x14ac:dyDescent="0.2">
      <c r="A148">
        <v>147</v>
      </c>
      <c r="B148">
        <v>0</v>
      </c>
      <c r="C148">
        <v>9050</v>
      </c>
      <c r="D148">
        <v>18421</v>
      </c>
      <c r="E148">
        <v>75924</v>
      </c>
      <c r="F148">
        <v>310495</v>
      </c>
      <c r="G148">
        <v>1251726</v>
      </c>
      <c r="H148">
        <v>4991640</v>
      </c>
      <c r="I148">
        <v>19628944</v>
      </c>
      <c r="J148">
        <v>2000</v>
      </c>
      <c r="K148">
        <v>11596</v>
      </c>
      <c r="L148">
        <v>2470</v>
      </c>
      <c r="M148">
        <v>1047</v>
      </c>
      <c r="N148">
        <v>1735</v>
      </c>
      <c r="O148">
        <v>2470</v>
      </c>
      <c r="P148">
        <v>3205</v>
      </c>
      <c r="Q148">
        <v>3940</v>
      </c>
      <c r="R148">
        <v>4675</v>
      </c>
      <c r="S148">
        <v>5410</v>
      </c>
      <c r="T148">
        <v>6145</v>
      </c>
      <c r="U148">
        <v>6880</v>
      </c>
      <c r="V148">
        <v>3043</v>
      </c>
      <c r="W148">
        <v>1588</v>
      </c>
      <c r="X148">
        <v>1441</v>
      </c>
      <c r="Y148">
        <v>7270</v>
      </c>
    </row>
    <row r="149" spans="1:25" x14ac:dyDescent="0.2">
      <c r="A149">
        <v>148</v>
      </c>
      <c r="B149">
        <v>0</v>
      </c>
      <c r="C149">
        <v>9186</v>
      </c>
      <c r="D149">
        <v>18790</v>
      </c>
      <c r="E149">
        <v>78202</v>
      </c>
      <c r="F149">
        <v>322915</v>
      </c>
      <c r="G149">
        <v>1314313</v>
      </c>
      <c r="H149">
        <v>5291139</v>
      </c>
      <c r="I149">
        <v>21002971</v>
      </c>
      <c r="J149">
        <v>2000</v>
      </c>
      <c r="K149">
        <v>11712</v>
      </c>
      <c r="L149">
        <v>2480</v>
      </c>
      <c r="M149">
        <v>1048</v>
      </c>
      <c r="N149">
        <v>1740</v>
      </c>
      <c r="O149">
        <v>2480</v>
      </c>
      <c r="P149">
        <v>3220</v>
      </c>
      <c r="Q149">
        <v>3960</v>
      </c>
      <c r="R149">
        <v>4700</v>
      </c>
      <c r="S149">
        <v>5440</v>
      </c>
      <c r="T149">
        <v>6180</v>
      </c>
      <c r="U149">
        <v>6920</v>
      </c>
      <c r="V149">
        <v>3063</v>
      </c>
      <c r="W149">
        <v>1592</v>
      </c>
      <c r="X149">
        <v>1444</v>
      </c>
      <c r="Y149">
        <v>7280</v>
      </c>
    </row>
    <row r="150" spans="1:25" x14ac:dyDescent="0.2">
      <c r="A150">
        <v>149</v>
      </c>
      <c r="B150">
        <v>0</v>
      </c>
      <c r="C150">
        <v>9324</v>
      </c>
      <c r="D150">
        <v>19166</v>
      </c>
      <c r="E150">
        <v>80549</v>
      </c>
      <c r="F150">
        <v>335832</v>
      </c>
      <c r="G150">
        <v>1380029</v>
      </c>
      <c r="H150">
        <v>5608608</v>
      </c>
      <c r="I150">
        <v>22473179</v>
      </c>
      <c r="J150">
        <v>2000</v>
      </c>
      <c r="K150">
        <v>11830</v>
      </c>
      <c r="L150">
        <v>2490</v>
      </c>
      <c r="M150">
        <v>1049</v>
      </c>
      <c r="N150">
        <v>1745</v>
      </c>
      <c r="O150">
        <v>2490</v>
      </c>
      <c r="P150">
        <v>3235</v>
      </c>
      <c r="Q150">
        <v>3980</v>
      </c>
      <c r="R150">
        <v>4725</v>
      </c>
      <c r="S150">
        <v>5470</v>
      </c>
      <c r="T150">
        <v>6215</v>
      </c>
      <c r="U150">
        <v>6960</v>
      </c>
      <c r="V150">
        <v>3083</v>
      </c>
      <c r="W150">
        <v>1596</v>
      </c>
      <c r="X150">
        <v>1447</v>
      </c>
      <c r="Y150">
        <v>7290</v>
      </c>
    </row>
    <row r="151" spans="1:25" x14ac:dyDescent="0.2">
      <c r="A151">
        <v>150</v>
      </c>
      <c r="B151">
        <v>0</v>
      </c>
      <c r="C151">
        <v>9464</v>
      </c>
      <c r="D151">
        <v>19550</v>
      </c>
      <c r="E151">
        <v>82966</v>
      </c>
      <c r="F151">
        <v>349266</v>
      </c>
      <c r="G151">
        <v>1449031</v>
      </c>
      <c r="H151">
        <v>5945125</v>
      </c>
      <c r="I151">
        <v>24046302</v>
      </c>
      <c r="J151">
        <v>2000</v>
      </c>
      <c r="K151">
        <v>11949</v>
      </c>
      <c r="L151">
        <v>2500</v>
      </c>
      <c r="M151">
        <v>1050</v>
      </c>
      <c r="N151">
        <v>1750</v>
      </c>
      <c r="O151">
        <v>2500</v>
      </c>
      <c r="P151">
        <v>3250</v>
      </c>
      <c r="Q151">
        <v>4000</v>
      </c>
      <c r="R151">
        <v>4750</v>
      </c>
      <c r="S151">
        <v>5500</v>
      </c>
      <c r="T151">
        <v>6250</v>
      </c>
      <c r="U151">
        <v>7000</v>
      </c>
      <c r="V151">
        <v>3103</v>
      </c>
      <c r="W151">
        <v>1600</v>
      </c>
      <c r="X151">
        <v>1450</v>
      </c>
      <c r="Y151">
        <v>7300</v>
      </c>
    </row>
    <row r="152" spans="1:25" x14ac:dyDescent="0.2">
      <c r="A152">
        <v>151</v>
      </c>
      <c r="B152">
        <v>0</v>
      </c>
      <c r="C152">
        <v>9606</v>
      </c>
      <c r="D152">
        <v>19941</v>
      </c>
      <c r="E152">
        <v>85455</v>
      </c>
      <c r="F152">
        <v>363237</v>
      </c>
      <c r="G152">
        <v>1521483</v>
      </c>
      <c r="H152">
        <v>6301833</v>
      </c>
      <c r="I152">
        <v>25729544</v>
      </c>
      <c r="J152">
        <v>2000</v>
      </c>
      <c r="K152">
        <v>12069</v>
      </c>
      <c r="L152">
        <v>2500</v>
      </c>
      <c r="M152">
        <v>1051</v>
      </c>
      <c r="N152">
        <v>1755</v>
      </c>
      <c r="O152">
        <v>2510</v>
      </c>
      <c r="P152">
        <v>3265</v>
      </c>
      <c r="Q152">
        <v>4020</v>
      </c>
      <c r="R152">
        <v>4775</v>
      </c>
      <c r="S152">
        <v>5530</v>
      </c>
      <c r="T152">
        <v>6285</v>
      </c>
      <c r="U152">
        <v>7040</v>
      </c>
      <c r="V152">
        <v>3123</v>
      </c>
      <c r="W152">
        <v>1604</v>
      </c>
      <c r="X152">
        <v>1453</v>
      </c>
      <c r="Y152">
        <v>7310</v>
      </c>
    </row>
    <row r="153" spans="1:25" x14ac:dyDescent="0.2">
      <c r="A153">
        <v>152</v>
      </c>
      <c r="B153">
        <v>0</v>
      </c>
      <c r="C153">
        <v>9751</v>
      </c>
      <c r="D153">
        <v>20340</v>
      </c>
      <c r="E153">
        <v>88019</v>
      </c>
      <c r="F153">
        <v>377767</v>
      </c>
      <c r="G153">
        <v>1597558</v>
      </c>
      <c r="H153">
        <v>6679943</v>
      </c>
      <c r="I153">
        <v>27530613</v>
      </c>
      <c r="J153">
        <v>2000</v>
      </c>
      <c r="K153">
        <v>12190</v>
      </c>
      <c r="L153">
        <v>2500</v>
      </c>
      <c r="M153">
        <v>1052</v>
      </c>
      <c r="N153">
        <v>1760</v>
      </c>
      <c r="O153">
        <v>2520</v>
      </c>
      <c r="P153">
        <v>3280</v>
      </c>
      <c r="Q153">
        <v>4040</v>
      </c>
      <c r="R153">
        <v>4800</v>
      </c>
      <c r="S153">
        <v>5560</v>
      </c>
      <c r="T153">
        <v>6320</v>
      </c>
      <c r="U153">
        <v>7080</v>
      </c>
      <c r="V153">
        <v>3143</v>
      </c>
      <c r="W153">
        <v>1608</v>
      </c>
      <c r="X153">
        <v>1456</v>
      </c>
      <c r="Y153">
        <v>7320</v>
      </c>
    </row>
    <row r="154" spans="1:25" x14ac:dyDescent="0.2">
      <c r="A154">
        <v>153</v>
      </c>
      <c r="B154">
        <v>0</v>
      </c>
      <c r="C154">
        <v>9898</v>
      </c>
      <c r="D154">
        <v>20747</v>
      </c>
      <c r="E154">
        <v>90660</v>
      </c>
      <c r="F154">
        <v>392878</v>
      </c>
      <c r="G154">
        <v>1677436</v>
      </c>
      <c r="H154">
        <v>7080740</v>
      </c>
      <c r="I154">
        <v>29457756</v>
      </c>
      <c r="J154">
        <v>2000</v>
      </c>
      <c r="K154">
        <v>12312</v>
      </c>
      <c r="L154">
        <v>2500</v>
      </c>
      <c r="M154">
        <v>1053</v>
      </c>
      <c r="N154">
        <v>1765</v>
      </c>
      <c r="O154">
        <v>2530</v>
      </c>
      <c r="P154">
        <v>3295</v>
      </c>
      <c r="Q154">
        <v>4060</v>
      </c>
      <c r="R154">
        <v>4825</v>
      </c>
      <c r="S154">
        <v>5590</v>
      </c>
      <c r="T154">
        <v>6355</v>
      </c>
      <c r="U154">
        <v>7120</v>
      </c>
      <c r="V154">
        <v>3163</v>
      </c>
      <c r="W154">
        <v>1612</v>
      </c>
      <c r="X154">
        <v>1459</v>
      </c>
      <c r="Y154">
        <v>7330</v>
      </c>
    </row>
    <row r="155" spans="1:25" x14ac:dyDescent="0.2">
      <c r="A155">
        <v>154</v>
      </c>
      <c r="B155">
        <v>0</v>
      </c>
      <c r="C155">
        <v>10047</v>
      </c>
      <c r="D155">
        <v>21162</v>
      </c>
      <c r="E155">
        <v>93380</v>
      </c>
      <c r="F155">
        <v>408594</v>
      </c>
      <c r="G155">
        <v>1761308</v>
      </c>
      <c r="H155">
        <v>7505585</v>
      </c>
      <c r="I155">
        <v>31519799</v>
      </c>
      <c r="J155">
        <v>2000</v>
      </c>
      <c r="K155">
        <v>12436</v>
      </c>
      <c r="L155">
        <v>2500</v>
      </c>
      <c r="M155">
        <v>1054</v>
      </c>
      <c r="N155">
        <v>1770</v>
      </c>
      <c r="O155">
        <v>2540</v>
      </c>
      <c r="P155">
        <v>3310</v>
      </c>
      <c r="Q155">
        <v>4080</v>
      </c>
      <c r="R155">
        <v>4850</v>
      </c>
      <c r="S155">
        <v>5620</v>
      </c>
      <c r="T155">
        <v>6390</v>
      </c>
      <c r="U155">
        <v>7160</v>
      </c>
      <c r="V155">
        <v>3183</v>
      </c>
      <c r="W155">
        <v>1616</v>
      </c>
      <c r="X155">
        <v>1462</v>
      </c>
      <c r="Y155">
        <v>7340</v>
      </c>
    </row>
    <row r="156" spans="1:25" x14ac:dyDescent="0.2">
      <c r="A156">
        <v>155</v>
      </c>
      <c r="B156">
        <v>0</v>
      </c>
      <c r="C156">
        <v>10198</v>
      </c>
      <c r="D156">
        <v>21586</v>
      </c>
      <c r="E156">
        <v>96182</v>
      </c>
      <c r="F156">
        <v>424938</v>
      </c>
      <c r="G156">
        <v>1849374</v>
      </c>
      <c r="H156">
        <v>7955921</v>
      </c>
      <c r="I156">
        <v>33726185</v>
      </c>
      <c r="J156">
        <v>2000</v>
      </c>
      <c r="K156">
        <v>12561</v>
      </c>
      <c r="L156">
        <v>2500</v>
      </c>
      <c r="M156">
        <v>1055</v>
      </c>
      <c r="N156">
        <v>1775</v>
      </c>
      <c r="O156">
        <v>2550</v>
      </c>
      <c r="P156">
        <v>3325</v>
      </c>
      <c r="Q156">
        <v>4100</v>
      </c>
      <c r="R156">
        <v>4875</v>
      </c>
      <c r="S156">
        <v>5650</v>
      </c>
      <c r="T156">
        <v>6425</v>
      </c>
      <c r="U156">
        <v>7200</v>
      </c>
      <c r="V156">
        <v>3203</v>
      </c>
      <c r="W156">
        <v>1620</v>
      </c>
      <c r="X156">
        <v>1465</v>
      </c>
      <c r="Y156">
        <v>7350</v>
      </c>
    </row>
    <row r="157" spans="1:25" x14ac:dyDescent="0.2">
      <c r="A157">
        <v>156</v>
      </c>
      <c r="B157">
        <v>0</v>
      </c>
      <c r="C157">
        <v>10351</v>
      </c>
      <c r="D157">
        <v>22018</v>
      </c>
      <c r="E157">
        <v>99068</v>
      </c>
      <c r="F157">
        <v>441936</v>
      </c>
      <c r="G157">
        <v>1941843</v>
      </c>
      <c r="H157">
        <v>8433277</v>
      </c>
      <c r="I157">
        <v>36087018</v>
      </c>
      <c r="J157">
        <v>2000</v>
      </c>
      <c r="K157">
        <v>12687</v>
      </c>
      <c r="L157">
        <v>2500</v>
      </c>
      <c r="M157">
        <v>1056</v>
      </c>
      <c r="N157">
        <v>1780</v>
      </c>
      <c r="O157">
        <v>2560</v>
      </c>
      <c r="P157">
        <v>3340</v>
      </c>
      <c r="Q157">
        <v>4120</v>
      </c>
      <c r="R157">
        <v>4900</v>
      </c>
      <c r="S157">
        <v>5680</v>
      </c>
      <c r="T157">
        <v>6460</v>
      </c>
      <c r="U157">
        <v>7240</v>
      </c>
      <c r="V157">
        <v>3224</v>
      </c>
      <c r="W157">
        <v>1624</v>
      </c>
      <c r="X157">
        <v>1468</v>
      </c>
      <c r="Y157">
        <v>7360</v>
      </c>
    </row>
    <row r="158" spans="1:25" x14ac:dyDescent="0.2">
      <c r="A158">
        <v>157</v>
      </c>
      <c r="B158">
        <v>0</v>
      </c>
      <c r="C158">
        <v>10507</v>
      </c>
      <c r="D158">
        <v>22459</v>
      </c>
      <c r="E158">
        <v>102041</v>
      </c>
      <c r="F158">
        <v>459614</v>
      </c>
      <c r="G158">
        <v>2038936</v>
      </c>
      <c r="H158">
        <v>8939274</v>
      </c>
      <c r="I158">
        <v>38613110</v>
      </c>
      <c r="J158">
        <v>2000</v>
      </c>
      <c r="K158">
        <v>12814</v>
      </c>
      <c r="L158">
        <v>2500</v>
      </c>
      <c r="M158">
        <v>1057</v>
      </c>
      <c r="N158">
        <v>1785</v>
      </c>
      <c r="O158">
        <v>2570</v>
      </c>
      <c r="P158">
        <v>3355</v>
      </c>
      <c r="Q158">
        <v>4140</v>
      </c>
      <c r="R158">
        <v>4925</v>
      </c>
      <c r="S158">
        <v>5710</v>
      </c>
      <c r="T158">
        <v>6495</v>
      </c>
      <c r="U158">
        <v>7280</v>
      </c>
      <c r="V158">
        <v>3245</v>
      </c>
      <c r="W158">
        <v>1628</v>
      </c>
      <c r="X158">
        <v>1471</v>
      </c>
      <c r="Y158">
        <v>7370</v>
      </c>
    </row>
    <row r="159" spans="1:25" x14ac:dyDescent="0.2">
      <c r="A159">
        <v>158</v>
      </c>
      <c r="B159">
        <v>0</v>
      </c>
      <c r="C159">
        <v>10665</v>
      </c>
      <c r="D159">
        <v>22909</v>
      </c>
      <c r="E159">
        <v>105103</v>
      </c>
      <c r="F159">
        <v>477999</v>
      </c>
      <c r="G159">
        <v>2140883</v>
      </c>
      <c r="H159">
        <v>9475631</v>
      </c>
      <c r="I159">
        <v>41316028</v>
      </c>
      <c r="J159">
        <v>2000</v>
      </c>
      <c r="K159">
        <v>12943</v>
      </c>
      <c r="L159">
        <v>2500</v>
      </c>
      <c r="M159">
        <v>1058</v>
      </c>
      <c r="N159">
        <v>1790</v>
      </c>
      <c r="O159">
        <v>2580</v>
      </c>
      <c r="P159">
        <v>3370</v>
      </c>
      <c r="Q159">
        <v>4160</v>
      </c>
      <c r="R159">
        <v>4950</v>
      </c>
      <c r="S159">
        <v>5740</v>
      </c>
      <c r="T159">
        <v>6530</v>
      </c>
      <c r="U159">
        <v>7320</v>
      </c>
      <c r="V159">
        <v>3266</v>
      </c>
      <c r="W159">
        <v>1632</v>
      </c>
      <c r="X159">
        <v>1474</v>
      </c>
      <c r="Y159">
        <v>7380</v>
      </c>
    </row>
    <row r="160" spans="1:25" x14ac:dyDescent="0.2">
      <c r="A160">
        <v>159</v>
      </c>
      <c r="B160">
        <v>0</v>
      </c>
      <c r="C160">
        <v>10825</v>
      </c>
      <c r="D160">
        <v>23368</v>
      </c>
      <c r="E160">
        <v>108257</v>
      </c>
      <c r="F160">
        <v>497119</v>
      </c>
      <c r="G160">
        <v>2247928</v>
      </c>
      <c r="H160">
        <v>10044169</v>
      </c>
      <c r="I160">
        <v>44208150</v>
      </c>
      <c r="J160">
        <v>2000</v>
      </c>
      <c r="K160">
        <v>13073</v>
      </c>
      <c r="L160">
        <v>2500</v>
      </c>
      <c r="M160">
        <v>1059</v>
      </c>
      <c r="N160">
        <v>1795</v>
      </c>
      <c r="O160">
        <v>2590</v>
      </c>
      <c r="P160">
        <v>3385</v>
      </c>
      <c r="Q160">
        <v>4180</v>
      </c>
      <c r="R160">
        <v>4975</v>
      </c>
      <c r="S160">
        <v>5770</v>
      </c>
      <c r="T160">
        <v>6565</v>
      </c>
      <c r="U160">
        <v>7360</v>
      </c>
      <c r="V160">
        <v>3287</v>
      </c>
      <c r="W160">
        <v>1636</v>
      </c>
      <c r="X160">
        <v>1477</v>
      </c>
      <c r="Y160">
        <v>7390</v>
      </c>
    </row>
    <row r="161" spans="1:25" x14ac:dyDescent="0.2">
      <c r="A161">
        <v>160</v>
      </c>
      <c r="B161">
        <v>0</v>
      </c>
      <c r="C161">
        <v>10988</v>
      </c>
      <c r="D161">
        <v>23836</v>
      </c>
      <c r="E161">
        <v>111505</v>
      </c>
      <c r="F161">
        <v>517004</v>
      </c>
      <c r="G161">
        <v>2360325</v>
      </c>
      <c r="H161">
        <v>10646820</v>
      </c>
      <c r="I161">
        <v>47302721</v>
      </c>
      <c r="J161">
        <v>2000</v>
      </c>
      <c r="K161">
        <v>13204</v>
      </c>
      <c r="L161">
        <v>2500</v>
      </c>
      <c r="M161">
        <v>1060</v>
      </c>
      <c r="N161">
        <v>1800</v>
      </c>
      <c r="O161">
        <v>2600</v>
      </c>
      <c r="P161">
        <v>3400</v>
      </c>
      <c r="Q161">
        <v>4200</v>
      </c>
      <c r="R161">
        <v>5000</v>
      </c>
      <c r="S161">
        <v>5800</v>
      </c>
      <c r="T161">
        <v>6600</v>
      </c>
      <c r="U161">
        <v>7400</v>
      </c>
      <c r="V161">
        <v>3308</v>
      </c>
      <c r="W161">
        <v>1640</v>
      </c>
      <c r="X161">
        <v>1480</v>
      </c>
      <c r="Y161">
        <v>7400</v>
      </c>
    </row>
    <row r="162" spans="1:25" x14ac:dyDescent="0.2">
      <c r="A162">
        <v>161</v>
      </c>
      <c r="B162">
        <v>0</v>
      </c>
      <c r="C162">
        <v>11153</v>
      </c>
      <c r="D162">
        <v>24313</v>
      </c>
      <c r="E162">
        <v>114851</v>
      </c>
      <c r="F162">
        <v>537685</v>
      </c>
      <c r="G162">
        <v>2478342</v>
      </c>
      <c r="H162">
        <v>11285630</v>
      </c>
      <c r="I162">
        <v>50613912</v>
      </c>
      <c r="J162">
        <v>2000</v>
      </c>
      <c r="K162">
        <v>13337</v>
      </c>
      <c r="L162">
        <v>2500</v>
      </c>
      <c r="M162">
        <v>1061</v>
      </c>
      <c r="N162">
        <v>1805</v>
      </c>
      <c r="O162">
        <v>2610</v>
      </c>
      <c r="P162">
        <v>3415</v>
      </c>
      <c r="Q162">
        <v>4220</v>
      </c>
      <c r="R162">
        <v>5025</v>
      </c>
      <c r="S162">
        <v>5830</v>
      </c>
      <c r="T162">
        <v>6635</v>
      </c>
      <c r="U162">
        <v>7440</v>
      </c>
      <c r="V162">
        <v>3329</v>
      </c>
      <c r="W162">
        <v>1644</v>
      </c>
      <c r="X162">
        <v>1483</v>
      </c>
      <c r="Y162">
        <v>7410</v>
      </c>
    </row>
    <row r="163" spans="1:25" x14ac:dyDescent="0.2">
      <c r="A163">
        <v>162</v>
      </c>
      <c r="B163">
        <v>0</v>
      </c>
      <c r="C163">
        <v>11321</v>
      </c>
      <c r="D163">
        <v>24800</v>
      </c>
      <c r="E163">
        <v>118297</v>
      </c>
      <c r="F163">
        <v>559193</v>
      </c>
      <c r="G163">
        <v>2602260</v>
      </c>
      <c r="H163">
        <v>11962768</v>
      </c>
      <c r="I163">
        <v>54156886</v>
      </c>
      <c r="J163">
        <v>2000</v>
      </c>
      <c r="K163">
        <v>13471</v>
      </c>
      <c r="L163">
        <v>2500</v>
      </c>
      <c r="M163">
        <v>1062</v>
      </c>
      <c r="N163">
        <v>1810</v>
      </c>
      <c r="O163">
        <v>2620</v>
      </c>
      <c r="P163">
        <v>3430</v>
      </c>
      <c r="Q163">
        <v>4240</v>
      </c>
      <c r="R163">
        <v>5050</v>
      </c>
      <c r="S163">
        <v>5860</v>
      </c>
      <c r="T163">
        <v>6670</v>
      </c>
      <c r="U163">
        <v>7480</v>
      </c>
      <c r="V163">
        <v>3350</v>
      </c>
      <c r="W163">
        <v>1648</v>
      </c>
      <c r="X163">
        <v>1486</v>
      </c>
      <c r="Y163">
        <v>7420</v>
      </c>
    </row>
    <row r="164" spans="1:25" x14ac:dyDescent="0.2">
      <c r="A164">
        <v>163</v>
      </c>
      <c r="B164">
        <v>0</v>
      </c>
      <c r="C164">
        <v>11491</v>
      </c>
      <c r="D164">
        <v>25296</v>
      </c>
      <c r="E164">
        <v>121846</v>
      </c>
      <c r="F164">
        <v>581561</v>
      </c>
      <c r="G164">
        <v>2732373</v>
      </c>
      <c r="H164">
        <v>12680535</v>
      </c>
      <c r="I164">
        <v>57947869</v>
      </c>
      <c r="J164">
        <v>2000</v>
      </c>
      <c r="K164">
        <v>13606</v>
      </c>
      <c r="L164">
        <v>2500</v>
      </c>
      <c r="M164">
        <v>1063</v>
      </c>
      <c r="N164">
        <v>1815</v>
      </c>
      <c r="O164">
        <v>2630</v>
      </c>
      <c r="P164">
        <v>3445</v>
      </c>
      <c r="Q164">
        <v>4260</v>
      </c>
      <c r="R164">
        <v>5075</v>
      </c>
      <c r="S164">
        <v>5890</v>
      </c>
      <c r="T164">
        <v>6705</v>
      </c>
      <c r="U164">
        <v>7520</v>
      </c>
      <c r="V164">
        <v>3371</v>
      </c>
      <c r="W164">
        <v>1652</v>
      </c>
      <c r="X164">
        <v>1489</v>
      </c>
      <c r="Y164">
        <v>7430</v>
      </c>
    </row>
    <row r="165" spans="1:25" x14ac:dyDescent="0.2">
      <c r="A165">
        <v>164</v>
      </c>
      <c r="B165">
        <v>0</v>
      </c>
      <c r="C165">
        <v>11664</v>
      </c>
      <c r="D165">
        <v>25802</v>
      </c>
      <c r="E165">
        <v>125502</v>
      </c>
      <c r="F165">
        <v>604824</v>
      </c>
      <c r="G165">
        <v>2868992</v>
      </c>
      <c r="H165">
        <v>13441368</v>
      </c>
      <c r="I165">
        <v>62004220</v>
      </c>
      <c r="J165">
        <v>2000</v>
      </c>
      <c r="K165">
        <v>13743</v>
      </c>
      <c r="L165">
        <v>2500</v>
      </c>
      <c r="M165">
        <v>1064</v>
      </c>
      <c r="N165">
        <v>1820</v>
      </c>
      <c r="O165">
        <v>2640</v>
      </c>
      <c r="P165">
        <v>3460</v>
      </c>
      <c r="Q165">
        <v>4280</v>
      </c>
      <c r="R165">
        <v>5100</v>
      </c>
      <c r="S165">
        <v>5920</v>
      </c>
      <c r="T165">
        <v>6740</v>
      </c>
      <c r="U165">
        <v>7560</v>
      </c>
      <c r="V165">
        <v>3392</v>
      </c>
      <c r="W165">
        <v>1656</v>
      </c>
      <c r="X165">
        <v>1492</v>
      </c>
      <c r="Y165">
        <v>7440</v>
      </c>
    </row>
    <row r="166" spans="1:25" x14ac:dyDescent="0.2">
      <c r="A166">
        <v>165</v>
      </c>
      <c r="B166">
        <v>0</v>
      </c>
      <c r="C166">
        <v>11839</v>
      </c>
      <c r="D166">
        <v>26319</v>
      </c>
      <c r="E166">
        <v>129268</v>
      </c>
      <c r="F166">
        <v>629017</v>
      </c>
      <c r="G166">
        <v>3012442</v>
      </c>
      <c r="H166">
        <v>14247851</v>
      </c>
      <c r="I166">
        <v>66344516</v>
      </c>
      <c r="J166">
        <v>2000</v>
      </c>
      <c r="K166">
        <v>13881</v>
      </c>
      <c r="L166">
        <v>2500</v>
      </c>
      <c r="M166">
        <v>1065</v>
      </c>
      <c r="N166">
        <v>1825</v>
      </c>
      <c r="O166">
        <v>2650</v>
      </c>
      <c r="P166">
        <v>3475</v>
      </c>
      <c r="Q166">
        <v>4300</v>
      </c>
      <c r="R166">
        <v>5125</v>
      </c>
      <c r="S166">
        <v>5950</v>
      </c>
      <c r="T166">
        <v>6775</v>
      </c>
      <c r="U166">
        <v>7600</v>
      </c>
      <c r="V166">
        <v>3413</v>
      </c>
      <c r="W166">
        <v>1660</v>
      </c>
      <c r="X166">
        <v>1495</v>
      </c>
      <c r="Y166">
        <v>7450</v>
      </c>
    </row>
    <row r="167" spans="1:25" x14ac:dyDescent="0.2">
      <c r="A167">
        <v>166</v>
      </c>
      <c r="B167">
        <v>0</v>
      </c>
      <c r="C167">
        <v>12017</v>
      </c>
      <c r="D167">
        <v>26846</v>
      </c>
      <c r="E167">
        <v>133147</v>
      </c>
      <c r="F167">
        <v>654178</v>
      </c>
      <c r="G167">
        <v>3163065</v>
      </c>
      <c r="H167">
        <v>15102723</v>
      </c>
      <c r="I167">
        <v>70988633</v>
      </c>
      <c r="J167">
        <v>2000</v>
      </c>
      <c r="K167">
        <v>14020</v>
      </c>
      <c r="L167">
        <v>2500</v>
      </c>
      <c r="M167">
        <v>1066</v>
      </c>
      <c r="N167">
        <v>1830</v>
      </c>
      <c r="O167">
        <v>2660</v>
      </c>
      <c r="P167">
        <v>3490</v>
      </c>
      <c r="Q167">
        <v>4320</v>
      </c>
      <c r="R167">
        <v>5150</v>
      </c>
      <c r="S167">
        <v>5980</v>
      </c>
      <c r="T167">
        <v>6810</v>
      </c>
      <c r="U167">
        <v>7640</v>
      </c>
      <c r="V167">
        <v>3435</v>
      </c>
      <c r="W167">
        <v>1664</v>
      </c>
      <c r="X167">
        <v>1498</v>
      </c>
      <c r="Y167">
        <v>7460</v>
      </c>
    </row>
    <row r="168" spans="1:25" x14ac:dyDescent="0.2">
      <c r="A168">
        <v>167</v>
      </c>
      <c r="B168">
        <v>0</v>
      </c>
      <c r="C168">
        <v>12198</v>
      </c>
      <c r="D168">
        <v>27383</v>
      </c>
      <c r="E168">
        <v>137142</v>
      </c>
      <c r="F168">
        <v>680346</v>
      </c>
      <c r="G168">
        <v>3321219</v>
      </c>
      <c r="H168">
        <v>16008887</v>
      </c>
      <c r="I168">
        <v>75957838</v>
      </c>
      <c r="J168">
        <v>2000</v>
      </c>
      <c r="K168">
        <v>14161</v>
      </c>
      <c r="L168">
        <v>2500</v>
      </c>
      <c r="M168">
        <v>1067</v>
      </c>
      <c r="N168">
        <v>1835</v>
      </c>
      <c r="O168">
        <v>2670</v>
      </c>
      <c r="P168">
        <v>3505</v>
      </c>
      <c r="Q168">
        <v>4340</v>
      </c>
      <c r="R168">
        <v>5175</v>
      </c>
      <c r="S168">
        <v>6010</v>
      </c>
      <c r="T168">
        <v>6845</v>
      </c>
      <c r="U168">
        <v>7680</v>
      </c>
      <c r="V168">
        <v>3457</v>
      </c>
      <c r="W168">
        <v>1668</v>
      </c>
      <c r="X168">
        <v>1501</v>
      </c>
      <c r="Y168">
        <v>7470</v>
      </c>
    </row>
    <row r="169" spans="1:25" x14ac:dyDescent="0.2">
      <c r="A169">
        <v>168</v>
      </c>
      <c r="B169">
        <v>0</v>
      </c>
      <c r="C169">
        <v>12381</v>
      </c>
      <c r="D169">
        <v>27931</v>
      </c>
      <c r="E169">
        <v>141257</v>
      </c>
      <c r="F169">
        <v>707560</v>
      </c>
      <c r="G169">
        <v>3487280</v>
      </c>
      <c r="H169">
        <v>16969421</v>
      </c>
      <c r="I169">
        <v>81274887</v>
      </c>
      <c r="J169">
        <v>2000</v>
      </c>
      <c r="K169">
        <v>14303</v>
      </c>
      <c r="L169">
        <v>2500</v>
      </c>
      <c r="M169">
        <v>1068</v>
      </c>
      <c r="N169">
        <v>1840</v>
      </c>
      <c r="O169">
        <v>2680</v>
      </c>
      <c r="P169">
        <v>3520</v>
      </c>
      <c r="Q169">
        <v>4360</v>
      </c>
      <c r="R169">
        <v>5200</v>
      </c>
      <c r="S169">
        <v>6040</v>
      </c>
      <c r="T169">
        <v>6880</v>
      </c>
      <c r="U169">
        <v>7720</v>
      </c>
      <c r="V169">
        <v>3479</v>
      </c>
      <c r="W169">
        <v>1672</v>
      </c>
      <c r="X169">
        <v>1504</v>
      </c>
      <c r="Y169">
        <v>7480</v>
      </c>
    </row>
    <row r="170" spans="1:25" x14ac:dyDescent="0.2">
      <c r="A170">
        <v>169</v>
      </c>
      <c r="B170">
        <v>0</v>
      </c>
      <c r="C170">
        <v>12567</v>
      </c>
      <c r="D170">
        <v>28490</v>
      </c>
      <c r="E170">
        <v>145495</v>
      </c>
      <c r="F170">
        <v>735863</v>
      </c>
      <c r="G170">
        <v>3661644</v>
      </c>
      <c r="H170">
        <v>17987587</v>
      </c>
      <c r="I170">
        <v>86964130</v>
      </c>
      <c r="J170">
        <v>2000</v>
      </c>
      <c r="K170">
        <v>14447</v>
      </c>
      <c r="L170">
        <v>2500</v>
      </c>
      <c r="M170">
        <v>1069</v>
      </c>
      <c r="N170">
        <v>1845</v>
      </c>
      <c r="O170">
        <v>2690</v>
      </c>
      <c r="P170">
        <v>3535</v>
      </c>
      <c r="Q170">
        <v>4380</v>
      </c>
      <c r="R170">
        <v>5225</v>
      </c>
      <c r="S170">
        <v>6070</v>
      </c>
      <c r="T170">
        <v>6915</v>
      </c>
      <c r="U170">
        <v>7760</v>
      </c>
      <c r="V170">
        <v>3501</v>
      </c>
      <c r="W170">
        <v>1676</v>
      </c>
      <c r="X170">
        <v>1507</v>
      </c>
      <c r="Y170">
        <v>7490</v>
      </c>
    </row>
    <row r="171" spans="1:25" x14ac:dyDescent="0.2">
      <c r="A171">
        <v>170</v>
      </c>
      <c r="B171">
        <v>0</v>
      </c>
      <c r="C171">
        <v>12756</v>
      </c>
      <c r="D171">
        <v>29060</v>
      </c>
      <c r="E171">
        <v>149860</v>
      </c>
      <c r="F171">
        <v>765298</v>
      </c>
      <c r="G171">
        <v>3844727</v>
      </c>
      <c r="H171">
        <v>19066843</v>
      </c>
      <c r="I171">
        <v>93051620</v>
      </c>
      <c r="J171">
        <v>2000</v>
      </c>
      <c r="K171">
        <v>14592</v>
      </c>
      <c r="L171">
        <v>2500</v>
      </c>
      <c r="M171">
        <v>1070</v>
      </c>
      <c r="N171">
        <v>1850</v>
      </c>
      <c r="O171">
        <v>2700</v>
      </c>
      <c r="P171">
        <v>3550</v>
      </c>
      <c r="Q171">
        <v>4400</v>
      </c>
      <c r="R171">
        <v>5250</v>
      </c>
      <c r="S171">
        <v>6100</v>
      </c>
      <c r="T171">
        <v>6950</v>
      </c>
      <c r="U171">
        <v>7800</v>
      </c>
      <c r="V171">
        <v>3523</v>
      </c>
      <c r="W171">
        <v>1680</v>
      </c>
      <c r="X171">
        <v>1510</v>
      </c>
      <c r="Y171">
        <v>7500</v>
      </c>
    </row>
    <row r="172" spans="1:25" x14ac:dyDescent="0.2">
      <c r="A172">
        <v>171</v>
      </c>
      <c r="B172">
        <v>0</v>
      </c>
      <c r="C172">
        <v>12948</v>
      </c>
      <c r="D172">
        <v>29642</v>
      </c>
      <c r="E172">
        <v>154356</v>
      </c>
      <c r="F172">
        <v>795910</v>
      </c>
      <c r="G172">
        <v>4036964</v>
      </c>
      <c r="H172">
        <v>20210854</v>
      </c>
      <c r="I172">
        <v>99565234</v>
      </c>
      <c r="J172">
        <v>2000</v>
      </c>
      <c r="K172">
        <v>14738</v>
      </c>
      <c r="L172">
        <v>2500</v>
      </c>
      <c r="M172">
        <v>1071</v>
      </c>
      <c r="N172">
        <v>1855</v>
      </c>
      <c r="O172">
        <v>2710</v>
      </c>
      <c r="P172">
        <v>3565</v>
      </c>
      <c r="Q172">
        <v>4420</v>
      </c>
      <c r="R172">
        <v>5275</v>
      </c>
      <c r="S172">
        <v>6130</v>
      </c>
      <c r="T172">
        <v>6985</v>
      </c>
      <c r="U172">
        <v>7840</v>
      </c>
      <c r="V172">
        <v>3545</v>
      </c>
      <c r="W172">
        <v>1684</v>
      </c>
      <c r="X172">
        <v>1513</v>
      </c>
      <c r="Y172">
        <v>7510</v>
      </c>
    </row>
    <row r="173" spans="1:25" x14ac:dyDescent="0.2">
      <c r="A173">
        <v>172</v>
      </c>
      <c r="B173">
        <v>0</v>
      </c>
      <c r="C173">
        <v>13143</v>
      </c>
      <c r="D173">
        <v>30235</v>
      </c>
      <c r="E173">
        <v>158987</v>
      </c>
      <c r="F173">
        <v>827747</v>
      </c>
      <c r="G173">
        <v>4238813</v>
      </c>
      <c r="H173">
        <v>21423506</v>
      </c>
      <c r="I173">
        <v>106534801</v>
      </c>
      <c r="J173">
        <v>2000</v>
      </c>
      <c r="K173">
        <v>14886</v>
      </c>
      <c r="L173">
        <v>2500</v>
      </c>
      <c r="M173">
        <v>1072</v>
      </c>
      <c r="N173">
        <v>1860</v>
      </c>
      <c r="O173">
        <v>2720</v>
      </c>
      <c r="P173">
        <v>3580</v>
      </c>
      <c r="Q173">
        <v>4440</v>
      </c>
      <c r="R173">
        <v>5300</v>
      </c>
      <c r="S173">
        <v>6160</v>
      </c>
      <c r="T173">
        <v>7020</v>
      </c>
      <c r="U173">
        <v>7880</v>
      </c>
      <c r="V173">
        <v>3567</v>
      </c>
      <c r="W173">
        <v>1688</v>
      </c>
      <c r="X173">
        <v>1516</v>
      </c>
      <c r="Y173">
        <v>7520</v>
      </c>
    </row>
    <row r="174" spans="1:25" x14ac:dyDescent="0.2">
      <c r="A174">
        <v>173</v>
      </c>
      <c r="B174">
        <v>0</v>
      </c>
      <c r="C174">
        <v>13341</v>
      </c>
      <c r="D174">
        <v>30840</v>
      </c>
      <c r="E174">
        <v>163757</v>
      </c>
      <c r="F174">
        <v>860857</v>
      </c>
      <c r="G174">
        <v>4450754</v>
      </c>
      <c r="H174">
        <v>22708917</v>
      </c>
      <c r="I174">
        <v>113992238</v>
      </c>
      <c r="J174">
        <v>2000</v>
      </c>
      <c r="K174">
        <v>15035</v>
      </c>
      <c r="L174">
        <v>2500</v>
      </c>
      <c r="M174">
        <v>1073</v>
      </c>
      <c r="N174">
        <v>1865</v>
      </c>
      <c r="O174">
        <v>2730</v>
      </c>
      <c r="P174">
        <v>3595</v>
      </c>
      <c r="Q174">
        <v>4460</v>
      </c>
      <c r="R174">
        <v>5325</v>
      </c>
      <c r="S174">
        <v>6190</v>
      </c>
      <c r="T174">
        <v>7055</v>
      </c>
      <c r="U174">
        <v>7920</v>
      </c>
      <c r="V174">
        <v>3589</v>
      </c>
      <c r="W174">
        <v>1692</v>
      </c>
      <c r="X174">
        <v>1519</v>
      </c>
      <c r="Y174">
        <v>7530</v>
      </c>
    </row>
    <row r="175" spans="1:25" x14ac:dyDescent="0.2">
      <c r="A175">
        <v>174</v>
      </c>
      <c r="B175">
        <v>0</v>
      </c>
      <c r="C175">
        <v>13542</v>
      </c>
      <c r="D175">
        <v>31457</v>
      </c>
      <c r="E175">
        <v>168670</v>
      </c>
      <c r="F175">
        <v>895292</v>
      </c>
      <c r="G175">
        <v>4673292</v>
      </c>
      <c r="H175">
        <v>24071453</v>
      </c>
      <c r="I175">
        <v>121971695</v>
      </c>
      <c r="J175">
        <v>2000</v>
      </c>
      <c r="K175">
        <v>15186</v>
      </c>
      <c r="L175">
        <v>2500</v>
      </c>
      <c r="M175">
        <v>1074</v>
      </c>
      <c r="N175">
        <v>1870</v>
      </c>
      <c r="O175">
        <v>2740</v>
      </c>
      <c r="P175">
        <v>3610</v>
      </c>
      <c r="Q175">
        <v>4480</v>
      </c>
      <c r="R175">
        <v>5350</v>
      </c>
      <c r="S175">
        <v>6220</v>
      </c>
      <c r="T175">
        <v>7090</v>
      </c>
      <c r="U175">
        <v>7960</v>
      </c>
      <c r="V175">
        <v>3611</v>
      </c>
      <c r="W175">
        <v>1696</v>
      </c>
      <c r="X175">
        <v>1522</v>
      </c>
      <c r="Y175">
        <v>7540</v>
      </c>
    </row>
    <row r="176" spans="1:25" x14ac:dyDescent="0.2">
      <c r="A176">
        <v>175</v>
      </c>
      <c r="B176">
        <v>0</v>
      </c>
      <c r="C176">
        <v>13746</v>
      </c>
      <c r="D176">
        <v>32087</v>
      </c>
      <c r="E176">
        <v>173731</v>
      </c>
      <c r="F176">
        <v>931104</v>
      </c>
      <c r="G176">
        <v>4906957</v>
      </c>
      <c r="H176">
        <v>25515741</v>
      </c>
      <c r="I176">
        <v>130509714</v>
      </c>
      <c r="J176">
        <v>2000</v>
      </c>
      <c r="K176">
        <v>15338</v>
      </c>
      <c r="L176">
        <v>2500</v>
      </c>
      <c r="M176">
        <v>1075</v>
      </c>
      <c r="N176">
        <v>1875</v>
      </c>
      <c r="O176">
        <v>2750</v>
      </c>
      <c r="P176">
        <v>3625</v>
      </c>
      <c r="Q176">
        <v>4500</v>
      </c>
      <c r="R176">
        <v>5375</v>
      </c>
      <c r="S176">
        <v>6250</v>
      </c>
      <c r="T176">
        <v>7125</v>
      </c>
      <c r="U176">
        <v>8000</v>
      </c>
      <c r="V176">
        <v>3634</v>
      </c>
      <c r="W176">
        <v>1700</v>
      </c>
      <c r="X176">
        <v>1525</v>
      </c>
      <c r="Y176">
        <v>7550</v>
      </c>
    </row>
    <row r="177" spans="1:25" x14ac:dyDescent="0.2">
      <c r="A177">
        <v>176</v>
      </c>
      <c r="B177">
        <v>0</v>
      </c>
      <c r="C177">
        <v>13953</v>
      </c>
      <c r="D177">
        <v>32729</v>
      </c>
      <c r="E177">
        <v>178943</v>
      </c>
      <c r="F177">
        <v>968349</v>
      </c>
      <c r="G177">
        <v>5152305</v>
      </c>
      <c r="H177">
        <v>27046686</v>
      </c>
      <c r="I177">
        <v>139645394</v>
      </c>
      <c r="J177">
        <v>2000</v>
      </c>
      <c r="K177">
        <v>15492</v>
      </c>
      <c r="L177">
        <v>2500</v>
      </c>
      <c r="M177">
        <v>1076</v>
      </c>
      <c r="N177">
        <v>1880</v>
      </c>
      <c r="O177">
        <v>2760</v>
      </c>
      <c r="P177">
        <v>3640</v>
      </c>
      <c r="Q177">
        <v>4520</v>
      </c>
      <c r="R177">
        <v>5400</v>
      </c>
      <c r="S177">
        <v>6280</v>
      </c>
      <c r="T177">
        <v>7160</v>
      </c>
      <c r="U177">
        <v>8040</v>
      </c>
      <c r="V177">
        <v>3657</v>
      </c>
      <c r="W177">
        <v>1704</v>
      </c>
      <c r="X177">
        <v>1528</v>
      </c>
      <c r="Y177">
        <v>7560</v>
      </c>
    </row>
    <row r="178" spans="1:25" x14ac:dyDescent="0.2">
      <c r="A178">
        <v>177</v>
      </c>
      <c r="B178">
        <v>0</v>
      </c>
      <c r="C178">
        <v>14163</v>
      </c>
      <c r="D178">
        <v>33384</v>
      </c>
      <c r="E178">
        <v>184312</v>
      </c>
      <c r="F178">
        <v>1007083</v>
      </c>
      <c r="G178">
        <v>5409921</v>
      </c>
      <c r="H178">
        <v>28669488</v>
      </c>
      <c r="I178">
        <v>149420572</v>
      </c>
      <c r="J178">
        <v>2000</v>
      </c>
      <c r="K178">
        <v>15647</v>
      </c>
      <c r="L178">
        <v>2500</v>
      </c>
      <c r="M178">
        <v>1077</v>
      </c>
      <c r="N178">
        <v>1885</v>
      </c>
      <c r="O178">
        <v>2770</v>
      </c>
      <c r="P178">
        <v>3655</v>
      </c>
      <c r="Q178">
        <v>4540</v>
      </c>
      <c r="R178">
        <v>5425</v>
      </c>
      <c r="S178">
        <v>6310</v>
      </c>
      <c r="T178">
        <v>7195</v>
      </c>
      <c r="U178">
        <v>8080</v>
      </c>
      <c r="V178">
        <v>3680</v>
      </c>
      <c r="W178">
        <v>1708</v>
      </c>
      <c r="X178">
        <v>1531</v>
      </c>
      <c r="Y178">
        <v>7570</v>
      </c>
    </row>
    <row r="179" spans="1:25" x14ac:dyDescent="0.2">
      <c r="A179">
        <v>178</v>
      </c>
      <c r="B179">
        <v>0</v>
      </c>
      <c r="C179">
        <v>14376</v>
      </c>
      <c r="D179">
        <v>34052</v>
      </c>
      <c r="E179">
        <v>189842</v>
      </c>
      <c r="F179">
        <v>1047367</v>
      </c>
      <c r="G179">
        <v>5680418</v>
      </c>
      <c r="H179">
        <v>30389658</v>
      </c>
      <c r="I179">
        <v>159880013</v>
      </c>
      <c r="J179">
        <v>2000</v>
      </c>
      <c r="K179">
        <v>15804</v>
      </c>
      <c r="L179">
        <v>2500</v>
      </c>
      <c r="M179">
        <v>1078</v>
      </c>
      <c r="N179">
        <v>1890</v>
      </c>
      <c r="O179">
        <v>2780</v>
      </c>
      <c r="P179">
        <v>3670</v>
      </c>
      <c r="Q179">
        <v>4560</v>
      </c>
      <c r="R179">
        <v>5450</v>
      </c>
      <c r="S179">
        <v>6340</v>
      </c>
      <c r="T179">
        <v>7230</v>
      </c>
      <c r="U179">
        <v>8120</v>
      </c>
      <c r="V179">
        <v>3703</v>
      </c>
      <c r="W179">
        <v>1712</v>
      </c>
      <c r="X179">
        <v>1534</v>
      </c>
      <c r="Y179">
        <v>7580</v>
      </c>
    </row>
    <row r="180" spans="1:25" x14ac:dyDescent="0.2">
      <c r="A180">
        <v>179</v>
      </c>
      <c r="B180">
        <v>0</v>
      </c>
      <c r="C180">
        <v>14592</v>
      </c>
      <c r="D180">
        <v>34734</v>
      </c>
      <c r="E180">
        <v>195538</v>
      </c>
      <c r="F180">
        <v>1089262</v>
      </c>
      <c r="G180">
        <v>5964439</v>
      </c>
      <c r="H180">
        <v>32213038</v>
      </c>
      <c r="I180">
        <v>171071614</v>
      </c>
      <c r="J180">
        <v>2000</v>
      </c>
      <c r="K180">
        <v>15963</v>
      </c>
      <c r="L180">
        <v>2500</v>
      </c>
      <c r="M180">
        <v>1079</v>
      </c>
      <c r="N180">
        <v>1895</v>
      </c>
      <c r="O180">
        <v>2790</v>
      </c>
      <c r="P180">
        <v>3685</v>
      </c>
      <c r="Q180">
        <v>4580</v>
      </c>
      <c r="R180">
        <v>5475</v>
      </c>
      <c r="S180">
        <v>6370</v>
      </c>
      <c r="T180">
        <v>7265</v>
      </c>
      <c r="U180">
        <v>8160</v>
      </c>
      <c r="V180">
        <v>3726</v>
      </c>
      <c r="W180">
        <v>1716</v>
      </c>
      <c r="X180">
        <v>1537</v>
      </c>
      <c r="Y180">
        <v>7590</v>
      </c>
    </row>
    <row r="181" spans="1:25" x14ac:dyDescent="0.2">
      <c r="A181">
        <v>180</v>
      </c>
      <c r="B181">
        <v>0</v>
      </c>
      <c r="C181">
        <v>14811</v>
      </c>
      <c r="D181">
        <v>35429</v>
      </c>
      <c r="E181">
        <v>201405</v>
      </c>
      <c r="F181">
        <v>1132833</v>
      </c>
      <c r="G181">
        <v>6262661</v>
      </c>
      <c r="H181">
        <v>34145821</v>
      </c>
      <c r="I181">
        <v>183046627</v>
      </c>
      <c r="J181">
        <v>2000</v>
      </c>
      <c r="K181">
        <v>16123</v>
      </c>
      <c r="L181">
        <v>2500</v>
      </c>
      <c r="M181">
        <v>1080</v>
      </c>
      <c r="N181">
        <v>1900</v>
      </c>
      <c r="O181">
        <v>2800</v>
      </c>
      <c r="P181">
        <v>3700</v>
      </c>
      <c r="Q181">
        <v>4600</v>
      </c>
      <c r="R181">
        <v>5500</v>
      </c>
      <c r="S181">
        <v>6400</v>
      </c>
      <c r="T181">
        <v>7300</v>
      </c>
      <c r="U181">
        <v>8200</v>
      </c>
      <c r="V181">
        <v>3749</v>
      </c>
      <c r="W181">
        <v>1720</v>
      </c>
      <c r="X181">
        <v>1540</v>
      </c>
      <c r="Y181">
        <v>7600</v>
      </c>
    </row>
    <row r="182" spans="1:25" x14ac:dyDescent="0.2">
      <c r="A182">
        <v>181</v>
      </c>
      <c r="B182">
        <v>0</v>
      </c>
      <c r="C182">
        <v>15034</v>
      </c>
      <c r="D182">
        <v>36138</v>
      </c>
      <c r="E182">
        <v>207448</v>
      </c>
      <c r="F182">
        <v>1178147</v>
      </c>
      <c r="G182">
        <v>6575795</v>
      </c>
      <c r="H182">
        <v>36194571</v>
      </c>
      <c r="I182">
        <v>195859891</v>
      </c>
      <c r="J182">
        <v>2000</v>
      </c>
      <c r="K182">
        <v>16285</v>
      </c>
      <c r="L182">
        <v>2500</v>
      </c>
      <c r="M182">
        <v>1081</v>
      </c>
      <c r="N182">
        <v>1905</v>
      </c>
      <c r="O182">
        <v>2810</v>
      </c>
      <c r="P182">
        <v>3715</v>
      </c>
      <c r="Q182">
        <v>4620</v>
      </c>
      <c r="R182">
        <v>5525</v>
      </c>
      <c r="S182">
        <v>6430</v>
      </c>
      <c r="T182">
        <v>7335</v>
      </c>
      <c r="U182">
        <v>8240</v>
      </c>
      <c r="V182">
        <v>3772</v>
      </c>
      <c r="W182">
        <v>1724</v>
      </c>
      <c r="X182">
        <v>1543</v>
      </c>
      <c r="Y182">
        <v>7610</v>
      </c>
    </row>
    <row r="183" spans="1:25" x14ac:dyDescent="0.2">
      <c r="A183">
        <v>182</v>
      </c>
      <c r="B183">
        <v>0</v>
      </c>
      <c r="C183">
        <v>15260</v>
      </c>
      <c r="D183">
        <v>36861</v>
      </c>
      <c r="E183">
        <v>213672</v>
      </c>
      <c r="F183">
        <v>1225273</v>
      </c>
      <c r="G183">
        <v>6904585</v>
      </c>
      <c r="H183">
        <v>38366246</v>
      </c>
      <c r="I183">
        <v>209570084</v>
      </c>
      <c r="J183">
        <v>2000</v>
      </c>
      <c r="K183">
        <v>16448</v>
      </c>
      <c r="L183">
        <v>2500</v>
      </c>
      <c r="M183">
        <v>1082</v>
      </c>
      <c r="N183">
        <v>1910</v>
      </c>
      <c r="O183">
        <v>2820</v>
      </c>
      <c r="P183">
        <v>3730</v>
      </c>
      <c r="Q183">
        <v>4640</v>
      </c>
      <c r="R183">
        <v>5550</v>
      </c>
      <c r="S183">
        <v>6460</v>
      </c>
      <c r="T183">
        <v>7370</v>
      </c>
      <c r="U183">
        <v>8280</v>
      </c>
      <c r="V183">
        <v>3795</v>
      </c>
      <c r="W183">
        <v>1728</v>
      </c>
      <c r="X183">
        <v>1546</v>
      </c>
      <c r="Y183">
        <v>7620</v>
      </c>
    </row>
    <row r="184" spans="1:25" x14ac:dyDescent="0.2">
      <c r="A184">
        <v>183</v>
      </c>
      <c r="B184">
        <v>0</v>
      </c>
      <c r="C184">
        <v>15489</v>
      </c>
      <c r="D184">
        <v>37599</v>
      </c>
      <c r="E184">
        <v>220083</v>
      </c>
      <c r="F184">
        <v>1274284</v>
      </c>
      <c r="G184">
        <v>7249815</v>
      </c>
      <c r="H184">
        <v>40668221</v>
      </c>
      <c r="I184">
        <v>224239990</v>
      </c>
      <c r="J184">
        <v>2000</v>
      </c>
      <c r="K184">
        <v>16613</v>
      </c>
      <c r="L184">
        <v>2500</v>
      </c>
      <c r="M184">
        <v>1083</v>
      </c>
      <c r="N184">
        <v>1915</v>
      </c>
      <c r="O184">
        <v>2830</v>
      </c>
      <c r="P184">
        <v>3745</v>
      </c>
      <c r="Q184">
        <v>4660</v>
      </c>
      <c r="R184">
        <v>5575</v>
      </c>
      <c r="S184">
        <v>6490</v>
      </c>
      <c r="T184">
        <v>7405</v>
      </c>
      <c r="U184">
        <v>8320</v>
      </c>
      <c r="V184">
        <v>3818</v>
      </c>
      <c r="W184">
        <v>1732</v>
      </c>
      <c r="X184">
        <v>1549</v>
      </c>
      <c r="Y184">
        <v>7630</v>
      </c>
    </row>
    <row r="185" spans="1:25" x14ac:dyDescent="0.2">
      <c r="A185">
        <v>184</v>
      </c>
      <c r="B185">
        <v>0</v>
      </c>
      <c r="C185">
        <v>15722</v>
      </c>
      <c r="D185">
        <v>38351</v>
      </c>
      <c r="E185">
        <v>226686</v>
      </c>
      <c r="F185">
        <v>1325256</v>
      </c>
      <c r="G185">
        <v>7612306</v>
      </c>
      <c r="H185">
        <v>43108315</v>
      </c>
      <c r="I185">
        <v>239936790</v>
      </c>
      <c r="J185">
        <v>2000</v>
      </c>
      <c r="K185">
        <v>16780</v>
      </c>
      <c r="L185">
        <v>2500</v>
      </c>
      <c r="M185">
        <v>1084</v>
      </c>
      <c r="N185">
        <v>1920</v>
      </c>
      <c r="O185">
        <v>2840</v>
      </c>
      <c r="P185">
        <v>3760</v>
      </c>
      <c r="Q185">
        <v>4680</v>
      </c>
      <c r="R185">
        <v>5600</v>
      </c>
      <c r="S185">
        <v>6520</v>
      </c>
      <c r="T185">
        <v>7440</v>
      </c>
      <c r="U185">
        <v>8360</v>
      </c>
      <c r="V185">
        <v>3842</v>
      </c>
      <c r="W185">
        <v>1736</v>
      </c>
      <c r="X185">
        <v>1552</v>
      </c>
      <c r="Y185">
        <v>7640</v>
      </c>
    </row>
    <row r="186" spans="1:25" x14ac:dyDescent="0.2">
      <c r="A186">
        <v>185</v>
      </c>
      <c r="B186">
        <v>0</v>
      </c>
      <c r="C186">
        <v>15958</v>
      </c>
      <c r="D186">
        <v>39119</v>
      </c>
      <c r="E186">
        <v>233487</v>
      </c>
      <c r="F186">
        <v>1378267</v>
      </c>
      <c r="G186">
        <v>7992922</v>
      </c>
      <c r="H186">
        <v>45694814</v>
      </c>
      <c r="I186">
        <v>256732366</v>
      </c>
      <c r="J186">
        <v>2000</v>
      </c>
      <c r="K186">
        <v>16948</v>
      </c>
      <c r="L186">
        <v>2500</v>
      </c>
      <c r="M186">
        <v>1085</v>
      </c>
      <c r="N186">
        <v>1925</v>
      </c>
      <c r="O186">
        <v>2850</v>
      </c>
      <c r="P186">
        <v>3775</v>
      </c>
      <c r="Q186">
        <v>4700</v>
      </c>
      <c r="R186">
        <v>5625</v>
      </c>
      <c r="S186">
        <v>6550</v>
      </c>
      <c r="T186">
        <v>7475</v>
      </c>
      <c r="U186">
        <v>8400</v>
      </c>
      <c r="V186">
        <v>3866</v>
      </c>
      <c r="W186">
        <v>1740</v>
      </c>
      <c r="X186">
        <v>1555</v>
      </c>
      <c r="Y186">
        <v>7650</v>
      </c>
    </row>
    <row r="187" spans="1:25" x14ac:dyDescent="0.2">
      <c r="A187">
        <v>186</v>
      </c>
      <c r="B187">
        <v>0</v>
      </c>
      <c r="C187">
        <v>16198</v>
      </c>
      <c r="D187">
        <v>39902</v>
      </c>
      <c r="E187">
        <v>240492</v>
      </c>
      <c r="F187">
        <v>1433398</v>
      </c>
      <c r="G187">
        <v>8392569</v>
      </c>
      <c r="H187">
        <v>48436503</v>
      </c>
      <c r="I187">
        <v>274703632</v>
      </c>
      <c r="J187">
        <v>2000</v>
      </c>
      <c r="K187">
        <v>17118</v>
      </c>
      <c r="L187">
        <v>2500</v>
      </c>
      <c r="M187">
        <v>1086</v>
      </c>
      <c r="N187">
        <v>1930</v>
      </c>
      <c r="O187">
        <v>2860</v>
      </c>
      <c r="P187">
        <v>3790</v>
      </c>
      <c r="Q187">
        <v>4720</v>
      </c>
      <c r="R187">
        <v>5650</v>
      </c>
      <c r="S187">
        <v>6580</v>
      </c>
      <c r="T187">
        <v>7510</v>
      </c>
      <c r="U187">
        <v>8440</v>
      </c>
      <c r="V187">
        <v>3890</v>
      </c>
      <c r="W187">
        <v>1744</v>
      </c>
      <c r="X187">
        <v>1558</v>
      </c>
      <c r="Y187">
        <v>7660</v>
      </c>
    </row>
    <row r="188" spans="1:25" x14ac:dyDescent="0.2">
      <c r="A188">
        <v>187</v>
      </c>
      <c r="B188">
        <v>0</v>
      </c>
      <c r="C188">
        <v>16441</v>
      </c>
      <c r="D188">
        <v>40701</v>
      </c>
      <c r="E188">
        <v>247707</v>
      </c>
      <c r="F188">
        <v>1490734</v>
      </c>
      <c r="G188">
        <v>8812198</v>
      </c>
      <c r="H188">
        <v>51342694</v>
      </c>
      <c r="I188">
        <v>293932887</v>
      </c>
      <c r="J188">
        <v>2000</v>
      </c>
      <c r="K188">
        <v>17290</v>
      </c>
      <c r="L188">
        <v>2500</v>
      </c>
      <c r="M188">
        <v>1087</v>
      </c>
      <c r="N188">
        <v>1935</v>
      </c>
      <c r="O188">
        <v>2870</v>
      </c>
      <c r="P188">
        <v>3805</v>
      </c>
      <c r="Q188">
        <v>4740</v>
      </c>
      <c r="R188">
        <v>5675</v>
      </c>
      <c r="S188">
        <v>6610</v>
      </c>
      <c r="T188">
        <v>7545</v>
      </c>
      <c r="U188">
        <v>8480</v>
      </c>
      <c r="V188">
        <v>3914</v>
      </c>
      <c r="W188">
        <v>1748</v>
      </c>
      <c r="X188">
        <v>1561</v>
      </c>
      <c r="Y188">
        <v>7670</v>
      </c>
    </row>
    <row r="189" spans="1:25" x14ac:dyDescent="0.2">
      <c r="A189">
        <v>188</v>
      </c>
      <c r="B189">
        <v>0</v>
      </c>
      <c r="C189">
        <v>16688</v>
      </c>
      <c r="D189">
        <v>41516</v>
      </c>
      <c r="E189">
        <v>255139</v>
      </c>
      <c r="F189">
        <v>1550364</v>
      </c>
      <c r="G189">
        <v>9252808</v>
      </c>
      <c r="H189">
        <v>54423256</v>
      </c>
      <c r="I189">
        <v>314508190</v>
      </c>
      <c r="J189">
        <v>2000</v>
      </c>
      <c r="K189">
        <v>17463</v>
      </c>
      <c r="L189">
        <v>2500</v>
      </c>
      <c r="M189">
        <v>1088</v>
      </c>
      <c r="N189">
        <v>1940</v>
      </c>
      <c r="O189">
        <v>2880</v>
      </c>
      <c r="P189">
        <v>3820</v>
      </c>
      <c r="Q189">
        <v>4760</v>
      </c>
      <c r="R189">
        <v>5700</v>
      </c>
      <c r="S189">
        <v>6640</v>
      </c>
      <c r="T189">
        <v>7580</v>
      </c>
      <c r="U189">
        <v>8520</v>
      </c>
      <c r="V189">
        <v>3938</v>
      </c>
      <c r="W189">
        <v>1752</v>
      </c>
      <c r="X189">
        <v>1564</v>
      </c>
      <c r="Y189">
        <v>7680</v>
      </c>
    </row>
    <row r="190" spans="1:25" x14ac:dyDescent="0.2">
      <c r="A190">
        <v>189</v>
      </c>
      <c r="B190">
        <v>0</v>
      </c>
      <c r="C190">
        <v>16939</v>
      </c>
      <c r="D190">
        <v>42347</v>
      </c>
      <c r="E190">
        <v>262794</v>
      </c>
      <c r="F190">
        <v>1612379</v>
      </c>
      <c r="G190">
        <v>9715449</v>
      </c>
      <c r="H190">
        <v>57688652</v>
      </c>
      <c r="I190">
        <v>336523764</v>
      </c>
      <c r="J190">
        <v>2000</v>
      </c>
      <c r="K190">
        <v>17638</v>
      </c>
      <c r="L190">
        <v>2500</v>
      </c>
      <c r="M190">
        <v>1089</v>
      </c>
      <c r="N190">
        <v>1945</v>
      </c>
      <c r="O190">
        <v>2890</v>
      </c>
      <c r="P190">
        <v>3835</v>
      </c>
      <c r="Q190">
        <v>4780</v>
      </c>
      <c r="R190">
        <v>5725</v>
      </c>
      <c r="S190">
        <v>6670</v>
      </c>
      <c r="T190">
        <v>7615</v>
      </c>
      <c r="U190">
        <v>8560</v>
      </c>
      <c r="V190">
        <v>3962</v>
      </c>
      <c r="W190">
        <v>1756</v>
      </c>
      <c r="X190">
        <v>1567</v>
      </c>
      <c r="Y190">
        <v>7690</v>
      </c>
    </row>
    <row r="191" spans="1:25" x14ac:dyDescent="0.2">
      <c r="A191">
        <v>190</v>
      </c>
      <c r="B191">
        <v>0</v>
      </c>
      <c r="C191">
        <v>17194</v>
      </c>
      <c r="D191">
        <v>43194</v>
      </c>
      <c r="E191">
        <v>270678</v>
      </c>
      <c r="F191">
        <v>1676875</v>
      </c>
      <c r="G191">
        <v>10201222</v>
      </c>
      <c r="H191">
        <v>61149972</v>
      </c>
      <c r="I191">
        <v>360080428</v>
      </c>
      <c r="J191">
        <v>2000</v>
      </c>
      <c r="K191">
        <v>17815</v>
      </c>
      <c r="L191">
        <v>2500</v>
      </c>
      <c r="M191">
        <v>1090</v>
      </c>
      <c r="N191">
        <v>1950</v>
      </c>
      <c r="O191">
        <v>2900</v>
      </c>
      <c r="P191">
        <v>3850</v>
      </c>
      <c r="Q191">
        <v>4800</v>
      </c>
      <c r="R191">
        <v>5750</v>
      </c>
      <c r="S191">
        <v>6700</v>
      </c>
      <c r="T191">
        <v>7650</v>
      </c>
      <c r="U191">
        <v>8600</v>
      </c>
      <c r="V191">
        <v>3986</v>
      </c>
      <c r="W191">
        <v>1760</v>
      </c>
      <c r="X191">
        <v>1570</v>
      </c>
      <c r="Y191">
        <v>7700</v>
      </c>
    </row>
    <row r="192" spans="1:25" x14ac:dyDescent="0.2">
      <c r="A192">
        <v>191</v>
      </c>
      <c r="B192">
        <v>0</v>
      </c>
      <c r="C192">
        <v>17452</v>
      </c>
      <c r="D192">
        <v>44058</v>
      </c>
      <c r="E192">
        <v>278799</v>
      </c>
      <c r="F192">
        <v>1743950</v>
      </c>
      <c r="G192">
        <v>10711284</v>
      </c>
      <c r="H192">
        <v>64818971</v>
      </c>
      <c r="I192">
        <v>385286058</v>
      </c>
      <c r="J192">
        <v>2000</v>
      </c>
      <c r="K192">
        <v>17994</v>
      </c>
      <c r="L192">
        <v>2500</v>
      </c>
      <c r="M192">
        <v>1091</v>
      </c>
      <c r="N192">
        <v>1955</v>
      </c>
      <c r="O192">
        <v>2910</v>
      </c>
      <c r="P192">
        <v>3865</v>
      </c>
      <c r="Q192">
        <v>4820</v>
      </c>
      <c r="R192">
        <v>5775</v>
      </c>
      <c r="S192">
        <v>6730</v>
      </c>
      <c r="T192">
        <v>7685</v>
      </c>
      <c r="U192">
        <v>8640</v>
      </c>
      <c r="V192">
        <v>4010</v>
      </c>
      <c r="W192">
        <v>1764</v>
      </c>
      <c r="X192">
        <v>1573</v>
      </c>
      <c r="Y192">
        <v>7710</v>
      </c>
    </row>
    <row r="193" spans="1:25" x14ac:dyDescent="0.2">
      <c r="A193">
        <v>192</v>
      </c>
      <c r="B193">
        <v>0</v>
      </c>
      <c r="C193">
        <v>17714</v>
      </c>
      <c r="D193">
        <v>44940</v>
      </c>
      <c r="E193">
        <v>287163</v>
      </c>
      <c r="F193">
        <v>1813708</v>
      </c>
      <c r="G193">
        <v>11246849</v>
      </c>
      <c r="H193">
        <v>68708110</v>
      </c>
      <c r="I193">
        <v>412256083</v>
      </c>
      <c r="J193">
        <v>2000</v>
      </c>
      <c r="K193">
        <v>18174</v>
      </c>
      <c r="L193">
        <v>2500</v>
      </c>
      <c r="M193">
        <v>1092</v>
      </c>
      <c r="N193">
        <v>1960</v>
      </c>
      <c r="O193">
        <v>2920</v>
      </c>
      <c r="P193">
        <v>3880</v>
      </c>
      <c r="Q193">
        <v>4840</v>
      </c>
      <c r="R193">
        <v>5800</v>
      </c>
      <c r="S193">
        <v>6760</v>
      </c>
      <c r="T193">
        <v>7720</v>
      </c>
      <c r="U193">
        <v>8680</v>
      </c>
      <c r="V193">
        <v>4035</v>
      </c>
      <c r="W193">
        <v>1768</v>
      </c>
      <c r="X193">
        <v>1576</v>
      </c>
      <c r="Y193">
        <v>7720</v>
      </c>
    </row>
    <row r="194" spans="1:25" x14ac:dyDescent="0.2">
      <c r="A194">
        <v>193</v>
      </c>
      <c r="B194">
        <v>0</v>
      </c>
      <c r="C194">
        <v>17980</v>
      </c>
      <c r="D194">
        <v>45839</v>
      </c>
      <c r="E194">
        <v>295778</v>
      </c>
      <c r="F194">
        <v>1886257</v>
      </c>
      <c r="G194">
        <v>11809192</v>
      </c>
      <c r="H194">
        <v>72830597</v>
      </c>
      <c r="I194">
        <v>441114009</v>
      </c>
      <c r="J194">
        <v>2000</v>
      </c>
      <c r="K194">
        <v>18356</v>
      </c>
      <c r="L194">
        <v>2500</v>
      </c>
      <c r="M194">
        <v>1093</v>
      </c>
      <c r="N194">
        <v>1965</v>
      </c>
      <c r="O194">
        <v>2930</v>
      </c>
      <c r="P194">
        <v>3895</v>
      </c>
      <c r="Q194">
        <v>4860</v>
      </c>
      <c r="R194">
        <v>5825</v>
      </c>
      <c r="S194">
        <v>6790</v>
      </c>
      <c r="T194">
        <v>7755</v>
      </c>
      <c r="U194">
        <v>8720</v>
      </c>
      <c r="V194">
        <v>4060</v>
      </c>
      <c r="W194">
        <v>1772</v>
      </c>
      <c r="X194">
        <v>1579</v>
      </c>
      <c r="Y194">
        <v>7730</v>
      </c>
    </row>
    <row r="195" spans="1:25" x14ac:dyDescent="0.2">
      <c r="A195">
        <v>194</v>
      </c>
      <c r="B195">
        <v>0</v>
      </c>
      <c r="C195">
        <v>18250</v>
      </c>
      <c r="D195">
        <v>46756</v>
      </c>
      <c r="E195">
        <v>304652</v>
      </c>
      <c r="F195">
        <v>1961708</v>
      </c>
      <c r="G195">
        <v>12399652</v>
      </c>
      <c r="H195">
        <v>77200433</v>
      </c>
      <c r="I195">
        <v>471991990</v>
      </c>
      <c r="J195">
        <v>2000</v>
      </c>
      <c r="K195">
        <v>18540</v>
      </c>
      <c r="L195">
        <v>2500</v>
      </c>
      <c r="M195">
        <v>1094</v>
      </c>
      <c r="N195">
        <v>1970</v>
      </c>
      <c r="O195">
        <v>2940</v>
      </c>
      <c r="P195">
        <v>3910</v>
      </c>
      <c r="Q195">
        <v>4880</v>
      </c>
      <c r="R195">
        <v>5850</v>
      </c>
      <c r="S195">
        <v>6820</v>
      </c>
      <c r="T195">
        <v>7790</v>
      </c>
      <c r="U195">
        <v>8760</v>
      </c>
      <c r="V195">
        <v>4085</v>
      </c>
      <c r="W195">
        <v>1776</v>
      </c>
      <c r="X195">
        <v>1582</v>
      </c>
      <c r="Y195">
        <v>7740</v>
      </c>
    </row>
    <row r="196" spans="1:25" x14ac:dyDescent="0.2">
      <c r="A196">
        <v>195</v>
      </c>
      <c r="B196">
        <v>0</v>
      </c>
      <c r="C196">
        <v>18524</v>
      </c>
      <c r="D196">
        <v>47692</v>
      </c>
      <c r="E196">
        <v>313792</v>
      </c>
      <c r="F196">
        <v>2040177</v>
      </c>
      <c r="G196">
        <v>13019635</v>
      </c>
      <c r="H196">
        <v>81832459</v>
      </c>
      <c r="I196">
        <v>505031430</v>
      </c>
      <c r="J196">
        <v>2000</v>
      </c>
      <c r="K196">
        <v>18726</v>
      </c>
      <c r="L196">
        <v>2500</v>
      </c>
      <c r="M196">
        <v>1095</v>
      </c>
      <c r="N196">
        <v>1975</v>
      </c>
      <c r="O196">
        <v>2950</v>
      </c>
      <c r="P196">
        <v>3925</v>
      </c>
      <c r="Q196">
        <v>4900</v>
      </c>
      <c r="R196">
        <v>5875</v>
      </c>
      <c r="S196">
        <v>6850</v>
      </c>
      <c r="T196">
        <v>7825</v>
      </c>
      <c r="U196">
        <v>8800</v>
      </c>
      <c r="V196">
        <v>4110</v>
      </c>
      <c r="W196">
        <v>1780</v>
      </c>
      <c r="X196">
        <v>1585</v>
      </c>
      <c r="Y196">
        <v>7750</v>
      </c>
    </row>
    <row r="197" spans="1:25" x14ac:dyDescent="0.2">
      <c r="A197">
        <v>196</v>
      </c>
      <c r="B197">
        <v>0</v>
      </c>
      <c r="C197">
        <v>18802</v>
      </c>
      <c r="D197">
        <v>48646</v>
      </c>
      <c r="E197">
        <v>323206</v>
      </c>
      <c r="F197">
        <v>2121785</v>
      </c>
      <c r="G197">
        <v>13670617</v>
      </c>
      <c r="H197">
        <v>86742407</v>
      </c>
      <c r="I197">
        <v>540383631</v>
      </c>
      <c r="J197">
        <v>2000</v>
      </c>
      <c r="K197">
        <v>18914</v>
      </c>
      <c r="L197">
        <v>2500</v>
      </c>
      <c r="M197">
        <v>1096</v>
      </c>
      <c r="N197">
        <v>1980</v>
      </c>
      <c r="O197">
        <v>2960</v>
      </c>
      <c r="P197">
        <v>3940</v>
      </c>
      <c r="Q197">
        <v>4920</v>
      </c>
      <c r="R197">
        <v>5900</v>
      </c>
      <c r="S197">
        <v>6880</v>
      </c>
      <c r="T197">
        <v>7860</v>
      </c>
      <c r="U197">
        <v>8840</v>
      </c>
      <c r="V197">
        <v>4135</v>
      </c>
      <c r="W197">
        <v>1784</v>
      </c>
      <c r="X197">
        <v>1588</v>
      </c>
      <c r="Y197">
        <v>7760</v>
      </c>
    </row>
    <row r="198" spans="1:25" x14ac:dyDescent="0.2">
      <c r="A198">
        <v>197</v>
      </c>
      <c r="B198">
        <v>0</v>
      </c>
      <c r="C198">
        <v>19085</v>
      </c>
      <c r="D198">
        <v>49619</v>
      </c>
      <c r="E198">
        <v>332903</v>
      </c>
      <c r="F198">
        <v>2206657</v>
      </c>
      <c r="G198">
        <v>14354148</v>
      </c>
      <c r="H198">
        <v>91946952</v>
      </c>
      <c r="I198">
        <v>578210486</v>
      </c>
      <c r="J198">
        <v>2000</v>
      </c>
      <c r="K198">
        <v>19104</v>
      </c>
      <c r="L198">
        <v>2500</v>
      </c>
      <c r="M198">
        <v>1097</v>
      </c>
      <c r="N198">
        <v>1985</v>
      </c>
      <c r="O198">
        <v>2970</v>
      </c>
      <c r="P198">
        <v>3955</v>
      </c>
      <c r="Q198">
        <v>4940</v>
      </c>
      <c r="R198">
        <v>5925</v>
      </c>
      <c r="S198">
        <v>6910</v>
      </c>
      <c r="T198">
        <v>7895</v>
      </c>
      <c r="U198">
        <v>8880</v>
      </c>
      <c r="V198">
        <v>4160</v>
      </c>
      <c r="W198">
        <v>1788</v>
      </c>
      <c r="X198">
        <v>1591</v>
      </c>
      <c r="Y198">
        <v>7770</v>
      </c>
    </row>
    <row r="199" spans="1:25" x14ac:dyDescent="0.2">
      <c r="A199">
        <v>198</v>
      </c>
      <c r="B199">
        <v>0</v>
      </c>
      <c r="C199">
        <v>19372</v>
      </c>
      <c r="D199">
        <v>50612</v>
      </c>
      <c r="E199">
        <v>342891</v>
      </c>
      <c r="F199">
        <v>2294924</v>
      </c>
      <c r="G199">
        <v>15071856</v>
      </c>
      <c r="H199">
        <v>97463770</v>
      </c>
      <c r="I199">
        <v>618685221</v>
      </c>
      <c r="J199">
        <v>2000</v>
      </c>
      <c r="K199">
        <v>19296</v>
      </c>
      <c r="L199">
        <v>2500</v>
      </c>
      <c r="M199">
        <v>1098</v>
      </c>
      <c r="N199">
        <v>1990</v>
      </c>
      <c r="O199">
        <v>2980</v>
      </c>
      <c r="P199">
        <v>3970</v>
      </c>
      <c r="Q199">
        <v>4960</v>
      </c>
      <c r="R199">
        <v>5950</v>
      </c>
      <c r="S199">
        <v>6940</v>
      </c>
      <c r="T199">
        <v>7930</v>
      </c>
      <c r="U199">
        <v>8920</v>
      </c>
      <c r="V199">
        <v>4185</v>
      </c>
      <c r="W199">
        <v>1792</v>
      </c>
      <c r="X199">
        <v>1594</v>
      </c>
      <c r="Y199">
        <v>7780</v>
      </c>
    </row>
    <row r="200" spans="1:25" x14ac:dyDescent="0.2">
      <c r="A200">
        <v>199</v>
      </c>
      <c r="B200">
        <v>0</v>
      </c>
      <c r="C200">
        <v>19663</v>
      </c>
      <c r="D200">
        <v>51625</v>
      </c>
      <c r="E200">
        <v>353178</v>
      </c>
      <c r="F200">
        <v>2386721</v>
      </c>
      <c r="G200">
        <v>15825449</v>
      </c>
      <c r="H200">
        <v>103311597</v>
      </c>
      <c r="I200">
        <v>661993187</v>
      </c>
      <c r="J200">
        <v>2000</v>
      </c>
      <c r="K200">
        <v>19489</v>
      </c>
      <c r="L200">
        <v>2500</v>
      </c>
      <c r="M200">
        <v>1099</v>
      </c>
      <c r="N200">
        <v>1995</v>
      </c>
      <c r="O200">
        <v>2990</v>
      </c>
      <c r="P200">
        <v>3985</v>
      </c>
      <c r="Q200">
        <v>4980</v>
      </c>
      <c r="R200">
        <v>5975</v>
      </c>
      <c r="S200">
        <v>6970</v>
      </c>
      <c r="T200">
        <v>7965</v>
      </c>
      <c r="U200">
        <v>8960</v>
      </c>
      <c r="V200">
        <v>4210</v>
      </c>
      <c r="W200">
        <v>1796</v>
      </c>
      <c r="X200">
        <v>1597</v>
      </c>
      <c r="Y200">
        <v>7790</v>
      </c>
    </row>
    <row r="201" spans="1:25" x14ac:dyDescent="0.2">
      <c r="A201">
        <v>200</v>
      </c>
      <c r="B201">
        <v>0</v>
      </c>
      <c r="C201">
        <v>19958</v>
      </c>
      <c r="D201">
        <v>52658</v>
      </c>
      <c r="E201">
        <v>363774</v>
      </c>
      <c r="F201">
        <v>2482190</v>
      </c>
      <c r="G201">
        <v>16616722</v>
      </c>
      <c r="H201">
        <v>109510293</v>
      </c>
      <c r="I201">
        <v>708332711</v>
      </c>
      <c r="J201">
        <v>2000</v>
      </c>
      <c r="K201">
        <v>19684</v>
      </c>
      <c r="L201">
        <v>2500</v>
      </c>
      <c r="M201">
        <v>1100</v>
      </c>
      <c r="N201">
        <v>2000</v>
      </c>
      <c r="O201">
        <v>3000</v>
      </c>
      <c r="P201">
        <v>4000</v>
      </c>
      <c r="Q201">
        <v>5000</v>
      </c>
      <c r="R201">
        <v>6000</v>
      </c>
      <c r="S201">
        <v>7000</v>
      </c>
      <c r="T201">
        <v>8000</v>
      </c>
      <c r="U201">
        <v>9000</v>
      </c>
      <c r="V201">
        <v>4236</v>
      </c>
      <c r="W201">
        <v>1800</v>
      </c>
      <c r="X201">
        <v>1600</v>
      </c>
      <c r="Y201">
        <v>7800</v>
      </c>
    </row>
    <row r="202" spans="1:25" x14ac:dyDescent="0.2">
      <c r="A202">
        <v>201</v>
      </c>
      <c r="B202">
        <v>0</v>
      </c>
      <c r="C202">
        <v>20258</v>
      </c>
      <c r="D202">
        <v>53712</v>
      </c>
      <c r="E202">
        <v>374688</v>
      </c>
      <c r="F202">
        <v>2581478</v>
      </c>
      <c r="G202">
        <v>17447559</v>
      </c>
      <c r="H202">
        <v>116080911</v>
      </c>
      <c r="I202">
        <v>757916001</v>
      </c>
      <c r="J202">
        <v>2000</v>
      </c>
      <c r="K202">
        <v>19881</v>
      </c>
      <c r="L202">
        <v>2500</v>
      </c>
      <c r="M202">
        <v>1100</v>
      </c>
      <c r="N202">
        <v>2005</v>
      </c>
      <c r="O202">
        <v>3010</v>
      </c>
      <c r="P202">
        <v>4015</v>
      </c>
      <c r="Q202">
        <v>5020</v>
      </c>
      <c r="R202">
        <v>6025</v>
      </c>
      <c r="S202">
        <v>7030</v>
      </c>
      <c r="T202">
        <v>8035</v>
      </c>
      <c r="U202">
        <v>9040</v>
      </c>
      <c r="V202">
        <v>4262</v>
      </c>
      <c r="W202">
        <v>1804</v>
      </c>
      <c r="X202">
        <v>1603</v>
      </c>
      <c r="Y202">
        <v>7810</v>
      </c>
    </row>
    <row r="203" spans="1:25" x14ac:dyDescent="0.2">
      <c r="A203">
        <v>202</v>
      </c>
      <c r="B203">
        <v>0</v>
      </c>
      <c r="C203">
        <v>20562</v>
      </c>
      <c r="D203">
        <v>54787</v>
      </c>
      <c r="E203">
        <v>385929</v>
      </c>
      <c r="F203">
        <v>2684738</v>
      </c>
      <c r="G203">
        <v>18319937</v>
      </c>
      <c r="H203">
        <v>123045766</v>
      </c>
      <c r="I203">
        <v>810970122</v>
      </c>
      <c r="J203">
        <v>2000</v>
      </c>
      <c r="K203">
        <v>20080</v>
      </c>
      <c r="L203">
        <v>2500</v>
      </c>
      <c r="M203">
        <v>1100</v>
      </c>
      <c r="N203">
        <v>2010</v>
      </c>
      <c r="O203">
        <v>3020</v>
      </c>
      <c r="P203">
        <v>4030</v>
      </c>
      <c r="Q203">
        <v>5040</v>
      </c>
      <c r="R203">
        <v>6050</v>
      </c>
      <c r="S203">
        <v>7060</v>
      </c>
      <c r="T203">
        <v>8070</v>
      </c>
      <c r="U203">
        <v>9080</v>
      </c>
      <c r="V203">
        <v>4288</v>
      </c>
      <c r="W203">
        <v>1808</v>
      </c>
      <c r="X203">
        <v>1606</v>
      </c>
      <c r="Y203">
        <v>7820</v>
      </c>
    </row>
    <row r="204" spans="1:25" x14ac:dyDescent="0.2">
      <c r="A204">
        <v>203</v>
      </c>
      <c r="B204">
        <v>0</v>
      </c>
      <c r="C204">
        <v>20871</v>
      </c>
      <c r="D204">
        <v>55883</v>
      </c>
      <c r="E204">
        <v>397507</v>
      </c>
      <c r="F204">
        <v>2792128</v>
      </c>
      <c r="G204">
        <v>19235934</v>
      </c>
      <c r="H204">
        <v>130428512</v>
      </c>
      <c r="I204">
        <v>867738031</v>
      </c>
      <c r="J204">
        <v>2000</v>
      </c>
      <c r="K204">
        <v>20281</v>
      </c>
      <c r="L204">
        <v>2500</v>
      </c>
      <c r="M204">
        <v>1100</v>
      </c>
      <c r="N204">
        <v>2015</v>
      </c>
      <c r="O204">
        <v>3030</v>
      </c>
      <c r="P204">
        <v>4045</v>
      </c>
      <c r="Q204">
        <v>5060</v>
      </c>
      <c r="R204">
        <v>6075</v>
      </c>
      <c r="S204">
        <v>7090</v>
      </c>
      <c r="T204">
        <v>8105</v>
      </c>
      <c r="U204">
        <v>9120</v>
      </c>
      <c r="V204">
        <v>4314</v>
      </c>
      <c r="W204">
        <v>1812</v>
      </c>
      <c r="X204">
        <v>1609</v>
      </c>
      <c r="Y204">
        <v>7830</v>
      </c>
    </row>
    <row r="205" spans="1:25" x14ac:dyDescent="0.2">
      <c r="A205">
        <v>204</v>
      </c>
      <c r="B205">
        <v>0</v>
      </c>
      <c r="C205">
        <v>21185</v>
      </c>
      <c r="D205">
        <v>57001</v>
      </c>
      <c r="E205">
        <v>409433</v>
      </c>
      <c r="F205">
        <v>2903814</v>
      </c>
      <c r="G205">
        <v>20197731</v>
      </c>
      <c r="H205">
        <v>138254223</v>
      </c>
      <c r="I205">
        <v>928479694</v>
      </c>
      <c r="J205">
        <v>2000</v>
      </c>
      <c r="K205">
        <v>20484</v>
      </c>
      <c r="L205">
        <v>2500</v>
      </c>
      <c r="M205">
        <v>1100</v>
      </c>
      <c r="N205">
        <v>2020</v>
      </c>
      <c r="O205">
        <v>3040</v>
      </c>
      <c r="P205">
        <v>4060</v>
      </c>
      <c r="Q205">
        <v>5080</v>
      </c>
      <c r="R205">
        <v>6100</v>
      </c>
      <c r="S205">
        <v>7120</v>
      </c>
      <c r="T205">
        <v>8140</v>
      </c>
      <c r="U205">
        <v>9160</v>
      </c>
      <c r="V205">
        <v>4340</v>
      </c>
      <c r="W205">
        <v>1816</v>
      </c>
      <c r="X205">
        <v>1612</v>
      </c>
      <c r="Y205">
        <v>7840</v>
      </c>
    </row>
    <row r="206" spans="1:25" x14ac:dyDescent="0.2">
      <c r="A206">
        <v>205</v>
      </c>
      <c r="B206">
        <v>0</v>
      </c>
      <c r="C206">
        <v>21503</v>
      </c>
      <c r="D206">
        <v>58142</v>
      </c>
      <c r="E206">
        <v>421716</v>
      </c>
      <c r="F206">
        <v>3019967</v>
      </c>
      <c r="G206">
        <v>21207618</v>
      </c>
      <c r="H206">
        <v>146549477</v>
      </c>
      <c r="I206">
        <v>993473273</v>
      </c>
      <c r="J206">
        <v>2000</v>
      </c>
      <c r="K206">
        <v>20689</v>
      </c>
      <c r="L206">
        <v>2500</v>
      </c>
      <c r="M206">
        <v>1100</v>
      </c>
      <c r="N206">
        <v>2025</v>
      </c>
      <c r="O206">
        <v>3050</v>
      </c>
      <c r="P206">
        <v>4075</v>
      </c>
      <c r="Q206">
        <v>5100</v>
      </c>
      <c r="R206">
        <v>6125</v>
      </c>
      <c r="S206">
        <v>7150</v>
      </c>
      <c r="T206">
        <v>8175</v>
      </c>
      <c r="U206">
        <v>9200</v>
      </c>
      <c r="V206">
        <v>4366</v>
      </c>
      <c r="W206">
        <v>1820</v>
      </c>
      <c r="X206">
        <v>1615</v>
      </c>
      <c r="Y206">
        <v>7850</v>
      </c>
    </row>
    <row r="207" spans="1:25" x14ac:dyDescent="0.2">
      <c r="A207">
        <v>206</v>
      </c>
      <c r="B207">
        <v>0</v>
      </c>
      <c r="C207">
        <v>21826</v>
      </c>
      <c r="D207">
        <v>59305</v>
      </c>
      <c r="E207">
        <v>434368</v>
      </c>
      <c r="F207">
        <v>3140766</v>
      </c>
      <c r="G207">
        <v>22267999</v>
      </c>
      <c r="H207">
        <v>155342446</v>
      </c>
      <c r="I207">
        <v>1063016403</v>
      </c>
      <c r="J207">
        <v>2000</v>
      </c>
      <c r="K207">
        <v>20896</v>
      </c>
      <c r="L207">
        <v>2500</v>
      </c>
      <c r="M207">
        <v>1100</v>
      </c>
      <c r="N207">
        <v>2030</v>
      </c>
      <c r="O207">
        <v>3060</v>
      </c>
      <c r="P207">
        <v>4090</v>
      </c>
      <c r="Q207">
        <v>5120</v>
      </c>
      <c r="R207">
        <v>6150</v>
      </c>
      <c r="S207">
        <v>7180</v>
      </c>
      <c r="T207">
        <v>8210</v>
      </c>
      <c r="U207">
        <v>9240</v>
      </c>
      <c r="V207">
        <v>4392</v>
      </c>
      <c r="W207">
        <v>1824</v>
      </c>
      <c r="X207">
        <v>1618</v>
      </c>
      <c r="Y207">
        <v>7860</v>
      </c>
    </row>
    <row r="208" spans="1:25" x14ac:dyDescent="0.2">
      <c r="A208">
        <v>207</v>
      </c>
      <c r="B208">
        <v>0</v>
      </c>
      <c r="C208">
        <v>22154</v>
      </c>
      <c r="D208">
        <v>60492</v>
      </c>
      <c r="E208">
        <v>447400</v>
      </c>
      <c r="F208">
        <v>3266397</v>
      </c>
      <c r="G208">
        <v>23381399</v>
      </c>
      <c r="H208">
        <v>164662993</v>
      </c>
      <c r="I208">
        <v>1137427552</v>
      </c>
      <c r="J208">
        <v>2000</v>
      </c>
      <c r="K208">
        <v>21105</v>
      </c>
      <c r="L208">
        <v>2500</v>
      </c>
      <c r="M208">
        <v>1100</v>
      </c>
      <c r="N208">
        <v>2035</v>
      </c>
      <c r="O208">
        <v>3070</v>
      </c>
      <c r="P208">
        <v>4105</v>
      </c>
      <c r="Q208">
        <v>5140</v>
      </c>
      <c r="R208">
        <v>6175</v>
      </c>
      <c r="S208">
        <v>7210</v>
      </c>
      <c r="T208">
        <v>8245</v>
      </c>
      <c r="U208">
        <v>9280</v>
      </c>
      <c r="V208">
        <v>4418</v>
      </c>
      <c r="W208">
        <v>1828</v>
      </c>
      <c r="X208">
        <v>1621</v>
      </c>
      <c r="Y208">
        <v>7870</v>
      </c>
    </row>
    <row r="209" spans="1:25" x14ac:dyDescent="0.2">
      <c r="A209">
        <v>208</v>
      </c>
      <c r="B209">
        <v>0</v>
      </c>
      <c r="C209">
        <v>22487</v>
      </c>
      <c r="D209">
        <v>61702</v>
      </c>
      <c r="E209">
        <v>460822</v>
      </c>
      <c r="F209">
        <v>3397053</v>
      </c>
      <c r="G209">
        <v>24550469</v>
      </c>
      <c r="H209">
        <v>174542773</v>
      </c>
      <c r="I209">
        <v>1217047481</v>
      </c>
      <c r="J209">
        <v>2000</v>
      </c>
      <c r="K209">
        <v>21317</v>
      </c>
      <c r="L209">
        <v>2500</v>
      </c>
      <c r="M209">
        <v>1100</v>
      </c>
      <c r="N209">
        <v>2040</v>
      </c>
      <c r="O209">
        <v>3080</v>
      </c>
      <c r="P209">
        <v>4120</v>
      </c>
      <c r="Q209">
        <v>5160</v>
      </c>
      <c r="R209">
        <v>6200</v>
      </c>
      <c r="S209">
        <v>7240</v>
      </c>
      <c r="T209">
        <v>8280</v>
      </c>
      <c r="U209">
        <v>9320</v>
      </c>
      <c r="V209">
        <v>4445</v>
      </c>
      <c r="W209">
        <v>1832</v>
      </c>
      <c r="X209">
        <v>1624</v>
      </c>
      <c r="Y209">
        <v>7880</v>
      </c>
    </row>
    <row r="210" spans="1:25" x14ac:dyDescent="0.2">
      <c r="A210">
        <v>209</v>
      </c>
      <c r="B210">
        <v>0</v>
      </c>
      <c r="C210">
        <v>22825</v>
      </c>
      <c r="D210">
        <v>62937</v>
      </c>
      <c r="E210">
        <v>474647</v>
      </c>
      <c r="F210">
        <v>3532936</v>
      </c>
      <c r="G210">
        <v>25777993</v>
      </c>
      <c r="H210">
        <v>185015340</v>
      </c>
      <c r="I210">
        <v>1302240805</v>
      </c>
      <c r="J210">
        <v>2000</v>
      </c>
      <c r="K210">
        <v>21531</v>
      </c>
      <c r="L210">
        <v>2500</v>
      </c>
      <c r="M210">
        <v>1100</v>
      </c>
      <c r="N210">
        <v>2045</v>
      </c>
      <c r="O210">
        <v>3090</v>
      </c>
      <c r="P210">
        <v>4135</v>
      </c>
      <c r="Q210">
        <v>5180</v>
      </c>
      <c r="R210">
        <v>6225</v>
      </c>
      <c r="S210">
        <v>7270</v>
      </c>
      <c r="T210">
        <v>8315</v>
      </c>
      <c r="U210">
        <v>9360</v>
      </c>
      <c r="V210">
        <v>4472</v>
      </c>
      <c r="W210">
        <v>1836</v>
      </c>
      <c r="X210">
        <v>1627</v>
      </c>
      <c r="Y210">
        <v>7890</v>
      </c>
    </row>
    <row r="211" spans="1:25" x14ac:dyDescent="0.2">
      <c r="A211">
        <v>210</v>
      </c>
      <c r="B211">
        <v>0</v>
      </c>
      <c r="C211">
        <v>23168</v>
      </c>
      <c r="D211">
        <v>64196</v>
      </c>
      <c r="E211">
        <v>488887</v>
      </c>
      <c r="F211">
        <v>3674254</v>
      </c>
      <c r="G211">
        <v>27066893</v>
      </c>
      <c r="H211">
        <v>196116261</v>
      </c>
      <c r="I211">
        <v>1393397662</v>
      </c>
      <c r="J211">
        <v>2000</v>
      </c>
      <c r="K211">
        <v>21747</v>
      </c>
      <c r="L211">
        <v>2500</v>
      </c>
      <c r="M211">
        <v>1100</v>
      </c>
      <c r="N211">
        <v>2050</v>
      </c>
      <c r="O211">
        <v>3100</v>
      </c>
      <c r="P211">
        <v>4150</v>
      </c>
      <c r="Q211">
        <v>5200</v>
      </c>
      <c r="R211">
        <v>6250</v>
      </c>
      <c r="S211">
        <v>7300</v>
      </c>
      <c r="T211">
        <v>8350</v>
      </c>
      <c r="U211">
        <v>9400</v>
      </c>
      <c r="V211">
        <v>4499</v>
      </c>
      <c r="W211">
        <v>1840</v>
      </c>
      <c r="X211">
        <v>1630</v>
      </c>
      <c r="Y211">
        <v>7900</v>
      </c>
    </row>
    <row r="212" spans="1:25" x14ac:dyDescent="0.2">
      <c r="A212">
        <v>211</v>
      </c>
      <c r="B212">
        <v>0</v>
      </c>
      <c r="C212">
        <v>23516</v>
      </c>
      <c r="D212">
        <v>65480</v>
      </c>
      <c r="E212">
        <v>503554</v>
      </c>
      <c r="F212">
        <v>3821225</v>
      </c>
      <c r="G212">
        <v>28420238</v>
      </c>
      <c r="H212">
        <v>207883237</v>
      </c>
      <c r="I212">
        <v>1490935499</v>
      </c>
      <c r="J212">
        <v>2000</v>
      </c>
      <c r="K212">
        <v>21965</v>
      </c>
      <c r="L212">
        <v>2500</v>
      </c>
      <c r="M212">
        <v>1100</v>
      </c>
      <c r="N212">
        <v>2055</v>
      </c>
      <c r="O212">
        <v>3110</v>
      </c>
      <c r="P212">
        <v>4165</v>
      </c>
      <c r="Q212">
        <v>5220</v>
      </c>
      <c r="R212">
        <v>6275</v>
      </c>
      <c r="S212">
        <v>7330</v>
      </c>
      <c r="T212">
        <v>8385</v>
      </c>
      <c r="U212">
        <v>9440</v>
      </c>
      <c r="V212">
        <v>4526</v>
      </c>
      <c r="W212">
        <v>1844</v>
      </c>
      <c r="X212">
        <v>1633</v>
      </c>
      <c r="Y212">
        <v>7910</v>
      </c>
    </row>
    <row r="213" spans="1:25" x14ac:dyDescent="0.2">
      <c r="A213">
        <v>212</v>
      </c>
      <c r="B213">
        <v>0</v>
      </c>
      <c r="C213">
        <v>23869</v>
      </c>
      <c r="D213">
        <v>66790</v>
      </c>
      <c r="E213">
        <v>518661</v>
      </c>
      <c r="F213">
        <v>3974074</v>
      </c>
      <c r="G213">
        <v>29841250</v>
      </c>
      <c r="H213">
        <v>220356232</v>
      </c>
      <c r="I213">
        <v>1595300984</v>
      </c>
      <c r="J213">
        <v>2000</v>
      </c>
      <c r="K213">
        <v>22185</v>
      </c>
      <c r="L213">
        <v>2500</v>
      </c>
      <c r="M213">
        <v>1100</v>
      </c>
      <c r="N213">
        <v>2060</v>
      </c>
      <c r="O213">
        <v>3120</v>
      </c>
      <c r="P213">
        <v>4180</v>
      </c>
      <c r="Q213">
        <v>5240</v>
      </c>
      <c r="R213">
        <v>6300</v>
      </c>
      <c r="S213">
        <v>7360</v>
      </c>
      <c r="T213">
        <v>8420</v>
      </c>
      <c r="U213">
        <v>9480</v>
      </c>
      <c r="V213">
        <v>4553</v>
      </c>
      <c r="W213">
        <v>1848</v>
      </c>
      <c r="X213">
        <v>1636</v>
      </c>
      <c r="Y213">
        <v>7920</v>
      </c>
    </row>
    <row r="214" spans="1:25" x14ac:dyDescent="0.2">
      <c r="A214">
        <v>213</v>
      </c>
      <c r="B214">
        <v>0</v>
      </c>
      <c r="C214">
        <v>24228</v>
      </c>
      <c r="D214">
        <v>68126</v>
      </c>
      <c r="E214">
        <v>534221</v>
      </c>
      <c r="F214">
        <v>4133037</v>
      </c>
      <c r="G214">
        <v>31333313</v>
      </c>
      <c r="H214">
        <v>233577606</v>
      </c>
      <c r="I214">
        <v>1706972053</v>
      </c>
      <c r="J214">
        <v>2000</v>
      </c>
      <c r="K214">
        <v>22407</v>
      </c>
      <c r="L214">
        <v>2500</v>
      </c>
      <c r="M214">
        <v>1100</v>
      </c>
      <c r="N214">
        <v>2065</v>
      </c>
      <c r="O214">
        <v>3130</v>
      </c>
      <c r="P214">
        <v>4195</v>
      </c>
      <c r="Q214">
        <v>5260</v>
      </c>
      <c r="R214">
        <v>6325</v>
      </c>
      <c r="S214">
        <v>7390</v>
      </c>
      <c r="T214">
        <v>8455</v>
      </c>
      <c r="U214">
        <v>9520</v>
      </c>
      <c r="V214">
        <v>4580</v>
      </c>
      <c r="W214">
        <v>1852</v>
      </c>
      <c r="X214">
        <v>1639</v>
      </c>
      <c r="Y214">
        <v>7930</v>
      </c>
    </row>
    <row r="215" spans="1:25" x14ac:dyDescent="0.2">
      <c r="A215">
        <v>214</v>
      </c>
      <c r="B215">
        <v>0</v>
      </c>
      <c r="C215">
        <v>24592</v>
      </c>
      <c r="D215">
        <v>69489</v>
      </c>
      <c r="E215">
        <v>550248</v>
      </c>
      <c r="F215">
        <v>4298359</v>
      </c>
      <c r="G215">
        <v>32899979</v>
      </c>
      <c r="H215">
        <v>247592263</v>
      </c>
      <c r="I215">
        <v>1826460097</v>
      </c>
      <c r="J215">
        <v>2000</v>
      </c>
      <c r="K215">
        <v>22632</v>
      </c>
      <c r="L215">
        <v>2500</v>
      </c>
      <c r="M215">
        <v>1100</v>
      </c>
      <c r="N215">
        <v>2070</v>
      </c>
      <c r="O215">
        <v>3140</v>
      </c>
      <c r="P215">
        <v>4210</v>
      </c>
      <c r="Q215">
        <v>5280</v>
      </c>
      <c r="R215">
        <v>6350</v>
      </c>
      <c r="S215">
        <v>7420</v>
      </c>
      <c r="T215">
        <v>8490</v>
      </c>
      <c r="U215">
        <v>9560</v>
      </c>
      <c r="V215">
        <v>4607</v>
      </c>
      <c r="W215">
        <v>1856</v>
      </c>
      <c r="X215">
        <v>1642</v>
      </c>
      <c r="Y215">
        <v>7940</v>
      </c>
    </row>
    <row r="216" spans="1:25" x14ac:dyDescent="0.2">
      <c r="A216">
        <v>215</v>
      </c>
      <c r="B216">
        <v>0</v>
      </c>
      <c r="C216">
        <v>24961</v>
      </c>
      <c r="D216">
        <v>70879</v>
      </c>
      <c r="E216">
        <v>566756</v>
      </c>
      <c r="F216">
        <v>4470294</v>
      </c>
      <c r="G216">
        <v>34544978</v>
      </c>
      <c r="H216">
        <v>262447799</v>
      </c>
      <c r="I216">
        <v>1954312304</v>
      </c>
      <c r="J216">
        <v>2000</v>
      </c>
      <c r="K216">
        <v>22859</v>
      </c>
      <c r="L216">
        <v>2500</v>
      </c>
      <c r="M216">
        <v>1100</v>
      </c>
      <c r="N216">
        <v>2075</v>
      </c>
      <c r="O216">
        <v>3150</v>
      </c>
      <c r="P216">
        <v>4225</v>
      </c>
      <c r="Q216">
        <v>5300</v>
      </c>
      <c r="R216">
        <v>6375</v>
      </c>
      <c r="S216">
        <v>7450</v>
      </c>
      <c r="T216">
        <v>8525</v>
      </c>
      <c r="U216">
        <v>9600</v>
      </c>
      <c r="V216">
        <v>4635</v>
      </c>
      <c r="W216">
        <v>1860</v>
      </c>
      <c r="X216">
        <v>1645</v>
      </c>
      <c r="Y216">
        <v>7950</v>
      </c>
    </row>
    <row r="217" spans="1:25" x14ac:dyDescent="0.2">
      <c r="A217">
        <v>216</v>
      </c>
      <c r="B217">
        <v>0</v>
      </c>
      <c r="C217">
        <v>25336</v>
      </c>
      <c r="D217">
        <v>72297</v>
      </c>
      <c r="E217">
        <v>583759</v>
      </c>
      <c r="F217">
        <v>4649106</v>
      </c>
      <c r="G217">
        <v>36272227</v>
      </c>
      <c r="H217">
        <v>278194667</v>
      </c>
      <c r="I217">
        <v>2091114166</v>
      </c>
      <c r="J217">
        <v>2000</v>
      </c>
      <c r="K217">
        <v>23088</v>
      </c>
      <c r="L217">
        <v>2500</v>
      </c>
      <c r="M217">
        <v>1100</v>
      </c>
      <c r="N217">
        <v>2080</v>
      </c>
      <c r="O217">
        <v>3160</v>
      </c>
      <c r="P217">
        <v>4240</v>
      </c>
      <c r="Q217">
        <v>5320</v>
      </c>
      <c r="R217">
        <v>6400</v>
      </c>
      <c r="S217">
        <v>7480</v>
      </c>
      <c r="T217">
        <v>8560</v>
      </c>
      <c r="U217">
        <v>9640</v>
      </c>
      <c r="V217">
        <v>4663</v>
      </c>
      <c r="W217">
        <v>1864</v>
      </c>
      <c r="X217">
        <v>1648</v>
      </c>
      <c r="Y217">
        <v>7960</v>
      </c>
    </row>
    <row r="218" spans="1:25" x14ac:dyDescent="0.2">
      <c r="A218">
        <v>217</v>
      </c>
      <c r="B218">
        <v>0</v>
      </c>
      <c r="C218">
        <v>25717</v>
      </c>
      <c r="D218">
        <v>73743</v>
      </c>
      <c r="E218">
        <v>601272</v>
      </c>
      <c r="F218">
        <v>4835071</v>
      </c>
      <c r="G218">
        <v>38085839</v>
      </c>
      <c r="H218">
        <v>294886348</v>
      </c>
      <c r="I218">
        <v>2237492158</v>
      </c>
      <c r="J218">
        <v>2000</v>
      </c>
      <c r="K218">
        <v>23319</v>
      </c>
      <c r="L218">
        <v>2500</v>
      </c>
      <c r="M218">
        <v>1100</v>
      </c>
      <c r="N218">
        <v>2085</v>
      </c>
      <c r="O218">
        <v>3170</v>
      </c>
      <c r="P218">
        <v>4255</v>
      </c>
      <c r="Q218">
        <v>5340</v>
      </c>
      <c r="R218">
        <v>6425</v>
      </c>
      <c r="S218">
        <v>7510</v>
      </c>
      <c r="T218">
        <v>8595</v>
      </c>
      <c r="U218">
        <v>9680</v>
      </c>
      <c r="V218">
        <v>4691</v>
      </c>
      <c r="W218">
        <v>1868</v>
      </c>
      <c r="X218">
        <v>1651</v>
      </c>
      <c r="Y218">
        <v>7970</v>
      </c>
    </row>
    <row r="219" spans="1:25" x14ac:dyDescent="0.2">
      <c r="A219">
        <v>218</v>
      </c>
      <c r="B219">
        <v>0</v>
      </c>
      <c r="C219">
        <v>26103</v>
      </c>
      <c r="D219">
        <v>75218</v>
      </c>
      <c r="E219">
        <v>619311</v>
      </c>
      <c r="F219">
        <v>5028474</v>
      </c>
      <c r="G219">
        <v>39990131</v>
      </c>
      <c r="H219">
        <v>312579529</v>
      </c>
      <c r="I219">
        <v>2394116610</v>
      </c>
      <c r="J219">
        <v>2000</v>
      </c>
      <c r="K219">
        <v>23553</v>
      </c>
      <c r="L219">
        <v>2500</v>
      </c>
      <c r="M219">
        <v>1100</v>
      </c>
      <c r="N219">
        <v>2090</v>
      </c>
      <c r="O219">
        <v>3180</v>
      </c>
      <c r="P219">
        <v>4270</v>
      </c>
      <c r="Q219">
        <v>5360</v>
      </c>
      <c r="R219">
        <v>6450</v>
      </c>
      <c r="S219">
        <v>7540</v>
      </c>
      <c r="T219">
        <v>8630</v>
      </c>
      <c r="U219">
        <v>9720</v>
      </c>
      <c r="V219">
        <v>4719</v>
      </c>
      <c r="W219">
        <v>1872</v>
      </c>
      <c r="X219">
        <v>1654</v>
      </c>
      <c r="Y219">
        <v>7980</v>
      </c>
    </row>
    <row r="220" spans="1:25" x14ac:dyDescent="0.2">
      <c r="A220">
        <v>219</v>
      </c>
      <c r="B220">
        <v>0</v>
      </c>
      <c r="C220">
        <v>26495</v>
      </c>
      <c r="D220">
        <v>76723</v>
      </c>
      <c r="E220">
        <v>637891</v>
      </c>
      <c r="F220">
        <v>5229613</v>
      </c>
      <c r="G220">
        <v>41989638</v>
      </c>
      <c r="H220">
        <v>331334301</v>
      </c>
      <c r="I220">
        <v>2561704773</v>
      </c>
      <c r="J220">
        <v>2000</v>
      </c>
      <c r="K220">
        <v>23789</v>
      </c>
      <c r="L220">
        <v>2500</v>
      </c>
      <c r="M220">
        <v>1100</v>
      </c>
      <c r="N220">
        <v>2095</v>
      </c>
      <c r="O220">
        <v>3190</v>
      </c>
      <c r="P220">
        <v>4285</v>
      </c>
      <c r="Q220">
        <v>5380</v>
      </c>
      <c r="R220">
        <v>6475</v>
      </c>
      <c r="S220">
        <v>7570</v>
      </c>
      <c r="T220">
        <v>8665</v>
      </c>
      <c r="U220">
        <v>9760</v>
      </c>
      <c r="V220">
        <v>4747</v>
      </c>
      <c r="W220">
        <v>1876</v>
      </c>
      <c r="X220">
        <v>1657</v>
      </c>
      <c r="Y220">
        <v>7990</v>
      </c>
    </row>
    <row r="221" spans="1:25" x14ac:dyDescent="0.2">
      <c r="A221">
        <v>220</v>
      </c>
      <c r="B221">
        <v>0</v>
      </c>
      <c r="C221">
        <v>26893</v>
      </c>
      <c r="D221">
        <v>78258</v>
      </c>
      <c r="E221">
        <v>657028</v>
      </c>
      <c r="F221">
        <v>5438798</v>
      </c>
      <c r="G221">
        <v>44089120</v>
      </c>
      <c r="H221">
        <v>351214360</v>
      </c>
      <c r="I221">
        <v>2741024108</v>
      </c>
      <c r="J221">
        <v>2000</v>
      </c>
      <c r="K221">
        <v>24027</v>
      </c>
      <c r="L221">
        <v>2500</v>
      </c>
      <c r="M221">
        <v>1100</v>
      </c>
      <c r="N221">
        <v>2100</v>
      </c>
      <c r="O221">
        <v>3200</v>
      </c>
      <c r="P221">
        <v>4300</v>
      </c>
      <c r="Q221">
        <v>5400</v>
      </c>
      <c r="R221">
        <v>6500</v>
      </c>
      <c r="S221">
        <v>7600</v>
      </c>
      <c r="T221">
        <v>8700</v>
      </c>
      <c r="U221">
        <v>9800</v>
      </c>
      <c r="V221">
        <v>4775</v>
      </c>
      <c r="W221">
        <v>1880</v>
      </c>
      <c r="X221">
        <v>1660</v>
      </c>
      <c r="Y221">
        <v>8000</v>
      </c>
    </row>
    <row r="222" spans="1:25" x14ac:dyDescent="0.2">
      <c r="A222">
        <v>221</v>
      </c>
      <c r="B222">
        <v>0</v>
      </c>
      <c r="C222">
        <v>27297</v>
      </c>
      <c r="D222">
        <v>79824</v>
      </c>
      <c r="E222">
        <v>676739</v>
      </c>
      <c r="F222">
        <v>5656350</v>
      </c>
      <c r="G222">
        <v>46293576</v>
      </c>
      <c r="H222">
        <v>372287222</v>
      </c>
      <c r="I222">
        <v>2932895796</v>
      </c>
      <c r="J222">
        <v>2000</v>
      </c>
      <c r="K222">
        <v>24268</v>
      </c>
      <c r="L222">
        <v>2500</v>
      </c>
      <c r="M222">
        <v>1100</v>
      </c>
      <c r="N222">
        <v>2105</v>
      </c>
      <c r="O222">
        <v>3210</v>
      </c>
      <c r="P222">
        <v>4315</v>
      </c>
      <c r="Q222">
        <v>5420</v>
      </c>
      <c r="R222">
        <v>6525</v>
      </c>
      <c r="S222">
        <v>7630</v>
      </c>
      <c r="T222">
        <v>8735</v>
      </c>
      <c r="U222">
        <v>9840</v>
      </c>
      <c r="V222">
        <v>4803</v>
      </c>
      <c r="W222">
        <v>1884</v>
      </c>
      <c r="X222">
        <v>1663</v>
      </c>
      <c r="Y222">
        <v>8010</v>
      </c>
    </row>
    <row r="223" spans="1:25" x14ac:dyDescent="0.2">
      <c r="A223">
        <v>222</v>
      </c>
      <c r="B223">
        <v>0</v>
      </c>
      <c r="C223">
        <v>27707</v>
      </c>
      <c r="D223">
        <v>81421</v>
      </c>
      <c r="E223">
        <v>697042</v>
      </c>
      <c r="F223">
        <v>5882604</v>
      </c>
      <c r="G223">
        <v>48608255</v>
      </c>
      <c r="H223">
        <v>394624456</v>
      </c>
      <c r="I223">
        <v>3138198502</v>
      </c>
      <c r="J223">
        <v>2000</v>
      </c>
      <c r="K223">
        <v>24511</v>
      </c>
      <c r="L223">
        <v>2500</v>
      </c>
      <c r="M223">
        <v>1100</v>
      </c>
      <c r="N223">
        <v>2110</v>
      </c>
      <c r="O223">
        <v>3220</v>
      </c>
      <c r="P223">
        <v>4330</v>
      </c>
      <c r="Q223">
        <v>5440</v>
      </c>
      <c r="R223">
        <v>6550</v>
      </c>
      <c r="S223">
        <v>7660</v>
      </c>
      <c r="T223">
        <v>8770</v>
      </c>
      <c r="U223">
        <v>9880</v>
      </c>
      <c r="V223">
        <v>4832</v>
      </c>
      <c r="W223">
        <v>1888</v>
      </c>
      <c r="X223">
        <v>1666</v>
      </c>
      <c r="Y223">
        <v>8020</v>
      </c>
    </row>
    <row r="224" spans="1:25" x14ac:dyDescent="0.2">
      <c r="A224">
        <v>223</v>
      </c>
      <c r="B224">
        <v>0</v>
      </c>
      <c r="C224">
        <v>28123</v>
      </c>
      <c r="D224">
        <v>83050</v>
      </c>
      <c r="E224">
        <v>717954</v>
      </c>
      <c r="F224">
        <v>6117909</v>
      </c>
      <c r="G224">
        <v>51038668</v>
      </c>
      <c r="H224">
        <v>418301924</v>
      </c>
      <c r="I224">
        <v>3357872398</v>
      </c>
      <c r="J224">
        <v>2000</v>
      </c>
      <c r="K224">
        <v>24757</v>
      </c>
      <c r="L224">
        <v>2500</v>
      </c>
      <c r="M224">
        <v>1100</v>
      </c>
      <c r="N224">
        <v>2115</v>
      </c>
      <c r="O224">
        <v>3230</v>
      </c>
      <c r="P224">
        <v>4345</v>
      </c>
      <c r="Q224">
        <v>5460</v>
      </c>
      <c r="R224">
        <v>6575</v>
      </c>
      <c r="S224">
        <v>7690</v>
      </c>
      <c r="T224">
        <v>8805</v>
      </c>
      <c r="U224">
        <v>9920</v>
      </c>
      <c r="V224">
        <v>4861</v>
      </c>
      <c r="W224">
        <v>1892</v>
      </c>
      <c r="X224">
        <v>1669</v>
      </c>
      <c r="Y224">
        <v>8030</v>
      </c>
    </row>
    <row r="225" spans="1:25" x14ac:dyDescent="0.2">
      <c r="A225">
        <v>224</v>
      </c>
      <c r="B225">
        <v>0</v>
      </c>
      <c r="C225">
        <v>28545</v>
      </c>
      <c r="D225">
        <v>84711</v>
      </c>
      <c r="E225">
        <v>739493</v>
      </c>
      <c r="F225">
        <v>6362626</v>
      </c>
      <c r="G225">
        <v>53590602</v>
      </c>
      <c r="H225">
        <v>443400040</v>
      </c>
      <c r="I225">
        <v>3592923466</v>
      </c>
      <c r="J225">
        <v>2000</v>
      </c>
      <c r="K225">
        <v>25005</v>
      </c>
      <c r="L225">
        <v>2500</v>
      </c>
      <c r="M225">
        <v>1100</v>
      </c>
      <c r="N225">
        <v>2120</v>
      </c>
      <c r="O225">
        <v>3240</v>
      </c>
      <c r="P225">
        <v>4360</v>
      </c>
      <c r="Q225">
        <v>5480</v>
      </c>
      <c r="R225">
        <v>6600</v>
      </c>
      <c r="S225">
        <v>7720</v>
      </c>
      <c r="T225">
        <v>8840</v>
      </c>
      <c r="U225">
        <v>9960</v>
      </c>
      <c r="V225">
        <v>4890</v>
      </c>
      <c r="W225">
        <v>1896</v>
      </c>
      <c r="X225">
        <v>1672</v>
      </c>
      <c r="Y225">
        <v>8040</v>
      </c>
    </row>
    <row r="226" spans="1:25" x14ac:dyDescent="0.2">
      <c r="A226">
        <v>225</v>
      </c>
      <c r="B226">
        <v>0</v>
      </c>
      <c r="C226">
        <v>28974</v>
      </c>
      <c r="D226">
        <v>86406</v>
      </c>
      <c r="E226">
        <v>761678</v>
      </c>
      <c r="F226">
        <v>6617132</v>
      </c>
      <c r="G226">
        <v>56270133</v>
      </c>
      <c r="H226">
        <v>470004043</v>
      </c>
      <c r="I226">
        <v>3844428109</v>
      </c>
      <c r="J226">
        <v>2000</v>
      </c>
      <c r="K226">
        <v>25256</v>
      </c>
      <c r="L226">
        <v>2500</v>
      </c>
      <c r="M226">
        <v>1100</v>
      </c>
      <c r="N226">
        <v>2125</v>
      </c>
      <c r="O226">
        <v>3250</v>
      </c>
      <c r="P226">
        <v>4375</v>
      </c>
      <c r="Q226">
        <v>5500</v>
      </c>
      <c r="R226">
        <v>6625</v>
      </c>
      <c r="S226">
        <v>7750</v>
      </c>
      <c r="T226">
        <v>8875</v>
      </c>
      <c r="U226">
        <v>10000</v>
      </c>
      <c r="V226">
        <v>4919</v>
      </c>
      <c r="W226">
        <v>1900</v>
      </c>
      <c r="X226">
        <v>1675</v>
      </c>
      <c r="Y226">
        <v>8050</v>
      </c>
    </row>
    <row r="227" spans="1:25" x14ac:dyDescent="0.2">
      <c r="A227">
        <v>226</v>
      </c>
      <c r="B227">
        <v>0</v>
      </c>
      <c r="C227">
        <v>29409</v>
      </c>
      <c r="D227">
        <v>88135</v>
      </c>
      <c r="E227">
        <v>784529</v>
      </c>
      <c r="F227">
        <v>6881818</v>
      </c>
      <c r="G227">
        <v>59083640</v>
      </c>
      <c r="H227">
        <v>498204286</v>
      </c>
      <c r="I227">
        <v>4113538077</v>
      </c>
      <c r="J227">
        <v>2000</v>
      </c>
      <c r="K227">
        <v>25509</v>
      </c>
      <c r="L227">
        <v>2500</v>
      </c>
      <c r="M227">
        <v>1100</v>
      </c>
      <c r="N227">
        <v>2130</v>
      </c>
      <c r="O227">
        <v>3260</v>
      </c>
      <c r="P227">
        <v>4390</v>
      </c>
      <c r="Q227">
        <v>5520</v>
      </c>
      <c r="R227">
        <v>6650</v>
      </c>
      <c r="S227">
        <v>7780</v>
      </c>
      <c r="T227">
        <v>8910</v>
      </c>
      <c r="U227">
        <v>10040</v>
      </c>
      <c r="V227">
        <v>4948</v>
      </c>
      <c r="W227">
        <v>1904</v>
      </c>
      <c r="X227">
        <v>1678</v>
      </c>
      <c r="Y227">
        <v>8060</v>
      </c>
    </row>
    <row r="228" spans="1:25" x14ac:dyDescent="0.2">
      <c r="A228">
        <v>227</v>
      </c>
      <c r="B228">
        <v>0</v>
      </c>
      <c r="C228">
        <v>29851</v>
      </c>
      <c r="D228">
        <v>89898</v>
      </c>
      <c r="E228">
        <v>808065</v>
      </c>
      <c r="F228">
        <v>7157091</v>
      </c>
      <c r="G228">
        <v>62037822</v>
      </c>
      <c r="H228">
        <v>528096544</v>
      </c>
      <c r="I228">
        <v>4401485743</v>
      </c>
      <c r="J228">
        <v>2000</v>
      </c>
      <c r="K228">
        <v>25765</v>
      </c>
      <c r="L228">
        <v>2500</v>
      </c>
      <c r="M228">
        <v>1100</v>
      </c>
      <c r="N228">
        <v>2135</v>
      </c>
      <c r="O228">
        <v>3270</v>
      </c>
      <c r="P228">
        <v>4405</v>
      </c>
      <c r="Q228">
        <v>5540</v>
      </c>
      <c r="R228">
        <v>6675</v>
      </c>
      <c r="S228">
        <v>7810</v>
      </c>
      <c r="T228">
        <v>8945</v>
      </c>
      <c r="U228">
        <v>10080</v>
      </c>
      <c r="V228">
        <v>4977</v>
      </c>
      <c r="W228">
        <v>1908</v>
      </c>
      <c r="X228">
        <v>1681</v>
      </c>
      <c r="Y228">
        <v>8070</v>
      </c>
    </row>
    <row r="229" spans="1:25" x14ac:dyDescent="0.2">
      <c r="A229">
        <v>228</v>
      </c>
      <c r="B229">
        <v>0</v>
      </c>
      <c r="C229">
        <v>30299</v>
      </c>
      <c r="D229">
        <v>91696</v>
      </c>
      <c r="E229">
        <v>832307</v>
      </c>
      <c r="F229">
        <v>7443375</v>
      </c>
      <c r="G229">
        <v>65139714</v>
      </c>
      <c r="H229">
        <v>559782337</v>
      </c>
      <c r="I229">
        <v>4709589746</v>
      </c>
      <c r="J229">
        <v>2000</v>
      </c>
      <c r="K229">
        <v>26023</v>
      </c>
      <c r="L229">
        <v>2500</v>
      </c>
      <c r="M229">
        <v>1100</v>
      </c>
      <c r="N229">
        <v>2140</v>
      </c>
      <c r="O229">
        <v>3280</v>
      </c>
      <c r="P229">
        <v>4420</v>
      </c>
      <c r="Q229">
        <v>5560</v>
      </c>
      <c r="R229">
        <v>6700</v>
      </c>
      <c r="S229">
        <v>7840</v>
      </c>
      <c r="T229">
        <v>8980</v>
      </c>
      <c r="U229">
        <v>10120</v>
      </c>
      <c r="V229">
        <v>5006</v>
      </c>
      <c r="W229">
        <v>1912</v>
      </c>
      <c r="X229">
        <v>1684</v>
      </c>
      <c r="Y229">
        <v>8080</v>
      </c>
    </row>
    <row r="230" spans="1:25" x14ac:dyDescent="0.2">
      <c r="A230">
        <v>229</v>
      </c>
      <c r="B230">
        <v>0</v>
      </c>
      <c r="C230">
        <v>30754</v>
      </c>
      <c r="D230">
        <v>93530</v>
      </c>
      <c r="E230">
        <v>857277</v>
      </c>
      <c r="F230">
        <v>7741110</v>
      </c>
      <c r="G230">
        <v>68396700</v>
      </c>
      <c r="H230">
        <v>593369278</v>
      </c>
      <c r="I230">
        <v>5039261029</v>
      </c>
      <c r="J230">
        <v>2000</v>
      </c>
      <c r="K230">
        <v>26284</v>
      </c>
      <c r="L230">
        <v>2500</v>
      </c>
      <c r="M230">
        <v>1100</v>
      </c>
      <c r="N230">
        <v>2145</v>
      </c>
      <c r="O230">
        <v>3290</v>
      </c>
      <c r="P230">
        <v>4435</v>
      </c>
      <c r="Q230">
        <v>5580</v>
      </c>
      <c r="R230">
        <v>6725</v>
      </c>
      <c r="S230">
        <v>7870</v>
      </c>
      <c r="T230">
        <v>9015</v>
      </c>
      <c r="U230">
        <v>10160</v>
      </c>
      <c r="V230">
        <v>5036</v>
      </c>
      <c r="W230">
        <v>1916</v>
      </c>
      <c r="X230">
        <v>1687</v>
      </c>
      <c r="Y230">
        <v>8090</v>
      </c>
    </row>
    <row r="231" spans="1:25" x14ac:dyDescent="0.2">
      <c r="A231">
        <v>230</v>
      </c>
      <c r="B231">
        <v>0</v>
      </c>
      <c r="C231">
        <v>31216</v>
      </c>
      <c r="D231">
        <v>95401</v>
      </c>
      <c r="E231">
        <v>882996</v>
      </c>
      <c r="F231">
        <v>8050755</v>
      </c>
      <c r="G231">
        <v>71816535</v>
      </c>
      <c r="H231">
        <v>628971435</v>
      </c>
      <c r="I231">
        <v>5392009302</v>
      </c>
      <c r="J231">
        <v>2000</v>
      </c>
      <c r="K231">
        <v>26547</v>
      </c>
      <c r="L231">
        <v>2500</v>
      </c>
      <c r="M231">
        <v>1100</v>
      </c>
      <c r="N231">
        <v>2150</v>
      </c>
      <c r="O231">
        <v>3300</v>
      </c>
      <c r="P231">
        <v>4450</v>
      </c>
      <c r="Q231">
        <v>5600</v>
      </c>
      <c r="R231">
        <v>6750</v>
      </c>
      <c r="S231">
        <v>7900</v>
      </c>
      <c r="T231">
        <v>9050</v>
      </c>
      <c r="U231">
        <v>10200</v>
      </c>
      <c r="V231">
        <v>5066</v>
      </c>
      <c r="W231">
        <v>1920</v>
      </c>
      <c r="X231">
        <v>1690</v>
      </c>
      <c r="Y231">
        <v>8100</v>
      </c>
    </row>
    <row r="232" spans="1:25" x14ac:dyDescent="0.2">
      <c r="A232">
        <v>231</v>
      </c>
      <c r="B232">
        <v>0</v>
      </c>
      <c r="C232">
        <v>31685</v>
      </c>
      <c r="D232">
        <v>97310</v>
      </c>
      <c r="E232">
        <v>909486</v>
      </c>
      <c r="F232">
        <v>8372786</v>
      </c>
      <c r="G232">
        <v>75407362</v>
      </c>
      <c r="H232">
        <v>666709722</v>
      </c>
      <c r="I232">
        <v>5769449954</v>
      </c>
      <c r="J232">
        <v>2000</v>
      </c>
      <c r="K232">
        <v>26813</v>
      </c>
      <c r="L232">
        <v>2500</v>
      </c>
      <c r="M232">
        <v>1100</v>
      </c>
      <c r="N232">
        <v>2155</v>
      </c>
      <c r="O232">
        <v>3310</v>
      </c>
      <c r="P232">
        <v>4465</v>
      </c>
      <c r="Q232">
        <v>5620</v>
      </c>
      <c r="R232">
        <v>6775</v>
      </c>
      <c r="S232">
        <v>7930</v>
      </c>
      <c r="T232">
        <v>9085</v>
      </c>
      <c r="U232">
        <v>10240</v>
      </c>
      <c r="V232">
        <v>5096</v>
      </c>
      <c r="W232">
        <v>1924</v>
      </c>
      <c r="X232">
        <v>1693</v>
      </c>
      <c r="Y232">
        <v>8110</v>
      </c>
    </row>
    <row r="233" spans="1:25" x14ac:dyDescent="0.2">
      <c r="A233">
        <v>232</v>
      </c>
      <c r="B233">
        <v>0</v>
      </c>
      <c r="C233">
        <v>32161</v>
      </c>
      <c r="D233">
        <v>99257</v>
      </c>
      <c r="E233">
        <v>936771</v>
      </c>
      <c r="F233">
        <v>8707698</v>
      </c>
      <c r="G233">
        <v>79177731</v>
      </c>
      <c r="H233">
        <v>706712306</v>
      </c>
      <c r="I233">
        <v>6173311451</v>
      </c>
      <c r="J233">
        <v>2000</v>
      </c>
      <c r="K233">
        <v>27082</v>
      </c>
      <c r="L233">
        <v>2500</v>
      </c>
      <c r="M233">
        <v>1100</v>
      </c>
      <c r="N233">
        <v>2160</v>
      </c>
      <c r="O233">
        <v>3320</v>
      </c>
      <c r="P233">
        <v>4480</v>
      </c>
      <c r="Q233">
        <v>5640</v>
      </c>
      <c r="R233">
        <v>6800</v>
      </c>
      <c r="S233">
        <v>7960</v>
      </c>
      <c r="T233">
        <v>9120</v>
      </c>
      <c r="U233">
        <v>10280</v>
      </c>
      <c r="V233">
        <v>5126</v>
      </c>
      <c r="W233">
        <v>1928</v>
      </c>
      <c r="X233">
        <v>1696</v>
      </c>
      <c r="Y233">
        <v>8120</v>
      </c>
    </row>
    <row r="234" spans="1:25" x14ac:dyDescent="0.2">
      <c r="A234">
        <v>233</v>
      </c>
      <c r="B234">
        <v>0</v>
      </c>
      <c r="C234">
        <v>32644</v>
      </c>
      <c r="D234">
        <v>101243</v>
      </c>
      <c r="E234">
        <v>964875</v>
      </c>
      <c r="F234">
        <v>9056006</v>
      </c>
      <c r="G234">
        <v>83136618</v>
      </c>
      <c r="H234">
        <v>749115045</v>
      </c>
      <c r="I234">
        <v>6605443253</v>
      </c>
      <c r="J234">
        <v>2000</v>
      </c>
      <c r="K234">
        <v>27353</v>
      </c>
      <c r="L234">
        <v>2500</v>
      </c>
      <c r="M234">
        <v>1100</v>
      </c>
      <c r="N234">
        <v>2165</v>
      </c>
      <c r="O234">
        <v>3330</v>
      </c>
      <c r="P234">
        <v>4495</v>
      </c>
      <c r="Q234">
        <v>5660</v>
      </c>
      <c r="R234">
        <v>6825</v>
      </c>
      <c r="S234">
        <v>7990</v>
      </c>
      <c r="T234">
        <v>9155</v>
      </c>
      <c r="U234">
        <v>10320</v>
      </c>
      <c r="V234">
        <v>5156</v>
      </c>
      <c r="W234">
        <v>1932</v>
      </c>
      <c r="X234">
        <v>1699</v>
      </c>
      <c r="Y234">
        <v>8130</v>
      </c>
    </row>
    <row r="235" spans="1:25" x14ac:dyDescent="0.2">
      <c r="A235">
        <v>234</v>
      </c>
      <c r="B235">
        <v>0</v>
      </c>
      <c r="C235">
        <v>33134</v>
      </c>
      <c r="D235">
        <v>103268</v>
      </c>
      <c r="E235">
        <v>993822</v>
      </c>
      <c r="F235">
        <v>9418247</v>
      </c>
      <c r="G235">
        <v>87293449</v>
      </c>
      <c r="H235">
        <v>794061948</v>
      </c>
      <c r="I235">
        <v>7067824281</v>
      </c>
      <c r="J235">
        <v>2000</v>
      </c>
      <c r="K235">
        <v>27627</v>
      </c>
      <c r="L235">
        <v>2500</v>
      </c>
      <c r="M235">
        <v>1100</v>
      </c>
      <c r="N235">
        <v>2170</v>
      </c>
      <c r="O235">
        <v>3340</v>
      </c>
      <c r="P235">
        <v>4510</v>
      </c>
      <c r="Q235">
        <v>5680</v>
      </c>
      <c r="R235">
        <v>6850</v>
      </c>
      <c r="S235">
        <v>8020</v>
      </c>
      <c r="T235">
        <v>9190</v>
      </c>
      <c r="U235">
        <v>10360</v>
      </c>
      <c r="V235">
        <v>5186</v>
      </c>
      <c r="W235">
        <v>1936</v>
      </c>
      <c r="X235">
        <v>1702</v>
      </c>
      <c r="Y235">
        <v>8140</v>
      </c>
    </row>
    <row r="236" spans="1:25" x14ac:dyDescent="0.2">
      <c r="A236">
        <v>235</v>
      </c>
      <c r="B236">
        <v>0</v>
      </c>
      <c r="C236">
        <v>33632</v>
      </c>
      <c r="D236">
        <v>105334</v>
      </c>
      <c r="E236">
        <v>1023637</v>
      </c>
      <c r="F236">
        <v>9794977</v>
      </c>
      <c r="G236">
        <v>91658122</v>
      </c>
      <c r="H236">
        <v>841705665</v>
      </c>
      <c r="I236">
        <v>7562571981</v>
      </c>
      <c r="J236">
        <v>2000</v>
      </c>
      <c r="K236">
        <v>27904</v>
      </c>
      <c r="L236">
        <v>2500</v>
      </c>
      <c r="M236">
        <v>1100</v>
      </c>
      <c r="N236">
        <v>2175</v>
      </c>
      <c r="O236">
        <v>3350</v>
      </c>
      <c r="P236">
        <v>4525</v>
      </c>
      <c r="Q236">
        <v>5700</v>
      </c>
      <c r="R236">
        <v>6875</v>
      </c>
      <c r="S236">
        <v>8050</v>
      </c>
      <c r="T236">
        <v>9225</v>
      </c>
      <c r="U236">
        <v>10400</v>
      </c>
      <c r="V236">
        <v>5216</v>
      </c>
      <c r="W236">
        <v>1940</v>
      </c>
      <c r="X236">
        <v>1705</v>
      </c>
      <c r="Y236">
        <v>8150</v>
      </c>
    </row>
    <row r="237" spans="1:25" x14ac:dyDescent="0.2">
      <c r="A237">
        <v>236</v>
      </c>
      <c r="B237">
        <v>0</v>
      </c>
      <c r="C237">
        <v>34137</v>
      </c>
      <c r="D237">
        <v>107441</v>
      </c>
      <c r="E237">
        <v>1054347</v>
      </c>
      <c r="F237">
        <v>10186777</v>
      </c>
      <c r="G237">
        <v>96241029</v>
      </c>
      <c r="H237">
        <v>892208005</v>
      </c>
      <c r="I237">
        <v>8091952020</v>
      </c>
      <c r="J237">
        <v>2000</v>
      </c>
      <c r="K237">
        <v>28184</v>
      </c>
      <c r="L237">
        <v>2500</v>
      </c>
      <c r="M237">
        <v>1100</v>
      </c>
      <c r="N237">
        <v>2180</v>
      </c>
      <c r="O237">
        <v>3360</v>
      </c>
      <c r="P237">
        <v>4540</v>
      </c>
      <c r="Q237">
        <v>5720</v>
      </c>
      <c r="R237">
        <v>6900</v>
      </c>
      <c r="S237">
        <v>8080</v>
      </c>
      <c r="T237">
        <v>9260</v>
      </c>
      <c r="U237">
        <v>10440</v>
      </c>
      <c r="V237">
        <v>5247</v>
      </c>
      <c r="W237">
        <v>1944</v>
      </c>
      <c r="X237">
        <v>1708</v>
      </c>
      <c r="Y237">
        <v>8160</v>
      </c>
    </row>
    <row r="238" spans="1:25" x14ac:dyDescent="0.2">
      <c r="A238">
        <v>237</v>
      </c>
      <c r="B238">
        <v>0</v>
      </c>
      <c r="C238">
        <v>34650</v>
      </c>
      <c r="D238">
        <v>109590</v>
      </c>
      <c r="E238">
        <v>1085978</v>
      </c>
      <c r="F238">
        <v>10594249</v>
      </c>
      <c r="G238">
        <v>101053081</v>
      </c>
      <c r="H238">
        <v>945740486</v>
      </c>
      <c r="I238">
        <v>8658388662</v>
      </c>
      <c r="J238">
        <v>2000</v>
      </c>
      <c r="K238">
        <v>28466</v>
      </c>
      <c r="L238">
        <v>2500</v>
      </c>
      <c r="M238">
        <v>1100</v>
      </c>
      <c r="N238">
        <v>2185</v>
      </c>
      <c r="O238">
        <v>3370</v>
      </c>
      <c r="P238">
        <v>4555</v>
      </c>
      <c r="Q238">
        <v>5740</v>
      </c>
      <c r="R238">
        <v>6925</v>
      </c>
      <c r="S238">
        <v>8110</v>
      </c>
      <c r="T238">
        <v>9295</v>
      </c>
      <c r="U238">
        <v>10480</v>
      </c>
      <c r="V238">
        <v>5278</v>
      </c>
      <c r="W238">
        <v>1948</v>
      </c>
      <c r="X238">
        <v>1711</v>
      </c>
      <c r="Y238">
        <v>8170</v>
      </c>
    </row>
    <row r="239" spans="1:25" x14ac:dyDescent="0.2">
      <c r="A239">
        <v>238</v>
      </c>
      <c r="B239">
        <v>0</v>
      </c>
      <c r="C239">
        <v>35170</v>
      </c>
      <c r="D239">
        <v>111782</v>
      </c>
      <c r="E239">
        <v>1118558</v>
      </c>
      <c r="F239">
        <v>11018019</v>
      </c>
      <c r="G239">
        <v>106105736</v>
      </c>
      <c r="H239">
        <v>1002484916</v>
      </c>
      <c r="I239">
        <v>9264475869</v>
      </c>
      <c r="J239">
        <v>2000</v>
      </c>
      <c r="K239">
        <v>28751</v>
      </c>
      <c r="L239">
        <v>2500</v>
      </c>
      <c r="M239">
        <v>1100</v>
      </c>
      <c r="N239">
        <v>2190</v>
      </c>
      <c r="O239">
        <v>3380</v>
      </c>
      <c r="P239">
        <v>4570</v>
      </c>
      <c r="Q239">
        <v>5760</v>
      </c>
      <c r="R239">
        <v>6950</v>
      </c>
      <c r="S239">
        <v>8140</v>
      </c>
      <c r="T239">
        <v>9330</v>
      </c>
      <c r="U239">
        <v>10520</v>
      </c>
      <c r="V239">
        <v>5309</v>
      </c>
      <c r="W239">
        <v>1952</v>
      </c>
      <c r="X239">
        <v>1714</v>
      </c>
      <c r="Y239">
        <v>8180</v>
      </c>
    </row>
    <row r="240" spans="1:25" x14ac:dyDescent="0.2">
      <c r="A240">
        <v>239</v>
      </c>
      <c r="B240">
        <v>0</v>
      </c>
      <c r="C240">
        <v>35698</v>
      </c>
      <c r="D240">
        <v>114018</v>
      </c>
      <c r="E240">
        <v>1152115</v>
      </c>
      <c r="F240">
        <v>11458740</v>
      </c>
      <c r="G240">
        <v>111411023</v>
      </c>
      <c r="H240">
        <v>1062634011</v>
      </c>
      <c r="I240">
        <v>9912989180</v>
      </c>
      <c r="J240">
        <v>2000</v>
      </c>
      <c r="K240">
        <v>29039</v>
      </c>
      <c r="L240">
        <v>2500</v>
      </c>
      <c r="M240">
        <v>1100</v>
      </c>
      <c r="N240">
        <v>2195</v>
      </c>
      <c r="O240">
        <v>3390</v>
      </c>
      <c r="P240">
        <v>4585</v>
      </c>
      <c r="Q240">
        <v>5780</v>
      </c>
      <c r="R240">
        <v>6975</v>
      </c>
      <c r="S240">
        <v>8170</v>
      </c>
      <c r="T240">
        <v>9365</v>
      </c>
      <c r="U240">
        <v>10560</v>
      </c>
      <c r="V240">
        <v>5340</v>
      </c>
      <c r="W240">
        <v>1956</v>
      </c>
      <c r="X240">
        <v>1717</v>
      </c>
      <c r="Y240">
        <v>8190</v>
      </c>
    </row>
    <row r="241" spans="1:25" x14ac:dyDescent="0.2">
      <c r="A241">
        <v>240</v>
      </c>
      <c r="B241">
        <v>0</v>
      </c>
      <c r="C241">
        <v>36234</v>
      </c>
      <c r="D241">
        <v>116299</v>
      </c>
      <c r="E241">
        <v>1186679</v>
      </c>
      <c r="F241">
        <v>11917090</v>
      </c>
      <c r="G241">
        <v>116981575</v>
      </c>
      <c r="H241">
        <v>1126392052</v>
      </c>
      <c r="I241">
        <v>10606898423</v>
      </c>
      <c r="J241">
        <v>2000</v>
      </c>
      <c r="K241">
        <v>29330</v>
      </c>
      <c r="L241">
        <v>2500</v>
      </c>
      <c r="M241">
        <v>1100</v>
      </c>
      <c r="N241">
        <v>2200</v>
      </c>
      <c r="O241">
        <v>3400</v>
      </c>
      <c r="P241">
        <v>4600</v>
      </c>
      <c r="Q241">
        <v>5800</v>
      </c>
      <c r="R241">
        <v>7000</v>
      </c>
      <c r="S241">
        <v>8200</v>
      </c>
      <c r="T241">
        <v>9400</v>
      </c>
      <c r="U241">
        <v>10600</v>
      </c>
      <c r="V241">
        <v>5371</v>
      </c>
      <c r="W241">
        <v>1960</v>
      </c>
      <c r="X241">
        <v>1720</v>
      </c>
      <c r="Y241">
        <v>8200</v>
      </c>
    </row>
    <row r="242" spans="1:25" x14ac:dyDescent="0.2">
      <c r="A242">
        <v>241</v>
      </c>
      <c r="B242">
        <v>0</v>
      </c>
      <c r="C242">
        <v>36778</v>
      </c>
      <c r="D242">
        <v>118625</v>
      </c>
      <c r="E242">
        <v>1222280</v>
      </c>
      <c r="F242">
        <v>12393774</v>
      </c>
      <c r="G242">
        <v>122830654</v>
      </c>
      <c r="H242">
        <v>1193975576</v>
      </c>
      <c r="I242">
        <v>11349381313</v>
      </c>
      <c r="J242">
        <v>2000</v>
      </c>
      <c r="K242">
        <v>29624</v>
      </c>
      <c r="L242">
        <v>2500</v>
      </c>
      <c r="M242">
        <v>1100</v>
      </c>
      <c r="N242">
        <v>2205</v>
      </c>
      <c r="O242">
        <v>3410</v>
      </c>
      <c r="P242">
        <v>4615</v>
      </c>
      <c r="Q242">
        <v>5820</v>
      </c>
      <c r="R242">
        <v>7025</v>
      </c>
      <c r="S242">
        <v>8230</v>
      </c>
      <c r="T242">
        <v>9435</v>
      </c>
      <c r="U242">
        <v>10640</v>
      </c>
      <c r="V242">
        <v>5402</v>
      </c>
      <c r="W242">
        <v>1964</v>
      </c>
      <c r="X242">
        <v>1723</v>
      </c>
      <c r="Y242">
        <v>8210</v>
      </c>
    </row>
    <row r="243" spans="1:25" x14ac:dyDescent="0.2">
      <c r="A243">
        <v>242</v>
      </c>
      <c r="B243">
        <v>0</v>
      </c>
      <c r="C243">
        <v>37330</v>
      </c>
      <c r="D243">
        <v>120998</v>
      </c>
      <c r="E243">
        <v>1258949</v>
      </c>
      <c r="F243">
        <v>12889525</v>
      </c>
      <c r="G243">
        <v>128972187</v>
      </c>
      <c r="H243">
        <v>1265614111</v>
      </c>
      <c r="I243">
        <v>12143838005</v>
      </c>
      <c r="J243">
        <v>2000</v>
      </c>
      <c r="K243">
        <v>29921</v>
      </c>
      <c r="L243">
        <v>2500</v>
      </c>
      <c r="M243">
        <v>1100</v>
      </c>
      <c r="N243">
        <v>2210</v>
      </c>
      <c r="O243">
        <v>3420</v>
      </c>
      <c r="P243">
        <v>4630</v>
      </c>
      <c r="Q243">
        <v>5840</v>
      </c>
      <c r="R243">
        <v>7050</v>
      </c>
      <c r="S243">
        <v>8260</v>
      </c>
      <c r="T243">
        <v>9470</v>
      </c>
      <c r="U243">
        <v>10680</v>
      </c>
      <c r="V243">
        <v>5434</v>
      </c>
      <c r="W243">
        <v>1968</v>
      </c>
      <c r="X243">
        <v>1726</v>
      </c>
      <c r="Y243">
        <v>8220</v>
      </c>
    </row>
    <row r="244" spans="1:25" x14ac:dyDescent="0.2">
      <c r="A244">
        <v>243</v>
      </c>
      <c r="B244">
        <v>0</v>
      </c>
      <c r="C244">
        <v>37890</v>
      </c>
      <c r="D244">
        <v>123418</v>
      </c>
      <c r="E244">
        <v>1296718</v>
      </c>
      <c r="F244">
        <v>13405106</v>
      </c>
      <c r="G244">
        <v>135420797</v>
      </c>
      <c r="H244">
        <v>1341550958</v>
      </c>
      <c r="I244">
        <v>12993906666</v>
      </c>
      <c r="J244">
        <v>2000</v>
      </c>
      <c r="K244">
        <v>30221</v>
      </c>
      <c r="L244">
        <v>2500</v>
      </c>
      <c r="M244">
        <v>1100</v>
      </c>
      <c r="N244">
        <v>2215</v>
      </c>
      <c r="O244">
        <v>3430</v>
      </c>
      <c r="P244">
        <v>4645</v>
      </c>
      <c r="Q244">
        <v>5860</v>
      </c>
      <c r="R244">
        <v>7075</v>
      </c>
      <c r="S244">
        <v>8290</v>
      </c>
      <c r="T244">
        <v>9505</v>
      </c>
      <c r="U244">
        <v>10720</v>
      </c>
      <c r="V244">
        <v>5466</v>
      </c>
      <c r="W244">
        <v>1972</v>
      </c>
      <c r="X244">
        <v>1729</v>
      </c>
      <c r="Y244">
        <v>8230</v>
      </c>
    </row>
    <row r="245" spans="1:25" x14ac:dyDescent="0.2">
      <c r="A245">
        <v>244</v>
      </c>
      <c r="B245">
        <v>0</v>
      </c>
      <c r="C245">
        <v>38459</v>
      </c>
      <c r="D245">
        <v>125887</v>
      </c>
      <c r="E245">
        <v>1335620</v>
      </c>
      <c r="F245">
        <v>13941311</v>
      </c>
      <c r="G245">
        <v>142191837</v>
      </c>
      <c r="H245">
        <v>1422044016</v>
      </c>
      <c r="I245">
        <v>13903480133</v>
      </c>
      <c r="J245">
        <v>2000</v>
      </c>
      <c r="K245">
        <v>30524</v>
      </c>
      <c r="L245">
        <v>2500</v>
      </c>
      <c r="M245">
        <v>1100</v>
      </c>
      <c r="N245">
        <v>2220</v>
      </c>
      <c r="O245">
        <v>3440</v>
      </c>
      <c r="P245">
        <v>4660</v>
      </c>
      <c r="Q245">
        <v>5880</v>
      </c>
      <c r="R245">
        <v>7100</v>
      </c>
      <c r="S245">
        <v>8320</v>
      </c>
      <c r="T245">
        <v>9540</v>
      </c>
      <c r="U245">
        <v>10760</v>
      </c>
      <c r="V245">
        <v>5498</v>
      </c>
      <c r="W245">
        <v>1976</v>
      </c>
      <c r="X245">
        <v>1732</v>
      </c>
      <c r="Y245">
        <v>8240</v>
      </c>
    </row>
    <row r="246" spans="1:25" x14ac:dyDescent="0.2">
      <c r="A246">
        <v>245</v>
      </c>
      <c r="B246">
        <v>0</v>
      </c>
      <c r="C246">
        <v>39036</v>
      </c>
      <c r="D246">
        <v>128405</v>
      </c>
      <c r="E246">
        <v>1375689</v>
      </c>
      <c r="F246">
        <v>14498964</v>
      </c>
      <c r="G246">
        <v>149301429</v>
      </c>
      <c r="H246">
        <v>1507366657</v>
      </c>
      <c r="I246">
        <v>14876723743</v>
      </c>
      <c r="J246">
        <v>2000</v>
      </c>
      <c r="K246">
        <v>30830</v>
      </c>
      <c r="L246">
        <v>2500</v>
      </c>
      <c r="M246">
        <v>1100</v>
      </c>
      <c r="N246">
        <v>2225</v>
      </c>
      <c r="O246">
        <v>3450</v>
      </c>
      <c r="P246">
        <v>4675</v>
      </c>
      <c r="Q246">
        <v>5900</v>
      </c>
      <c r="R246">
        <v>7125</v>
      </c>
      <c r="S246">
        <v>8350</v>
      </c>
      <c r="T246">
        <v>9575</v>
      </c>
      <c r="U246">
        <v>10800</v>
      </c>
      <c r="V246">
        <v>5530</v>
      </c>
      <c r="W246">
        <v>1980</v>
      </c>
      <c r="X246">
        <v>1735</v>
      </c>
      <c r="Y246">
        <v>8250</v>
      </c>
    </row>
    <row r="247" spans="1:25" x14ac:dyDescent="0.2">
      <c r="A247">
        <v>246</v>
      </c>
      <c r="B247">
        <v>0</v>
      </c>
      <c r="C247">
        <v>39622</v>
      </c>
      <c r="D247">
        <v>130974</v>
      </c>
      <c r="E247">
        <v>1416960</v>
      </c>
      <c r="F247">
        <v>15078923</v>
      </c>
      <c r="G247">
        <v>156766501</v>
      </c>
      <c r="H247">
        <v>1597808657</v>
      </c>
      <c r="I247">
        <v>15918094406</v>
      </c>
      <c r="J247">
        <v>2000</v>
      </c>
      <c r="K247">
        <v>31139</v>
      </c>
      <c r="L247">
        <v>2500</v>
      </c>
      <c r="M247">
        <v>1100</v>
      </c>
      <c r="N247">
        <v>2230</v>
      </c>
      <c r="O247">
        <v>3460</v>
      </c>
      <c r="P247">
        <v>4690</v>
      </c>
      <c r="Q247">
        <v>5920</v>
      </c>
      <c r="R247">
        <v>7150</v>
      </c>
      <c r="S247">
        <v>8380</v>
      </c>
      <c r="T247">
        <v>9610</v>
      </c>
      <c r="U247">
        <v>10840</v>
      </c>
      <c r="V247">
        <v>5562</v>
      </c>
      <c r="W247">
        <v>1984</v>
      </c>
      <c r="X247">
        <v>1738</v>
      </c>
      <c r="Y247">
        <v>8260</v>
      </c>
    </row>
    <row r="248" spans="1:25" x14ac:dyDescent="0.2">
      <c r="A248">
        <v>247</v>
      </c>
      <c r="B248">
        <v>0</v>
      </c>
      <c r="C248">
        <v>40217</v>
      </c>
      <c r="D248">
        <v>133594</v>
      </c>
      <c r="E248">
        <v>1459469</v>
      </c>
      <c r="F248">
        <v>15682080</v>
      </c>
      <c r="G248">
        <v>164604827</v>
      </c>
      <c r="H248">
        <v>1693677177</v>
      </c>
      <c r="I248">
        <v>17032361015</v>
      </c>
      <c r="J248">
        <v>2000</v>
      </c>
      <c r="K248">
        <v>31451</v>
      </c>
      <c r="L248">
        <v>2500</v>
      </c>
      <c r="M248">
        <v>1100</v>
      </c>
      <c r="N248">
        <v>2235</v>
      </c>
      <c r="O248">
        <v>3470</v>
      </c>
      <c r="P248">
        <v>4705</v>
      </c>
      <c r="Q248">
        <v>5940</v>
      </c>
      <c r="R248">
        <v>7175</v>
      </c>
      <c r="S248">
        <v>8410</v>
      </c>
      <c r="T248">
        <v>9645</v>
      </c>
      <c r="U248">
        <v>10880</v>
      </c>
      <c r="V248">
        <v>5594</v>
      </c>
      <c r="W248">
        <v>1988</v>
      </c>
      <c r="X248">
        <v>1741</v>
      </c>
      <c r="Y248">
        <v>8270</v>
      </c>
    </row>
    <row r="249" spans="1:25" x14ac:dyDescent="0.2">
      <c r="A249">
        <v>248</v>
      </c>
      <c r="B249">
        <v>0</v>
      </c>
      <c r="C249">
        <v>40821</v>
      </c>
      <c r="D249">
        <v>136266</v>
      </c>
      <c r="E249">
        <v>1503254</v>
      </c>
      <c r="F249">
        <v>16309364</v>
      </c>
      <c r="G249">
        <v>172835069</v>
      </c>
      <c r="H249">
        <v>1795297808</v>
      </c>
      <c r="I249">
        <v>18224626287</v>
      </c>
      <c r="J249">
        <v>2000</v>
      </c>
      <c r="K249">
        <v>31766</v>
      </c>
      <c r="L249">
        <v>2500</v>
      </c>
      <c r="M249">
        <v>1100</v>
      </c>
      <c r="N249">
        <v>2240</v>
      </c>
      <c r="O249">
        <v>3480</v>
      </c>
      <c r="P249">
        <v>4720</v>
      </c>
      <c r="Q249">
        <v>5960</v>
      </c>
      <c r="R249">
        <v>7200</v>
      </c>
      <c r="S249">
        <v>8440</v>
      </c>
      <c r="T249">
        <v>9680</v>
      </c>
      <c r="U249">
        <v>10920</v>
      </c>
      <c r="V249">
        <v>5626</v>
      </c>
      <c r="W249">
        <v>1992</v>
      </c>
      <c r="X249">
        <v>1744</v>
      </c>
      <c r="Y249">
        <v>8280</v>
      </c>
    </row>
    <row r="250" spans="1:25" x14ac:dyDescent="0.2">
      <c r="A250">
        <v>249</v>
      </c>
      <c r="B250">
        <v>0</v>
      </c>
      <c r="C250">
        <v>41434</v>
      </c>
      <c r="D250">
        <v>138992</v>
      </c>
      <c r="E250">
        <v>1548352</v>
      </c>
      <c r="F250">
        <v>16961739</v>
      </c>
      <c r="G250">
        <v>181476823</v>
      </c>
      <c r="H250">
        <v>1903015677</v>
      </c>
      <c r="I250">
        <v>19500350128</v>
      </c>
      <c r="J250">
        <v>2000</v>
      </c>
      <c r="K250">
        <v>32084</v>
      </c>
      <c r="L250">
        <v>2500</v>
      </c>
      <c r="M250">
        <v>1100</v>
      </c>
      <c r="N250">
        <v>2245</v>
      </c>
      <c r="O250">
        <v>3490</v>
      </c>
      <c r="P250">
        <v>4735</v>
      </c>
      <c r="Q250">
        <v>5980</v>
      </c>
      <c r="R250">
        <v>7225</v>
      </c>
      <c r="S250">
        <v>8470</v>
      </c>
      <c r="T250">
        <v>9715</v>
      </c>
      <c r="U250">
        <v>10960</v>
      </c>
      <c r="V250">
        <v>5659</v>
      </c>
      <c r="W250">
        <v>1996</v>
      </c>
      <c r="X250">
        <v>1747</v>
      </c>
      <c r="Y250">
        <v>8290</v>
      </c>
    </row>
    <row r="251" spans="1:25" x14ac:dyDescent="0.2">
      <c r="A251">
        <v>250</v>
      </c>
      <c r="B251">
        <v>0</v>
      </c>
      <c r="C251">
        <v>42056</v>
      </c>
      <c r="D251">
        <v>141772</v>
      </c>
      <c r="E251">
        <v>1594803</v>
      </c>
      <c r="F251">
        <v>17640209</v>
      </c>
      <c r="G251">
        <v>190550665</v>
      </c>
      <c r="H251">
        <v>2017196618</v>
      </c>
      <c r="I251">
        <v>20865374637</v>
      </c>
      <c r="J251">
        <v>2000</v>
      </c>
      <c r="K251">
        <v>32405</v>
      </c>
      <c r="L251">
        <v>2500</v>
      </c>
      <c r="M251">
        <v>1100</v>
      </c>
      <c r="N251">
        <v>2250</v>
      </c>
      <c r="O251">
        <v>3500</v>
      </c>
      <c r="P251">
        <v>4750</v>
      </c>
      <c r="Q251">
        <v>6000</v>
      </c>
      <c r="R251">
        <v>7250</v>
      </c>
      <c r="S251">
        <v>8500</v>
      </c>
      <c r="T251">
        <v>9750</v>
      </c>
      <c r="U251">
        <v>11000</v>
      </c>
      <c r="V251">
        <v>5692</v>
      </c>
      <c r="W251">
        <v>2000</v>
      </c>
      <c r="X251">
        <v>1750</v>
      </c>
      <c r="Y251">
        <v>8300</v>
      </c>
    </row>
    <row r="252" spans="1:25" x14ac:dyDescent="0.2">
      <c r="A252">
        <v>251</v>
      </c>
      <c r="B252">
        <v>0</v>
      </c>
      <c r="C252">
        <v>42687</v>
      </c>
      <c r="D252">
        <v>144608</v>
      </c>
      <c r="E252">
        <v>1642648</v>
      </c>
      <c r="F252">
        <v>18345818</v>
      </c>
      <c r="G252">
        <v>200078199</v>
      </c>
      <c r="H252">
        <v>2138228416</v>
      </c>
      <c r="I252">
        <v>22325950862</v>
      </c>
      <c r="J252">
        <v>2000</v>
      </c>
      <c r="K252">
        <v>32730</v>
      </c>
      <c r="L252">
        <v>2500</v>
      </c>
      <c r="M252">
        <v>1100</v>
      </c>
      <c r="N252">
        <v>2255</v>
      </c>
      <c r="O252">
        <v>3510</v>
      </c>
      <c r="P252">
        <v>4765</v>
      </c>
      <c r="Q252">
        <v>6020</v>
      </c>
      <c r="R252">
        <v>7275</v>
      </c>
      <c r="S252">
        <v>8530</v>
      </c>
      <c r="T252">
        <v>9785</v>
      </c>
      <c r="U252">
        <v>11040</v>
      </c>
      <c r="V252">
        <v>5725</v>
      </c>
      <c r="W252">
        <v>2004</v>
      </c>
      <c r="X252">
        <v>1753</v>
      </c>
      <c r="Y252">
        <v>8310</v>
      </c>
    </row>
    <row r="253" spans="1:25" x14ac:dyDescent="0.2">
      <c r="A253">
        <v>252</v>
      </c>
      <c r="B253">
        <v>0</v>
      </c>
      <c r="C253">
        <v>43328</v>
      </c>
      <c r="D253">
        <v>147501</v>
      </c>
      <c r="E253">
        <v>1691928</v>
      </c>
      <c r="F253">
        <v>19079651</v>
      </c>
      <c r="G253">
        <v>210082109</v>
      </c>
      <c r="H253">
        <v>2266522121</v>
      </c>
      <c r="I253">
        <v>23888767423</v>
      </c>
      <c r="J253">
        <v>2000</v>
      </c>
      <c r="K253">
        <v>33058</v>
      </c>
      <c r="L253">
        <v>2500</v>
      </c>
      <c r="M253">
        <v>1100</v>
      </c>
      <c r="N253">
        <v>2260</v>
      </c>
      <c r="O253">
        <v>3520</v>
      </c>
      <c r="P253">
        <v>4780</v>
      </c>
      <c r="Q253">
        <v>6040</v>
      </c>
      <c r="R253">
        <v>7300</v>
      </c>
      <c r="S253">
        <v>8560</v>
      </c>
      <c r="T253">
        <v>9820</v>
      </c>
      <c r="U253">
        <v>11080</v>
      </c>
      <c r="V253">
        <v>5758</v>
      </c>
      <c r="W253">
        <v>2008</v>
      </c>
      <c r="X253">
        <v>1756</v>
      </c>
      <c r="Y253">
        <v>8320</v>
      </c>
    </row>
    <row r="254" spans="1:25" x14ac:dyDescent="0.2">
      <c r="A254">
        <v>253</v>
      </c>
      <c r="B254">
        <v>0</v>
      </c>
      <c r="C254">
        <v>43978</v>
      </c>
      <c r="D254">
        <v>150452</v>
      </c>
      <c r="E254">
        <v>1742686</v>
      </c>
      <c r="F254">
        <v>19842838</v>
      </c>
      <c r="G254">
        <v>220586215</v>
      </c>
      <c r="H254">
        <v>2402513449</v>
      </c>
      <c r="I254">
        <v>25560981143</v>
      </c>
      <c r="J254">
        <v>2000</v>
      </c>
      <c r="K254">
        <v>33389</v>
      </c>
      <c r="L254">
        <v>2500</v>
      </c>
      <c r="M254">
        <v>1100</v>
      </c>
      <c r="N254">
        <v>2265</v>
      </c>
      <c r="O254">
        <v>3530</v>
      </c>
      <c r="P254">
        <v>4795</v>
      </c>
      <c r="Q254">
        <v>6060</v>
      </c>
      <c r="R254">
        <v>7325</v>
      </c>
      <c r="S254">
        <v>8590</v>
      </c>
      <c r="T254">
        <v>9855</v>
      </c>
      <c r="U254">
        <v>11120</v>
      </c>
      <c r="V254">
        <v>5791</v>
      </c>
      <c r="W254">
        <v>2012</v>
      </c>
      <c r="X254">
        <v>1759</v>
      </c>
      <c r="Y254">
        <v>8330</v>
      </c>
    </row>
    <row r="255" spans="1:25" x14ac:dyDescent="0.2">
      <c r="A255">
        <v>254</v>
      </c>
      <c r="B255">
        <v>0</v>
      </c>
      <c r="C255">
        <v>44638</v>
      </c>
      <c r="D255">
        <v>153462</v>
      </c>
      <c r="E255">
        <v>1794967</v>
      </c>
      <c r="F255">
        <v>20636552</v>
      </c>
      <c r="G255">
        <v>231615526</v>
      </c>
      <c r="H255">
        <v>2546664256</v>
      </c>
      <c r="I255">
        <v>27350249824</v>
      </c>
      <c r="J255">
        <v>2000</v>
      </c>
      <c r="K255">
        <v>33723</v>
      </c>
      <c r="L255">
        <v>2500</v>
      </c>
      <c r="M255">
        <v>1100</v>
      </c>
      <c r="N255">
        <v>2270</v>
      </c>
      <c r="O255">
        <v>3540</v>
      </c>
      <c r="P255">
        <v>4810</v>
      </c>
      <c r="Q255">
        <v>6080</v>
      </c>
      <c r="R255">
        <v>7350</v>
      </c>
      <c r="S255">
        <v>8620</v>
      </c>
      <c r="T255">
        <v>9890</v>
      </c>
      <c r="U255">
        <v>11160</v>
      </c>
      <c r="V255">
        <v>5824</v>
      </c>
      <c r="W255">
        <v>2016</v>
      </c>
      <c r="X255">
        <v>1762</v>
      </c>
      <c r="Y255">
        <v>8340</v>
      </c>
    </row>
    <row r="256" spans="1:25" x14ac:dyDescent="0.2">
      <c r="A256">
        <v>255</v>
      </c>
      <c r="B256">
        <v>0</v>
      </c>
      <c r="C256">
        <v>45308</v>
      </c>
      <c r="D256">
        <v>156532</v>
      </c>
      <c r="E256">
        <v>1848817</v>
      </c>
      <c r="F256">
        <v>21462015</v>
      </c>
      <c r="G256">
        <v>243196303</v>
      </c>
      <c r="H256">
        <v>2699464112</v>
      </c>
      <c r="I256">
        <v>29264767312</v>
      </c>
      <c r="J256">
        <v>2000</v>
      </c>
      <c r="K256">
        <v>34061</v>
      </c>
      <c r="L256">
        <v>2500</v>
      </c>
      <c r="M256">
        <v>1100</v>
      </c>
      <c r="N256">
        <v>2275</v>
      </c>
      <c r="O256">
        <v>3550</v>
      </c>
      <c r="P256">
        <v>4825</v>
      </c>
      <c r="Q256">
        <v>6100</v>
      </c>
      <c r="R256">
        <v>7375</v>
      </c>
      <c r="S256">
        <v>8650</v>
      </c>
      <c r="T256">
        <v>9925</v>
      </c>
      <c r="U256">
        <v>11200</v>
      </c>
      <c r="V256">
        <v>5858</v>
      </c>
      <c r="W256">
        <v>2020</v>
      </c>
      <c r="X256">
        <v>1765</v>
      </c>
      <c r="Y256">
        <v>8350</v>
      </c>
    </row>
    <row r="257" spans="1:25" x14ac:dyDescent="0.2">
      <c r="A257">
        <v>256</v>
      </c>
      <c r="B257">
        <v>0</v>
      </c>
      <c r="C257">
        <v>45988</v>
      </c>
      <c r="D257">
        <v>159663</v>
      </c>
      <c r="E257">
        <v>1904282</v>
      </c>
      <c r="F257">
        <v>22320496</v>
      </c>
      <c r="G257">
        <v>255356119</v>
      </c>
      <c r="H257">
        <v>2861431959</v>
      </c>
      <c r="I257">
        <v>31313301024</v>
      </c>
      <c r="J257">
        <v>2000</v>
      </c>
      <c r="K257">
        <v>34402</v>
      </c>
      <c r="L257">
        <v>2500</v>
      </c>
      <c r="M257">
        <v>1100</v>
      </c>
      <c r="N257">
        <v>2280</v>
      </c>
      <c r="O257">
        <v>3560</v>
      </c>
      <c r="P257">
        <v>4840</v>
      </c>
      <c r="Q257">
        <v>6120</v>
      </c>
      <c r="R257">
        <v>7400</v>
      </c>
      <c r="S257">
        <v>8680</v>
      </c>
      <c r="T257">
        <v>9960</v>
      </c>
      <c r="U257">
        <v>11240</v>
      </c>
      <c r="V257">
        <v>5892</v>
      </c>
      <c r="W257">
        <v>2024</v>
      </c>
      <c r="X257">
        <v>1768</v>
      </c>
      <c r="Y257">
        <v>8360</v>
      </c>
    </row>
    <row r="258" spans="1:25" x14ac:dyDescent="0.2">
      <c r="A258">
        <v>257</v>
      </c>
      <c r="B258">
        <v>0</v>
      </c>
      <c r="C258">
        <v>46678</v>
      </c>
      <c r="D258">
        <v>162857</v>
      </c>
      <c r="E258">
        <v>1961411</v>
      </c>
      <c r="F258">
        <v>23213316</v>
      </c>
      <c r="G258">
        <v>268123925</v>
      </c>
      <c r="H258">
        <v>3033117877</v>
      </c>
      <c r="I258">
        <v>33505232096</v>
      </c>
      <c r="J258">
        <v>2000</v>
      </c>
      <c r="K258">
        <v>34747</v>
      </c>
      <c r="L258">
        <v>2500</v>
      </c>
      <c r="M258">
        <v>1100</v>
      </c>
      <c r="N258">
        <v>2285</v>
      </c>
      <c r="O258">
        <v>3570</v>
      </c>
      <c r="P258">
        <v>4855</v>
      </c>
      <c r="Q258">
        <v>6140</v>
      </c>
      <c r="R258">
        <v>7425</v>
      </c>
      <c r="S258">
        <v>8710</v>
      </c>
      <c r="T258">
        <v>9995</v>
      </c>
      <c r="U258">
        <v>11280</v>
      </c>
      <c r="V258">
        <v>5926</v>
      </c>
      <c r="W258">
        <v>2028</v>
      </c>
      <c r="X258">
        <v>1771</v>
      </c>
      <c r="Y258">
        <v>8370</v>
      </c>
    </row>
    <row r="259" spans="1:25" x14ac:dyDescent="0.2">
      <c r="A259">
        <v>258</v>
      </c>
      <c r="B259">
        <v>0</v>
      </c>
      <c r="C259">
        <v>47379</v>
      </c>
      <c r="D259">
        <v>166115</v>
      </c>
      <c r="E259">
        <v>2020254</v>
      </c>
      <c r="F259">
        <v>24141849</v>
      </c>
      <c r="G259">
        <v>281530122</v>
      </c>
      <c r="H259">
        <v>3215104950</v>
      </c>
      <c r="I259">
        <v>35850598343</v>
      </c>
      <c r="J259">
        <v>2000</v>
      </c>
      <c r="K259">
        <v>35095</v>
      </c>
      <c r="L259">
        <v>2500</v>
      </c>
      <c r="M259">
        <v>1100</v>
      </c>
      <c r="N259">
        <v>2290</v>
      </c>
      <c r="O259">
        <v>3580</v>
      </c>
      <c r="P259">
        <v>4870</v>
      </c>
      <c r="Q259">
        <v>6160</v>
      </c>
      <c r="R259">
        <v>7450</v>
      </c>
      <c r="S259">
        <v>8740</v>
      </c>
      <c r="T259">
        <v>10030</v>
      </c>
      <c r="U259">
        <v>11320</v>
      </c>
      <c r="V259">
        <v>5960</v>
      </c>
      <c r="W259">
        <v>2032</v>
      </c>
      <c r="X259">
        <v>1774</v>
      </c>
      <c r="Y259">
        <v>8380</v>
      </c>
    </row>
    <row r="260" spans="1:25" x14ac:dyDescent="0.2">
      <c r="A260">
        <v>259</v>
      </c>
      <c r="B260">
        <v>0</v>
      </c>
      <c r="C260">
        <v>48090</v>
      </c>
      <c r="D260">
        <v>169438</v>
      </c>
      <c r="E260">
        <v>2080862</v>
      </c>
      <c r="F260">
        <v>25107523</v>
      </c>
      <c r="G260">
        <v>295606629</v>
      </c>
      <c r="H260">
        <v>3408011247</v>
      </c>
      <c r="I260">
        <v>38360140228</v>
      </c>
      <c r="J260">
        <v>2000</v>
      </c>
      <c r="K260">
        <v>35446</v>
      </c>
      <c r="L260">
        <v>2500</v>
      </c>
      <c r="M260">
        <v>1100</v>
      </c>
      <c r="N260">
        <v>2295</v>
      </c>
      <c r="O260">
        <v>3590</v>
      </c>
      <c r="P260">
        <v>4885</v>
      </c>
      <c r="Q260">
        <v>6180</v>
      </c>
      <c r="R260">
        <v>7475</v>
      </c>
      <c r="S260">
        <v>8770</v>
      </c>
      <c r="T260">
        <v>10065</v>
      </c>
      <c r="U260">
        <v>11360</v>
      </c>
      <c r="V260">
        <v>5994</v>
      </c>
      <c r="W260">
        <v>2036</v>
      </c>
      <c r="X260">
        <v>1777</v>
      </c>
      <c r="Y260">
        <v>8390</v>
      </c>
    </row>
    <row r="261" spans="1:25" x14ac:dyDescent="0.2">
      <c r="A261">
        <v>260</v>
      </c>
      <c r="B261">
        <v>0</v>
      </c>
      <c r="C261">
        <v>48812</v>
      </c>
      <c r="D261">
        <v>172827</v>
      </c>
      <c r="E261">
        <v>2143288</v>
      </c>
      <c r="F261">
        <v>26111824</v>
      </c>
      <c r="G261">
        <v>310386961</v>
      </c>
      <c r="H261">
        <v>3612491922</v>
      </c>
      <c r="I261">
        <v>41045350044</v>
      </c>
      <c r="J261">
        <v>2000</v>
      </c>
      <c r="K261">
        <v>35801</v>
      </c>
      <c r="L261">
        <v>2500</v>
      </c>
      <c r="M261">
        <v>1100</v>
      </c>
      <c r="N261">
        <v>2300</v>
      </c>
      <c r="O261">
        <v>3600</v>
      </c>
      <c r="P261">
        <v>4900</v>
      </c>
      <c r="Q261">
        <v>6200</v>
      </c>
      <c r="R261">
        <v>7500</v>
      </c>
      <c r="S261">
        <v>8800</v>
      </c>
      <c r="T261">
        <v>10100</v>
      </c>
      <c r="U261">
        <v>11400</v>
      </c>
      <c r="V261">
        <v>6028</v>
      </c>
      <c r="W261">
        <v>2040</v>
      </c>
      <c r="X261">
        <v>1780</v>
      </c>
      <c r="Y261">
        <v>8400</v>
      </c>
    </row>
    <row r="262" spans="1:25" x14ac:dyDescent="0.2">
      <c r="A262">
        <v>261</v>
      </c>
      <c r="B262">
        <v>0</v>
      </c>
      <c r="C262">
        <v>49545</v>
      </c>
      <c r="D262">
        <v>176284</v>
      </c>
      <c r="E262">
        <v>2207587</v>
      </c>
      <c r="F262">
        <v>27156297</v>
      </c>
      <c r="G262">
        <v>325906310</v>
      </c>
      <c r="H262">
        <v>3829241438</v>
      </c>
      <c r="I262">
        <v>43918524548</v>
      </c>
      <c r="J262">
        <v>2000</v>
      </c>
      <c r="K262">
        <v>36160</v>
      </c>
      <c r="L262">
        <v>2500</v>
      </c>
      <c r="M262">
        <v>1100</v>
      </c>
      <c r="N262">
        <v>2305</v>
      </c>
      <c r="O262">
        <v>3610</v>
      </c>
      <c r="P262">
        <v>4915</v>
      </c>
      <c r="Q262">
        <v>6220</v>
      </c>
      <c r="R262">
        <v>7525</v>
      </c>
      <c r="S262">
        <v>8830</v>
      </c>
      <c r="T262">
        <v>10135</v>
      </c>
      <c r="U262">
        <v>11440</v>
      </c>
      <c r="V262">
        <v>6063</v>
      </c>
      <c r="W262">
        <v>2044</v>
      </c>
      <c r="X262">
        <v>1783</v>
      </c>
      <c r="Y262">
        <v>8410</v>
      </c>
    </row>
    <row r="263" spans="1:25" x14ac:dyDescent="0.2">
      <c r="A263">
        <v>262</v>
      </c>
      <c r="B263">
        <v>0</v>
      </c>
      <c r="C263">
        <v>50289</v>
      </c>
      <c r="D263">
        <v>179810</v>
      </c>
      <c r="E263">
        <v>2273815</v>
      </c>
      <c r="F263">
        <v>28242549</v>
      </c>
      <c r="G263">
        <v>342201626</v>
      </c>
      <c r="H263">
        <v>4058995925</v>
      </c>
      <c r="I263">
        <v>46992821267</v>
      </c>
      <c r="J263">
        <v>2000</v>
      </c>
      <c r="K263">
        <v>36522</v>
      </c>
      <c r="L263">
        <v>2500</v>
      </c>
      <c r="M263">
        <v>1100</v>
      </c>
      <c r="N263">
        <v>2310</v>
      </c>
      <c r="O263">
        <v>3620</v>
      </c>
      <c r="P263">
        <v>4930</v>
      </c>
      <c r="Q263">
        <v>6240</v>
      </c>
      <c r="R263">
        <v>7550</v>
      </c>
      <c r="S263">
        <v>8860</v>
      </c>
      <c r="T263">
        <v>10170</v>
      </c>
      <c r="U263">
        <v>11480</v>
      </c>
      <c r="V263">
        <v>6098</v>
      </c>
      <c r="W263">
        <v>2048</v>
      </c>
      <c r="X263">
        <v>1786</v>
      </c>
      <c r="Y263">
        <v>8420</v>
      </c>
    </row>
    <row r="264" spans="1:25" x14ac:dyDescent="0.2">
      <c r="A264">
        <v>263</v>
      </c>
      <c r="B264">
        <v>0</v>
      </c>
      <c r="C264">
        <v>51044</v>
      </c>
      <c r="D264">
        <v>183407</v>
      </c>
      <c r="E264">
        <v>2342030</v>
      </c>
      <c r="F264">
        <v>29372251</v>
      </c>
      <c r="G264">
        <v>359311708</v>
      </c>
      <c r="H264">
        <v>4302535681</v>
      </c>
      <c r="I264">
        <v>50282318756</v>
      </c>
      <c r="J264">
        <v>2000</v>
      </c>
      <c r="K264">
        <v>36888</v>
      </c>
      <c r="L264">
        <v>2500</v>
      </c>
      <c r="M264">
        <v>1100</v>
      </c>
      <c r="N264">
        <v>2315</v>
      </c>
      <c r="O264">
        <v>3630</v>
      </c>
      <c r="P264">
        <v>4945</v>
      </c>
      <c r="Q264">
        <v>6260</v>
      </c>
      <c r="R264">
        <v>7575</v>
      </c>
      <c r="S264">
        <v>8890</v>
      </c>
      <c r="T264">
        <v>10205</v>
      </c>
      <c r="U264">
        <v>11520</v>
      </c>
      <c r="V264">
        <v>6133</v>
      </c>
      <c r="W264">
        <v>2052</v>
      </c>
      <c r="X264">
        <v>1789</v>
      </c>
      <c r="Y264">
        <v>8430</v>
      </c>
    </row>
    <row r="265" spans="1:25" x14ac:dyDescent="0.2">
      <c r="A265">
        <v>264</v>
      </c>
      <c r="B265">
        <v>0</v>
      </c>
      <c r="C265">
        <v>51810</v>
      </c>
      <c r="D265">
        <v>187076</v>
      </c>
      <c r="E265">
        <v>2412291</v>
      </c>
      <c r="F265">
        <v>30547142</v>
      </c>
      <c r="G265">
        <v>377277294</v>
      </c>
      <c r="H265">
        <v>4560687822</v>
      </c>
      <c r="I265">
        <v>53802081069</v>
      </c>
      <c r="J265">
        <v>2000</v>
      </c>
      <c r="K265">
        <v>37257</v>
      </c>
      <c r="L265">
        <v>2500</v>
      </c>
      <c r="M265">
        <v>1100</v>
      </c>
      <c r="N265">
        <v>2320</v>
      </c>
      <c r="O265">
        <v>3640</v>
      </c>
      <c r="P265">
        <v>4960</v>
      </c>
      <c r="Q265">
        <v>6280</v>
      </c>
      <c r="R265">
        <v>7600</v>
      </c>
      <c r="S265">
        <v>8920</v>
      </c>
      <c r="T265">
        <v>10240</v>
      </c>
      <c r="U265">
        <v>11560</v>
      </c>
      <c r="V265">
        <v>6168</v>
      </c>
      <c r="W265">
        <v>2056</v>
      </c>
      <c r="X265">
        <v>1792</v>
      </c>
      <c r="Y265">
        <v>8440</v>
      </c>
    </row>
    <row r="266" spans="1:25" x14ac:dyDescent="0.2">
      <c r="A266">
        <v>265</v>
      </c>
      <c r="B266">
        <v>0</v>
      </c>
      <c r="C266">
        <v>52588</v>
      </c>
      <c r="D266">
        <v>190818</v>
      </c>
      <c r="E266">
        <v>2484660</v>
      </c>
      <c r="F266">
        <v>31769028</v>
      </c>
      <c r="G266">
        <v>396141159</v>
      </c>
      <c r="H266">
        <v>4834329092</v>
      </c>
      <c r="I266">
        <v>57568226744</v>
      </c>
      <c r="J266">
        <v>2000</v>
      </c>
      <c r="K266">
        <v>37630</v>
      </c>
      <c r="L266">
        <v>2500</v>
      </c>
      <c r="M266">
        <v>1100</v>
      </c>
      <c r="N266">
        <v>2325</v>
      </c>
      <c r="O266">
        <v>3650</v>
      </c>
      <c r="P266">
        <v>4975</v>
      </c>
      <c r="Q266">
        <v>6300</v>
      </c>
      <c r="R266">
        <v>7625</v>
      </c>
      <c r="S266">
        <v>8950</v>
      </c>
      <c r="T266">
        <v>10275</v>
      </c>
      <c r="U266">
        <v>11600</v>
      </c>
      <c r="V266">
        <v>6203</v>
      </c>
      <c r="W266">
        <v>2060</v>
      </c>
      <c r="X266">
        <v>1795</v>
      </c>
      <c r="Y266">
        <v>8450</v>
      </c>
    </row>
    <row r="267" spans="1:25" x14ac:dyDescent="0.2">
      <c r="A267">
        <v>266</v>
      </c>
      <c r="B267">
        <v>0</v>
      </c>
      <c r="C267">
        <v>53377</v>
      </c>
      <c r="D267">
        <v>194635</v>
      </c>
      <c r="E267">
        <v>2559200</v>
      </c>
      <c r="F267">
        <v>33039790</v>
      </c>
      <c r="G267">
        <v>415948217</v>
      </c>
      <c r="H267">
        <v>5124388838</v>
      </c>
      <c r="I267">
        <v>61598002617</v>
      </c>
      <c r="J267">
        <v>2000</v>
      </c>
      <c r="K267">
        <v>38007</v>
      </c>
      <c r="L267">
        <v>2500</v>
      </c>
      <c r="M267">
        <v>1100</v>
      </c>
      <c r="N267">
        <v>2330</v>
      </c>
      <c r="O267">
        <v>3660</v>
      </c>
      <c r="P267">
        <v>4990</v>
      </c>
      <c r="Q267">
        <v>6320</v>
      </c>
      <c r="R267">
        <v>7650</v>
      </c>
      <c r="S267">
        <v>8980</v>
      </c>
      <c r="T267">
        <v>10310</v>
      </c>
      <c r="U267">
        <v>11640</v>
      </c>
      <c r="V267">
        <v>6239</v>
      </c>
      <c r="W267">
        <v>2064</v>
      </c>
      <c r="X267">
        <v>1798</v>
      </c>
      <c r="Y267">
        <v>8460</v>
      </c>
    </row>
    <row r="268" spans="1:25" x14ac:dyDescent="0.2">
      <c r="A268">
        <v>267</v>
      </c>
      <c r="B268">
        <v>0</v>
      </c>
      <c r="C268">
        <v>54178</v>
      </c>
      <c r="D268">
        <v>198528</v>
      </c>
      <c r="E268">
        <v>2635976</v>
      </c>
      <c r="F268">
        <v>34361382</v>
      </c>
      <c r="G268">
        <v>436745628</v>
      </c>
      <c r="H268">
        <v>5431852169</v>
      </c>
      <c r="I268">
        <v>65909862801</v>
      </c>
      <c r="J268">
        <v>2000</v>
      </c>
      <c r="K268">
        <v>38388</v>
      </c>
      <c r="L268">
        <v>2500</v>
      </c>
      <c r="M268">
        <v>1100</v>
      </c>
      <c r="N268">
        <v>2335</v>
      </c>
      <c r="O268">
        <v>3670</v>
      </c>
      <c r="P268">
        <v>5005</v>
      </c>
      <c r="Q268">
        <v>6340</v>
      </c>
      <c r="R268">
        <v>7675</v>
      </c>
      <c r="S268">
        <v>9010</v>
      </c>
      <c r="T268">
        <v>10345</v>
      </c>
      <c r="U268">
        <v>11680</v>
      </c>
      <c r="V268">
        <v>6275</v>
      </c>
      <c r="W268">
        <v>2068</v>
      </c>
      <c r="X268">
        <v>1801</v>
      </c>
      <c r="Y268">
        <v>8470</v>
      </c>
    </row>
    <row r="269" spans="1:25" x14ac:dyDescent="0.2">
      <c r="A269">
        <v>268</v>
      </c>
      <c r="B269">
        <v>0</v>
      </c>
      <c r="C269">
        <v>54991</v>
      </c>
      <c r="D269">
        <v>202499</v>
      </c>
      <c r="E269">
        <v>2715056</v>
      </c>
      <c r="F269">
        <v>35735838</v>
      </c>
      <c r="G269">
        <v>458582910</v>
      </c>
      <c r="H269">
        <v>5757763300</v>
      </c>
      <c r="I269">
        <v>70523553198</v>
      </c>
      <c r="J269">
        <v>2000</v>
      </c>
      <c r="K269">
        <v>38772</v>
      </c>
      <c r="L269">
        <v>2500</v>
      </c>
      <c r="M269">
        <v>1100</v>
      </c>
      <c r="N269">
        <v>2340</v>
      </c>
      <c r="O269">
        <v>3680</v>
      </c>
      <c r="P269">
        <v>5020</v>
      </c>
      <c r="Q269">
        <v>6360</v>
      </c>
      <c r="R269">
        <v>7700</v>
      </c>
      <c r="S269">
        <v>9040</v>
      </c>
      <c r="T269">
        <v>10380</v>
      </c>
      <c r="U269">
        <v>11720</v>
      </c>
      <c r="V269">
        <v>6311</v>
      </c>
      <c r="W269">
        <v>2072</v>
      </c>
      <c r="X269">
        <v>1804</v>
      </c>
      <c r="Y269">
        <v>8480</v>
      </c>
    </row>
    <row r="270" spans="1:25" x14ac:dyDescent="0.2">
      <c r="A270">
        <v>269</v>
      </c>
      <c r="B270">
        <v>0</v>
      </c>
      <c r="C270">
        <v>55816</v>
      </c>
      <c r="D270">
        <v>206549</v>
      </c>
      <c r="E270">
        <v>2796508</v>
      </c>
      <c r="F270">
        <v>37165272</v>
      </c>
      <c r="G270">
        <v>481512056</v>
      </c>
      <c r="H270">
        <v>6103229098</v>
      </c>
      <c r="I270">
        <v>75460201922</v>
      </c>
      <c r="J270">
        <v>2000</v>
      </c>
      <c r="K270">
        <v>39160</v>
      </c>
      <c r="L270">
        <v>2500</v>
      </c>
      <c r="M270">
        <v>1100</v>
      </c>
      <c r="N270">
        <v>2345</v>
      </c>
      <c r="O270">
        <v>3690</v>
      </c>
      <c r="P270">
        <v>5035</v>
      </c>
      <c r="Q270">
        <v>6380</v>
      </c>
      <c r="R270">
        <v>7725</v>
      </c>
      <c r="S270">
        <v>9070</v>
      </c>
      <c r="T270">
        <v>10415</v>
      </c>
      <c r="U270">
        <v>11760</v>
      </c>
      <c r="V270">
        <v>6347</v>
      </c>
      <c r="W270">
        <v>2076</v>
      </c>
      <c r="X270">
        <v>1807</v>
      </c>
      <c r="Y270">
        <v>8490</v>
      </c>
    </row>
    <row r="271" spans="1:25" x14ac:dyDescent="0.2">
      <c r="A271">
        <v>270</v>
      </c>
      <c r="B271">
        <v>0</v>
      </c>
      <c r="C271">
        <v>56654</v>
      </c>
      <c r="D271">
        <v>210680</v>
      </c>
      <c r="E271">
        <v>2880404</v>
      </c>
      <c r="F271">
        <v>38651883</v>
      </c>
      <c r="G271">
        <v>505587659</v>
      </c>
      <c r="H271">
        <v>6469422844</v>
      </c>
      <c r="I271">
        <v>80742416057</v>
      </c>
      <c r="J271">
        <v>2000</v>
      </c>
      <c r="K271">
        <v>39552</v>
      </c>
      <c r="L271">
        <v>2500</v>
      </c>
      <c r="M271">
        <v>1100</v>
      </c>
      <c r="N271">
        <v>2350</v>
      </c>
      <c r="O271">
        <v>3700</v>
      </c>
      <c r="P271">
        <v>5050</v>
      </c>
      <c r="Q271">
        <v>6400</v>
      </c>
      <c r="R271">
        <v>7750</v>
      </c>
      <c r="S271">
        <v>9100</v>
      </c>
      <c r="T271">
        <v>10450</v>
      </c>
      <c r="U271">
        <v>11800</v>
      </c>
      <c r="V271">
        <v>6383</v>
      </c>
      <c r="W271">
        <v>2080</v>
      </c>
      <c r="X271">
        <v>1810</v>
      </c>
      <c r="Y271">
        <v>8500</v>
      </c>
    </row>
    <row r="272" spans="1:25" x14ac:dyDescent="0.2">
      <c r="A272">
        <v>271</v>
      </c>
      <c r="B272">
        <v>0</v>
      </c>
      <c r="C272">
        <v>57504</v>
      </c>
      <c r="D272">
        <v>214894</v>
      </c>
      <c r="E272">
        <v>2966817</v>
      </c>
      <c r="F272">
        <v>40197959</v>
      </c>
      <c r="G272">
        <v>530867042</v>
      </c>
      <c r="H272">
        <v>6857588215</v>
      </c>
      <c r="I272">
        <v>86394385181</v>
      </c>
      <c r="J272">
        <v>2000</v>
      </c>
      <c r="K272">
        <v>39948</v>
      </c>
      <c r="L272">
        <v>2500</v>
      </c>
      <c r="M272">
        <v>1100</v>
      </c>
      <c r="N272">
        <v>2355</v>
      </c>
      <c r="O272">
        <v>3710</v>
      </c>
      <c r="P272">
        <v>5065</v>
      </c>
      <c r="Q272">
        <v>6420</v>
      </c>
      <c r="R272">
        <v>7775</v>
      </c>
      <c r="S272">
        <v>9130</v>
      </c>
      <c r="T272">
        <v>10485</v>
      </c>
      <c r="U272">
        <v>11840</v>
      </c>
      <c r="V272">
        <v>6419</v>
      </c>
      <c r="W272">
        <v>2084</v>
      </c>
      <c r="X272">
        <v>1813</v>
      </c>
      <c r="Y272">
        <v>8510</v>
      </c>
    </row>
    <row r="273" spans="1:25" x14ac:dyDescent="0.2">
      <c r="A273">
        <v>272</v>
      </c>
      <c r="B273">
        <v>0</v>
      </c>
      <c r="C273">
        <v>58367</v>
      </c>
      <c r="D273">
        <v>219192</v>
      </c>
      <c r="E273">
        <v>3055822</v>
      </c>
      <c r="F273">
        <v>41805878</v>
      </c>
      <c r="G273">
        <v>557410395</v>
      </c>
      <c r="H273">
        <v>7269043508</v>
      </c>
      <c r="I273">
        <v>92441992144</v>
      </c>
      <c r="J273">
        <v>2000</v>
      </c>
      <c r="K273">
        <v>40348</v>
      </c>
      <c r="L273">
        <v>2500</v>
      </c>
      <c r="M273">
        <v>1100</v>
      </c>
      <c r="N273">
        <v>2360</v>
      </c>
      <c r="O273">
        <v>3720</v>
      </c>
      <c r="P273">
        <v>5080</v>
      </c>
      <c r="Q273">
        <v>6440</v>
      </c>
      <c r="R273">
        <v>7800</v>
      </c>
      <c r="S273">
        <v>9160</v>
      </c>
      <c r="T273">
        <v>10520</v>
      </c>
      <c r="U273">
        <v>11880</v>
      </c>
      <c r="V273">
        <v>6456</v>
      </c>
      <c r="W273">
        <v>2088</v>
      </c>
      <c r="X273">
        <v>1816</v>
      </c>
      <c r="Y273">
        <v>8520</v>
      </c>
    </row>
    <row r="274" spans="1:25" x14ac:dyDescent="0.2">
      <c r="A274">
        <v>273</v>
      </c>
      <c r="B274">
        <v>0</v>
      </c>
      <c r="C274">
        <v>59243</v>
      </c>
      <c r="D274">
        <v>223576</v>
      </c>
      <c r="E274">
        <v>3147497</v>
      </c>
      <c r="F274">
        <v>43478114</v>
      </c>
      <c r="G274">
        <v>585280915</v>
      </c>
      <c r="H274">
        <v>7705186119</v>
      </c>
      <c r="I274">
        <v>98912931595</v>
      </c>
      <c r="J274">
        <v>2000</v>
      </c>
      <c r="K274">
        <v>40752</v>
      </c>
      <c r="L274">
        <v>2500</v>
      </c>
      <c r="M274">
        <v>1100</v>
      </c>
      <c r="N274">
        <v>2365</v>
      </c>
      <c r="O274">
        <v>3730</v>
      </c>
      <c r="P274">
        <v>5095</v>
      </c>
      <c r="Q274">
        <v>6460</v>
      </c>
      <c r="R274">
        <v>7825</v>
      </c>
      <c r="S274">
        <v>9190</v>
      </c>
      <c r="T274">
        <v>10555</v>
      </c>
      <c r="U274">
        <v>11920</v>
      </c>
      <c r="V274">
        <v>6493</v>
      </c>
      <c r="W274">
        <v>2092</v>
      </c>
      <c r="X274">
        <v>1819</v>
      </c>
      <c r="Y274">
        <v>8530</v>
      </c>
    </row>
    <row r="275" spans="1:25" x14ac:dyDescent="0.2">
      <c r="A275">
        <v>274</v>
      </c>
      <c r="B275">
        <v>0</v>
      </c>
      <c r="C275">
        <v>60132</v>
      </c>
      <c r="D275">
        <v>228048</v>
      </c>
      <c r="E275">
        <v>3241922</v>
      </c>
      <c r="F275">
        <v>45217239</v>
      </c>
      <c r="G275">
        <v>614544961</v>
      </c>
      <c r="H275">
        <v>8167497287</v>
      </c>
      <c r="I275">
        <v>105836836807</v>
      </c>
      <c r="J275">
        <v>2000</v>
      </c>
      <c r="K275">
        <v>41160</v>
      </c>
      <c r="L275">
        <v>2500</v>
      </c>
      <c r="M275">
        <v>1100</v>
      </c>
      <c r="N275">
        <v>2370</v>
      </c>
      <c r="O275">
        <v>3740</v>
      </c>
      <c r="P275">
        <v>5110</v>
      </c>
      <c r="Q275">
        <v>6480</v>
      </c>
      <c r="R275">
        <v>7850</v>
      </c>
      <c r="S275">
        <v>9220</v>
      </c>
      <c r="T275">
        <v>10590</v>
      </c>
      <c r="U275">
        <v>11960</v>
      </c>
      <c r="V275">
        <v>6530</v>
      </c>
      <c r="W275">
        <v>2096</v>
      </c>
      <c r="X275">
        <v>1822</v>
      </c>
      <c r="Y275">
        <v>8540</v>
      </c>
    </row>
    <row r="276" spans="1:25" x14ac:dyDescent="0.2">
      <c r="A276">
        <v>275</v>
      </c>
      <c r="B276">
        <v>0</v>
      </c>
      <c r="C276">
        <v>61034</v>
      </c>
      <c r="D276">
        <v>232609</v>
      </c>
      <c r="E276">
        <v>3339180</v>
      </c>
      <c r="F276">
        <v>47025929</v>
      </c>
      <c r="G276">
        <v>645272210</v>
      </c>
      <c r="H276">
        <v>8657547125</v>
      </c>
      <c r="I276">
        <v>113245415384</v>
      </c>
      <c r="J276">
        <v>2000</v>
      </c>
      <c r="K276">
        <v>41572</v>
      </c>
      <c r="L276">
        <v>2500</v>
      </c>
      <c r="M276">
        <v>1100</v>
      </c>
      <c r="N276">
        <v>2375</v>
      </c>
      <c r="O276">
        <v>3750</v>
      </c>
      <c r="P276">
        <v>5125</v>
      </c>
      <c r="Q276">
        <v>6500</v>
      </c>
      <c r="R276">
        <v>7875</v>
      </c>
      <c r="S276">
        <v>9250</v>
      </c>
      <c r="T276">
        <v>10625</v>
      </c>
      <c r="U276">
        <v>12000</v>
      </c>
      <c r="V276">
        <v>6567</v>
      </c>
      <c r="W276">
        <v>2100</v>
      </c>
      <c r="X276">
        <v>1825</v>
      </c>
      <c r="Y276">
        <v>8550</v>
      </c>
    </row>
    <row r="277" spans="1:25" x14ac:dyDescent="0.2">
      <c r="A277">
        <v>276</v>
      </c>
      <c r="B277">
        <v>0</v>
      </c>
      <c r="C277">
        <v>61950</v>
      </c>
      <c r="D277">
        <v>237262</v>
      </c>
      <c r="E277">
        <v>3439356</v>
      </c>
      <c r="F277">
        <v>48906967</v>
      </c>
      <c r="G277">
        <v>677535821</v>
      </c>
      <c r="H277">
        <v>9176999953</v>
      </c>
      <c r="I277">
        <v>121172594461</v>
      </c>
      <c r="J277">
        <v>2000</v>
      </c>
      <c r="K277">
        <v>41988</v>
      </c>
      <c r="L277">
        <v>2500</v>
      </c>
      <c r="M277">
        <v>1100</v>
      </c>
      <c r="N277">
        <v>2380</v>
      </c>
      <c r="O277">
        <v>3760</v>
      </c>
      <c r="P277">
        <v>5140</v>
      </c>
      <c r="Q277">
        <v>6520</v>
      </c>
      <c r="R277">
        <v>7900</v>
      </c>
      <c r="S277">
        <v>9280</v>
      </c>
      <c r="T277">
        <v>10660</v>
      </c>
      <c r="U277">
        <v>12040</v>
      </c>
      <c r="V277">
        <v>6604</v>
      </c>
      <c r="W277">
        <v>2104</v>
      </c>
      <c r="X277">
        <v>1828</v>
      </c>
      <c r="Y277">
        <v>8560</v>
      </c>
    </row>
    <row r="278" spans="1:25" x14ac:dyDescent="0.2">
      <c r="A278">
        <v>277</v>
      </c>
      <c r="B278">
        <v>0</v>
      </c>
      <c r="C278">
        <v>62880</v>
      </c>
      <c r="D278">
        <v>242008</v>
      </c>
      <c r="E278">
        <v>3542537</v>
      </c>
      <c r="F278">
        <v>50863246</v>
      </c>
      <c r="G278">
        <v>711412613</v>
      </c>
      <c r="H278">
        <v>9727619951</v>
      </c>
      <c r="I278">
        <v>129654676074</v>
      </c>
      <c r="J278">
        <v>2000</v>
      </c>
      <c r="K278">
        <v>42408</v>
      </c>
      <c r="L278">
        <v>2500</v>
      </c>
      <c r="M278">
        <v>1100</v>
      </c>
      <c r="N278">
        <v>2385</v>
      </c>
      <c r="O278">
        <v>3770</v>
      </c>
      <c r="P278">
        <v>5155</v>
      </c>
      <c r="Q278">
        <v>6540</v>
      </c>
      <c r="R278">
        <v>7925</v>
      </c>
      <c r="S278">
        <v>9310</v>
      </c>
      <c r="T278">
        <v>10695</v>
      </c>
      <c r="U278">
        <v>12080</v>
      </c>
      <c r="V278">
        <v>6642</v>
      </c>
      <c r="W278">
        <v>2108</v>
      </c>
      <c r="X278">
        <v>1831</v>
      </c>
      <c r="Y278">
        <v>8570</v>
      </c>
    </row>
    <row r="279" spans="1:25" x14ac:dyDescent="0.2">
      <c r="A279">
        <v>278</v>
      </c>
      <c r="B279">
        <v>0</v>
      </c>
      <c r="C279">
        <v>63824</v>
      </c>
      <c r="D279">
        <v>246849</v>
      </c>
      <c r="E279">
        <v>3648814</v>
      </c>
      <c r="F279">
        <v>52897776</v>
      </c>
      <c r="G279">
        <v>746983244</v>
      </c>
      <c r="H279">
        <v>10311277149</v>
      </c>
      <c r="I279">
        <v>138730503400</v>
      </c>
      <c r="J279">
        <v>2000</v>
      </c>
      <c r="K279">
        <v>42833</v>
      </c>
      <c r="L279">
        <v>2500</v>
      </c>
      <c r="M279">
        <v>1100</v>
      </c>
      <c r="N279">
        <v>2390</v>
      </c>
      <c r="O279">
        <v>3780</v>
      </c>
      <c r="P279">
        <v>5170</v>
      </c>
      <c r="Q279">
        <v>6560</v>
      </c>
      <c r="R279">
        <v>7950</v>
      </c>
      <c r="S279">
        <v>9340</v>
      </c>
      <c r="T279">
        <v>10730</v>
      </c>
      <c r="U279">
        <v>12120</v>
      </c>
      <c r="V279">
        <v>6680</v>
      </c>
      <c r="W279">
        <v>2112</v>
      </c>
      <c r="X279">
        <v>1834</v>
      </c>
      <c r="Y279">
        <v>8580</v>
      </c>
    </row>
    <row r="280" spans="1:25" x14ac:dyDescent="0.2">
      <c r="A280">
        <v>279</v>
      </c>
      <c r="B280">
        <v>0</v>
      </c>
      <c r="C280">
        <v>64782</v>
      </c>
      <c r="D280">
        <v>251786</v>
      </c>
      <c r="E280">
        <v>3758279</v>
      </c>
      <c r="F280">
        <v>55013688</v>
      </c>
      <c r="G280">
        <v>784332407</v>
      </c>
      <c r="H280">
        <v>10929953778</v>
      </c>
      <c r="I280">
        <v>148441638638</v>
      </c>
      <c r="J280">
        <v>2000</v>
      </c>
      <c r="K280">
        <v>43262</v>
      </c>
      <c r="L280">
        <v>2500</v>
      </c>
      <c r="M280">
        <v>1100</v>
      </c>
      <c r="N280">
        <v>2395</v>
      </c>
      <c r="O280">
        <v>3790</v>
      </c>
      <c r="P280">
        <v>5185</v>
      </c>
      <c r="Q280">
        <v>6580</v>
      </c>
      <c r="R280">
        <v>7975</v>
      </c>
      <c r="S280">
        <v>9370</v>
      </c>
      <c r="T280">
        <v>10765</v>
      </c>
      <c r="U280">
        <v>12160</v>
      </c>
      <c r="V280">
        <v>6718</v>
      </c>
      <c r="W280">
        <v>2116</v>
      </c>
      <c r="X280">
        <v>1837</v>
      </c>
      <c r="Y280">
        <v>8590</v>
      </c>
    </row>
    <row r="281" spans="1:25" x14ac:dyDescent="0.2">
      <c r="A281">
        <v>280</v>
      </c>
      <c r="B281">
        <v>0</v>
      </c>
      <c r="C281">
        <v>65754</v>
      </c>
      <c r="D281">
        <v>256822</v>
      </c>
      <c r="E281">
        <v>3871028</v>
      </c>
      <c r="F281">
        <v>57214236</v>
      </c>
      <c r="G281">
        <v>823549028</v>
      </c>
      <c r="H281">
        <v>11585751005</v>
      </c>
      <c r="I281">
        <v>158832553343</v>
      </c>
      <c r="J281">
        <v>2000</v>
      </c>
      <c r="K281">
        <v>43695</v>
      </c>
      <c r="L281">
        <v>2500</v>
      </c>
      <c r="M281">
        <v>1100</v>
      </c>
      <c r="N281">
        <v>2400</v>
      </c>
      <c r="O281">
        <v>3800</v>
      </c>
      <c r="P281">
        <v>5200</v>
      </c>
      <c r="Q281">
        <v>6600</v>
      </c>
      <c r="R281">
        <v>8000</v>
      </c>
      <c r="S281">
        <v>9400</v>
      </c>
      <c r="T281">
        <v>10800</v>
      </c>
      <c r="U281">
        <v>12200</v>
      </c>
      <c r="V281">
        <v>6756</v>
      </c>
      <c r="W281">
        <v>2120</v>
      </c>
      <c r="X281">
        <v>1840</v>
      </c>
      <c r="Y281">
        <v>8600</v>
      </c>
    </row>
    <row r="282" spans="1:25" x14ac:dyDescent="0.2">
      <c r="A282">
        <v>281</v>
      </c>
      <c r="B282">
        <v>0</v>
      </c>
      <c r="C282">
        <v>66741</v>
      </c>
      <c r="D282">
        <v>261959</v>
      </c>
      <c r="E282">
        <v>3987159</v>
      </c>
      <c r="F282">
        <v>59502806</v>
      </c>
      <c r="G282">
        <v>864726480</v>
      </c>
      <c r="H282">
        <v>12280896066</v>
      </c>
      <c r="I282">
        <v>169950832078</v>
      </c>
      <c r="J282">
        <v>2000</v>
      </c>
      <c r="K282">
        <v>44132</v>
      </c>
      <c r="L282">
        <v>2500</v>
      </c>
      <c r="M282">
        <v>1100</v>
      </c>
      <c r="N282">
        <v>2405</v>
      </c>
      <c r="O282">
        <v>3810</v>
      </c>
      <c r="P282">
        <v>5215</v>
      </c>
      <c r="Q282">
        <v>6620</v>
      </c>
      <c r="R282">
        <v>8025</v>
      </c>
      <c r="S282">
        <v>9430</v>
      </c>
      <c r="T282">
        <v>10835</v>
      </c>
      <c r="U282">
        <v>12240</v>
      </c>
      <c r="V282">
        <v>6794</v>
      </c>
      <c r="W282">
        <v>2124</v>
      </c>
      <c r="X282">
        <v>1843</v>
      </c>
      <c r="Y282">
        <v>8610</v>
      </c>
    </row>
    <row r="283" spans="1:25" x14ac:dyDescent="0.2">
      <c r="A283">
        <v>282</v>
      </c>
      <c r="B283">
        <v>0</v>
      </c>
      <c r="C283">
        <v>67743</v>
      </c>
      <c r="D283">
        <v>267199</v>
      </c>
      <c r="E283">
        <v>4106774</v>
      </c>
      <c r="F283">
        <v>61882919</v>
      </c>
      <c r="G283">
        <v>907962804</v>
      </c>
      <c r="H283">
        <v>13017749830</v>
      </c>
      <c r="I283">
        <v>181847390324</v>
      </c>
      <c r="J283">
        <v>2000</v>
      </c>
      <c r="K283">
        <v>44574</v>
      </c>
      <c r="L283">
        <v>2500</v>
      </c>
      <c r="M283">
        <v>1100</v>
      </c>
      <c r="N283">
        <v>2410</v>
      </c>
      <c r="O283">
        <v>3820</v>
      </c>
      <c r="P283">
        <v>5230</v>
      </c>
      <c r="Q283">
        <v>6640</v>
      </c>
      <c r="R283">
        <v>8050</v>
      </c>
      <c r="S283">
        <v>9460</v>
      </c>
      <c r="T283">
        <v>10870</v>
      </c>
      <c r="U283">
        <v>12280</v>
      </c>
      <c r="V283">
        <v>6832</v>
      </c>
      <c r="W283">
        <v>2128</v>
      </c>
      <c r="X283">
        <v>1846</v>
      </c>
      <c r="Y283">
        <v>8620</v>
      </c>
    </row>
    <row r="284" spans="1:25" x14ac:dyDescent="0.2">
      <c r="A284">
        <v>283</v>
      </c>
      <c r="B284">
        <v>0</v>
      </c>
      <c r="C284">
        <v>68760</v>
      </c>
      <c r="D284">
        <v>272543</v>
      </c>
      <c r="E284">
        <v>4229978</v>
      </c>
      <c r="F284">
        <v>64358236</v>
      </c>
      <c r="G284">
        <v>953360945</v>
      </c>
      <c r="H284">
        <v>13798814820</v>
      </c>
      <c r="I284">
        <v>194576707647</v>
      </c>
      <c r="J284">
        <v>2000</v>
      </c>
      <c r="K284">
        <v>45020</v>
      </c>
      <c r="L284">
        <v>2500</v>
      </c>
      <c r="M284">
        <v>1100</v>
      </c>
      <c r="N284">
        <v>2415</v>
      </c>
      <c r="O284">
        <v>3830</v>
      </c>
      <c r="P284">
        <v>5245</v>
      </c>
      <c r="Q284">
        <v>6660</v>
      </c>
      <c r="R284">
        <v>8075</v>
      </c>
      <c r="S284">
        <v>9490</v>
      </c>
      <c r="T284">
        <v>10905</v>
      </c>
      <c r="U284">
        <v>12320</v>
      </c>
      <c r="V284">
        <v>6871</v>
      </c>
      <c r="W284">
        <v>2132</v>
      </c>
      <c r="X284">
        <v>1849</v>
      </c>
      <c r="Y284">
        <v>8630</v>
      </c>
    </row>
    <row r="285" spans="1:25" x14ac:dyDescent="0.2">
      <c r="A285">
        <v>284</v>
      </c>
      <c r="B285">
        <v>0</v>
      </c>
      <c r="C285">
        <v>69792</v>
      </c>
      <c r="D285">
        <v>277994</v>
      </c>
      <c r="E285">
        <v>4356878</v>
      </c>
      <c r="F285">
        <v>66932566</v>
      </c>
      <c r="G285">
        <v>1001028993</v>
      </c>
      <c r="H285">
        <v>14626743710</v>
      </c>
      <c r="I285">
        <v>208197077183</v>
      </c>
      <c r="J285">
        <v>2000</v>
      </c>
      <c r="K285">
        <v>45471</v>
      </c>
      <c r="L285">
        <v>2500</v>
      </c>
      <c r="M285">
        <v>1100</v>
      </c>
      <c r="N285">
        <v>2420</v>
      </c>
      <c r="O285">
        <v>3840</v>
      </c>
      <c r="P285">
        <v>5260</v>
      </c>
      <c r="Q285">
        <v>6680</v>
      </c>
      <c r="R285">
        <v>8100</v>
      </c>
      <c r="S285">
        <v>9520</v>
      </c>
      <c r="T285">
        <v>10940</v>
      </c>
      <c r="U285">
        <v>12360</v>
      </c>
      <c r="V285">
        <v>6910</v>
      </c>
      <c r="W285">
        <v>2136</v>
      </c>
      <c r="X285">
        <v>1852</v>
      </c>
      <c r="Y285">
        <v>8640</v>
      </c>
    </row>
    <row r="286" spans="1:25" x14ac:dyDescent="0.2">
      <c r="A286">
        <v>285</v>
      </c>
      <c r="B286">
        <v>0</v>
      </c>
      <c r="C286">
        <v>70839</v>
      </c>
      <c r="D286">
        <v>283554</v>
      </c>
      <c r="E286">
        <v>4487585</v>
      </c>
      <c r="F286">
        <v>69609869</v>
      </c>
      <c r="G286">
        <v>1051080443</v>
      </c>
      <c r="H286">
        <v>15504348333</v>
      </c>
      <c r="I286">
        <v>222770872586</v>
      </c>
      <c r="J286">
        <v>2000</v>
      </c>
      <c r="K286">
        <v>45926</v>
      </c>
      <c r="L286">
        <v>2500</v>
      </c>
      <c r="M286">
        <v>1100</v>
      </c>
      <c r="N286">
        <v>2425</v>
      </c>
      <c r="O286">
        <v>3850</v>
      </c>
      <c r="P286">
        <v>5275</v>
      </c>
      <c r="Q286">
        <v>6700</v>
      </c>
      <c r="R286">
        <v>8125</v>
      </c>
      <c r="S286">
        <v>9550</v>
      </c>
      <c r="T286">
        <v>10975</v>
      </c>
      <c r="U286">
        <v>12400</v>
      </c>
      <c r="V286">
        <v>6949</v>
      </c>
      <c r="W286">
        <v>2140</v>
      </c>
      <c r="X286">
        <v>1855</v>
      </c>
      <c r="Y286">
        <v>8650</v>
      </c>
    </row>
    <row r="287" spans="1:25" x14ac:dyDescent="0.2">
      <c r="A287">
        <v>286</v>
      </c>
      <c r="B287">
        <v>0</v>
      </c>
      <c r="C287">
        <v>71902</v>
      </c>
      <c r="D287">
        <v>289226</v>
      </c>
      <c r="E287">
        <v>4622213</v>
      </c>
      <c r="F287">
        <v>72394264</v>
      </c>
      <c r="G287">
        <v>1103634466</v>
      </c>
      <c r="H287">
        <v>16434609233</v>
      </c>
      <c r="I287">
        <v>238364833668</v>
      </c>
      <c r="J287">
        <v>2000</v>
      </c>
      <c r="K287">
        <v>46386</v>
      </c>
      <c r="L287">
        <v>2500</v>
      </c>
      <c r="M287">
        <v>1100</v>
      </c>
      <c r="N287">
        <v>2430</v>
      </c>
      <c r="O287">
        <v>3860</v>
      </c>
      <c r="P287">
        <v>5290</v>
      </c>
      <c r="Q287">
        <v>6720</v>
      </c>
      <c r="R287">
        <v>8150</v>
      </c>
      <c r="S287">
        <v>9580</v>
      </c>
      <c r="T287">
        <v>11010</v>
      </c>
      <c r="U287">
        <v>12440</v>
      </c>
      <c r="V287">
        <v>6988</v>
      </c>
      <c r="W287">
        <v>2144</v>
      </c>
      <c r="X287">
        <v>1858</v>
      </c>
      <c r="Y287">
        <v>8660</v>
      </c>
    </row>
    <row r="288" spans="1:25" x14ac:dyDescent="0.2">
      <c r="A288">
        <v>287</v>
      </c>
      <c r="B288">
        <v>0</v>
      </c>
      <c r="C288">
        <v>72981</v>
      </c>
      <c r="D288">
        <v>295011</v>
      </c>
      <c r="E288">
        <v>4760880</v>
      </c>
      <c r="F288">
        <v>75290035</v>
      </c>
      <c r="G288">
        <v>1158816190</v>
      </c>
      <c r="H288">
        <v>17420685787</v>
      </c>
      <c r="I288">
        <v>255050372025</v>
      </c>
      <c r="J288">
        <v>2000</v>
      </c>
      <c r="K288">
        <v>46850</v>
      </c>
      <c r="L288">
        <v>2500</v>
      </c>
      <c r="M288">
        <v>1100</v>
      </c>
      <c r="N288">
        <v>2435</v>
      </c>
      <c r="O288">
        <v>3870</v>
      </c>
      <c r="P288">
        <v>5305</v>
      </c>
      <c r="Q288">
        <v>6740</v>
      </c>
      <c r="R288">
        <v>8175</v>
      </c>
      <c r="S288">
        <v>9610</v>
      </c>
      <c r="T288">
        <v>11045</v>
      </c>
      <c r="U288">
        <v>12480</v>
      </c>
      <c r="V288">
        <v>7027</v>
      </c>
      <c r="W288">
        <v>2148</v>
      </c>
      <c r="X288">
        <v>1861</v>
      </c>
      <c r="Y288">
        <v>8670</v>
      </c>
    </row>
    <row r="289" spans="1:25" x14ac:dyDescent="0.2">
      <c r="A289">
        <v>288</v>
      </c>
      <c r="B289">
        <v>0</v>
      </c>
      <c r="C289">
        <v>74076</v>
      </c>
      <c r="D289">
        <v>300912</v>
      </c>
      <c r="E289">
        <v>4903707</v>
      </c>
      <c r="F289">
        <v>78301637</v>
      </c>
      <c r="G289">
        <v>1216757000</v>
      </c>
      <c r="H289">
        <v>18465926935</v>
      </c>
      <c r="I289">
        <v>272903898067</v>
      </c>
      <c r="J289">
        <v>2000</v>
      </c>
      <c r="K289">
        <v>47319</v>
      </c>
      <c r="L289">
        <v>2500</v>
      </c>
      <c r="M289">
        <v>1100</v>
      </c>
      <c r="N289">
        <v>2440</v>
      </c>
      <c r="O289">
        <v>3880</v>
      </c>
      <c r="P289">
        <v>5320</v>
      </c>
      <c r="Q289">
        <v>6760</v>
      </c>
      <c r="R289">
        <v>8200</v>
      </c>
      <c r="S289">
        <v>9640</v>
      </c>
      <c r="T289">
        <v>11080</v>
      </c>
      <c r="U289">
        <v>12520</v>
      </c>
      <c r="V289">
        <v>7067</v>
      </c>
      <c r="W289">
        <v>2152</v>
      </c>
      <c r="X289">
        <v>1864</v>
      </c>
      <c r="Y289">
        <v>8680</v>
      </c>
    </row>
    <row r="290" spans="1:25" x14ac:dyDescent="0.2">
      <c r="A290">
        <v>289</v>
      </c>
      <c r="B290">
        <v>0</v>
      </c>
      <c r="C290">
        <v>75188</v>
      </c>
      <c r="D290">
        <v>306931</v>
      </c>
      <c r="E290">
        <v>5050819</v>
      </c>
      <c r="F290">
        <v>81433703</v>
      </c>
      <c r="G290">
        <v>1277594850</v>
      </c>
      <c r="H290">
        <v>19573882552</v>
      </c>
      <c r="I290">
        <v>292007170932</v>
      </c>
      <c r="J290">
        <v>2000</v>
      </c>
      <c r="K290">
        <v>47793</v>
      </c>
      <c r="L290">
        <v>2500</v>
      </c>
      <c r="M290">
        <v>1100</v>
      </c>
      <c r="N290">
        <v>2445</v>
      </c>
      <c r="O290">
        <v>3890</v>
      </c>
      <c r="P290">
        <v>5335</v>
      </c>
      <c r="Q290">
        <v>6780</v>
      </c>
      <c r="R290">
        <v>8225</v>
      </c>
      <c r="S290">
        <v>9670</v>
      </c>
      <c r="T290">
        <v>11115</v>
      </c>
      <c r="U290">
        <v>12560</v>
      </c>
      <c r="V290">
        <v>7107</v>
      </c>
      <c r="W290">
        <v>2156</v>
      </c>
      <c r="X290">
        <v>1867</v>
      </c>
      <c r="Y290">
        <v>8690</v>
      </c>
    </row>
    <row r="291" spans="1:25" x14ac:dyDescent="0.2">
      <c r="A291">
        <v>290</v>
      </c>
      <c r="B291">
        <v>0</v>
      </c>
      <c r="C291">
        <v>76316</v>
      </c>
      <c r="D291">
        <v>313070</v>
      </c>
      <c r="E291">
        <v>5202344</v>
      </c>
      <c r="F291">
        <v>84691052</v>
      </c>
      <c r="G291">
        <v>1341474593</v>
      </c>
      <c r="H291">
        <v>20748315506</v>
      </c>
      <c r="I291">
        <v>312447672898</v>
      </c>
      <c r="J291">
        <v>2000</v>
      </c>
      <c r="K291">
        <v>48271</v>
      </c>
      <c r="L291">
        <v>2500</v>
      </c>
      <c r="M291">
        <v>1100</v>
      </c>
      <c r="N291">
        <v>2450</v>
      </c>
      <c r="O291">
        <v>3900</v>
      </c>
      <c r="P291">
        <v>5350</v>
      </c>
      <c r="Q291">
        <v>6800</v>
      </c>
      <c r="R291">
        <v>8250</v>
      </c>
      <c r="S291">
        <v>9700</v>
      </c>
      <c r="T291">
        <v>11150</v>
      </c>
      <c r="U291">
        <v>12600</v>
      </c>
      <c r="V291">
        <v>7147</v>
      </c>
      <c r="W291">
        <v>2160</v>
      </c>
      <c r="X291">
        <v>1870</v>
      </c>
      <c r="Y291">
        <v>8700</v>
      </c>
    </row>
    <row r="292" spans="1:25" x14ac:dyDescent="0.2">
      <c r="A292">
        <v>291</v>
      </c>
      <c r="B292">
        <v>0</v>
      </c>
      <c r="C292">
        <v>77461</v>
      </c>
      <c r="D292">
        <v>319332</v>
      </c>
      <c r="E292">
        <v>5358415</v>
      </c>
      <c r="F292">
        <v>88078695</v>
      </c>
      <c r="G292">
        <v>1408548323</v>
      </c>
      <c r="H292">
        <v>21993214437</v>
      </c>
      <c r="I292">
        <v>334319010001</v>
      </c>
      <c r="J292">
        <v>2000</v>
      </c>
      <c r="K292">
        <v>48754</v>
      </c>
      <c r="L292">
        <v>2500</v>
      </c>
      <c r="M292">
        <v>1100</v>
      </c>
      <c r="N292">
        <v>2455</v>
      </c>
      <c r="O292">
        <v>3910</v>
      </c>
      <c r="P292">
        <v>5365</v>
      </c>
      <c r="Q292">
        <v>6820</v>
      </c>
      <c r="R292">
        <v>8275</v>
      </c>
      <c r="S292">
        <v>9730</v>
      </c>
      <c r="T292">
        <v>11185</v>
      </c>
      <c r="U292">
        <v>12640</v>
      </c>
      <c r="V292">
        <v>7187</v>
      </c>
      <c r="W292">
        <v>2164</v>
      </c>
      <c r="X292">
        <v>1873</v>
      </c>
      <c r="Y292">
        <v>8710</v>
      </c>
    </row>
    <row r="293" spans="1:25" x14ac:dyDescent="0.2">
      <c r="A293">
        <v>292</v>
      </c>
      <c r="B293">
        <v>0</v>
      </c>
      <c r="C293">
        <v>78623</v>
      </c>
      <c r="D293">
        <v>325719</v>
      </c>
      <c r="E293">
        <v>5519168</v>
      </c>
      <c r="F293">
        <v>91601843</v>
      </c>
      <c r="G293">
        <v>1478975740</v>
      </c>
      <c r="H293">
        <v>23312807304</v>
      </c>
      <c r="I293">
        <v>357721340702</v>
      </c>
      <c r="J293">
        <v>2000</v>
      </c>
      <c r="K293">
        <v>49242</v>
      </c>
      <c r="L293">
        <v>2500</v>
      </c>
      <c r="M293">
        <v>1100</v>
      </c>
      <c r="N293">
        <v>2460</v>
      </c>
      <c r="O293">
        <v>3920</v>
      </c>
      <c r="P293">
        <v>5380</v>
      </c>
      <c r="Q293">
        <v>6840</v>
      </c>
      <c r="R293">
        <v>8300</v>
      </c>
      <c r="S293">
        <v>9760</v>
      </c>
      <c r="T293">
        <v>11220</v>
      </c>
      <c r="U293">
        <v>12680</v>
      </c>
      <c r="V293">
        <v>7227</v>
      </c>
      <c r="W293">
        <v>2168</v>
      </c>
      <c r="X293">
        <v>1876</v>
      </c>
      <c r="Y293">
        <v>8720</v>
      </c>
    </row>
    <row r="294" spans="1:25" x14ac:dyDescent="0.2">
      <c r="A294">
        <v>293</v>
      </c>
      <c r="B294">
        <v>0</v>
      </c>
      <c r="C294">
        <v>79803</v>
      </c>
      <c r="D294">
        <v>332234</v>
      </c>
      <c r="E294">
        <v>5684744</v>
      </c>
      <c r="F294">
        <v>95265917</v>
      </c>
      <c r="G294">
        <v>1552924527</v>
      </c>
      <c r="H294">
        <v>24711575743</v>
      </c>
      <c r="I294">
        <v>382761834552</v>
      </c>
      <c r="J294">
        <v>2000</v>
      </c>
      <c r="K294">
        <v>49735</v>
      </c>
      <c r="L294">
        <v>2500</v>
      </c>
      <c r="M294">
        <v>1100</v>
      </c>
      <c r="N294">
        <v>2465</v>
      </c>
      <c r="O294">
        <v>3930</v>
      </c>
      <c r="P294">
        <v>5395</v>
      </c>
      <c r="Q294">
        <v>6860</v>
      </c>
      <c r="R294">
        <v>8325</v>
      </c>
      <c r="S294">
        <v>9790</v>
      </c>
      <c r="T294">
        <v>11255</v>
      </c>
      <c r="U294">
        <v>12720</v>
      </c>
      <c r="V294">
        <v>7268</v>
      </c>
      <c r="W294">
        <v>2172</v>
      </c>
      <c r="X294">
        <v>1879</v>
      </c>
      <c r="Y294">
        <v>8730</v>
      </c>
    </row>
    <row r="295" spans="1:25" x14ac:dyDescent="0.2">
      <c r="A295">
        <v>294</v>
      </c>
      <c r="B295">
        <v>0</v>
      </c>
      <c r="C295">
        <v>81001</v>
      </c>
      <c r="D295">
        <v>338879</v>
      </c>
      <c r="E295">
        <v>5855287</v>
      </c>
      <c r="F295">
        <v>99076554</v>
      </c>
      <c r="G295">
        <v>1630570754</v>
      </c>
      <c r="H295">
        <v>26194270288</v>
      </c>
      <c r="I295">
        <v>409555162971</v>
      </c>
      <c r="J295">
        <v>2000</v>
      </c>
      <c r="K295">
        <v>50233</v>
      </c>
      <c r="L295">
        <v>2500</v>
      </c>
      <c r="M295">
        <v>1100</v>
      </c>
      <c r="N295">
        <v>2470</v>
      </c>
      <c r="O295">
        <v>3940</v>
      </c>
      <c r="P295">
        <v>5410</v>
      </c>
      <c r="Q295">
        <v>6880</v>
      </c>
      <c r="R295">
        <v>8350</v>
      </c>
      <c r="S295">
        <v>9820</v>
      </c>
      <c r="T295">
        <v>11290</v>
      </c>
      <c r="U295">
        <v>12760</v>
      </c>
      <c r="V295">
        <v>7309</v>
      </c>
      <c r="W295">
        <v>2176</v>
      </c>
      <c r="X295">
        <v>1882</v>
      </c>
      <c r="Y295">
        <v>8740</v>
      </c>
    </row>
    <row r="296" spans="1:25" x14ac:dyDescent="0.2">
      <c r="A296">
        <v>295</v>
      </c>
      <c r="B296">
        <v>0</v>
      </c>
      <c r="C296">
        <v>82217</v>
      </c>
      <c r="D296">
        <v>345657</v>
      </c>
      <c r="E296">
        <v>6030946</v>
      </c>
      <c r="F296">
        <v>103039617</v>
      </c>
      <c r="G296">
        <v>1712099292</v>
      </c>
      <c r="H296">
        <v>27765926506</v>
      </c>
      <c r="I296">
        <v>438224024379</v>
      </c>
      <c r="J296">
        <v>2000</v>
      </c>
      <c r="K296">
        <v>50736</v>
      </c>
      <c r="L296">
        <v>2500</v>
      </c>
      <c r="M296">
        <v>1100</v>
      </c>
      <c r="N296">
        <v>2475</v>
      </c>
      <c r="O296">
        <v>3950</v>
      </c>
      <c r="P296">
        <v>5425</v>
      </c>
      <c r="Q296">
        <v>6900</v>
      </c>
      <c r="R296">
        <v>8375</v>
      </c>
      <c r="S296">
        <v>9850</v>
      </c>
      <c r="T296">
        <v>11325</v>
      </c>
      <c r="U296">
        <v>12800</v>
      </c>
      <c r="V296">
        <v>7350</v>
      </c>
      <c r="W296">
        <v>2180</v>
      </c>
      <c r="X296">
        <v>1885</v>
      </c>
      <c r="Y296">
        <v>8750</v>
      </c>
    </row>
    <row r="297" spans="1:25" x14ac:dyDescent="0.2">
      <c r="A297">
        <v>296</v>
      </c>
      <c r="B297">
        <v>0</v>
      </c>
      <c r="C297">
        <v>83451</v>
      </c>
      <c r="D297">
        <v>352571</v>
      </c>
      <c r="E297">
        <v>6211875</v>
      </c>
      <c r="F297">
        <v>107161202</v>
      </c>
      <c r="G297">
        <v>1797704257</v>
      </c>
      <c r="H297">
        <v>29431882097</v>
      </c>
      <c r="I297">
        <v>468899706086</v>
      </c>
      <c r="J297">
        <v>2000</v>
      </c>
      <c r="K297">
        <v>51244</v>
      </c>
      <c r="L297">
        <v>2500</v>
      </c>
      <c r="M297">
        <v>1100</v>
      </c>
      <c r="N297">
        <v>2480</v>
      </c>
      <c r="O297">
        <v>3960</v>
      </c>
      <c r="P297">
        <v>5440</v>
      </c>
      <c r="Q297">
        <v>6920</v>
      </c>
      <c r="R297">
        <v>8400</v>
      </c>
      <c r="S297">
        <v>9880</v>
      </c>
      <c r="T297">
        <v>11360</v>
      </c>
      <c r="U297">
        <v>12840</v>
      </c>
      <c r="V297">
        <v>7391</v>
      </c>
      <c r="W297">
        <v>2184</v>
      </c>
      <c r="X297">
        <v>1888</v>
      </c>
      <c r="Y297">
        <v>8760</v>
      </c>
    </row>
    <row r="298" spans="1:25" x14ac:dyDescent="0.2">
      <c r="A298">
        <v>297</v>
      </c>
      <c r="B298">
        <v>0</v>
      </c>
      <c r="C298">
        <v>84703</v>
      </c>
      <c r="D298">
        <v>359623</v>
      </c>
      <c r="E298">
        <v>6398232</v>
      </c>
      <c r="F298">
        <v>111447651</v>
      </c>
      <c r="G298">
        <v>1887589470</v>
      </c>
      <c r="H298">
        <v>31197795023</v>
      </c>
      <c r="I298">
        <v>501722685513</v>
      </c>
      <c r="J298">
        <v>2000</v>
      </c>
      <c r="K298">
        <v>51757</v>
      </c>
      <c r="L298">
        <v>2500</v>
      </c>
      <c r="M298">
        <v>1100</v>
      </c>
      <c r="N298">
        <v>2485</v>
      </c>
      <c r="O298">
        <v>3970</v>
      </c>
      <c r="P298">
        <v>5455</v>
      </c>
      <c r="Q298">
        <v>6940</v>
      </c>
      <c r="R298">
        <v>8425</v>
      </c>
      <c r="S298">
        <v>9910</v>
      </c>
      <c r="T298">
        <v>11395</v>
      </c>
      <c r="U298">
        <v>12880</v>
      </c>
      <c r="V298">
        <v>7432</v>
      </c>
      <c r="W298">
        <v>2188</v>
      </c>
      <c r="X298">
        <v>1891</v>
      </c>
      <c r="Y298">
        <v>8770</v>
      </c>
    </row>
    <row r="299" spans="1:25" x14ac:dyDescent="0.2">
      <c r="A299">
        <v>298</v>
      </c>
      <c r="B299">
        <v>0</v>
      </c>
      <c r="C299">
        <v>85974</v>
      </c>
      <c r="D299">
        <v>366816</v>
      </c>
      <c r="E299">
        <v>6590179</v>
      </c>
      <c r="F299">
        <v>115905558</v>
      </c>
      <c r="G299">
        <v>1981968944</v>
      </c>
      <c r="H299">
        <v>33069662725</v>
      </c>
      <c r="I299">
        <v>536843273499</v>
      </c>
      <c r="J299">
        <v>2000</v>
      </c>
      <c r="K299">
        <v>52275</v>
      </c>
      <c r="L299">
        <v>2500</v>
      </c>
      <c r="M299">
        <v>1100</v>
      </c>
      <c r="N299">
        <v>2490</v>
      </c>
      <c r="O299">
        <v>3980</v>
      </c>
      <c r="P299">
        <v>5470</v>
      </c>
      <c r="Q299">
        <v>6960</v>
      </c>
      <c r="R299">
        <v>8450</v>
      </c>
      <c r="S299">
        <v>9940</v>
      </c>
      <c r="T299">
        <v>11430</v>
      </c>
      <c r="U299">
        <v>12920</v>
      </c>
      <c r="V299">
        <v>7474</v>
      </c>
      <c r="W299">
        <v>2192</v>
      </c>
      <c r="X299">
        <v>1894</v>
      </c>
      <c r="Y299">
        <v>8780</v>
      </c>
    </row>
    <row r="300" spans="1:25" x14ac:dyDescent="0.2">
      <c r="A300">
        <v>299</v>
      </c>
      <c r="B300">
        <v>0</v>
      </c>
      <c r="C300">
        <v>87264</v>
      </c>
      <c r="D300">
        <v>374153</v>
      </c>
      <c r="E300">
        <v>6787885</v>
      </c>
      <c r="F300">
        <v>120541781</v>
      </c>
      <c r="G300">
        <v>2081067392</v>
      </c>
      <c r="H300">
        <v>35053842489</v>
      </c>
      <c r="I300">
        <v>574422302644</v>
      </c>
      <c r="J300">
        <v>2000</v>
      </c>
      <c r="K300">
        <v>52798</v>
      </c>
      <c r="L300">
        <v>2500</v>
      </c>
      <c r="M300">
        <v>1100</v>
      </c>
      <c r="N300">
        <v>2495</v>
      </c>
      <c r="O300">
        <v>3990</v>
      </c>
      <c r="P300">
        <v>5485</v>
      </c>
      <c r="Q300">
        <v>6980</v>
      </c>
      <c r="R300">
        <v>8475</v>
      </c>
      <c r="S300">
        <v>9970</v>
      </c>
      <c r="T300">
        <v>11465</v>
      </c>
      <c r="U300">
        <v>12960</v>
      </c>
      <c r="V300">
        <v>7516</v>
      </c>
      <c r="W300">
        <v>2196</v>
      </c>
      <c r="X300">
        <v>1897</v>
      </c>
      <c r="Y300">
        <v>8790</v>
      </c>
    </row>
    <row r="301" spans="1:25" x14ac:dyDescent="0.2">
      <c r="A301">
        <v>300</v>
      </c>
      <c r="B301">
        <v>0</v>
      </c>
      <c r="C301">
        <v>88573</v>
      </c>
      <c r="D301">
        <v>381637</v>
      </c>
      <c r="E301">
        <v>6991522</v>
      </c>
      <c r="F301">
        <v>125363453</v>
      </c>
      <c r="G301">
        <v>2185120762</v>
      </c>
      <c r="H301">
        <v>37157073039</v>
      </c>
      <c r="I301">
        <v>614631863830</v>
      </c>
      <c r="J301">
        <v>2000</v>
      </c>
      <c r="K301">
        <v>53326</v>
      </c>
      <c r="L301">
        <v>2500</v>
      </c>
      <c r="M301">
        <v>1100</v>
      </c>
      <c r="N301">
        <v>2500</v>
      </c>
      <c r="O301">
        <v>4000</v>
      </c>
      <c r="P301">
        <v>5500</v>
      </c>
      <c r="Q301">
        <v>7000</v>
      </c>
      <c r="R301">
        <v>8500</v>
      </c>
      <c r="S301">
        <v>10000</v>
      </c>
      <c r="T301">
        <v>11500</v>
      </c>
      <c r="U301">
        <v>13000</v>
      </c>
      <c r="V301">
        <v>7558</v>
      </c>
      <c r="W301">
        <v>2200</v>
      </c>
      <c r="X301">
        <v>1900</v>
      </c>
      <c r="Y301">
        <v>8800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28"/>
  <sheetViews>
    <sheetView workbookViewId="0">
      <pane ySplit="1" topLeftCell="A2" activePane="bottomLeft" state="frozen"/>
      <selection pane="bottomLeft"/>
    </sheetView>
  </sheetViews>
  <sheetFormatPr baseColWidth="10" defaultColWidth="8.83203125" defaultRowHeight="15" x14ac:dyDescent="0.2"/>
  <cols>
    <col min="1" max="1" width="24" customWidth="1"/>
    <col min="2" max="2" width="26" customWidth="1"/>
    <col min="3" max="4" width="8" customWidth="1"/>
    <col min="5" max="5" width="11" customWidth="1"/>
    <col min="6" max="6" width="15" customWidth="1"/>
    <col min="7" max="7" width="11" customWidth="1"/>
    <col min="8" max="8" width="8" customWidth="1"/>
    <col min="9" max="9" width="13" customWidth="1"/>
    <col min="10" max="10" width="11" customWidth="1"/>
    <col min="11" max="11" width="12" customWidth="1"/>
    <col min="12" max="12" width="18" customWidth="1"/>
    <col min="13" max="13" width="11" customWidth="1"/>
    <col min="14" max="14" width="14" customWidth="1"/>
    <col min="15" max="15" width="17" customWidth="1"/>
    <col min="16" max="16" width="16" customWidth="1"/>
    <col min="17" max="17" width="18" customWidth="1"/>
    <col min="18" max="18" width="16" customWidth="1"/>
    <col min="19" max="19" width="15" customWidth="1"/>
    <col min="20" max="20" width="14" customWidth="1"/>
    <col min="21" max="21" width="22" customWidth="1"/>
    <col min="22" max="22" width="18" customWidth="1"/>
    <col min="23" max="25" width="20" customWidth="1"/>
    <col min="26" max="26" width="8" customWidth="1"/>
    <col min="27" max="27" width="60" customWidth="1"/>
  </cols>
  <sheetData>
    <row r="1" spans="1:27" x14ac:dyDescent="0.2">
      <c r="A1" s="5" t="s">
        <v>136</v>
      </c>
      <c r="B1" s="5" t="s">
        <v>137</v>
      </c>
      <c r="C1" s="5" t="s">
        <v>138</v>
      </c>
      <c r="D1" s="5" t="s">
        <v>139</v>
      </c>
      <c r="E1" s="5" t="s">
        <v>140</v>
      </c>
      <c r="F1" s="5" t="s">
        <v>141</v>
      </c>
      <c r="G1" s="5" t="s">
        <v>142</v>
      </c>
      <c r="H1" s="5" t="s">
        <v>143</v>
      </c>
      <c r="I1" s="5" t="s">
        <v>144</v>
      </c>
      <c r="J1" s="5" t="s">
        <v>145</v>
      </c>
      <c r="K1" s="5" t="s">
        <v>146</v>
      </c>
      <c r="L1" s="5" t="s">
        <v>147</v>
      </c>
      <c r="M1" s="5" t="s">
        <v>148</v>
      </c>
      <c r="N1" s="5" t="s">
        <v>149</v>
      </c>
      <c r="O1" s="5" t="s">
        <v>150</v>
      </c>
      <c r="P1" s="5" t="s">
        <v>151</v>
      </c>
      <c r="Q1" s="5" t="s">
        <v>152</v>
      </c>
      <c r="R1" s="5" t="s">
        <v>153</v>
      </c>
      <c r="S1" s="5" t="s">
        <v>154</v>
      </c>
      <c r="T1" s="5" t="s">
        <v>155</v>
      </c>
      <c r="U1" s="5" t="s">
        <v>156</v>
      </c>
      <c r="V1" s="5" t="s">
        <v>157</v>
      </c>
      <c r="W1" s="5" t="s">
        <v>158</v>
      </c>
      <c r="X1" s="5" t="s">
        <v>159</v>
      </c>
      <c r="Y1" s="5" t="s">
        <v>160</v>
      </c>
      <c r="Z1" s="5" t="s">
        <v>161</v>
      </c>
      <c r="AA1" s="5" t="s">
        <v>162</v>
      </c>
    </row>
    <row r="2" spans="1:27" x14ac:dyDescent="0.2">
      <c r="A2" t="s">
        <v>163</v>
      </c>
      <c r="B2" t="s">
        <v>164</v>
      </c>
      <c r="C2">
        <v>4</v>
      </c>
      <c r="D2" t="s">
        <v>165</v>
      </c>
      <c r="F2" t="b">
        <v>0</v>
      </c>
      <c r="G2">
        <v>5</v>
      </c>
      <c r="H2">
        <v>0</v>
      </c>
      <c r="I2">
        <v>0</v>
      </c>
      <c r="J2">
        <v>100</v>
      </c>
      <c r="K2">
        <v>1</v>
      </c>
      <c r="N2" t="b">
        <v>1</v>
      </c>
      <c r="O2">
        <f>SUMPRODUCT((Inputs!$B$3&gt;={102,106,116,120,128,132})*{10,11,12,13,14,15})</f>
        <v>33</v>
      </c>
      <c r="P2">
        <f>SUMPRODUCT((Inputs!$B$3&gt;={111,124})*{10,10})</f>
        <v>10</v>
      </c>
      <c r="Q2">
        <v>0</v>
      </c>
      <c r="R2">
        <f>6+Inputs!$B$33+IF(Inputs!$B$3&gt;=136,1,0)</f>
        <v>12</v>
      </c>
      <c r="T2">
        <v>0</v>
      </c>
      <c r="U2" t="b">
        <v>0</v>
      </c>
      <c r="V2" t="b">
        <v>0</v>
      </c>
      <c r="W2">
        <v>1</v>
      </c>
      <c r="AA2" t="s">
        <v>166</v>
      </c>
    </row>
    <row r="3" spans="1:27" x14ac:dyDescent="0.2">
      <c r="A3" t="s">
        <v>167</v>
      </c>
      <c r="B3" t="s">
        <v>168</v>
      </c>
      <c r="C3">
        <v>2</v>
      </c>
      <c r="E3">
        <v>1</v>
      </c>
      <c r="F3" t="b">
        <v>0</v>
      </c>
      <c r="G3">
        <v>3</v>
      </c>
      <c r="H3">
        <v>0</v>
      </c>
      <c r="I3">
        <v>0</v>
      </c>
      <c r="J3">
        <v>100</v>
      </c>
      <c r="K3">
        <v>1</v>
      </c>
      <c r="L3">
        <v>130</v>
      </c>
      <c r="M3">
        <v>21</v>
      </c>
      <c r="N3" t="b">
        <v>1</v>
      </c>
      <c r="O3">
        <v>100</v>
      </c>
      <c r="P3">
        <v>0</v>
      </c>
      <c r="Q3">
        <v>0</v>
      </c>
      <c r="R3">
        <v>3</v>
      </c>
      <c r="T3">
        <v>0</v>
      </c>
      <c r="U3" t="b">
        <v>0</v>
      </c>
      <c r="V3" t="b">
        <v>0</v>
      </c>
      <c r="W3">
        <v>1</v>
      </c>
      <c r="X3">
        <v>500</v>
      </c>
      <c r="Y3">
        <v>23</v>
      </c>
      <c r="AA3" t="s">
        <v>169</v>
      </c>
    </row>
    <row r="4" spans="1:27" x14ac:dyDescent="0.2">
      <c r="A4" t="s">
        <v>170</v>
      </c>
      <c r="B4" t="s">
        <v>171</v>
      </c>
      <c r="C4">
        <v>2</v>
      </c>
      <c r="D4" t="s">
        <v>172</v>
      </c>
      <c r="E4">
        <v>18</v>
      </c>
      <c r="F4" t="b">
        <v>1</v>
      </c>
      <c r="G4">
        <v>3</v>
      </c>
      <c r="H4">
        <v>0</v>
      </c>
      <c r="I4">
        <v>0</v>
      </c>
      <c r="J4">
        <v>100</v>
      </c>
      <c r="K4">
        <v>1</v>
      </c>
      <c r="L4">
        <v>2000</v>
      </c>
      <c r="M4">
        <v>12</v>
      </c>
      <c r="N4" t="b">
        <v>1</v>
      </c>
      <c r="O4">
        <v>70</v>
      </c>
      <c r="P4">
        <v>0</v>
      </c>
      <c r="Q4">
        <v>0</v>
      </c>
      <c r="R4">
        <v>6</v>
      </c>
      <c r="T4">
        <v>0</v>
      </c>
      <c r="U4" t="b">
        <v>1</v>
      </c>
      <c r="V4" t="b">
        <v>1</v>
      </c>
      <c r="W4">
        <v>1</v>
      </c>
      <c r="X4">
        <v>800</v>
      </c>
      <c r="Y4">
        <v>23</v>
      </c>
      <c r="AA4" t="s">
        <v>173</v>
      </c>
    </row>
    <row r="5" spans="1:27" x14ac:dyDescent="0.2">
      <c r="A5" t="s">
        <v>174</v>
      </c>
      <c r="B5" t="s">
        <v>175</v>
      </c>
      <c r="C5">
        <v>2</v>
      </c>
      <c r="E5">
        <v>1</v>
      </c>
      <c r="F5" t="b">
        <v>0</v>
      </c>
      <c r="G5">
        <v>5</v>
      </c>
      <c r="H5">
        <v>0</v>
      </c>
      <c r="I5">
        <v>0</v>
      </c>
      <c r="J5">
        <v>100</v>
      </c>
      <c r="K5">
        <v>1</v>
      </c>
      <c r="L5">
        <v>120</v>
      </c>
      <c r="M5">
        <v>21</v>
      </c>
      <c r="N5" t="b">
        <v>1</v>
      </c>
      <c r="O5">
        <v>0</v>
      </c>
      <c r="P5">
        <v>0</v>
      </c>
      <c r="Q5">
        <v>0</v>
      </c>
      <c r="R5">
        <v>1</v>
      </c>
      <c r="T5">
        <v>0</v>
      </c>
      <c r="U5" t="b">
        <v>0</v>
      </c>
      <c r="V5" t="b">
        <v>0</v>
      </c>
      <c r="W5">
        <v>1</v>
      </c>
      <c r="X5">
        <v>1500</v>
      </c>
      <c r="Y5">
        <v>23</v>
      </c>
      <c r="AA5" t="s">
        <v>176</v>
      </c>
    </row>
    <row r="6" spans="1:27" x14ac:dyDescent="0.2">
      <c r="A6" t="s">
        <v>177</v>
      </c>
      <c r="B6" t="s">
        <v>178</v>
      </c>
      <c r="C6">
        <v>2</v>
      </c>
      <c r="E6">
        <v>30</v>
      </c>
      <c r="F6" t="b">
        <v>1</v>
      </c>
      <c r="G6">
        <v>1</v>
      </c>
      <c r="H6">
        <v>0</v>
      </c>
      <c r="I6">
        <v>0</v>
      </c>
      <c r="J6">
        <v>100</v>
      </c>
      <c r="K6">
        <v>1</v>
      </c>
      <c r="L6">
        <v>200</v>
      </c>
      <c r="M6">
        <v>21</v>
      </c>
      <c r="N6" t="b">
        <v>1</v>
      </c>
      <c r="O6">
        <v>0</v>
      </c>
      <c r="P6">
        <v>0</v>
      </c>
      <c r="Q6">
        <v>0</v>
      </c>
      <c r="R6">
        <v>1</v>
      </c>
      <c r="S6" t="s">
        <v>179</v>
      </c>
      <c r="T6">
        <v>19.5</v>
      </c>
      <c r="U6" t="b">
        <v>0</v>
      </c>
      <c r="V6" t="b">
        <v>0</v>
      </c>
      <c r="W6">
        <v>1</v>
      </c>
      <c r="AA6" t="s">
        <v>180</v>
      </c>
    </row>
    <row r="7" spans="1:27" x14ac:dyDescent="0.2">
      <c r="A7" t="s">
        <v>181</v>
      </c>
      <c r="B7" t="s">
        <v>182</v>
      </c>
      <c r="C7">
        <v>3</v>
      </c>
      <c r="D7" t="s">
        <v>172</v>
      </c>
      <c r="E7">
        <v>24.5</v>
      </c>
      <c r="F7" t="b">
        <v>1</v>
      </c>
      <c r="G7">
        <v>3</v>
      </c>
      <c r="H7">
        <v>0</v>
      </c>
      <c r="I7">
        <v>0</v>
      </c>
      <c r="J7">
        <v>100</v>
      </c>
      <c r="K7">
        <v>1</v>
      </c>
      <c r="L7">
        <v>1600</v>
      </c>
      <c r="M7">
        <v>12</v>
      </c>
      <c r="N7" t="b">
        <v>1</v>
      </c>
      <c r="O7">
        <v>50</v>
      </c>
      <c r="P7">
        <v>0</v>
      </c>
      <c r="Q7">
        <v>0</v>
      </c>
      <c r="R7">
        <v>10</v>
      </c>
      <c r="T7">
        <v>0</v>
      </c>
      <c r="U7" t="b">
        <v>1</v>
      </c>
      <c r="V7" t="b">
        <v>1</v>
      </c>
      <c r="W7">
        <v>1</v>
      </c>
      <c r="X7">
        <v>100</v>
      </c>
      <c r="Y7">
        <v>23</v>
      </c>
      <c r="AA7" t="s">
        <v>183</v>
      </c>
    </row>
    <row r="8" spans="1:27" x14ac:dyDescent="0.2">
      <c r="A8" t="s">
        <v>184</v>
      </c>
      <c r="B8" t="s">
        <v>185</v>
      </c>
      <c r="C8">
        <v>3</v>
      </c>
      <c r="D8" t="s">
        <v>172</v>
      </c>
      <c r="E8">
        <v>24.5</v>
      </c>
      <c r="F8" t="b">
        <v>0</v>
      </c>
      <c r="G8">
        <v>1</v>
      </c>
      <c r="H8">
        <f>IF(Inputs!$B$3&gt;=104,0.4,0.8)</f>
        <v>0.4</v>
      </c>
      <c r="I8">
        <v>20</v>
      </c>
      <c r="J8">
        <v>100</v>
      </c>
      <c r="K8">
        <v>1</v>
      </c>
      <c r="L8">
        <v>700</v>
      </c>
      <c r="M8">
        <v>12</v>
      </c>
      <c r="N8" t="b">
        <v>1</v>
      </c>
      <c r="O8">
        <v>0</v>
      </c>
      <c r="P8">
        <v>0</v>
      </c>
      <c r="Q8">
        <v>0</v>
      </c>
      <c r="R8">
        <v>10</v>
      </c>
      <c r="T8">
        <v>0</v>
      </c>
      <c r="U8" t="b">
        <v>0</v>
      </c>
      <c r="V8" t="b">
        <v>0</v>
      </c>
      <c r="W8">
        <v>1</v>
      </c>
      <c r="X8">
        <v>100</v>
      </c>
      <c r="Y8">
        <v>23</v>
      </c>
      <c r="AA8" t="s">
        <v>186</v>
      </c>
    </row>
    <row r="9" spans="1:27" x14ac:dyDescent="0.2">
      <c r="A9" t="s">
        <v>187</v>
      </c>
      <c r="B9" t="s">
        <v>188</v>
      </c>
      <c r="C9">
        <v>4</v>
      </c>
      <c r="E9">
        <f>Skills!E7</f>
        <v>24.5</v>
      </c>
      <c r="F9" t="b">
        <v>0</v>
      </c>
      <c r="G9">
        <f>IF(Inputs!$B$38="pvp",0,(1-Summary!$B$11)*(1)+Summary!$B$11*(IF(Inputs!$B$3&gt;=108,4,3)))</f>
        <v>2.5</v>
      </c>
      <c r="H9">
        <v>0</v>
      </c>
      <c r="I9">
        <v>0</v>
      </c>
      <c r="J9">
        <v>100</v>
      </c>
      <c r="K9">
        <v>1</v>
      </c>
      <c r="L9">
        <v>30000</v>
      </c>
      <c r="M9">
        <v>12</v>
      </c>
      <c r="N9" t="b">
        <v>1</v>
      </c>
      <c r="O9">
        <f>IF(Inputs!$B$3&gt;=122,100,0)</f>
        <v>0</v>
      </c>
      <c r="P9">
        <v>0</v>
      </c>
      <c r="Q9">
        <v>0</v>
      </c>
      <c r="R9">
        <v>10</v>
      </c>
      <c r="T9">
        <v>0</v>
      </c>
      <c r="U9" t="b">
        <v>0</v>
      </c>
      <c r="V9" t="b">
        <v>0</v>
      </c>
      <c r="W9">
        <v>1</v>
      </c>
      <c r="AA9" t="s">
        <v>189</v>
      </c>
    </row>
    <row r="10" spans="1:27" x14ac:dyDescent="0.2">
      <c r="A10" t="s">
        <v>190</v>
      </c>
      <c r="B10" t="s">
        <v>191</v>
      </c>
      <c r="C10">
        <v>3</v>
      </c>
      <c r="D10" t="s">
        <v>172</v>
      </c>
      <c r="E10">
        <v>27</v>
      </c>
      <c r="F10" t="b">
        <v>1</v>
      </c>
      <c r="G10">
        <v>2</v>
      </c>
      <c r="H10">
        <v>2</v>
      </c>
      <c r="I10">
        <v>15</v>
      </c>
      <c r="J10">
        <v>100</v>
      </c>
      <c r="K10">
        <v>1</v>
      </c>
      <c r="L10">
        <v>1200</v>
      </c>
      <c r="M10">
        <v>12</v>
      </c>
      <c r="N10" t="b">
        <v>1</v>
      </c>
      <c r="O10">
        <v>50</v>
      </c>
      <c r="P10">
        <v>0</v>
      </c>
      <c r="Q10">
        <v>100</v>
      </c>
      <c r="R10">
        <v>1</v>
      </c>
      <c r="T10">
        <v>0</v>
      </c>
      <c r="U10" t="b">
        <v>1</v>
      </c>
      <c r="V10" t="b">
        <v>0</v>
      </c>
      <c r="W10">
        <v>1</v>
      </c>
      <c r="X10">
        <v>100</v>
      </c>
      <c r="Y10">
        <v>23</v>
      </c>
      <c r="AA10" t="s">
        <v>192</v>
      </c>
    </row>
    <row r="11" spans="1:27" x14ac:dyDescent="0.2">
      <c r="A11" t="s">
        <v>193</v>
      </c>
      <c r="B11" t="s">
        <v>194</v>
      </c>
      <c r="C11">
        <v>3</v>
      </c>
      <c r="F11" t="b">
        <v>0</v>
      </c>
      <c r="G11">
        <v>1</v>
      </c>
      <c r="H11">
        <v>0</v>
      </c>
      <c r="I11">
        <v>0</v>
      </c>
      <c r="J11">
        <v>100</v>
      </c>
      <c r="K11">
        <v>1</v>
      </c>
      <c r="L11">
        <v>50</v>
      </c>
      <c r="M11">
        <v>0</v>
      </c>
      <c r="N11" t="b">
        <v>0</v>
      </c>
      <c r="O11">
        <v>0</v>
      </c>
      <c r="P11">
        <v>0</v>
      </c>
      <c r="Q11">
        <v>0</v>
      </c>
      <c r="R11">
        <v>1</v>
      </c>
      <c r="T11">
        <v>0</v>
      </c>
      <c r="U11" t="b">
        <v>0</v>
      </c>
      <c r="V11" t="b">
        <v>0</v>
      </c>
      <c r="W11">
        <v>1</v>
      </c>
      <c r="Z11">
        <v>5</v>
      </c>
      <c r="AA11" t="s">
        <v>195</v>
      </c>
    </row>
    <row r="12" spans="1:27" x14ac:dyDescent="0.2">
      <c r="A12" t="s">
        <v>196</v>
      </c>
      <c r="B12" t="s">
        <v>197</v>
      </c>
      <c r="C12">
        <v>3</v>
      </c>
      <c r="F12" t="b">
        <v>0</v>
      </c>
      <c r="G12">
        <v>1</v>
      </c>
      <c r="H12">
        <v>0</v>
      </c>
      <c r="I12">
        <v>0</v>
      </c>
      <c r="J12">
        <v>50</v>
      </c>
      <c r="K12">
        <v>1</v>
      </c>
      <c r="L12">
        <v>120</v>
      </c>
      <c r="M12">
        <v>22</v>
      </c>
      <c r="N12" t="b">
        <v>1</v>
      </c>
      <c r="O12">
        <v>0</v>
      </c>
      <c r="P12">
        <v>0</v>
      </c>
      <c r="Q12">
        <v>0</v>
      </c>
      <c r="R12">
        <v>1</v>
      </c>
      <c r="T12">
        <v>7</v>
      </c>
      <c r="U12" t="b">
        <v>0</v>
      </c>
      <c r="V12" t="b">
        <v>0</v>
      </c>
      <c r="W12">
        <v>1</v>
      </c>
      <c r="AA12" t="s">
        <v>198</v>
      </c>
    </row>
    <row r="13" spans="1:27" x14ac:dyDescent="0.2">
      <c r="A13" t="s">
        <v>199</v>
      </c>
      <c r="B13" t="s">
        <v>200</v>
      </c>
      <c r="C13">
        <v>4</v>
      </c>
      <c r="D13" t="s">
        <v>165</v>
      </c>
      <c r="E13">
        <v>33</v>
      </c>
      <c r="F13" t="b">
        <v>1</v>
      </c>
      <c r="G13">
        <v>9</v>
      </c>
      <c r="H13">
        <v>0</v>
      </c>
      <c r="I13">
        <v>0</v>
      </c>
      <c r="J13">
        <v>100</v>
      </c>
      <c r="K13">
        <v>1</v>
      </c>
      <c r="L13">
        <v>6000</v>
      </c>
      <c r="M13">
        <v>12</v>
      </c>
      <c r="N13" t="b">
        <v>1</v>
      </c>
      <c r="O13">
        <f>IF(Inputs!$B$3&gt;=134,50,0)</f>
        <v>0</v>
      </c>
      <c r="P13">
        <v>0</v>
      </c>
      <c r="Q13">
        <v>0</v>
      </c>
      <c r="R13">
        <v>7</v>
      </c>
      <c r="T13">
        <v>0</v>
      </c>
      <c r="U13" t="b">
        <v>1</v>
      </c>
      <c r="V13" t="b">
        <v>1</v>
      </c>
      <c r="W13">
        <v>3</v>
      </c>
      <c r="AA13" t="s">
        <v>201</v>
      </c>
    </row>
    <row r="14" spans="1:27" x14ac:dyDescent="0.2">
      <c r="A14" t="s">
        <v>202</v>
      </c>
      <c r="B14" t="s">
        <v>203</v>
      </c>
      <c r="C14">
        <v>4</v>
      </c>
      <c r="D14" t="s">
        <v>165</v>
      </c>
      <c r="F14" t="b">
        <v>0</v>
      </c>
      <c r="G14">
        <v>1</v>
      </c>
      <c r="H14">
        <v>1</v>
      </c>
      <c r="I14">
        <v>0</v>
      </c>
      <c r="J14">
        <v>30</v>
      </c>
      <c r="K14">
        <v>1</v>
      </c>
      <c r="L14">
        <v>9500</v>
      </c>
      <c r="M14">
        <v>21</v>
      </c>
      <c r="N14" t="b">
        <v>1</v>
      </c>
      <c r="O14">
        <v>0</v>
      </c>
      <c r="P14">
        <v>0</v>
      </c>
      <c r="Q14">
        <v>0</v>
      </c>
      <c r="R14">
        <v>1</v>
      </c>
      <c r="T14">
        <v>0</v>
      </c>
      <c r="U14" t="b">
        <v>0</v>
      </c>
      <c r="V14" t="b">
        <v>0</v>
      </c>
      <c r="W14">
        <v>1</v>
      </c>
      <c r="AA14" t="s">
        <v>204</v>
      </c>
    </row>
    <row r="15" spans="1:27" x14ac:dyDescent="0.2">
      <c r="A15" t="s">
        <v>205</v>
      </c>
      <c r="B15" t="s">
        <v>206</v>
      </c>
      <c r="C15">
        <v>4</v>
      </c>
      <c r="D15" t="s">
        <v>165</v>
      </c>
      <c r="E15">
        <v>25</v>
      </c>
      <c r="F15" t="b">
        <v>1</v>
      </c>
      <c r="G15">
        <v>3</v>
      </c>
      <c r="H15">
        <v>0</v>
      </c>
      <c r="I15">
        <v>0</v>
      </c>
      <c r="J15">
        <v>100</v>
      </c>
      <c r="K15">
        <v>1</v>
      </c>
      <c r="L15">
        <v>12000</v>
      </c>
      <c r="M15">
        <v>12</v>
      </c>
      <c r="N15" t="b">
        <v>1</v>
      </c>
      <c r="O15">
        <v>0</v>
      </c>
      <c r="P15">
        <v>0</v>
      </c>
      <c r="Q15">
        <v>0</v>
      </c>
      <c r="R15">
        <v>10</v>
      </c>
      <c r="T15">
        <v>0</v>
      </c>
      <c r="U15" t="b">
        <v>1</v>
      </c>
      <c r="V15" t="b">
        <v>1</v>
      </c>
      <c r="W15">
        <v>1</v>
      </c>
      <c r="AA15" t="s">
        <v>207</v>
      </c>
    </row>
    <row r="16" spans="1:27" x14ac:dyDescent="0.2">
      <c r="A16" t="s">
        <v>208</v>
      </c>
      <c r="B16" t="s">
        <v>209</v>
      </c>
      <c r="C16">
        <v>4</v>
      </c>
      <c r="D16" t="s">
        <v>165</v>
      </c>
      <c r="E16">
        <v>25</v>
      </c>
      <c r="F16" t="b">
        <v>0</v>
      </c>
      <c r="G16">
        <v>1</v>
      </c>
      <c r="H16">
        <v>0.5</v>
      </c>
      <c r="I16">
        <f>IF(Inputs!$B$38="pvp",10,(1-Summary!$B$11)*(20)+Summary!$B$11*(10))</f>
        <v>15</v>
      </c>
      <c r="J16">
        <v>100</v>
      </c>
      <c r="K16">
        <v>1</v>
      </c>
      <c r="L16">
        <v>1500</v>
      </c>
      <c r="M16">
        <v>12</v>
      </c>
      <c r="N16" t="b">
        <v>1</v>
      </c>
      <c r="O16">
        <v>0</v>
      </c>
      <c r="P16">
        <v>0</v>
      </c>
      <c r="Q16">
        <v>0</v>
      </c>
      <c r="R16">
        <v>10</v>
      </c>
      <c r="T16">
        <v>0</v>
      </c>
      <c r="U16" t="b">
        <v>0</v>
      </c>
      <c r="V16" t="b">
        <v>0</v>
      </c>
      <c r="W16">
        <v>1</v>
      </c>
      <c r="AA16" t="s">
        <v>210</v>
      </c>
    </row>
    <row r="17" spans="1:27" x14ac:dyDescent="0.2">
      <c r="A17" t="s">
        <v>211</v>
      </c>
      <c r="B17" t="s">
        <v>212</v>
      </c>
      <c r="C17">
        <v>1</v>
      </c>
      <c r="E17">
        <v>21</v>
      </c>
      <c r="F17" t="b">
        <v>1</v>
      </c>
      <c r="G17">
        <v>1</v>
      </c>
      <c r="H17">
        <v>0</v>
      </c>
      <c r="I17">
        <v>0</v>
      </c>
      <c r="J17">
        <v>100</v>
      </c>
      <c r="K17">
        <v>1</v>
      </c>
      <c r="L17">
        <v>120</v>
      </c>
      <c r="M17">
        <v>21</v>
      </c>
      <c r="N17" t="b">
        <v>1</v>
      </c>
      <c r="O17">
        <v>0</v>
      </c>
      <c r="P17">
        <v>0</v>
      </c>
      <c r="Q17">
        <v>0</v>
      </c>
      <c r="R17">
        <v>1</v>
      </c>
      <c r="S17" t="s">
        <v>179</v>
      </c>
      <c r="T17">
        <v>15</v>
      </c>
      <c r="U17" t="b">
        <v>0</v>
      </c>
      <c r="V17" t="b">
        <v>0</v>
      </c>
      <c r="W17">
        <v>1</v>
      </c>
      <c r="AA17" t="s">
        <v>213</v>
      </c>
    </row>
    <row r="18" spans="1:27" x14ac:dyDescent="0.2">
      <c r="A18" t="s">
        <v>214</v>
      </c>
      <c r="B18" t="s">
        <v>215</v>
      </c>
      <c r="C18">
        <v>1</v>
      </c>
      <c r="E18">
        <v>60</v>
      </c>
      <c r="F18" t="b">
        <v>1</v>
      </c>
      <c r="G18">
        <v>1</v>
      </c>
      <c r="H18">
        <v>0</v>
      </c>
      <c r="I18">
        <v>0</v>
      </c>
      <c r="J18">
        <v>100</v>
      </c>
      <c r="K18">
        <v>1</v>
      </c>
      <c r="L18">
        <v>150</v>
      </c>
      <c r="M18">
        <v>0</v>
      </c>
      <c r="N18" t="b">
        <v>0</v>
      </c>
      <c r="O18">
        <v>0</v>
      </c>
      <c r="P18">
        <v>0</v>
      </c>
      <c r="Q18">
        <v>0</v>
      </c>
      <c r="R18">
        <v>1</v>
      </c>
      <c r="S18" t="s">
        <v>216</v>
      </c>
      <c r="T18">
        <v>15</v>
      </c>
      <c r="U18" t="b">
        <v>0</v>
      </c>
      <c r="V18" t="b">
        <v>0</v>
      </c>
      <c r="W18">
        <v>1</v>
      </c>
      <c r="AA18" t="s">
        <v>217</v>
      </c>
    </row>
    <row r="19" spans="1:27" x14ac:dyDescent="0.2">
      <c r="A19" t="s">
        <v>218</v>
      </c>
      <c r="B19" t="s">
        <v>219</v>
      </c>
      <c r="C19">
        <v>4</v>
      </c>
      <c r="E19">
        <v>30</v>
      </c>
      <c r="F19" t="b">
        <v>1</v>
      </c>
      <c r="G19">
        <v>1</v>
      </c>
      <c r="H19">
        <v>0</v>
      </c>
      <c r="I19">
        <v>0</v>
      </c>
      <c r="J19">
        <v>100</v>
      </c>
      <c r="K19">
        <v>1</v>
      </c>
      <c r="L19">
        <v>216.67</v>
      </c>
      <c r="M19">
        <v>21</v>
      </c>
      <c r="N19" t="b">
        <v>1</v>
      </c>
      <c r="O19">
        <v>0</v>
      </c>
      <c r="P19">
        <v>0</v>
      </c>
      <c r="Q19">
        <v>0</v>
      </c>
      <c r="R19">
        <v>1</v>
      </c>
      <c r="S19" t="s">
        <v>220</v>
      </c>
      <c r="T19">
        <v>15</v>
      </c>
      <c r="U19" t="b">
        <v>0</v>
      </c>
      <c r="V19" t="b">
        <v>0</v>
      </c>
      <c r="W19">
        <v>1</v>
      </c>
      <c r="AA19" t="s">
        <v>221</v>
      </c>
    </row>
    <row r="20" spans="1:27" x14ac:dyDescent="0.2">
      <c r="A20" t="s">
        <v>222</v>
      </c>
      <c r="B20" t="s">
        <v>223</v>
      </c>
      <c r="C20">
        <v>3</v>
      </c>
      <c r="F20" t="b">
        <v>0</v>
      </c>
      <c r="G20">
        <v>1</v>
      </c>
      <c r="H20">
        <v>0</v>
      </c>
      <c r="I20">
        <v>0</v>
      </c>
      <c r="J20">
        <v>100</v>
      </c>
      <c r="K20">
        <v>1</v>
      </c>
      <c r="L20">
        <v>80</v>
      </c>
      <c r="M20">
        <v>22</v>
      </c>
      <c r="N20" t="b">
        <v>1</v>
      </c>
      <c r="O20">
        <v>0</v>
      </c>
      <c r="P20">
        <v>0</v>
      </c>
      <c r="Q20">
        <v>0</v>
      </c>
      <c r="R20">
        <v>1</v>
      </c>
      <c r="S20" t="s">
        <v>224</v>
      </c>
      <c r="T20">
        <v>0</v>
      </c>
      <c r="U20" t="b">
        <v>0</v>
      </c>
      <c r="V20" t="b">
        <v>0</v>
      </c>
      <c r="W20">
        <v>1</v>
      </c>
      <c r="AA20" t="s">
        <v>225</v>
      </c>
    </row>
    <row r="21" spans="1:27" x14ac:dyDescent="0.2">
      <c r="A21" t="s">
        <v>226</v>
      </c>
      <c r="B21" t="s">
        <v>227</v>
      </c>
      <c r="C21">
        <v>3</v>
      </c>
      <c r="F21" t="b">
        <v>0</v>
      </c>
      <c r="G21">
        <v>1</v>
      </c>
      <c r="H21">
        <v>0</v>
      </c>
      <c r="I21">
        <v>0</v>
      </c>
      <c r="J21">
        <v>100</v>
      </c>
      <c r="K21">
        <v>1</v>
      </c>
      <c r="L21">
        <v>120</v>
      </c>
      <c r="M21">
        <v>22</v>
      </c>
      <c r="N21" t="b">
        <v>1</v>
      </c>
      <c r="O21">
        <v>0</v>
      </c>
      <c r="P21">
        <v>0</v>
      </c>
      <c r="Q21">
        <v>0</v>
      </c>
      <c r="R21">
        <v>1</v>
      </c>
      <c r="S21" t="s">
        <v>228</v>
      </c>
      <c r="T21">
        <v>0</v>
      </c>
      <c r="U21" t="b">
        <v>0</v>
      </c>
      <c r="V21" t="b">
        <v>0</v>
      </c>
      <c r="W21">
        <v>1</v>
      </c>
      <c r="AA21" t="s">
        <v>229</v>
      </c>
    </row>
    <row r="22" spans="1:27" x14ac:dyDescent="0.2">
      <c r="A22" t="s">
        <v>230</v>
      </c>
      <c r="B22" t="s">
        <v>231</v>
      </c>
      <c r="C22">
        <v>2</v>
      </c>
      <c r="F22" t="b">
        <v>0</v>
      </c>
      <c r="G22">
        <v>1</v>
      </c>
      <c r="H22">
        <v>0</v>
      </c>
      <c r="I22">
        <v>0</v>
      </c>
      <c r="J22">
        <v>100</v>
      </c>
      <c r="K22">
        <v>1</v>
      </c>
      <c r="L22">
        <v>150</v>
      </c>
      <c r="M22">
        <v>22</v>
      </c>
      <c r="N22" t="b">
        <v>1</v>
      </c>
      <c r="O22">
        <v>0</v>
      </c>
      <c r="P22">
        <v>0</v>
      </c>
      <c r="Q22">
        <v>0</v>
      </c>
      <c r="R22">
        <v>1</v>
      </c>
      <c r="S22" t="s">
        <v>232</v>
      </c>
      <c r="T22">
        <v>0</v>
      </c>
      <c r="U22" t="b">
        <v>0</v>
      </c>
      <c r="V22" t="b">
        <v>0</v>
      </c>
      <c r="W22">
        <v>1</v>
      </c>
      <c r="AA22" t="s">
        <v>233</v>
      </c>
    </row>
    <row r="23" spans="1:27" x14ac:dyDescent="0.2">
      <c r="A23" t="s">
        <v>234</v>
      </c>
      <c r="B23" t="s">
        <v>235</v>
      </c>
      <c r="C23">
        <v>4</v>
      </c>
      <c r="F23" t="b">
        <v>0</v>
      </c>
      <c r="G23">
        <v>1</v>
      </c>
      <c r="H23">
        <v>0</v>
      </c>
      <c r="I23">
        <v>0</v>
      </c>
      <c r="J23">
        <v>100</v>
      </c>
      <c r="K23">
        <v>1</v>
      </c>
      <c r="L23">
        <v>150</v>
      </c>
      <c r="M23">
        <v>22</v>
      </c>
      <c r="N23" t="b">
        <v>1</v>
      </c>
      <c r="O23">
        <v>0</v>
      </c>
      <c r="P23">
        <v>0</v>
      </c>
      <c r="Q23">
        <v>0</v>
      </c>
      <c r="R23">
        <v>1</v>
      </c>
      <c r="S23" t="s">
        <v>220</v>
      </c>
      <c r="T23">
        <v>0</v>
      </c>
      <c r="U23" t="b">
        <v>0</v>
      </c>
      <c r="V23" t="b">
        <v>0</v>
      </c>
      <c r="W23">
        <v>1</v>
      </c>
      <c r="AA23" t="s">
        <v>236</v>
      </c>
    </row>
    <row r="24" spans="1:27" x14ac:dyDescent="0.2">
      <c r="A24" t="s">
        <v>237</v>
      </c>
      <c r="B24" t="s">
        <v>238</v>
      </c>
      <c r="C24">
        <v>4</v>
      </c>
      <c r="D24" t="s">
        <v>165</v>
      </c>
      <c r="E24">
        <v>80</v>
      </c>
      <c r="F24" t="b">
        <v>1</v>
      </c>
      <c r="G24">
        <v>1</v>
      </c>
      <c r="H24">
        <v>4</v>
      </c>
      <c r="I24">
        <f>IF(Inputs!$B$3&gt;=138,40,30)</f>
        <v>30</v>
      </c>
      <c r="J24">
        <v>100</v>
      </c>
      <c r="K24">
        <v>1</v>
      </c>
      <c r="L24">
        <v>35000</v>
      </c>
      <c r="M24">
        <v>12</v>
      </c>
      <c r="N24" t="b">
        <v>1</v>
      </c>
      <c r="O24">
        <v>0</v>
      </c>
      <c r="P24">
        <v>0</v>
      </c>
      <c r="Q24">
        <v>0</v>
      </c>
      <c r="R24">
        <f>IF(Inputs!$B$3&gt;=138,6,3)</f>
        <v>3</v>
      </c>
      <c r="T24">
        <v>0</v>
      </c>
      <c r="U24" t="b">
        <v>0</v>
      </c>
      <c r="V24" t="b">
        <v>0</v>
      </c>
      <c r="W24">
        <v>1</v>
      </c>
      <c r="AA24" t="s">
        <v>239</v>
      </c>
    </row>
    <row r="25" spans="1:27" x14ac:dyDescent="0.2">
      <c r="A25" t="s">
        <v>240</v>
      </c>
      <c r="B25" t="s">
        <v>241</v>
      </c>
      <c r="C25">
        <v>4</v>
      </c>
      <c r="F25" t="b">
        <v>0</v>
      </c>
      <c r="G25">
        <v>1</v>
      </c>
      <c r="H25">
        <v>0</v>
      </c>
      <c r="I25">
        <v>0</v>
      </c>
      <c r="J25">
        <v>100</v>
      </c>
      <c r="K25">
        <v>1</v>
      </c>
      <c r="L25">
        <v>100</v>
      </c>
      <c r="M25">
        <v>22</v>
      </c>
      <c r="N25" t="b">
        <v>1</v>
      </c>
      <c r="O25">
        <v>0</v>
      </c>
      <c r="P25">
        <v>0</v>
      </c>
      <c r="Q25">
        <v>0</v>
      </c>
      <c r="R25">
        <v>1</v>
      </c>
      <c r="T25">
        <v>0</v>
      </c>
      <c r="U25" t="b">
        <v>0</v>
      </c>
      <c r="V25" t="b">
        <v>0</v>
      </c>
      <c r="W25">
        <v>1</v>
      </c>
      <c r="AA25" t="s">
        <v>242</v>
      </c>
    </row>
    <row r="26" spans="1:27" x14ac:dyDescent="0.2">
      <c r="A26" t="s">
        <v>243</v>
      </c>
      <c r="B26" t="s">
        <v>244</v>
      </c>
      <c r="C26">
        <v>4</v>
      </c>
      <c r="F26" t="b">
        <v>0</v>
      </c>
      <c r="G26">
        <v>1</v>
      </c>
      <c r="H26">
        <v>0</v>
      </c>
      <c r="I26">
        <v>0</v>
      </c>
      <c r="J26">
        <v>100</v>
      </c>
      <c r="K26">
        <v>1</v>
      </c>
      <c r="L26">
        <v>30</v>
      </c>
      <c r="M26">
        <v>22</v>
      </c>
      <c r="N26" t="b">
        <v>1</v>
      </c>
      <c r="O26">
        <v>0</v>
      </c>
      <c r="P26">
        <v>0</v>
      </c>
      <c r="Q26">
        <v>0</v>
      </c>
      <c r="R26">
        <v>1</v>
      </c>
      <c r="T26">
        <v>0</v>
      </c>
      <c r="U26" t="b">
        <v>0</v>
      </c>
      <c r="V26" t="b">
        <v>0</v>
      </c>
      <c r="W26">
        <v>1</v>
      </c>
      <c r="AA26" t="s">
        <v>245</v>
      </c>
    </row>
    <row r="27" spans="1:27" x14ac:dyDescent="0.2">
      <c r="A27" t="s">
        <v>246</v>
      </c>
      <c r="B27" t="s">
        <v>247</v>
      </c>
      <c r="C27">
        <v>4</v>
      </c>
      <c r="F27" t="b">
        <v>0</v>
      </c>
      <c r="G27">
        <v>1</v>
      </c>
      <c r="H27">
        <v>0</v>
      </c>
      <c r="I27">
        <v>0</v>
      </c>
      <c r="J27">
        <v>100</v>
      </c>
      <c r="K27">
        <v>1</v>
      </c>
      <c r="L27">
        <v>40</v>
      </c>
      <c r="M27">
        <v>22</v>
      </c>
      <c r="N27" t="b">
        <v>1</v>
      </c>
      <c r="O27">
        <v>0</v>
      </c>
      <c r="P27">
        <v>0</v>
      </c>
      <c r="Q27">
        <v>0</v>
      </c>
      <c r="R27">
        <v>1</v>
      </c>
      <c r="T27">
        <v>0</v>
      </c>
      <c r="U27" t="b">
        <v>0</v>
      </c>
      <c r="V27" t="b">
        <v>0</v>
      </c>
      <c r="W27">
        <v>1</v>
      </c>
      <c r="AA27" t="s">
        <v>248</v>
      </c>
    </row>
    <row r="28" spans="1:27" x14ac:dyDescent="0.2">
      <c r="A28" t="s">
        <v>249</v>
      </c>
      <c r="B28" t="s">
        <v>250</v>
      </c>
      <c r="C28">
        <v>4</v>
      </c>
      <c r="D28" t="s">
        <v>172</v>
      </c>
      <c r="E28">
        <f>Skills!E15</f>
        <v>25</v>
      </c>
      <c r="F28" t="b">
        <v>0</v>
      </c>
      <c r="G28">
        <v>1</v>
      </c>
      <c r="H28">
        <f>IF(Inputs!$B$3&gt;=104,0.4,0.8)</f>
        <v>0.4</v>
      </c>
      <c r="I28">
        <v>20</v>
      </c>
      <c r="J28">
        <v>100</v>
      </c>
      <c r="K28">
        <v>1</v>
      </c>
      <c r="L28">
        <v>700</v>
      </c>
      <c r="M28">
        <v>12</v>
      </c>
      <c r="N28" t="b">
        <v>1</v>
      </c>
      <c r="O28">
        <v>0</v>
      </c>
      <c r="P28">
        <v>0</v>
      </c>
      <c r="Q28">
        <v>0</v>
      </c>
      <c r="R28">
        <v>10</v>
      </c>
      <c r="T28">
        <v>0</v>
      </c>
      <c r="U28" t="b">
        <v>0</v>
      </c>
      <c r="V28" t="b">
        <v>0</v>
      </c>
      <c r="W28">
        <v>1</v>
      </c>
      <c r="AA28" t="s">
        <v>251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1"/>
  <sheetViews>
    <sheetView workbookViewId="0"/>
  </sheetViews>
  <sheetFormatPr baseColWidth="10" defaultColWidth="8.83203125" defaultRowHeight="15" x14ac:dyDescent="0.2"/>
  <cols>
    <col min="1" max="1" width="55" customWidth="1"/>
    <col min="2" max="2" width="16" customWidth="1"/>
  </cols>
  <sheetData>
    <row r="1" spans="1:2" ht="19" x14ac:dyDescent="0.25">
      <c r="A1" s="4" t="s">
        <v>252</v>
      </c>
    </row>
    <row r="3" spans="1:2" x14ac:dyDescent="0.2">
      <c r="A3" t="s">
        <v>253</v>
      </c>
      <c r="B3">
        <f>IF(ArtifactsInput!$M$24,CHOOSE(ArtifactsInput!$N$24+1,30,36,42,48,54,60)/100*(Inputs!$B$9+B5+B29),0)</f>
        <v>54.863999999999997</v>
      </c>
    </row>
    <row r="4" spans="1:2" x14ac:dyDescent="0.2">
      <c r="A4" t="s">
        <v>254</v>
      </c>
      <c r="B4">
        <f>Inputs!$B$9+B29</f>
        <v>152.4</v>
      </c>
    </row>
    <row r="5" spans="1:2" x14ac:dyDescent="0.2">
      <c r="A5" t="s">
        <v>255</v>
      </c>
      <c r="B5">
        <f>IF(AND(Inputs!$B$38&lt;&gt;"pvp",Inputs!$B$43=0),1,IF(IF(Inputs!$B$38="pvp",15,Inputs!$B$43)-(Summary!$B$22)&lt;=0,1,MAX(0,IF(Inputs!$B$38="pvp",15,Inputs!$B$43)-MAX(5,Summary!$B$22))/(IF(Inputs!$B$38="pvp",15,Inputs!$B$43)-(Summary!$B$22))))*IF(AND(ArtifactsInput!$M$42,B4&lt;100),CHOOSE(ArtifactsInput!$N$42+1,30,36,42,48,54,60),0)</f>
        <v>0</v>
      </c>
    </row>
    <row r="6" spans="1:2" x14ac:dyDescent="0.2">
      <c r="A6" t="s">
        <v>256</v>
      </c>
      <c r="B6">
        <f>IF(AND(Inputs!$B$38&lt;&gt;"pvp",Inputs!$B$43=0),1,IF(IF(Inputs!$B$38="pvp",15,Inputs!$B$43)-(Summary!$B$22)&lt;=0,1,MAX(0,IF(Inputs!$B$38="pvp",15,Inputs!$B$43)-MAX(5,Summary!$B$22))/(IF(Inputs!$B$38="pvp",15,Inputs!$B$43)-(Summary!$B$22))))*IF(AND(ArtifactsInput!$M$42,B4&gt;=100),CHOOSE(ArtifactsInput!$N$42+1,40,48,56,64,72,80),0)</f>
        <v>44.62779881103053</v>
      </c>
    </row>
    <row r="7" spans="1:2" x14ac:dyDescent="0.2">
      <c r="A7" t="s">
        <v>257</v>
      </c>
      <c r="B7">
        <f>IF(AND(ArtifactsInput!$M$42,B4&gt;=100),MIN(100,B4-100),0)</f>
        <v>52.400000000000006</v>
      </c>
    </row>
    <row r="8" spans="1:2" x14ac:dyDescent="0.2">
      <c r="A8" t="s">
        <v>258</v>
      </c>
      <c r="B8">
        <f>IF(AND(Inputs!$B$38&lt;&gt;"pvp",Inputs!$B$43=0),1,IF(IF(Inputs!$B$38="pvp",15,Inputs!$B$43)-(Summary!$B$22)&lt;=0,1,MAX(0,IF(Inputs!$B$38="pvp",15,Inputs!$B$43)-MAX(5,Summary!$B$22))/(IF(Inputs!$B$38="pvp",15,Inputs!$B$43)-(Summary!$B$22))))*B7*CHOOSE(ArtifactsInput!$N$42+1,0.6,0.72,0.84,0.96,1.08,1.2)</f>
        <v>35.077449865470001</v>
      </c>
    </row>
    <row r="9" spans="1:2" x14ac:dyDescent="0.2">
      <c r="A9" t="s">
        <v>259</v>
      </c>
      <c r="B9">
        <f>IF(Inputs!$B$38="pvp",15,Inputs!$B$43)</f>
        <v>40</v>
      </c>
    </row>
    <row r="10" spans="1:2" x14ac:dyDescent="0.2">
      <c r="A10" t="s">
        <v>260</v>
      </c>
      <c r="B10" t="b">
        <f>IF(Inputs!$B$38="pvp",TRUE,AND(Inputs!$B$38&lt;&gt;"pvp",Inputs!$B$43&gt;0))</f>
        <v>1</v>
      </c>
    </row>
    <row r="11" spans="1:2" x14ac:dyDescent="0.2">
      <c r="A11" t="s">
        <v>261</v>
      </c>
      <c r="B11">
        <f>IF(AND(ArtifactsInput!$M$36,B10),CHOOSE(ArtifactsInput!$N$36+1,8,9.6,11.2,12.8,14.4,16),0)</f>
        <v>0</v>
      </c>
    </row>
    <row r="12" spans="1:2" x14ac:dyDescent="0.2">
      <c r="A12" t="s">
        <v>262</v>
      </c>
      <c r="B12">
        <f>IF(AND(ArtifactsInput!$M$36,B10),MAX(0,MIN(40,B9)-MAX(20,B41))/(B9-B41)*CHOOSE(ArtifactsInput!$N$36+1,30,36,42,48,54,60),0)</f>
        <v>0</v>
      </c>
    </row>
    <row r="13" spans="1:2" x14ac:dyDescent="0.2">
      <c r="A13" t="s">
        <v>263</v>
      </c>
      <c r="B13">
        <f>0.2*Summary!$B$17</f>
        <v>0.33965917499999998</v>
      </c>
    </row>
    <row r="14" spans="1:2" x14ac:dyDescent="0.2">
      <c r="A14" t="s">
        <v>264</v>
      </c>
      <c r="B14">
        <f>1-EXP(-B13*5)</f>
        <v>0.8170048949757811</v>
      </c>
    </row>
    <row r="15" spans="1:2" x14ac:dyDescent="0.2">
      <c r="A15" t="s">
        <v>265</v>
      </c>
      <c r="B15">
        <f>IF(AND(ArtifactsInput!$M$35,Inputs!$B$4&lt;&gt;"Chapter Hunt"),CHOOSE(ArtifactsInput!$N$35+1,15,18,21,24,27,30)*B14,0)</f>
        <v>0</v>
      </c>
    </row>
    <row r="16" spans="1:2" x14ac:dyDescent="0.2">
      <c r="A16" t="s">
        <v>266</v>
      </c>
      <c r="B16">
        <f>0.15*Summary!$B$17*5</f>
        <v>1.27372190625</v>
      </c>
    </row>
    <row r="17" spans="1:2" x14ac:dyDescent="0.2">
      <c r="A17" t="s">
        <v>267</v>
      </c>
      <c r="B17">
        <f>B16^0/1</f>
        <v>1</v>
      </c>
    </row>
    <row r="18" spans="1:2" x14ac:dyDescent="0.2">
      <c r="A18" t="s">
        <v>268</v>
      </c>
      <c r="B18">
        <f>B16^1/1</f>
        <v>1.27372190625</v>
      </c>
    </row>
    <row r="19" spans="1:2" x14ac:dyDescent="0.2">
      <c r="A19" t="s">
        <v>269</v>
      </c>
      <c r="B19">
        <f>B16^2/2</f>
        <v>0.81118374723056696</v>
      </c>
    </row>
    <row r="20" spans="1:2" x14ac:dyDescent="0.2">
      <c r="A20" t="s">
        <v>270</v>
      </c>
      <c r="B20">
        <f>B16^3/6</f>
        <v>0.34440750294717865</v>
      </c>
    </row>
    <row r="21" spans="1:2" x14ac:dyDescent="0.2">
      <c r="A21" t="s">
        <v>271</v>
      </c>
      <c r="B21">
        <f>B16^4/24</f>
        <v>0.10966984529517072</v>
      </c>
    </row>
    <row r="22" spans="1:2" x14ac:dyDescent="0.2">
      <c r="A22" t="s">
        <v>272</v>
      </c>
      <c r="B22">
        <f>B16^5/120</f>
        <v>2.7937776881501491E-2</v>
      </c>
    </row>
    <row r="23" spans="1:2" x14ac:dyDescent="0.2">
      <c r="A23" t="s">
        <v>273</v>
      </c>
      <c r="B23">
        <f>(0*B17+1*B18+2*B19+3*B20+4*B21+5*B22)/(B17+B18+B19+B20+B21+B22)</f>
        <v>1.2637455258831181</v>
      </c>
    </row>
    <row r="24" spans="1:2" x14ac:dyDescent="0.2">
      <c r="A24" t="s">
        <v>274</v>
      </c>
      <c r="B24">
        <f>IF(AND(ArtifactsInput!$M$22,Inputs!$B$4&lt;&gt;"Chapter Hunt"),CHOOSE(ArtifactsInput!$N$22+1,10,12,14,16,18,20)*B23,0)</f>
        <v>0</v>
      </c>
    </row>
    <row r="25" spans="1:2" x14ac:dyDescent="0.2">
      <c r="A25" t="s">
        <v>275</v>
      </c>
      <c r="B25">
        <f>IF(ArtifactsInput!$M$15,CHOOSE(ArtifactsInput!$N$15+1,25,30,35,40,45,50)/100*Inputs!$B$11,0)</f>
        <v>29.790000000000003</v>
      </c>
    </row>
    <row r="26" spans="1:2" x14ac:dyDescent="0.2">
      <c r="A26" t="s">
        <v>276</v>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0.5</v>
      </c>
    </row>
    <row r="27" spans="1:2" x14ac:dyDescent="0.2">
      <c r="A27" t="s">
        <v>277</v>
      </c>
      <c r="B27">
        <f>IF(ArtifactsInput!$M$11,CHOOSE(ArtifactsInput!$N$11+1,15,18,21,24,27,30)*B26,0)</f>
        <v>13.5</v>
      </c>
    </row>
    <row r="28" spans="1:2" x14ac:dyDescent="0.2">
      <c r="A28" t="s">
        <v>278</v>
      </c>
      <c r="B28">
        <f>IF(Inputs!$B$38="pvp",MIN(15,15)/15,IF(AND(Inputs!$B$38&lt;&gt;"pvp",Inputs!$B$43&gt;0),MIN(15,Inputs!$B$43)/Inputs!$B$43,0))</f>
        <v>0.375</v>
      </c>
    </row>
    <row r="29" spans="1:2" x14ac:dyDescent="0.2">
      <c r="A29" t="s">
        <v>279</v>
      </c>
      <c r="B29">
        <f>IF(ArtifactsInput!$M$10,CHOOSE(ArtifactsInput!$N$10+1,15,18,21,24,27,30)*B28,0)</f>
        <v>0</v>
      </c>
    </row>
    <row r="30" spans="1:2" x14ac:dyDescent="0.2">
      <c r="A30" t="s">
        <v>280</v>
      </c>
      <c r="B30">
        <f>IF(ArtifactsInput!$M$10,CHOOSE(ArtifactsInput!$N$10+1,20,24,28,32,36,40)*B28,0)</f>
        <v>0</v>
      </c>
    </row>
    <row r="32" spans="1:2" x14ac:dyDescent="0.2">
      <c r="A32" s="6" t="s">
        <v>281</v>
      </c>
      <c r="B32" s="6">
        <f>B5+B29</f>
        <v>0</v>
      </c>
    </row>
    <row r="33" spans="1:2" x14ac:dyDescent="0.2">
      <c r="A33" s="6" t="s">
        <v>282</v>
      </c>
      <c r="B33" s="6">
        <f>B30+B47</f>
        <v>0</v>
      </c>
    </row>
    <row r="34" spans="1:2" x14ac:dyDescent="0.2">
      <c r="A34" s="6" t="s">
        <v>283</v>
      </c>
      <c r="B34" s="6">
        <f>((1+B11/100)*(1+B46/100)*(1+B55/100)-1)*100</f>
        <v>0</v>
      </c>
    </row>
    <row r="35" spans="1:2" x14ac:dyDescent="0.2">
      <c r="A35" s="6" t="s">
        <v>284</v>
      </c>
      <c r="B35" s="6">
        <f>B12+B60</f>
        <v>0</v>
      </c>
    </row>
    <row r="36" spans="1:2" x14ac:dyDescent="0.2">
      <c r="A36" s="6" t="s">
        <v>285</v>
      </c>
      <c r="B36" s="6">
        <f>B15+B24</f>
        <v>0</v>
      </c>
    </row>
    <row r="38" spans="1:2" x14ac:dyDescent="0.2">
      <c r="A38" s="6" t="s">
        <v>286</v>
      </c>
      <c r="B38" s="6">
        <f>B27</f>
        <v>13.5</v>
      </c>
    </row>
    <row r="39" spans="1:2" x14ac:dyDescent="0.2">
      <c r="A39" s="6" t="s">
        <v>287</v>
      </c>
      <c r="B39" s="6">
        <f>B6</f>
        <v>44.62779881103053</v>
      </c>
    </row>
    <row r="40" spans="1:2" x14ac:dyDescent="0.2">
      <c r="A40" s="6" t="s">
        <v>288</v>
      </c>
      <c r="B40" s="6">
        <f>B8</f>
        <v>35.077449865470001</v>
      </c>
    </row>
    <row r="41" spans="1:2" x14ac:dyDescent="0.2">
      <c r="A41" t="s">
        <v>289</v>
      </c>
      <c r="B41">
        <f>IF(Inputs!$B$4="Breakthrough",20,IF(Inputs!$B$4="Hero Dungeon",30,0))</f>
        <v>20</v>
      </c>
    </row>
    <row r="42" spans="1:2" x14ac:dyDescent="0.2">
      <c r="A42" t="s">
        <v>290</v>
      </c>
      <c r="B42">
        <f>IF(AND(ArtifactsInput!$M$14,OR(Inputs!$B$4="Weapon Dungeon",Inputs!$B$4="Equipment Dungeon",Inputs!$B$4="Enhancement Dungeon",Inputs!$B$4="EXP Dungeon",Inputs!$B$4="Hero Dungeon")),CHOOSE(ArtifactsInput!$N$14+1,10,12,14,16,18,20),0)</f>
        <v>0</v>
      </c>
    </row>
    <row r="43" spans="1:2" x14ac:dyDescent="0.2">
      <c r="A43" t="s">
        <v>291</v>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0</v>
      </c>
    </row>
    <row r="44" spans="1:2" x14ac:dyDescent="0.2">
      <c r="A44" t="s">
        <v>292</v>
      </c>
      <c r="B44">
        <f>IF(AND(ArtifactsInput!$M$27,Inputs!$B$4="Chapter Hunt"),CHOOSE(ArtifactsInput!$N$27+1,20,24,28,32,36,40),0)</f>
        <v>0</v>
      </c>
    </row>
    <row r="45" spans="1:2" x14ac:dyDescent="0.2">
      <c r="A45" t="s">
        <v>293</v>
      </c>
      <c r="B45">
        <f>IF(AND(ArtifactsInput!$M$29,Inputs!$B$38="pvp"),CHOOSE(ArtifactsInput!$N$29+1,20,24,28,32,36,40),0)</f>
        <v>0</v>
      </c>
    </row>
    <row r="46" spans="1:2" x14ac:dyDescent="0.2">
      <c r="A46" t="s">
        <v>294</v>
      </c>
      <c r="B46">
        <f>IF(AND(ArtifactsInput!$M$32,Inputs!$B$4&lt;&gt;"Chapter Hunt"),CHOOSE(ArtifactsInput!$N$32+1,8,9.6,11.2,12.8,14.4,16),0)</f>
        <v>0</v>
      </c>
    </row>
    <row r="47" spans="1:2" x14ac:dyDescent="0.2">
      <c r="A47" t="s">
        <v>295</v>
      </c>
      <c r="B47">
        <f>IF(ArtifactsInput!$M$31,1.5*CHOOSE(ArtifactsInput!$N$31+1,20,24,28,32,36,40),0)</f>
        <v>0</v>
      </c>
    </row>
    <row r="48" spans="1:2" x14ac:dyDescent="0.2">
      <c r="A48" t="s">
        <v>296</v>
      </c>
      <c r="B48">
        <f>IF(ArtifactsInput!$M$41,CHOOSE(ArtifactsInput!$N$41+1,5,6,7,8,9,10),0)</f>
        <v>0</v>
      </c>
    </row>
    <row r="49" spans="1:2" x14ac:dyDescent="0.2">
      <c r="A49" t="s">
        <v>297</v>
      </c>
      <c r="B49">
        <f>IF(AND(ArtifactsInput!$M$41,Inputs!$B$38&lt;&gt;"pvp"),CHOOSE(ArtifactsInput!$N$41+1,5,6,7,8,9,10)*IF(OR(Inputs!$B$4="Weapon Dungeon",Inputs!$B$4="Equipment Dungeon",Inputs!$B$4="Enhancement Dungeon",Inputs!$B$4="EXP Dungeon",Inputs!$B$4="Hero Dungeon"),3,1),0)</f>
        <v>0</v>
      </c>
    </row>
    <row r="50" spans="1:2" x14ac:dyDescent="0.2">
      <c r="A50" t="s">
        <v>298</v>
      </c>
      <c r="B50">
        <f>IF(ArtifactsInput!$M$40,CHOOSE(ArtifactsInput!$N$40+1,5,6,7,8,9,10),0)</f>
        <v>0</v>
      </c>
    </row>
    <row r="51" spans="1:2" x14ac:dyDescent="0.2">
      <c r="A51" t="s">
        <v>299</v>
      </c>
      <c r="B51">
        <f>IF(ArtifactsInput!$M$40,CHOOSE(ArtifactsInput!$N$40+1,5,6,7,8,9,10),0)</f>
        <v>0</v>
      </c>
    </row>
    <row r="52" spans="1:2" x14ac:dyDescent="0.2">
      <c r="A52" s="6" t="s">
        <v>300</v>
      </c>
      <c r="B52" s="6">
        <f>B43+B48+B50+B58+B56+B71</f>
        <v>0</v>
      </c>
    </row>
    <row r="53" spans="1:2" x14ac:dyDescent="0.2">
      <c r="A53" s="6" t="s">
        <v>301</v>
      </c>
      <c r="B53" s="6">
        <f>B49+B62+B65</f>
        <v>0</v>
      </c>
    </row>
    <row r="54" spans="1:2" x14ac:dyDescent="0.2">
      <c r="A54" t="s">
        <v>302</v>
      </c>
      <c r="B54">
        <f>IF(ArtifactsInput!$M$39,CHOOSE(ArtifactsInput!$N$39+1,7,8.4,9.8,11.2,12.6,14),0)</f>
        <v>0</v>
      </c>
    </row>
    <row r="55" spans="1:2" x14ac:dyDescent="0.2">
      <c r="A55" t="s">
        <v>303</v>
      </c>
      <c r="B55">
        <f>IF(AND(ArtifactsInput!$M$38,Inputs!$B$38&lt;&gt;"pvp",Inputs!$B$43&gt;0),CHOOSE(ArtifactsInput!$N$38+1,10,12,14,16,18,20)*(MIN(30,MAX(0,Inputs!$B$43-7))/Inputs!$B$43)*IF(Inputs!$B$4="Chapter Boss",2,1),0)</f>
        <v>0</v>
      </c>
    </row>
    <row r="56" spans="1:2" x14ac:dyDescent="0.2">
      <c r="A56" t="s">
        <v>304</v>
      </c>
      <c r="B56">
        <f>IF(ArtifactsInput!$M$34,CHOOSE(ArtifactsInput!$N$34+1,15,18,21,24,27,30),0)</f>
        <v>0</v>
      </c>
    </row>
    <row r="57" spans="1:2" x14ac:dyDescent="0.2">
      <c r="A57" t="s">
        <v>305</v>
      </c>
      <c r="B57">
        <f>IF(ArtifactsInput!$M$34,MIN(CHOOSE(ArtifactsInput!$N$34+1,10,12,14,16,18,20),MAX(0,(CHOOSE(ArtifactsInput!$N$34+1,0.5,0.6,0.7,0.8,0.9,1)/3)*(Inputs!$B$11-60))),0)</f>
        <v>0</v>
      </c>
    </row>
    <row r="58" spans="1:2" x14ac:dyDescent="0.2">
      <c r="A58" t="s">
        <v>306</v>
      </c>
      <c r="B58">
        <f>IF(ArtifactsInput!$M$37,CHOOSE(ArtifactsInput!$N$37+1,10,12,14,16,18,20),0)</f>
        <v>0</v>
      </c>
    </row>
    <row r="59" spans="1:2" x14ac:dyDescent="0.2">
      <c r="A59" t="s">
        <v>307</v>
      </c>
      <c r="B59">
        <f>IF(ArtifactsInput!$M$33,CHOOSE(ArtifactsInput!$N$33+1,30,36,42,48,54,60),0)</f>
        <v>0</v>
      </c>
    </row>
    <row r="60" spans="1:2" x14ac:dyDescent="0.2">
      <c r="A60" t="s">
        <v>308</v>
      </c>
      <c r="B60">
        <f>IF(ArtifactsInput!$M$33,CHOOSE(ArtifactsInput!$N$33+1,10,12,14,16,18,20),0)</f>
        <v>0</v>
      </c>
    </row>
    <row r="61" spans="1:2" x14ac:dyDescent="0.2">
      <c r="A61" t="s">
        <v>309</v>
      </c>
      <c r="B61">
        <f>IF(AND(ArtifactsInput!$M$28,Inputs!$B$4="World Boss"),CHOOSE(ArtifactsInput!$N$28+1,20,24,28,32,36,40),0)</f>
        <v>0</v>
      </c>
    </row>
    <row r="62" spans="1:2" x14ac:dyDescent="0.2">
      <c r="A62" t="s">
        <v>310</v>
      </c>
      <c r="B62">
        <f>IF(ArtifactsInput!$M$26,10*CHOOSE(ArtifactsInput!$N$26+1,1,1.2,1.4,1.6,1.8,2),0)</f>
        <v>0</v>
      </c>
    </row>
    <row r="63" spans="1:2" x14ac:dyDescent="0.2">
      <c r="A63" t="s">
        <v>311</v>
      </c>
      <c r="B63">
        <f>IF(ArtifactsInput!$M$26,1*CHOOSE(ArtifactsInput!$N$26+1,1,1.2,1.4,1.6,1.8,2),0)</f>
        <v>0</v>
      </c>
    </row>
    <row r="64" spans="1:2" x14ac:dyDescent="0.2">
      <c r="A64" t="s">
        <v>312</v>
      </c>
      <c r="B64">
        <f>IF(ArtifactsInput!$M$23,CHOOSE(ArtifactsInput!$N$23+1,50,60,70,80,90,100),0)</f>
        <v>0</v>
      </c>
    </row>
    <row r="65" spans="1:2" x14ac:dyDescent="0.2">
      <c r="A65" t="s">
        <v>313</v>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0</v>
      </c>
    </row>
    <row r="66" spans="1:2" x14ac:dyDescent="0.2">
      <c r="A66" t="s">
        <v>314</v>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0</v>
      </c>
    </row>
    <row r="69" spans="1:2" x14ac:dyDescent="0.2">
      <c r="A69" t="s">
        <v>315</v>
      </c>
      <c r="B69">
        <f>IF(AND(ArtifactsInput!$M$8,Inputs!$B$38&lt;&gt;"pvp"),CHOOSE(ArtifactsInput!$N$8+1,8,9.6,11.2,12.8,14.4,16),0)</f>
        <v>0</v>
      </c>
    </row>
    <row r="70" spans="1:2" x14ac:dyDescent="0.2">
      <c r="A70" t="s">
        <v>316</v>
      </c>
      <c r="B70">
        <f>IF(ArtifactsInput!$M$7,CHOOSE(ArtifactsInput!$N$7+1,6,7.2,8.4,9.6,10.8,12),0)</f>
        <v>0</v>
      </c>
    </row>
    <row r="71" spans="1:2" x14ac:dyDescent="0.2">
      <c r="A71" t="s">
        <v>317</v>
      </c>
      <c r="B71">
        <f>IF(ArtifactsInput!$M$5,CHOOSE(ArtifactsInput!$N$5+1,10,12,14,16,18,20)*(IF(AND(Inputs!$B$38&lt;&gt;"pvp",Inputs!$B$43=0),0.5,(5*INT(MAX(0,IF(Inputs!$B$38="pvp",15,Inputs!$B$43)-10)/10)+MIN((MAX(0,IF(Inputs!$B$38="pvp",15,Inputs!$B$43)-10)-10*INT(MAX(0,IF(Inputs!$B$38="pvp",15,Inputs!$B$43)-10)/10)),5))/IF(Inputs!$B$38="pvp",15,Inputs!$B$43))),0)</f>
        <v>0</v>
      </c>
    </row>
    <row r="72" spans="1:2" x14ac:dyDescent="0.2">
      <c r="A72" t="s">
        <v>318</v>
      </c>
      <c r="B72">
        <v>0</v>
      </c>
    </row>
    <row r="73" spans="1:2" x14ac:dyDescent="0.2">
      <c r="A73" t="s">
        <v>319</v>
      </c>
      <c r="B73">
        <v>0</v>
      </c>
    </row>
    <row r="74" spans="1:2" x14ac:dyDescent="0.2">
      <c r="A74" t="s">
        <v>320</v>
      </c>
      <c r="B74">
        <v>0</v>
      </c>
    </row>
    <row r="75" spans="1:2" x14ac:dyDescent="0.2">
      <c r="A75" t="s">
        <v>321</v>
      </c>
      <c r="B75">
        <v>0</v>
      </c>
    </row>
    <row r="76" spans="1:2" x14ac:dyDescent="0.2">
      <c r="A76" t="s">
        <v>322</v>
      </c>
      <c r="B76">
        <v>0</v>
      </c>
    </row>
    <row r="77" spans="1:2" x14ac:dyDescent="0.2">
      <c r="A77" t="s">
        <v>323</v>
      </c>
      <c r="B77">
        <v>0</v>
      </c>
    </row>
    <row r="78" spans="1:2" x14ac:dyDescent="0.2">
      <c r="A78" t="s">
        <v>324</v>
      </c>
      <c r="B78">
        <v>0</v>
      </c>
    </row>
    <row r="79" spans="1:2" x14ac:dyDescent="0.2">
      <c r="A79" t="s">
        <v>325</v>
      </c>
      <c r="B79">
        <v>0</v>
      </c>
    </row>
    <row r="80" spans="1:2" x14ac:dyDescent="0.2">
      <c r="A80" s="6" t="s">
        <v>326</v>
      </c>
      <c r="B80" s="6">
        <f>B59</f>
        <v>0</v>
      </c>
    </row>
    <row r="81" spans="1:2" x14ac:dyDescent="0.2">
      <c r="A81" s="6" t="s">
        <v>327</v>
      </c>
      <c r="B81" s="6">
        <f>B63+B66</f>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8"/>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22" customWidth="1"/>
    <col min="2" max="2" width="26" customWidth="1"/>
    <col min="3" max="3" width="10" customWidth="1"/>
    <col min="4" max="4" width="12" customWidth="1"/>
    <col min="5" max="5" width="9" customWidth="1"/>
    <col min="6" max="6" width="15" customWidth="1"/>
    <col min="7" max="7" width="13" customWidth="1"/>
    <col min="8" max="8" width="14" customWidth="1"/>
    <col min="9" max="9" width="17" customWidth="1"/>
    <col min="10" max="10" width="13" customWidth="1"/>
    <col min="11" max="11" width="15" customWidth="1"/>
    <col min="12" max="13" width="12" customWidth="1"/>
    <col min="14" max="14" width="17" customWidth="1"/>
    <col min="15" max="15" width="12" customWidth="1"/>
    <col min="16" max="16" width="10" customWidth="1"/>
  </cols>
  <sheetData>
    <row r="1" spans="1:26" x14ac:dyDescent="0.2">
      <c r="A1" s="5" t="s">
        <v>136</v>
      </c>
      <c r="B1" s="5" t="s">
        <v>137</v>
      </c>
      <c r="C1" s="5" t="s">
        <v>328</v>
      </c>
      <c r="D1" s="5" t="s">
        <v>329</v>
      </c>
      <c r="E1" s="5" t="s">
        <v>330</v>
      </c>
      <c r="F1" s="5" t="s">
        <v>331</v>
      </c>
      <c r="G1" s="5" t="s">
        <v>332</v>
      </c>
      <c r="H1" s="5" t="s">
        <v>333</v>
      </c>
      <c r="I1" s="5" t="s">
        <v>334</v>
      </c>
      <c r="J1" s="5" t="s">
        <v>335</v>
      </c>
      <c r="K1" s="5" t="s">
        <v>336</v>
      </c>
      <c r="L1" s="5" t="s">
        <v>337</v>
      </c>
      <c r="M1" s="5" t="s">
        <v>338</v>
      </c>
      <c r="N1" s="5" t="s">
        <v>339</v>
      </c>
      <c r="O1" s="5" t="s">
        <v>340</v>
      </c>
      <c r="P1" s="5" t="s">
        <v>341</v>
      </c>
      <c r="Q1" t="s">
        <v>342</v>
      </c>
      <c r="R1" t="s">
        <v>343</v>
      </c>
      <c r="S1" t="s">
        <v>344</v>
      </c>
      <c r="U1" t="s">
        <v>345</v>
      </c>
      <c r="Z1" s="6" t="s">
        <v>346</v>
      </c>
    </row>
    <row r="2" spans="1:26" x14ac:dyDescent="0.2">
      <c r="A2" t="str">
        <f>Skills!A2</f>
        <v>BASIC_ATTACK</v>
      </c>
      <c r="B2" t="str">
        <f>Skills!B2</f>
        <v>Basic Attack</v>
      </c>
      <c r="C2" t="b">
        <f>TRUE</f>
        <v>1</v>
      </c>
      <c r="F2">
        <f>Summary!$B$10+Skills!O2</f>
        <v>537.6</v>
      </c>
      <c r="G2">
        <f>Skills!G2*IF(Skills!H2&gt;0,IF(Inputs!$B$38="pvp",MIN(Skills!I2,15),Skills!I2)/Skills!H2,1)</f>
        <v>5</v>
      </c>
      <c r="H2">
        <f>1-(1-Skills!J2/100)^Skills!K2</f>
        <v>1</v>
      </c>
      <c r="I2">
        <f>IF(Skills!X2&lt;&gt;"",1+(Skills!X2/10)*($Z$3/1000)/100,1)</f>
        <v>1</v>
      </c>
      <c r="J2">
        <f>Summary!$B$6*(F2/100)</f>
        <v>1941459186.9980164</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6620290711466.1074</v>
      </c>
      <c r="L2">
        <f>K2*(MIN(Inputs!$B$22,Inputs!$B$23)/100+Inputs!$B$23/100)/2</f>
        <v>22012466615624.809</v>
      </c>
      <c r="M2">
        <f>L2*(1+(Inputs!$B$10+Artifacts!$B$33)/100)</f>
        <v>103876829959133.45</v>
      </c>
      <c r="N2">
        <f>L2*(1-MIN((Inputs!$B$9+Artifacts!$B$32),100)/100)+M2*(MIN((Inputs!$B$9+Artifacts!$B$32),100)/100)</f>
        <v>103876829959133.45</v>
      </c>
      <c r="O2">
        <f>(1-Summary!$B$11)*S2+Summary!$B$11*U2</f>
        <v>1.251342481087288E+16</v>
      </c>
      <c r="P2">
        <f>IF(Summary!$B$3=0,0,O2/Summary!$B$3)</f>
        <v>0.378199388854495</v>
      </c>
      <c r="Q2">
        <f>IFERROR(1/(IF(Inputs!$B$38="pvp",15,MAX(0.1,Skills!E2-IF(TRUE=TRUE,Inputs!$B$32,0)))*(1-IF(AND(ArtifactsInput!$M$27,Inputs!$B$4="Chapter Hunt"),CHOOSE(ArtifactsInput!$N$27+1,20,24,28,32,36,40),0)/100)),0)</f>
        <v>10</v>
      </c>
      <c r="R2">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2077628795712329.2</v>
      </c>
      <c r="U2">
        <f>(Skills!G2*N2*Summary!$B$19)*IF(Inputs!$B$38="pvp",1,(1+(Inputs!$B$21+Skills!Q2+Artifacts!$B$80)/100)*(MIN(Skills!R2,Inputs!$B$37)))*((1+Artifacts!$B$53/100))</f>
        <v>2.2949220826033432E+16</v>
      </c>
      <c r="Z2">
        <f>MAX(0,(Inputs!$B$3-100)*3)+Inputs!$B$28+Inputs!$B$29</f>
        <v>185</v>
      </c>
    </row>
    <row r="3" spans="1:26" x14ac:dyDescent="0.2">
      <c r="A3" t="str">
        <f>Skills!A3</f>
        <v>IGNITE</v>
      </c>
      <c r="B3" t="str">
        <f>Skills!B3</f>
        <v>Ignite</v>
      </c>
      <c r="C3" t="b">
        <f>TRUE</f>
        <v>1</v>
      </c>
      <c r="D3">
        <f>IF(Skills!C3=1,60+Inputs!$B$25+Inputs!$B$29,IF(Skills!C3=2,90+Inputs!$B$26+Inputs!$B$29,IF(Skills!C3=3,120+Inputs!$B$27+Inputs!$B$29,MAX(0,(Inputs!$B$3-100)*3)+Inputs!$B$28+Inputs!$B$29)))</f>
        <v>168</v>
      </c>
      <c r="E3">
        <f>INDEX(FactorTable!$B$2:$Y$301, MATCH(ROUND(MIN(300,MAX(1,D3)),0), FactorTable!$A$2:$A$301,0), Skills!M3+1)</f>
        <v>1672</v>
      </c>
      <c r="F3">
        <f>IF(Skills!N3=TRUE,(Skills!L3/10)*(E3/1000),Skills!L3/10)+Skills!O3</f>
        <v>121.736</v>
      </c>
      <c r="G3">
        <f>Skills!G3*IF(Skills!H3&gt;0,IF(Inputs!$B$38="pvp",MIN(Skills!I3,15),Skills!I3)/Skills!H3,1)</f>
        <v>3</v>
      </c>
      <c r="H3">
        <f>1-(1-Skills!J3/100)^Skills!K3</f>
        <v>1</v>
      </c>
      <c r="I3">
        <f>IF(Skills!X3&lt;&gt;"",1+(Skills!X3/10)*($Z$3/1000)/100,1)</f>
        <v>4.8250000000000002</v>
      </c>
      <c r="J3">
        <f>Summary!$B$6*(F3/100)</f>
        <v>439630720.9605478</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10658554617221.965</v>
      </c>
      <c r="L3">
        <f>K3*(MIN(Inputs!$B$22,Inputs!$B$23)/100+Inputs!$B$23/100)/2</f>
        <v>35439694102263.031</v>
      </c>
      <c r="M3">
        <f>L3*(1+(Inputs!$B$10+Artifacts!$B$33)/100)</f>
        <v>167239916468579.22</v>
      </c>
      <c r="N3">
        <f>L3*(1-MIN((Inputs!$B$9+Artifacts!$B$32),100)/100)+M3*(MIN((Inputs!$B$9+Artifacts!$B$32),100)/100)</f>
        <v>167239916468579.22</v>
      </c>
      <c r="O3">
        <f>(1-Summary!$B$11)*S3+Summary!$B$11*U3</f>
        <v>2907465947806250</v>
      </c>
      <c r="P3">
        <f>IF(Summary!$B$3=0,0,O3/Summary!$B$3)</f>
        <v>8.7873772463965091E-2</v>
      </c>
      <c r="Q3">
        <f>IFERROR(1/(IF(Inputs!$B$38="pvp",15,MAX(0.1,Skills!E3-IF(FALSE=TRUE,Inputs!$B$32,0)))*(1-IF(AND(ArtifactsInput!$M$27,Inputs!$B$4="Chapter Hunt"),CHOOSE(ArtifactsInput!$N$27+1,20,24,28,32,36,40),0)/100)),0)</f>
        <v>1</v>
      </c>
      <c r="R3">
        <f>IF(AND(Inputs!$B$38&lt;&gt;"pvp",Inputs!$B$43&gt;0),IF(MAX(0,Inputs!$B$43-Summary!$B$22)&lt;=0,0,(INT(MAX(0,Inputs!$B$43-Summary!$B$22)/(IF(Inputs!$B$38="pvp",15,MAX(0.1,Skills!E3-IF(FALSE=TRUE,Inputs!$B$32,0)))*(1-IF(AND(ArtifactsInput!$M$27,Inputs!$B$4="Chapter Hunt"),CHOOSE(ArtifactsInput!$N$27+1,20,24,28,32,36,40),0)/100)))+1)),0)</f>
        <v>38</v>
      </c>
      <c r="S3">
        <f>IF(C3,(H3*N3*IF(AND(Inputs!$B$38&lt;&gt;"pvp",Inputs!$B$43&gt;0),((Skills!G3*((R3-1)*IF(Skills!H3&gt;0,Skills!I3/Skills!H3,1)+IF(Skills!H3&gt;0,MIN(Skills!I3,MAX(0,MAX(0,Inputs!$B$43-Summary!$B$22)-((R3-1)*(IF(Inputs!$B$38="pvp",15,MAX(0.1,Skills!E3-IF(FALSE=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1510929025335379</v>
      </c>
      <c r="U3">
        <f>IF(C3,(H3*N3*IF(AND(Inputs!$B$38&lt;&gt;"pvp",Inputs!$B$43&gt;0),((Skills!G3*((R3-1)*IF(Skills!H3&gt;0,Skills!I3/Skills!H3,1)+IF(Skills!H3&gt;0,MIN(Skills!I3,MAX(0,MAX(0,Inputs!$B$43-Summary!$B$22)-((R3-1)*(IF(Inputs!$B$38="pvp",15,MAX(0.1,Skills!E3-IF(FALSE=TRUE,Inputs!$B$32,0)))*(1-IF(AND(ArtifactsInput!$M$27,Inputs!$B$4="Chapter Hunt"),CHOOSE(ArtifactsInput!$N$27+1,20,24,28,32,36,40),0)/100)))))/Skills!H3,1)))/Inputs!$B$43),G3*Q3))*IF(Inputs!$B$38="pvp",1,(1+(Inputs!$B$21+Skills!Q3+Artifacts!$B$80)/100)*(MIN(Skills!R3,Inputs!$B$37)))*((1+Artifacts!$B$53/100)),0)</f>
        <v>4304002870277120.5</v>
      </c>
      <c r="Z3">
        <f>INDEX(FactorTable!$B$2:$Y$301, MATCH(ROUND(MIN(300,MAX(1,Z2)),0), FactorTable!$A$2:$A$301,0), 24)</f>
        <v>7650</v>
      </c>
    </row>
    <row r="4" spans="1:26" x14ac:dyDescent="0.2">
      <c r="A4" t="str">
        <f>Skills!A4</f>
        <v>POISON_BREATH</v>
      </c>
      <c r="B4" t="str">
        <f>Skills!B4</f>
        <v>Poison Breath</v>
      </c>
      <c r="C4" t="b">
        <f>TRUE</f>
        <v>1</v>
      </c>
      <c r="D4">
        <f>IF(Skills!C4=1,60+Inputs!$B$25+Inputs!$B$29,IF(Skills!C4=2,90+Inputs!$B$26+Inputs!$B$29,IF(Skills!C4=3,120+Inputs!$B$27+Inputs!$B$29,MAX(0,(Inputs!$B$3-100)*3)+Inputs!$B$28+Inputs!$B$29)))</f>
        <v>168</v>
      </c>
      <c r="E4">
        <f>INDEX(FactorTable!$B$2:$Y$301, MATCH(ROUND(MIN(300,MAX(1,D4)),0), FactorTable!$A$2:$A$301,0), Skills!M4+1)</f>
        <v>1840</v>
      </c>
      <c r="F4">
        <f>IF(Skills!N4=TRUE,(Skills!L4/10)*(E4/1000),Skills!L4/10)+Skills!O4</f>
        <v>438</v>
      </c>
      <c r="G4">
        <f>Skills!G4*IF(Skills!H4&gt;0,IF(Inputs!$B$38="pvp",MIN(Skills!I4,15),Skills!I4)/Skills!H4,1)</f>
        <v>3</v>
      </c>
      <c r="H4">
        <f>1-(1-Skills!J4/100)^Skills!K4</f>
        <v>1</v>
      </c>
      <c r="I4">
        <f>IF(Skills!X4&lt;&gt;"",1+(Skills!X4/10)*($Z$3/1000)/100,1)</f>
        <v>7.12</v>
      </c>
      <c r="J4">
        <f>Summary!$B$6*(F4/100)</f>
        <v>1581769203.69258</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56589528290529.523</v>
      </c>
      <c r="L4">
        <f>K4*(MIN(Inputs!$B$22,Inputs!$B$23)/100+Inputs!$B$23/100)/2</f>
        <v>188160181566010.69</v>
      </c>
      <c r="M4">
        <f>L4*(1+(Inputs!$B$10+Artifacts!$B$33)/100)</f>
        <v>887927896810004.38</v>
      </c>
      <c r="N4">
        <f>L4*(1-MIN((Inputs!$B$9+Artifacts!$B$32),100)/100)+M4*(MIN((Inputs!$B$9+Artifacts!$B$32),100)/100)</f>
        <v>887927896810004.38</v>
      </c>
      <c r="O4">
        <f>(1-Summary!$B$11)*S4+Summary!$B$11*U4</f>
        <v>2120704790543594.2</v>
      </c>
      <c r="P4">
        <f>IF(Summary!$B$3=0,0,O4/Summary!$B$3)</f>
        <v>6.4095103286790744E-2</v>
      </c>
      <c r="Q4">
        <f>IFERROR(1/(IF(Inputs!$B$38="pvp",15,MAX(0.1,Skills!E4-IF(TRUE=TRUE,Inputs!$B$32,0)))*(1-IF(AND(ArtifactsInput!$M$27,Inputs!$B$4="Chapter Hunt"),CHOOSE(ArtifactsInput!$N$27+1,20,24,28,32,36,40),0)/100)),0)</f>
        <v>5.5555555555555552E-2</v>
      </c>
      <c r="R4">
        <f>IF(AND(Inputs!$B$38&lt;&gt;"pvp",Inputs!$B$43&gt;0),IF(MAX(0,Inputs!$B$43-Summary!$B$22)&lt;=0,0,(INT(MAX(0,Inputs!$B$43-Summary!$B$22)/(IF(Inputs!$B$38="pvp",15,MAX(0.1,Skills!E4-IF(TRUE=TRUE,Inputs!$B$32,0)))*(1-IF(AND(ArtifactsInput!$M$27,Inputs!$B$4="Chapter Hunt"),CHOOSE(ArtifactsInput!$N$27+1,20,24,28,32,36,40),0)/100)))+1)),0)</f>
        <v>3</v>
      </c>
      <c r="S4">
        <f>IF(C4,(H4*N4*IF(AND(Inputs!$B$38&lt;&gt;"pvp",Inputs!$B$43&gt;0),((Skills!G4*((R4-1)*IF(Skills!H4&gt;0,Skills!I4/Skills!H4,1)+IF(Skills!H4&gt;0,MIN(Skills!I4,MAX(0,MAX(0,Inputs!$B$43-Summary!$B$22)-((R4-1)*(IF(Inputs!$B$38="pvp",15,MAX(0.1,Skills!E4-IF(TRUE=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633314572399735.62</v>
      </c>
      <c r="U4">
        <f>IF(C4,(H4*N4*IF(AND(Inputs!$B$38&lt;&gt;"pvp",Inputs!$B$43&gt;0),((Skills!G4*((R4-1)*IF(Skills!H4&gt;0,Skills!I4/Skills!H4,1)+IF(Skills!H4&gt;0,MIN(Skills!I4,MAX(0,MAX(0,Inputs!$B$43-Summary!$B$22)-((R4-1)*(IF(Inputs!$B$38="pvp",15,MAX(0.1,Skills!E4-IF(TRUE=TRUE,Inputs!$B$32,0)))*(1-IF(AND(ArtifactsInput!$M$27,Inputs!$B$4="Chapter Hunt"),CHOOSE(ArtifactsInput!$N$27+1,20,24,28,32,36,40),0)/100)))))/Skills!H4,1)))/Inputs!$B$43),G4*Q4))*IF(Inputs!$B$38="pvp",1,(1+(Inputs!$B$21+Skills!Q4+Artifacts!$B$80)/100)*(MIN(Skills!R4,Inputs!$B$37)))*((1+Artifacts!$B$53/100)),0)</f>
        <v>3608095008687453</v>
      </c>
    </row>
    <row r="5" spans="1:26" x14ac:dyDescent="0.2">
      <c r="A5" t="str">
        <f>Skills!A5</f>
        <v>ELEMENTAL_DRAIN</v>
      </c>
      <c r="B5" t="str">
        <f>Skills!B5</f>
        <v>Elemental Drain</v>
      </c>
      <c r="C5" t="b">
        <f>TRUE</f>
        <v>1</v>
      </c>
      <c r="D5">
        <f>IF(Skills!C5=1,60+Inputs!$B$25+Inputs!$B$29,IF(Skills!C5=2,90+Inputs!$B$26+Inputs!$B$29,IF(Skills!C5=3,120+Inputs!$B$27+Inputs!$B$29,MAX(0,(Inputs!$B$3-100)*3)+Inputs!$B$28+Inputs!$B$29)))</f>
        <v>168</v>
      </c>
      <c r="E5">
        <f>INDEX(FactorTable!$B$2:$Y$301, MATCH(ROUND(MIN(300,MAX(1,D5)),0), FactorTable!$A$2:$A$301,0), Skills!M5+1)</f>
        <v>1672</v>
      </c>
      <c r="F5">
        <f>IF(Skills!N5=TRUE,(Skills!L5/10)*(E5/1000),Skills!L5/10)+Skills!O5</f>
        <v>20.064</v>
      </c>
      <c r="G5">
        <f>Skills!G5*IF(Skills!H5&gt;0,IF(Inputs!$B$38="pvp",MIN(Skills!I5,15),Skills!I5)/Skills!H5,1)</f>
        <v>5</v>
      </c>
      <c r="H5">
        <f>1-(1-Skills!J5/100)^Skills!K5</f>
        <v>1</v>
      </c>
      <c r="I5">
        <f>IF(Skills!X5&lt;&gt;"",1+(Skills!X5/10)*($Z$3/1000)/100,1)</f>
        <v>12.475</v>
      </c>
      <c r="J5">
        <f>Summary!$B$6*(F5/100)</f>
        <v>72458030.371890247</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4541925884983.542</v>
      </c>
      <c r="L5">
        <f>K5*(MIN(Inputs!$B$22,Inputs!$B$23)/100+Inputs!$B$23/100)/2</f>
        <v>15101903567570.277</v>
      </c>
      <c r="M5">
        <f>L5*(1+(Inputs!$B$10+Artifacts!$B$33)/100)</f>
        <v>71265882935364.125</v>
      </c>
      <c r="N5">
        <f>L5*(1-MIN((Inputs!$B$9+Artifacts!$B$32),100)/100)+M5*(MIN((Inputs!$B$9+Artifacts!$B$32),100)/100)</f>
        <v>71265882935364.125</v>
      </c>
      <c r="O5">
        <f>(1-Summary!$B$11)*S5+Summary!$B$11*U5</f>
        <v>1046004996783807</v>
      </c>
      <c r="P5">
        <f>IF(Summary!$B$3=0,0,O5/Summary!$B$3)</f>
        <v>3.1613923166633758E-2</v>
      </c>
      <c r="Q5">
        <f>IFERROR(1/(IF(Inputs!$B$38="pvp",15,MAX(0.1,Skills!E5-IF(FALSE=TRUE,Inputs!$B$32,0)))*(1-IF(AND(ArtifactsInput!$M$27,Inputs!$B$4="Chapter Hunt"),CHOOSE(ArtifactsInput!$N$27+1,20,24,28,32,36,40),0)/100)),0)</f>
        <v>1</v>
      </c>
      <c r="R5">
        <f>IF(AND(Inputs!$B$38&lt;&gt;"pvp",Inputs!$B$43&gt;0),IF(MAX(0,Inputs!$B$43-Summary!$B$22)&lt;=0,0,(INT(MAX(0,Inputs!$B$43-Summary!$B$22)/(IF(Inputs!$B$38="pvp",15,MAX(0.1,Skills!E5-IF(FALSE=TRUE,Inputs!$B$32,0)))*(1-IF(AND(ArtifactsInput!$M$27,Inputs!$B$4="Chapter Hunt"),CHOOSE(ArtifactsInput!$N$27+1,20,24,28,32,36,40),0)/100)))+1)),0)</f>
        <v>38</v>
      </c>
      <c r="S5">
        <f>IF(C5,(H5*N5*IF(AND(Inputs!$B$38&lt;&gt;"pvp",Inputs!$B$43&gt;0),((Skills!G5*((R5-1)*IF(Skills!H5&gt;0,Skills!I5/Skills!H5,1)+IF(Skills!H5&gt;0,MIN(Skills!I5,MAX(0,MAX(0,Inputs!$B$43-Summary!$B$22)-((R5-1)*(IF(Inputs!$B$38="pvp",15,MAX(0.1,Skills!E5-IF(FALSE=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1073086032299245.4</v>
      </c>
      <c r="U5">
        <f>IF(C5,(H5*N5*IF(AND(Inputs!$B$38&lt;&gt;"pvp",Inputs!$B$43&gt;0),((Skills!G5*((R5-1)*IF(Skills!H5&gt;0,Skills!I5/Skills!H5,1)+IF(Skills!H5&gt;0,MIN(Skills!I5,MAX(0,MAX(0,Inputs!$B$43-Summary!$B$22)-((R5-1)*(IF(Inputs!$B$38="pvp",15,MAX(0.1,Skills!E5-IF(FALSE=TRUE,Inputs!$B$32,0)))*(1-IF(AND(ArtifactsInput!$M$27,Inputs!$B$4="Chapter Hunt"),CHOOSE(ArtifactsInput!$N$27+1,20,24,28,32,36,40),0)/100)))))/Skills!H5,1)))/Inputs!$B$43),G5*Q5))*IF(Inputs!$B$38="pvp",1,(1+(Inputs!$B$21+Skills!Q5+Artifacts!$B$80)/100)*(MIN(Skills!R5,Inputs!$B$37)))*((1+Artifacts!$B$53/100)),0)</f>
        <v>1018923961268368.6</v>
      </c>
    </row>
    <row r="6" spans="1:26" x14ac:dyDescent="0.2">
      <c r="A6" t="str">
        <f>Skills!A6</f>
        <v>MEDITATION</v>
      </c>
      <c r="B6" t="str">
        <f>Skills!B6</f>
        <v>Meditation</v>
      </c>
      <c r="C6" t="b">
        <f>TRUE</f>
        <v>1</v>
      </c>
      <c r="D6">
        <f>IF(Skills!C6=1,60+Inputs!$B$25+Inputs!$B$29,IF(Skills!C6=2,90+Inputs!$B$26+Inputs!$B$29,IF(Skills!C6=3,120+Inputs!$B$27+Inputs!$B$29,MAX(0,(Inputs!$B$3-100)*3)+Inputs!$B$28+Inputs!$B$29)))</f>
        <v>168</v>
      </c>
      <c r="E6">
        <f>INDEX(FactorTable!$B$2:$Y$301, MATCH(ROUND(MIN(300,MAX(1,D6)),0), FactorTable!$A$2:$A$301,0), Skills!M6+1)</f>
        <v>1672</v>
      </c>
      <c r="F6">
        <f>IF(Skills!N6=TRUE,(Skills!L6/10)*(E6/1000),Skills!L6/10)+Skills!O6</f>
        <v>33.44</v>
      </c>
      <c r="G6">
        <f>Skills!G6*IF(Skills!H6&gt;0,IF(Inputs!$B$38="pvp",MIN(Skills!I6,15),Skills!I6)/Skills!H6,1)</f>
        <v>1</v>
      </c>
      <c r="H6">
        <f>1-(1-Skills!J6/100)^Skills!K6</f>
        <v>1</v>
      </c>
      <c r="I6">
        <f>IF(Skills!X6&lt;&gt;"",1+(Skills!X6/10)*($Z$3/1000)/100,1)</f>
        <v>1</v>
      </c>
      <c r="O6">
        <f>(1-Summary!$B$11)*S6+Summary!$B$11*U6</f>
        <v>0</v>
      </c>
      <c r="P6">
        <f>IF(Summary!$B$3=0,0,O6/Summary!$B$3)</f>
        <v>0</v>
      </c>
      <c r="Q6">
        <f>IFERROR(1/(IF(Inputs!$B$38="pvp",15,MAX(0.1,Skills!E6-IF(TRUE=TRUE,Inputs!$B$32,0)))*(1-IF(AND(ArtifactsInput!$M$27,Inputs!$B$4="Chapter Hunt"),CHOOSE(ArtifactsInput!$N$27+1,20,24,28,32,36,40),0)/100)),0)</f>
        <v>3.3333333333333333E-2</v>
      </c>
      <c r="R6">
        <f>IF(AND(Inputs!$B$38&lt;&gt;"pvp",Inputs!$B$43&gt;0),IF(Inputs!$B$43&lt;=0,0,(INT(Inputs!$B$43/(IF(Inputs!$B$38="pvp",15,MAX(0.1,Skills!E6-IF(TRUE=TRUE,Inputs!$B$32,0)))*(1-IF(AND(ArtifactsInput!$M$27,Inputs!$B$4="Chapter Hunt"),CHOOSE(ArtifactsInput!$N$27+1,20,24,28,32,36,40),0)/100)))+1)),0)</f>
        <v>2</v>
      </c>
      <c r="S6">
        <v>0</v>
      </c>
      <c r="U6">
        <v>0</v>
      </c>
    </row>
    <row r="7" spans="1:26" x14ac:dyDescent="0.2">
      <c r="A7" t="str">
        <f>Skills!A7</f>
        <v>POISON_MIST_BURST</v>
      </c>
      <c r="B7" t="str">
        <f>Skills!B7</f>
        <v>Poison Mist (burst)</v>
      </c>
      <c r="C7" t="b">
        <f>TRUE</f>
        <v>1</v>
      </c>
      <c r="D7">
        <f>IF(Skills!C7=1,60+Inputs!$B$25+Inputs!$B$29,IF(Skills!C7=2,90+Inputs!$B$26+Inputs!$B$29,IF(Skills!C7=3,120+Inputs!$B$27+Inputs!$B$29,MAX(0,(Inputs!$B$3-100)*3)+Inputs!$B$28+Inputs!$B$29)))</f>
        <v>184</v>
      </c>
      <c r="E7">
        <f>INDEX(FactorTable!$B$2:$Y$301, MATCH(ROUND(MIN(300,MAX(1,D7)),0), FactorTable!$A$2:$A$301,0), Skills!M7+1)</f>
        <v>1920</v>
      </c>
      <c r="F7">
        <f>IF(Skills!N7=TRUE,(Skills!L7/10)*(E7/1000),Skills!L7/10)+Skills!O7</f>
        <v>357.2</v>
      </c>
      <c r="G7">
        <f>Skills!G7*IF(Skills!H7&gt;0,IF(Inputs!$B$38="pvp",MIN(Skills!I7,15),Skills!I7)/Skills!H7,1)</f>
        <v>3</v>
      </c>
      <c r="H7">
        <f>1-(1-Skills!J7/100)^Skills!K7</f>
        <v>1</v>
      </c>
      <c r="I7">
        <f>IF(Skills!X7&lt;&gt;"",1+(Skills!X7/10)*($Z$3/1000)/100,1)</f>
        <v>1.7650000000000001</v>
      </c>
      <c r="J7">
        <f>Summary!$B$6*(F7/100)</f>
        <v>1289972510.4086521</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11440318873772.086</v>
      </c>
      <c r="L7">
        <f>K7*(MIN(Inputs!$B$22,Inputs!$B$23)/100+Inputs!$B$23/100)/2</f>
        <v>38039060255292.188</v>
      </c>
      <c r="M7">
        <f>L7*(1+(Inputs!$B$10+Artifacts!$B$33)/100)</f>
        <v>179506325344723.81</v>
      </c>
      <c r="N7">
        <f>L7*(1-MIN((Inputs!$B$9+Artifacts!$B$32),100)/100)+M7*(MIN((Inputs!$B$9+Artifacts!$B$32),100)/100)</f>
        <v>179506325344723.81</v>
      </c>
      <c r="O7">
        <f>(1-Summary!$B$11)*S7+Summary!$B$11*U7</f>
        <v>447913158316422</v>
      </c>
      <c r="P7">
        <f>IF(Summary!$B$3=0,0,O7/Summary!$B$3)</f>
        <v>1.3537499549121505E-2</v>
      </c>
      <c r="Q7">
        <f>IFERROR(1/(IF(Inputs!$B$38="pvp",15,MAX(0.1,Skills!E7-IF(TRUE=TRUE,Inputs!$B$32,0)))*(1-IF(AND(ArtifactsInput!$M$27,Inputs!$B$4="Chapter Hunt"),CHOOSE(ArtifactsInput!$N$27+1,20,24,28,32,36,40),0)/100)),0)</f>
        <v>4.0816326530612242E-2</v>
      </c>
      <c r="R7">
        <f>IF(AND(Inputs!$B$38&lt;&gt;"pvp",Inputs!$B$43&gt;0),IF(MAX(0,Inputs!$B$43-Summary!$B$22)&lt;=0,0,(INT(MAX(0,Inputs!$B$43-Summary!$B$22)/(IF(Inputs!$B$38="pvp",15,MAX(0.1,Skills!E7-IF(TRUE=TRUE,Inputs!$B$32,0)))*(1-IF(AND(ArtifactsInput!$M$27,Inputs!$B$4="Chapter Hunt"),CHOOSE(ArtifactsInput!$N$27+1,20,24,28,32,36,40),0)/100)))+1)),0)</f>
        <v>2</v>
      </c>
      <c r="S7">
        <f>IF(C7,(H7*N7*IF(AND(Inputs!$B$38&lt;&gt;"pvp",Inputs!$B$43&gt;0),((Skills!G7*((R7-1)*IF(Skills!H7&gt;0,Skills!I7/Skills!H7,1)+IF(Skills!H7&gt;0,MIN(Skills!I7,MAX(0,MAX(0,Inputs!$B$43-Summary!$B$22)-((R7-1)*(IF(Inputs!$B$38="pvp",15,MAX(0.1,Skills!E7-IF(TRUE=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85355257701416.172</v>
      </c>
      <c r="U7">
        <f>IF(C7,(H7*N7*IF(AND(Inputs!$B$38&lt;&gt;"pvp",Inputs!$B$43&gt;0),((Skills!G7*((R7-1)*IF(Skills!H7&gt;0,Skills!I7/Skills!H7,1)+IF(Skills!H7&gt;0,MIN(Skills!I7,MAX(0,MAX(0,Inputs!$B$43-Summary!$B$22)-((R7-1)*(IF(Inputs!$B$38="pvp",15,MAX(0.1,Skills!E7-IF(TRUE=TRUE,Inputs!$B$32,0)))*(1-IF(AND(ArtifactsInput!$M$27,Inputs!$B$4="Chapter Hunt"),CHOOSE(ArtifactsInput!$N$27+1,20,24,28,32,36,40),0)/100)))))/Skills!H7,1)))/Inputs!$B$43),G7*Q7))*IF(Inputs!$B$38="pvp",1,(1+(Inputs!$B$21+Skills!Q7+Artifacts!$B$80)/100)*(MIN(Skills!R7,Inputs!$B$37)))*((1+Artifacts!$B$53/100)),0)</f>
        <v>810471058931427.88</v>
      </c>
    </row>
    <row r="8" spans="1:26" x14ac:dyDescent="0.2">
      <c r="A8" t="str">
        <f>Skills!A8</f>
        <v>POISON_MIST_DOT</v>
      </c>
      <c r="B8" t="str">
        <f>Skills!B8</f>
        <v>Poison Mist (fog DoT)</v>
      </c>
      <c r="C8" t="b">
        <f>TRUE</f>
        <v>1</v>
      </c>
      <c r="D8">
        <f>IF(Skills!C8=1,60+Inputs!$B$25+Inputs!$B$29,IF(Skills!C8=2,90+Inputs!$B$26+Inputs!$B$29,IF(Skills!C8=3,120+Inputs!$B$27+Inputs!$B$29,MAX(0,(Inputs!$B$3-100)*3)+Inputs!$B$28+Inputs!$B$29)))</f>
        <v>184</v>
      </c>
      <c r="E8">
        <f>INDEX(FactorTable!$B$2:$Y$301, MATCH(ROUND(MIN(300,MAX(1,D8)),0), FactorTable!$A$2:$A$301,0), Skills!M8+1)</f>
        <v>1920</v>
      </c>
      <c r="F8">
        <f>IF(Skills!N8=TRUE,(Skills!L8/10)*(E8/1000),Skills!L8/10)+Skills!O8</f>
        <v>134.4</v>
      </c>
      <c r="G8">
        <f>Skills!G8*IF(Skills!H8&gt;0,IF(Inputs!$B$38="pvp",MIN(Skills!I8,15),Skills!I8)/Skills!H8,1)</f>
        <v>50</v>
      </c>
      <c r="H8">
        <f>1-(1-Skills!J8/100)^Skills!K8</f>
        <v>1</v>
      </c>
      <c r="I8">
        <f>IF(Skills!X8&lt;&gt;"",1+(Skills!X8/10)*($Z$3/1000)/100,1)</f>
        <v>1.7650000000000001</v>
      </c>
      <c r="J8">
        <f>Summary!$B$6*(F8/100)</f>
        <v>485364796.74950409</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4304532073446.1597</v>
      </c>
      <c r="L8">
        <f>K8*(MIN(Inputs!$B$22,Inputs!$B$23)/100+Inputs!$B$23/100)/2</f>
        <v>14312569144208.482</v>
      </c>
      <c r="M8">
        <f>L8*(1+(Inputs!$B$10+Artifacts!$B$33)/100)</f>
        <v>67541013791519.82</v>
      </c>
      <c r="N8">
        <f>L8*(1-MIN((Inputs!$B$9+Artifacts!$B$32),100)/100)+M8*(MIN((Inputs!$B$9+Artifacts!$B$32),100)/100)</f>
        <v>67541013791519.82</v>
      </c>
      <c r="O8">
        <f>(1-Summary!$B$11)*S8+Summary!$B$11*U8</f>
        <v>2327471980535951</v>
      </c>
      <c r="P8">
        <f>IF(Summary!$B$3=0,0,O8/Summary!$B$3)</f>
        <v>7.0344329703392813E-2</v>
      </c>
      <c r="Q8">
        <f>IFERROR(1/(IF(Inputs!$B$38="pvp",15,MAX(0.1,Skills!E8-IF(TRUE=TRUE,Inputs!$B$32,0)))*(1-IF(AND(ArtifactsInput!$M$27,Inputs!$B$4="Chapter Hunt"),CHOOSE(ArtifactsInput!$N$27+1,20,24,28,32,36,40),0)/100)),0)</f>
        <v>4.0816326530612242E-2</v>
      </c>
      <c r="R8">
        <f>IF(AND(Inputs!$B$38&lt;&gt;"pvp",Inputs!$B$43&gt;0),IF(MAX(0,Inputs!$B$43-Summary!$B$22)&lt;=0,0,(INT(MAX(0,Inputs!$B$43-Summary!$B$22)/(IF(Inputs!$B$38="pvp",15,MAX(0.1,Skills!E8-IF(TRUE=TRUE,Inputs!$B$32,0)))*(1-IF(AND(ArtifactsInput!$M$27,Inputs!$B$4="Chapter Hunt"),CHOOSE(ArtifactsInput!$N$27+1,20,24,28,32,36,40),0)/100)))+1)),0)</f>
        <v>2</v>
      </c>
      <c r="S8">
        <f>IF(C8,(H8*N8*IF(AND(Inputs!$B$38&lt;&gt;"pvp",Inputs!$B$43&gt;0),((Skills!G8*((R8-1)*IF(Skills!H8&gt;0,Skills!I8/Skills!H8,1)+IF(Skills!H8&gt;0,MIN(Skills!I8,MAX(0,MAX(0,Inputs!$B$43-Summary!$B$22)-((R8-1)*(IF(Inputs!$B$38="pvp",15,MAX(0.1,Skills!E8-IF(TRUE=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443527873657887.88</v>
      </c>
      <c r="U8">
        <f>IF(C8,(H8*N8*IF(AND(Inputs!$B$38&lt;&gt;"pvp",Inputs!$B$43&gt;0),((Skills!G8*((R8-1)*IF(Skills!H8&gt;0,Skills!I8/Skills!H8,1)+IF(Skills!H8&gt;0,MIN(Skills!I8,MAX(0,MAX(0,Inputs!$B$43-Summary!$B$22)-((R8-1)*(IF(Inputs!$B$38="pvp",15,MAX(0.1,Skills!E8-IF(TRUE=TRUE,Inputs!$B$32,0)))*(1-IF(AND(ArtifactsInput!$M$27,Inputs!$B$4="Chapter Hunt"),CHOOSE(ArtifactsInput!$N$27+1,20,24,28,32,36,40),0)/100)))))/Skills!H8,1)))/Inputs!$B$43),G8*Q8))*IF(Inputs!$B$38="pvp",1,(1+(Inputs!$B$21+Skills!Q8+Artifacts!$B$80)/100)*(MIN(Skills!R8,Inputs!$B$37)))*((1+Artifacts!$B$53/100)),0)</f>
        <v>4211416087414014</v>
      </c>
    </row>
    <row r="9" spans="1:26" x14ac:dyDescent="0.2">
      <c r="A9" t="str">
        <f>Skills!A9</f>
        <v>MIST_ERUPTION</v>
      </c>
      <c r="B9" t="str">
        <f>Skills!B9</f>
        <v>Mist Eruption</v>
      </c>
      <c r="C9" t="b">
        <f>Inputs!$B$3&gt;=103</f>
        <v>1</v>
      </c>
      <c r="D9">
        <f>IF(Skills!C9=1,60+Inputs!$B$25+Inputs!$B$29,IF(Skills!C9=2,90+Inputs!$B$26+Inputs!$B$29,IF(Skills!C9=3,120+Inputs!$B$27+Inputs!$B$29,MAX(0,(Inputs!$B$3-100)*3)+Inputs!$B$28+Inputs!$B$29)))</f>
        <v>185</v>
      </c>
      <c r="E9">
        <f>INDEX(FactorTable!$B$2:$Y$301, MATCH(ROUND(MIN(300,MAX(1,D9)),0), FactorTable!$A$2:$A$301,0), Skills!M9+1)</f>
        <v>1925</v>
      </c>
      <c r="F9">
        <f>IF(Skills!N9=TRUE,(Skills!L9/10)*(E9/1000),Skills!L9/10)+Skills!O9</f>
        <v>5775</v>
      </c>
      <c r="G9">
        <f>Skills!G9*IF(Skills!H9&gt;0,IF(Inputs!$B$38="pvp",MIN(Skills!I9,15),Skills!I9)/Skills!H9,1)</f>
        <v>2.5</v>
      </c>
      <c r="H9">
        <f>1-(1-Skills!J9/100)^Skills!K9</f>
        <v>1</v>
      </c>
      <c r="I9">
        <f>IF(Skills!X9&lt;&gt;"",1+(Skills!X9/10)*($Z$3/1000)/100,1)</f>
        <v>1</v>
      </c>
      <c r="J9">
        <f>Summary!$B$6*(F9/100)</f>
        <v>20855518610.330254</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104793406533081.95</v>
      </c>
      <c r="L9">
        <f>K9*(MIN(Inputs!$B$22,Inputs!$B$23)/100+Inputs!$B$23/100)/2</f>
        <v>348438076722497.5</v>
      </c>
      <c r="M9">
        <f>L9*(1+(Inputs!$B$10+Artifacts!$B$33)/100)</f>
        <v>1644279284053465.5</v>
      </c>
      <c r="N9">
        <f>L9*(1-MIN((Inputs!$B$9+Artifacts!$B$32),100)/100)+M9*(MIN((Inputs!$B$9+Artifacts!$B$32),100)/100)</f>
        <v>1644279284053465.5</v>
      </c>
      <c r="O9">
        <f>(1-Summary!$B$11)*S9+Summary!$B$11*U9</f>
        <v>3419073236278675</v>
      </c>
      <c r="P9">
        <f>IF(Summary!$B$3=0,0,O9/Summary!$B$3)</f>
        <v>0.10333633101673266</v>
      </c>
      <c r="Q9">
        <f>IFERROR(1/(IF(Inputs!$B$38="pvp",15,MAX(0.1,Skills!E9-IF(TRUE=TRUE,Inputs!$B$32,0)))*(1-IF(AND(ArtifactsInput!$M$27,Inputs!$B$4="Chapter Hunt"),CHOOSE(ArtifactsInput!$N$27+1,20,24,28,32,36,40),0)/100)),0)</f>
        <v>4.0816326530612242E-2</v>
      </c>
      <c r="R9">
        <f>IF(AND(Inputs!$B$38&lt;&gt;"pvp",Inputs!$B$43&gt;0),IF(MAX(0,Inputs!$B$43-Summary!$B$22)&lt;=0,0,(INT(MAX(0,Inputs!$B$43-Summary!$B$22)/(IF(Inputs!$B$38="pvp",15,MAX(0.1,Skills!E9-IF(TRUE=TRUE,Inputs!$B$32,0)))*(1-IF(AND(ArtifactsInput!$M$27,Inputs!$B$4="Chapter Hunt"),CHOOSE(ArtifactsInput!$N$27+1,20,24,28,32,36,40),0)/100)))+1)),0)</f>
        <v>2</v>
      </c>
      <c r="S9">
        <f>IF(C9,(H9*N9*IF(AND(Inputs!$B$38&lt;&gt;"pvp",Inputs!$B$43&gt;0),((Skills!G9*((R9-1)*IF(Skills!H9&gt;0,Skills!I9/Skills!H9,1)+IF(Skills!H9&gt;0,MIN(Skills!I9,MAX(0,MAX(0,Inputs!$B$43-Summary!$B$22)-((R9-1)*(IF(Inputs!$B$38="pvp",15,MAX(0.1,Skills!E9-IF(TRUE=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651545666306185.75</v>
      </c>
      <c r="U9">
        <f>IF(C9,(H9*N9*IF(AND(Inputs!$B$38&lt;&gt;"pvp",Inputs!$B$43&gt;0),((Skills!G9*((R9-1)*IF(Skills!H9&gt;0,Skills!I9/Skills!H9,1)+IF(Skills!H9&gt;0,MIN(Skills!I9,MAX(0,MAX(0,Inputs!$B$43-Summary!$B$22)-((R9-1)*(IF(Inputs!$B$38="pvp",15,MAX(0.1,Skills!E9-IF(TRUE=TRUE,Inputs!$B$32,0)))*(1-IF(AND(ArtifactsInput!$M$27,Inputs!$B$4="Chapter Hunt"),CHOOSE(ArtifactsInput!$N$27+1,20,24,28,32,36,40),0)/100)))))/Skills!H9,1)))/Inputs!$B$43),G9*Q9))*IF(Inputs!$B$38="pvp",1,(1+(Inputs!$B$21+Skills!Q9+Artifacts!$B$80)/100)*(MIN(Skills!R9,Inputs!$B$37)))*((1+Artifacts!$B$53/100)),0)</f>
        <v>6186600806251164</v>
      </c>
    </row>
    <row r="10" spans="1:26" x14ac:dyDescent="0.2">
      <c r="A10" t="str">
        <f>Skills!A10</f>
        <v>CREEPING_TOXIN</v>
      </c>
      <c r="B10" t="str">
        <f>Skills!B10</f>
        <v>Creeping Toxin</v>
      </c>
      <c r="C10" t="b">
        <f>TRUE</f>
        <v>1</v>
      </c>
      <c r="D10">
        <f>IF(Skills!C10=1,60+Inputs!$B$25+Inputs!$B$29,IF(Skills!C10=2,90+Inputs!$B$26+Inputs!$B$29,IF(Skills!C10=3,120+Inputs!$B$27+Inputs!$B$29,MAX(0,(Inputs!$B$3-100)*3)+Inputs!$B$28+Inputs!$B$29)))</f>
        <v>184</v>
      </c>
      <c r="E10">
        <f>INDEX(FactorTable!$B$2:$Y$301, MATCH(ROUND(MIN(300,MAX(1,D10)),0), FactorTable!$A$2:$A$301,0), Skills!M10+1)</f>
        <v>1920</v>
      </c>
      <c r="F10">
        <f>IF(Skills!N10=TRUE,(Skills!L10/10)*(E10/1000),Skills!L10/10)+Skills!O10</f>
        <v>280.39999999999998</v>
      </c>
      <c r="G10">
        <f>Skills!G10*IF(Skills!H10&gt;0,IF(Inputs!$B$38="pvp",MIN(Skills!I10,15),Skills!I10)/Skills!H10,1)</f>
        <v>15</v>
      </c>
      <c r="H10">
        <f>1-(1-Skills!J10/100)^Skills!K10</f>
        <v>1</v>
      </c>
      <c r="I10">
        <f>IF(Skills!X10&lt;&gt;"",1+(Skills!X10/10)*($Z$3/1000)/100,1)</f>
        <v>1.7650000000000001</v>
      </c>
      <c r="J10">
        <f>Summary!$B$6*(F10/100)</f>
        <v>1012621197.9803641</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8980586260374.2793</v>
      </c>
      <c r="L10">
        <f>K10*(MIN(Inputs!$B$22,Inputs!$B$23)/100+Inputs!$B$23/100)/2</f>
        <v>29860449315744.48</v>
      </c>
      <c r="M10">
        <f>L10*(1+(Inputs!$B$10+Artifacts!$B$33)/100)</f>
        <v>140911460320998.19</v>
      </c>
      <c r="N10">
        <f>L10*(1-MIN((Inputs!$B$9+Artifacts!$B$32),100)/100)+M10*(MIN((Inputs!$B$9+Artifacts!$B$32),100)/100)</f>
        <v>140911460320998.19</v>
      </c>
      <c r="O10">
        <f>(1-Summary!$B$11)*S10+Summary!$B$11*U10</f>
        <v>324323455609081.62</v>
      </c>
      <c r="P10">
        <f>IF(Summary!$B$3=0,0,O10/Summary!$B$3)</f>
        <v>9.8021872154419789E-3</v>
      </c>
      <c r="Q10">
        <f>IFERROR(1/(IF(Inputs!$B$38="pvp",15,MAX(0.1,Skills!E10-IF(TRUE=TRUE,Inputs!$B$32,0)))*(1-IF(AND(ArtifactsInput!$M$27,Inputs!$B$4="Chapter Hunt"),CHOOSE(ArtifactsInput!$N$27+1,20,24,28,32,36,40),0)/100)),0)</f>
        <v>3.7037037037037035E-2</v>
      </c>
      <c r="R10">
        <f>IF(AND(Inputs!$B$38&lt;&gt;"pvp",Inputs!$B$43&gt;0),IF(MAX(0,Inputs!$B$43-Summary!$B$22)&lt;=0,0,(INT(MAX(0,Inputs!$B$43-Summary!$B$22)/(IF(Inputs!$B$38="pvp",15,MAX(0.1,Skills!E10-IF(TRUE=TRUE,Inputs!$B$32,0)))*(1-IF(AND(ArtifactsInput!$M$27,Inputs!$B$4="Chapter Hunt"),CHOOSE(ArtifactsInput!$N$27+1,20,24,28,32,36,40),0)/100)))+1)),0)</f>
        <v>2</v>
      </c>
      <c r="S10">
        <f>IF(C10,(H10*N10*IF(AND(Inputs!$B$38&lt;&gt;"pvp",Inputs!$B$43&gt;0),((Skills!G10*((R10-1)*IF(Skills!H10&gt;0,Skills!I10/Skills!H10,1)+IF(Skills!H10&gt;0,MIN(Skills!I10,MAX(0,MAX(0,Inputs!$B$43-Summary!$B$22)-((R10-1)*(IF(Inputs!$B$38="pvp",15,MAX(0.1,Skills!E10-IF(TRUE=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286380321526682.12</v>
      </c>
      <c r="U10">
        <f>IF(C10,(H10*N10*IF(AND(Inputs!$B$38&lt;&gt;"pvp",Inputs!$B$43&gt;0),((Skills!G10*((R10-1)*IF(Skills!H10&gt;0,Skills!I10/Skills!H10,1)+IF(Skills!H10&gt;0,MIN(Skills!I10,MAX(0,MAX(0,Inputs!$B$43-Summary!$B$22)-((R10-1)*(IF(Inputs!$B$38="pvp",15,MAX(0.1,Skills!E10-IF(TRUE=TRUE,Inputs!$B$32,0)))*(1-IF(AND(ArtifactsInput!$M$27,Inputs!$B$4="Chapter Hunt"),CHOOSE(ArtifactsInput!$N$27+1,20,24,28,32,36,40),0)/100)))))/Skills!H10,1)))/Inputs!$B$43),G10*Q10))*IF(Inputs!$B$38="pvp",1,(1+(Inputs!$B$21+Skills!Q10+Artifacts!$B$80)/100)*(MIN(Skills!R10,Inputs!$B$37)))*((1+Artifacts!$B$53/100)),0)</f>
        <v>362266589691481.19</v>
      </c>
    </row>
    <row r="11" spans="1:26" x14ac:dyDescent="0.2">
      <c r="A11" t="str">
        <f>Skills!A11</f>
        <v>BURNING_MAGIC</v>
      </c>
      <c r="B11" t="str">
        <f>Skills!B11</f>
        <v>Burning Magic</v>
      </c>
      <c r="C11" t="b">
        <f>TRUE</f>
        <v>1</v>
      </c>
      <c r="D11">
        <f>IF(Skills!C11=1,60+Inputs!$B$25+Inputs!$B$29,IF(Skills!C11=2,90+Inputs!$B$26+Inputs!$B$29,IF(Skills!C11=3,120+Inputs!$B$27+Inputs!$B$29,MAX(0,(Inputs!$B$3-100)*3)+Inputs!$B$28+Inputs!$B$29)))</f>
        <v>184</v>
      </c>
      <c r="E11">
        <f>INDEX(FactorTable!$B$2:$Y$301, MATCH(ROUND(MIN(300,MAX(1,D11)),0), FactorTable!$A$2:$A$301,0), Skills!M11+1)</f>
        <v>0</v>
      </c>
      <c r="F11">
        <f>IF(Skills!N11=TRUE,(Skills!L11/10)*(E11/1000),Skills!L11/10)+Skills!O11</f>
        <v>5</v>
      </c>
      <c r="G11">
        <f>Skills!G11*IF(Skills!H11&gt;0,IF(Inputs!$B$38="pvp",MIN(Skills!I11,15),Skills!I11)/Skills!H11,1)</f>
        <v>1</v>
      </c>
      <c r="H11">
        <f>1-(1-Skills!J11/100)^Skills!K11</f>
        <v>1</v>
      </c>
      <c r="I11">
        <f>IF(Skills!X11&lt;&gt;"",1+(Skills!X11/10)*($Z$3/1000)/100,1)</f>
        <v>1</v>
      </c>
      <c r="O11">
        <f>(1-Summary!$B$11)*S11+Summary!$B$11*U11</f>
        <v>0</v>
      </c>
      <c r="P11">
        <f>IF(Summary!$B$3=0,0,O11/Summary!$B$3)</f>
        <v>0</v>
      </c>
      <c r="Q11">
        <f>IFERROR(1/(IF(Inputs!$B$38="pvp",15,MAX(0.1,Skills!E11-IF(TRUE=TRUE,Inputs!$B$32,0)))*(1-IF(AND(ArtifactsInput!$M$27,Inputs!$B$4="Chapter Hunt"),CHOOSE(ArtifactsInput!$N$27+1,20,24,28,32,36,40),0)/100)),0)</f>
        <v>10</v>
      </c>
      <c r="R11">
        <v>0</v>
      </c>
      <c r="S11">
        <v>0</v>
      </c>
      <c r="U11">
        <v>0</v>
      </c>
    </row>
    <row r="12" spans="1:26" x14ac:dyDescent="0.2">
      <c r="A12" t="str">
        <f>Skills!A12</f>
        <v>ELEMENTAL_DECREASE</v>
      </c>
      <c r="B12" t="str">
        <f>Skills!B12</f>
        <v>Elemental Decrease</v>
      </c>
      <c r="C12" t="b">
        <f>TRUE</f>
        <v>1</v>
      </c>
      <c r="D12">
        <f>IF(Skills!C12=1,60+Inputs!$B$25+Inputs!$B$29,IF(Skills!C12=2,90+Inputs!$B$26+Inputs!$B$29,IF(Skills!C12=3,120+Inputs!$B$27+Inputs!$B$29,MAX(0,(Inputs!$B$3-100)*3)+Inputs!$B$28+Inputs!$B$29)))</f>
        <v>184</v>
      </c>
      <c r="E12">
        <f>INDEX(FactorTable!$B$2:$Y$301, MATCH(ROUND(MIN(300,MAX(1,D12)),0), FactorTable!$A$2:$A$301,0), Skills!M12+1)</f>
        <v>1552</v>
      </c>
      <c r="F12">
        <f>IF(Skills!N12=TRUE,(Skills!L12/10)*(E12/1000),Skills!L12/10)+Skills!O12</f>
        <v>18.624000000000002</v>
      </c>
      <c r="G12">
        <f>Skills!G12*IF(Skills!H12&gt;0,IF(Inputs!$B$38="pvp",MIN(Skills!I12,15),Skills!I12)/Skills!H12,1)</f>
        <v>1</v>
      </c>
      <c r="H12">
        <f>1-(1-Skills!J12/100)^Skills!K12</f>
        <v>0.5</v>
      </c>
      <c r="I12">
        <f>IF(Skills!X12&lt;&gt;"",1+(Skills!X12/10)*($Z$3/1000)/100,1)</f>
        <v>1</v>
      </c>
      <c r="O12">
        <f>(1-Summary!$B$11)*S12+Summary!$B$11*U12</f>
        <v>0</v>
      </c>
      <c r="P12">
        <f>IF(Summary!$B$3=0,0,O12/Summary!$B$3)</f>
        <v>0</v>
      </c>
      <c r="Q12">
        <f>IFERROR(1/(IF(Inputs!$B$38="pvp",15,MAX(0.1,Skills!E12-IF(TRUE=TRUE,Inputs!$B$32,0)))*(1-IF(AND(ArtifactsInput!$M$27,Inputs!$B$4="Chapter Hunt"),CHOOSE(ArtifactsInput!$N$27+1,20,24,28,32,36,40),0)/100)),0)</f>
        <v>10</v>
      </c>
      <c r="R12">
        <v>0</v>
      </c>
      <c r="S12">
        <v>0</v>
      </c>
      <c r="U12">
        <v>0</v>
      </c>
    </row>
    <row r="13" spans="1:26" x14ac:dyDescent="0.2">
      <c r="A13" t="str">
        <f>Skills!A13</f>
        <v>METEOR_SHOWER_BURST</v>
      </c>
      <c r="B13" t="str">
        <f>Skills!B13</f>
        <v>Meteor Shower (burst)</v>
      </c>
      <c r="C13" t="b">
        <f>Inputs!$B$3&gt;=105</f>
        <v>1</v>
      </c>
      <c r="D13">
        <f>IF(Skills!C13=1,60+Inputs!$B$25+Inputs!$B$29,IF(Skills!C13=2,90+Inputs!$B$26+Inputs!$B$29,IF(Skills!C13=3,120+Inputs!$B$27+Inputs!$B$29,MAX(0,(Inputs!$B$3-100)*3)+Inputs!$B$28+Inputs!$B$29)))</f>
        <v>185</v>
      </c>
      <c r="E13">
        <f>INDEX(FactorTable!$B$2:$Y$301, MATCH(ROUND(MIN(300,MAX(1,D13)),0), FactorTable!$A$2:$A$301,0), Skills!M13+1)</f>
        <v>1925</v>
      </c>
      <c r="F13">
        <f>IF(Skills!N13=TRUE,(Skills!L13/10)*(E13/1000),Skills!L13/10)+Skills!O13</f>
        <v>1155</v>
      </c>
      <c r="G13">
        <f>Skills!G13*IF(Skills!H13&gt;0,IF(Inputs!$B$38="pvp",MIN(Skills!I13,15),Skills!I13)/Skills!H13,1)</f>
        <v>9</v>
      </c>
      <c r="H13">
        <f>1-(1-Skills!J13/100)^Skills!K13</f>
        <v>1</v>
      </c>
      <c r="I13">
        <f>IF(Skills!X13&lt;&gt;"",1+(Skills!X13/10)*($Z$3/1000)/100,1)</f>
        <v>1</v>
      </c>
      <c r="J13">
        <f>Summary!$B$6*(F13/100)</f>
        <v>4171103722.0660505</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20958681306616.391</v>
      </c>
      <c r="L13">
        <f>K13*(MIN(Inputs!$B$22,Inputs!$B$23)/100+Inputs!$B$23/100)/2</f>
        <v>69687615344499.5</v>
      </c>
      <c r="M13">
        <f>L13*(1+(Inputs!$B$10+Artifacts!$B$33)/100)</f>
        <v>328855856810693.12</v>
      </c>
      <c r="N13">
        <f>L13*(1-MIN((Inputs!$B$9+Artifacts!$B$32),100)/100)+M13*(MIN((Inputs!$B$9+Artifacts!$B$32),100)/100)</f>
        <v>328855856810693.12</v>
      </c>
      <c r="O13">
        <f>(1-Summary!$B$11)*S13+Summary!$B$11*U13</f>
        <v>1793579843045520.5</v>
      </c>
      <c r="P13">
        <f>IF(Summary!$B$3=0,0,O13/Summary!$B$3)</f>
        <v>5.4208245204954375E-2</v>
      </c>
      <c r="Q13">
        <f>IFERROR(1/(IF(Inputs!$B$38="pvp",15,MAX(0.1,Skills!E13-IF(TRUE=TRUE,Inputs!$B$32,0)))*(1-IF(AND(ArtifactsInput!$M$27,Inputs!$B$4="Chapter Hunt"),CHOOSE(ArtifactsInput!$N$27+1,20,24,28,32,36,40),0)/100)),0)</f>
        <v>3.0303030303030304E-2</v>
      </c>
      <c r="R13">
        <f>IF(AND(Inputs!$B$38&lt;&gt;"pvp",Inputs!$B$43&gt;0),IF(MAX(0,Inputs!$B$43-Summary!$B$22)&lt;=0,0,(INT(MAX(0,Inputs!$B$43-Summary!$B$22)/(IF(Inputs!$B$38="pvp",15,MAX(0.1,Skills!E13-IF(TRUE=TRUE,Inputs!$B$32,0)))*(1-IF(AND(ArtifactsInput!$M$27,Inputs!$B$4="Chapter Hunt"),CHOOSE(ArtifactsInput!$N$27+1,20,24,28,32,36,40),0)/100)))+1)),0)</f>
        <v>2</v>
      </c>
      <c r="S13">
        <f>IF(C13,(H13*N13*IF(AND(Inputs!$B$38&lt;&gt;"pvp",Inputs!$B$43&gt;0),((Skills!G13*((R13-1)*IF(Skills!H13&gt;0,Skills!I13/Skills!H13,1)+IF(Skills!H13&gt;0,MIN(Skills!I13,MAX(0,MAX(0,Inputs!$B$43-Summary!$B$22)-((R13-1)*(IF(Inputs!$B$38="pvp",15,MAX(0.1,Skills!E13-IF(TRUE=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469112879740453.75</v>
      </c>
      <c r="U13">
        <f>IF(C13,(H13*N13*IF(AND(Inputs!$B$38&lt;&gt;"pvp",Inputs!$B$43&gt;0),((Skills!G13*((R13-1)*IF(Skills!H13&gt;0,Skills!I13/Skills!H13,1)+IF(Skills!H13&gt;0,MIN(Skills!I13,MAX(0,MAX(0,Inputs!$B$43-Summary!$B$22)-((R13-1)*(IF(Inputs!$B$38="pvp",15,MAX(0.1,Skills!E13-IF(TRUE=TRUE,Inputs!$B$32,0)))*(1-IF(AND(ArtifactsInput!$M$27,Inputs!$B$4="Chapter Hunt"),CHOOSE(ArtifactsInput!$N$27+1,20,24,28,32,36,40),0)/100)))))/Skills!H13,1)))/Inputs!$B$43),G13*Q13))*IF(Inputs!$B$38="pvp",1,(1+(Inputs!$B$21+Skills!Q13+Artifacts!$B$80)/100)*(MIN(Skills!R13,Inputs!$B$37)))*((1+Artifacts!$B$53/100)),0)</f>
        <v>3118046806350587</v>
      </c>
    </row>
    <row r="14" spans="1:26" x14ac:dyDescent="0.2">
      <c r="A14" t="str">
        <f>Skills!A14</f>
        <v>METEOR_PROC</v>
      </c>
      <c r="B14" t="str">
        <f>Skills!B14</f>
        <v>Meteor Proc (30% on-hit, 1s ICD)</v>
      </c>
      <c r="C14" t="b">
        <f>Inputs!$B$3&gt;=113</f>
        <v>1</v>
      </c>
      <c r="D14">
        <f>IF(Skills!C14=1,60+Inputs!$B$25+Inputs!$B$29,IF(Skills!C14=2,90+Inputs!$B$26+Inputs!$B$29,IF(Skills!C14=3,120+Inputs!$B$27+Inputs!$B$29,MAX(0,(Inputs!$B$3-100)*3)+Inputs!$B$28+Inputs!$B$29)))</f>
        <v>185</v>
      </c>
      <c r="E14">
        <f>INDEX(FactorTable!$B$2:$Y$301, MATCH(ROUND(MIN(300,MAX(1,D14)),0), FactorTable!$A$2:$A$301,0), Skills!M14+1)</f>
        <v>1740</v>
      </c>
      <c r="F14">
        <f>IF(Skills!N14=TRUE,(Skills!L14/10)*(E14/1000),Skills!L14/10)+Skills!O14</f>
        <v>1653</v>
      </c>
      <c r="G14">
        <f>Skills!G14*IF(Skills!H14&gt;0,IF(Inputs!$B$38="pvp",MIN(Skills!I14,15),Skills!I14)/Skills!H14,1)</f>
        <v>0</v>
      </c>
      <c r="H14">
        <f>1-(1-Skills!J14/100)^Skills!K14</f>
        <v>0.30000000000000004</v>
      </c>
      <c r="I14">
        <f>IF(Skills!X14&lt;&gt;"",1+(Skills!X14/10)*($Z$3/1000)/100,1)</f>
        <v>1</v>
      </c>
      <c r="J14">
        <f>Summary!$B$6*(F14/100)</f>
        <v>5969553638.5932312</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29995411428430.203</v>
      </c>
      <c r="L14">
        <f>K14*(MIN(Inputs!$B$22,Inputs!$B$23)/100+Inputs!$B$23/100)/2</f>
        <v>99734742999530.438</v>
      </c>
      <c r="M14">
        <f>L14*(1+(Inputs!$B$10+Artifacts!$B$33)/100)</f>
        <v>470648252214784.06</v>
      </c>
      <c r="N14">
        <f>L14*(1-MIN((Inputs!$B$9+Artifacts!$B$32),100)/100)+M14*(MIN((Inputs!$B$9+Artifacts!$B$32),100)/100)</f>
        <v>470648252214784.06</v>
      </c>
      <c r="O14">
        <f>(1-Summary!$B$11)*S14+Summary!$B$11*U14</f>
        <v>461258197543910.38</v>
      </c>
      <c r="P14">
        <f>IF(Summary!$B$3=0,0,O14/Summary!$B$3)</f>
        <v>1.3940833229257574E-2</v>
      </c>
      <c r="Q14">
        <f>IFERROR(1/(IF(Inputs!$B$38="pvp",15,MAX(0.1,Skills!E14-IF(TRUE=TRUE,Inputs!$B$32,0)))*(1-IF(AND(ArtifactsInput!$M$27,Inputs!$B$4="Chapter Hunt"),CHOOSE(ArtifactsInput!$N$27+1,20,24,28,32,36,40),0)/100)),0)</f>
        <v>10</v>
      </c>
      <c r="R14">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473200157350872.44</v>
      </c>
      <c r="U14">
        <f>IF(C14,((H14*Summary!$B$21)/(1+Skills!H14*H14*Summary!$B$21)*N14)*IF(Inputs!$B$38="pvp",1,(1+(Inputs!$B$21+Skills!Q14+Artifacts!$B$80)/100)*(MIN(Skills!R14,Inputs!$B$37)))*((1+Artifacts!$B$53/100)),0)</f>
        <v>449316237736948.25</v>
      </c>
    </row>
    <row r="15" spans="1:26" x14ac:dyDescent="0.2">
      <c r="A15" t="str">
        <f>Skills!A15</f>
        <v>FLAME_HAZE_BURST</v>
      </c>
      <c r="B15" t="str">
        <f>Skills!B15</f>
        <v>Flame Haze (burst)</v>
      </c>
      <c r="C15" t="b">
        <f>Inputs!$B$3&gt;=107</f>
        <v>1</v>
      </c>
      <c r="D15">
        <f>IF(Skills!C15=1,60+Inputs!$B$25+Inputs!$B$29,IF(Skills!C15=2,90+Inputs!$B$26+Inputs!$B$29,IF(Skills!C15=3,120+Inputs!$B$27+Inputs!$B$29,MAX(0,(Inputs!$B$3-100)*3)+Inputs!$B$28+Inputs!$B$29)))</f>
        <v>185</v>
      </c>
      <c r="E15">
        <f>INDEX(FactorTable!$B$2:$Y$301, MATCH(ROUND(MIN(300,MAX(1,D15)),0), FactorTable!$A$2:$A$301,0), Skills!M15+1)</f>
        <v>1925</v>
      </c>
      <c r="F15">
        <f>IF(Skills!N15=TRUE,(Skills!L15/10)*(E15/1000),Skills!L15/10)+Skills!O15</f>
        <v>2310</v>
      </c>
      <c r="G15">
        <f>Skills!G15*IF(Skills!H15&gt;0,IF(Inputs!$B$38="pvp",MIN(Skills!I15,15),Skills!I15)/Skills!H15,1)</f>
        <v>3</v>
      </c>
      <c r="H15">
        <f>1-(1-Skills!J15/100)^Skills!K15</f>
        <v>1</v>
      </c>
      <c r="I15">
        <f>IF(Skills!X15&lt;&gt;"",1+(Skills!X15/10)*($Z$3/1000)/100,1)</f>
        <v>1</v>
      </c>
      <c r="J15">
        <f>Summary!$B$6*(F15/100)</f>
        <v>8342207444.1321011</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41917362613232.781</v>
      </c>
      <c r="L15">
        <f>K15*(MIN(Inputs!$B$22,Inputs!$B$23)/100+Inputs!$B$23/100)/2</f>
        <v>139375230688999</v>
      </c>
      <c r="M15">
        <f>L15*(1+(Inputs!$B$10+Artifacts!$B$33)/100)</f>
        <v>657711713621386.25</v>
      </c>
      <c r="N15">
        <f>L15*(1-MIN((Inputs!$B$9+Artifacts!$B$32),100)/100)+M15*(MIN((Inputs!$B$9+Artifacts!$B$32),100)/100)</f>
        <v>657711713621386.25</v>
      </c>
      <c r="O15">
        <f>(1-Summary!$B$11)*S15+Summary!$B$11*U15</f>
        <v>1641155153413763.8</v>
      </c>
      <c r="P15">
        <f>IF(Summary!$B$3=0,0,O15/Summary!$B$3)</f>
        <v>4.9601438888031674E-2</v>
      </c>
      <c r="Q15">
        <f>IFERROR(1/(IF(Inputs!$B$38="pvp",15,MAX(0.1,Skills!E15-IF(TRUE=TRUE,Inputs!$B$32,0)))*(1-IF(AND(ArtifactsInput!$M$27,Inputs!$B$4="Chapter Hunt"),CHOOSE(ArtifactsInput!$N$27+1,20,24,28,32,36,40),0)/100)),0)</f>
        <v>0.04</v>
      </c>
      <c r="R15">
        <f>IF(AND(Inputs!$B$38&lt;&gt;"pvp",Inputs!$B$43&gt;0),IF(MAX(0,Inputs!$B$43-Summary!$B$22)&lt;=0,0,(INT(MAX(0,Inputs!$B$43-Summary!$B$22)/(IF(Inputs!$B$38="pvp",15,MAX(0.1,Skills!E15-IF(TRUE=TRUE,Inputs!$B$32,0)))*(1-IF(AND(ArtifactsInput!$M$27,Inputs!$B$4="Chapter Hunt"),CHOOSE(ArtifactsInput!$N$27+1,20,24,28,32,36,40),0)/100)))+1)),0)</f>
        <v>2</v>
      </c>
      <c r="S15">
        <f>IF(C15,(H15*N15*IF(AND(Inputs!$B$38&lt;&gt;"pvp",Inputs!$B$43&gt;0),((Skills!G15*((R15-1)*IF(Skills!H15&gt;0,Skills!I15/Skills!H15,1)+IF(Skills!H15&gt;0,MIN(Skills!I15,MAX(0,MAX(0,Inputs!$B$43-Summary!$B$22)-((R15-1)*(IF(Inputs!$B$38="pvp",15,MAX(0.1,Skills!E15-IF(TRUE=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312741919826969.12</v>
      </c>
      <c r="U15">
        <f>IF(C15,(H15*N15*IF(AND(Inputs!$B$38&lt;&gt;"pvp",Inputs!$B$43&gt;0),((Skills!G15*((R15-1)*IF(Skills!H15&gt;0,Skills!I15/Skills!H15,1)+IF(Skills!H15&gt;0,MIN(Skills!I15,MAX(0,MAX(0,Inputs!$B$43-Summary!$B$22)-((R15-1)*(IF(Inputs!$B$38="pvp",15,MAX(0.1,Skills!E15-IF(TRUE=TRUE,Inputs!$B$32,0)))*(1-IF(AND(ArtifactsInput!$M$27,Inputs!$B$4="Chapter Hunt"),CHOOSE(ArtifactsInput!$N$27+1,20,24,28,32,36,40),0)/100)))))/Skills!H15,1)))/Inputs!$B$43),G15*Q15))*IF(Inputs!$B$38="pvp",1,(1+(Inputs!$B$21+Skills!Q15+Artifacts!$B$80)/100)*(MIN(Skills!R15,Inputs!$B$37)))*((1+Artifacts!$B$53/100)),0)</f>
        <v>2969568387000558.5</v>
      </c>
    </row>
    <row r="16" spans="1:26" x14ac:dyDescent="0.2">
      <c r="A16" t="str">
        <f>Skills!A16</f>
        <v>FLAME_HAZE_DOT</v>
      </c>
      <c r="B16" t="str">
        <f>Skills!B16</f>
        <v>Flame Haze (burn DoT)</v>
      </c>
      <c r="C16" t="b">
        <f>Inputs!$B$3&gt;=107</f>
        <v>1</v>
      </c>
      <c r="D16">
        <f>IF(Skills!C16=1,60+Inputs!$B$25+Inputs!$B$29,IF(Skills!C16=2,90+Inputs!$B$26+Inputs!$B$29,IF(Skills!C16=3,120+Inputs!$B$27+Inputs!$B$29,MAX(0,(Inputs!$B$3-100)*3)+Inputs!$B$28+Inputs!$B$29)))</f>
        <v>185</v>
      </c>
      <c r="E16">
        <f>INDEX(FactorTable!$B$2:$Y$301, MATCH(ROUND(MIN(300,MAX(1,D16)),0), FactorTable!$A$2:$A$301,0), Skills!M16+1)</f>
        <v>1925</v>
      </c>
      <c r="F16">
        <f>IF(Skills!N16=TRUE,(Skills!L16/10)*(E16/1000),Skills!L16/10)+Skills!O16</f>
        <v>288.75</v>
      </c>
      <c r="G16">
        <f>Skills!G16*IF(Skills!H16&gt;0,IF(Inputs!$B$38="pvp",MIN(Skills!I16,15),Skills!I16)/Skills!H16,1)</f>
        <v>30</v>
      </c>
      <c r="H16">
        <f>1-(1-Skills!J16/100)^Skills!K16</f>
        <v>1</v>
      </c>
      <c r="I16">
        <f>IF(Skills!X16&lt;&gt;"",1+(Skills!X16/10)*($Z$3/1000)/100,1)</f>
        <v>1</v>
      </c>
      <c r="J16">
        <f>Summary!$B$6*(F16/100)</f>
        <v>1042775930.5165126</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5239670326654.0977</v>
      </c>
      <c r="L16">
        <f>K16*(MIN(Inputs!$B$22,Inputs!$B$23)/100+Inputs!$B$23/100)/2</f>
        <v>17421903836124.875</v>
      </c>
      <c r="M16">
        <f>L16*(1+(Inputs!$B$10+Artifacts!$B$33)/100)</f>
        <v>82213964202673.281</v>
      </c>
      <c r="N16">
        <f>L16*(1-MIN((Inputs!$B$9+Artifacts!$B$32),100)/100)+M16*(MIN((Inputs!$B$9+Artifacts!$B$32),100)/100)</f>
        <v>82213964202673.281</v>
      </c>
      <c r="O16">
        <f>(1-Summary!$B$11)*S16+Summary!$B$11*U16</f>
        <v>1890384927888193</v>
      </c>
      <c r="P16">
        <f>IF(Summary!$B$3=0,0,O16/Summary!$B$3)</f>
        <v>5.7134032867313167E-2</v>
      </c>
      <c r="Q16">
        <f>IFERROR(1/(IF(Inputs!$B$38="pvp",15,MAX(0.1,Skills!E16-IF(TRUE=TRUE,Inputs!$B$32,0)))*(1-IF(AND(ArtifactsInput!$M$27,Inputs!$B$4="Chapter Hunt"),CHOOSE(ArtifactsInput!$N$27+1,20,24,28,32,36,40),0)/100)),0)</f>
        <v>0.04</v>
      </c>
      <c r="R16">
        <f>IF(AND(Inputs!$B$38&lt;&gt;"pvp",Inputs!$B$43&gt;0),IF(MAX(0,Inputs!$B$43-Summary!$B$22)&lt;=0,0,(INT(MAX(0,Inputs!$B$43-Summary!$B$22)/(IF(Inputs!$B$38="pvp",15,MAX(0.1,Skills!E16-IF(TRUE=TRUE,Inputs!$B$32,0)))*(1-IF(AND(ArtifactsInput!$M$27,Inputs!$B$4="Chapter Hunt"),CHOOSE(ArtifactsInput!$N$27+1,20,24,28,32,36,40),0)/100)))+1)),0)</f>
        <v>2</v>
      </c>
      <c r="S16">
        <f>IF(C16,(H16*N16*IF(AND(Inputs!$B$38&lt;&gt;"pvp",Inputs!$B$43&gt;0),((Skills!G16*((R16-1)*IF(Skills!H16&gt;0,Skills!I16/Skills!H16,1)+IF(Skills!H16&gt;0,MIN(Skills!I16,MAX(0,MAX(0,Inputs!$B$43-Summary!$B$22)-((R16-1)*(IF(Inputs!$B$38="pvp",15,MAX(0.1,Skills!E16-IF(TRUE=TRUE,Inputs!$B$32,0)))*(1-IF(AND(ArtifactsInput!$M$27,Inputs!$B$4="Chapter Hunt"),CHOOSE(ArtifactsInput!$N$27+1,20,24,28,32,36,40),0)/100)))))/Skills!H16,1)))/Inputs!$B$43),G16*Q16)*(1+IF(Inputs!$B$3&gt;=126,0.05*(Summary!$B$19+Q13+(H14*Summary!$B$21)/(1+Skills!H14*H14*Summary!$B$21)+Q24),0)*(1/Calc!Q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360235661040310.94</v>
      </c>
      <c r="U16">
        <f>IF(C16,(H16*N16*IF(AND(Inputs!$B$38&lt;&gt;"pvp",Inputs!$B$43&gt;0),((Skills!G16*((R16-1)*IF(Skills!H16&gt;0,Skills!I16/Skills!H16,1)+IF(Skills!H16&gt;0,MIN(Skills!I16,MAX(0,MAX(0,Inputs!$B$43-Summary!$B$22)-((R16-1)*(IF(Inputs!$B$38="pvp",15,MAX(0.1,Skills!E16-IF(TRUE=TRUE,Inputs!$B$32,0)))*(1-IF(AND(ArtifactsInput!$M$27,Inputs!$B$4="Chapter Hunt"),CHOOSE(ArtifactsInput!$N$27+1,20,24,28,32,36,40),0)/100)))))/Skills!H16,1)))/Inputs!$B$43),G16*Q16)*(1+IF(Inputs!$B$3&gt;=126,0.05*(Summary!$B$19+Q13+(H14*Summary!$B$21)/(1+Skills!H14*H14*Summary!$B$21)+Q24),0)*(1/Calc!Q15)))*IF(Inputs!$B$38="pvp",1,(1+(Inputs!$B$21+Skills!Q16+Artifacts!$B$80)/100)*(MIN(Skills!R16,Inputs!$B$37)))*((1+Artifacts!$B$53/100)),0)</f>
        <v>3420534194736075</v>
      </c>
    </row>
    <row r="17" spans="1:21" x14ac:dyDescent="0.2">
      <c r="A17" t="str">
        <f>Skills!A17</f>
        <v>MAGIC_GUARD</v>
      </c>
      <c r="B17" t="str">
        <f>Skills!B17</f>
        <v>Magic Guard</v>
      </c>
      <c r="C17" t="b">
        <f>TRUE</f>
        <v>1</v>
      </c>
      <c r="D17">
        <f>IF(Skills!C17=1,60+Inputs!$B$25+Inputs!$B$29,IF(Skills!C17=2,90+Inputs!$B$26+Inputs!$B$29,IF(Skills!C17=3,120+Inputs!$B$27+Inputs!$B$29,MAX(0,(Inputs!$B$3-100)*3)+Inputs!$B$28+Inputs!$B$29)))</f>
        <v>127</v>
      </c>
      <c r="E17">
        <f>INDEX(FactorTable!$B$2:$Y$301, MATCH(ROUND(MIN(300,MAX(1,D17)),0), FactorTable!$A$2:$A$301,0), Skills!M17+1)</f>
        <v>1508</v>
      </c>
      <c r="F17">
        <f>IF(Skills!N17=TRUE,(Skills!L17/10)*(E17/1000),Skills!L17/10)+Skills!O17</f>
        <v>18.096</v>
      </c>
      <c r="G17">
        <f>Skills!G17*IF(Skills!H17&gt;0,IF(Inputs!$B$38="pvp",MIN(Skills!I17,15),Skills!I17)/Skills!H17,1)</f>
        <v>1</v>
      </c>
      <c r="H17">
        <f>1-(1-Skills!J17/100)^Skills!K17</f>
        <v>1</v>
      </c>
      <c r="I17">
        <f>IF(Skills!X17&lt;&gt;"",1+(Skills!X17/10)*($Z$3/1000)/100,1)</f>
        <v>1</v>
      </c>
      <c r="O17">
        <f>(1-Summary!$B$11)*S17+Summary!$B$11*U17</f>
        <v>0</v>
      </c>
      <c r="P17">
        <f>IF(Summary!$B$3=0,0,O17/Summary!$B$3)</f>
        <v>0</v>
      </c>
      <c r="Q17">
        <f>IFERROR(1/(IF(Inputs!$B$38="pvp",15,MAX(0.1,Skills!E17-IF(TRUE=TRUE,Inputs!$B$32,0)))*(1-IF(AND(ArtifactsInput!$M$27,Inputs!$B$4="Chapter Hunt"),CHOOSE(ArtifactsInput!$N$27+1,20,24,28,32,36,40),0)/100)),0)</f>
        <v>4.7619047619047616E-2</v>
      </c>
      <c r="R17">
        <f>IF(AND(Inputs!$B$38&lt;&gt;"pvp",Inputs!$B$43&gt;0),IF(Inputs!$B$43&lt;=0,0,(INT(Inputs!$B$43/(IF(Inputs!$B$38="pvp",15,MAX(0.1,Skills!E17-IF(TRUE=TRUE,Inputs!$B$32,0)))*(1-IF(AND(ArtifactsInput!$M$27,Inputs!$B$4="Chapter Hunt"),CHOOSE(ArtifactsInput!$N$27+1,20,24,28,32,36,40),0)/100)))+1)),0)</f>
        <v>2</v>
      </c>
      <c r="S17">
        <v>0</v>
      </c>
      <c r="U17">
        <v>0</v>
      </c>
    </row>
    <row r="18" spans="1:21" x14ac:dyDescent="0.2">
      <c r="A18" t="str">
        <f>Skills!A18</f>
        <v>NIMBLE_FEET</v>
      </c>
      <c r="B18" t="str">
        <f>Skills!B18</f>
        <v>Nimble Feet</v>
      </c>
      <c r="C18" t="b">
        <f>TRUE</f>
        <v>1</v>
      </c>
      <c r="D18">
        <f>IF(Skills!C18=1,60+Inputs!$B$25+Inputs!$B$29,IF(Skills!C18=2,90+Inputs!$B$26+Inputs!$B$29,IF(Skills!C18=3,120+Inputs!$B$27+Inputs!$B$29,MAX(0,(Inputs!$B$3-100)*3)+Inputs!$B$28+Inputs!$B$29)))</f>
        <v>127</v>
      </c>
      <c r="E18">
        <f>INDEX(FactorTable!$B$2:$Y$301, MATCH(ROUND(MIN(300,MAX(1,D18)),0), FactorTable!$A$2:$A$301,0), Skills!M18+1)</f>
        <v>0</v>
      </c>
      <c r="F18">
        <f>IF(Skills!N18=TRUE,(Skills!L18/10)*(E18/1000),Skills!L18/10)+Skills!O18</f>
        <v>15</v>
      </c>
      <c r="G18">
        <f>Skills!G18*IF(Skills!H18&gt;0,IF(Inputs!$B$38="pvp",MIN(Skills!I18,15),Skills!I18)/Skills!H18,1)</f>
        <v>1</v>
      </c>
      <c r="H18">
        <f>1-(1-Skills!J18/100)^Skills!K18</f>
        <v>1</v>
      </c>
      <c r="I18">
        <f>IF(Skills!X18&lt;&gt;"",1+(Skills!X18/10)*($Z$3/1000)/100,1)</f>
        <v>1</v>
      </c>
      <c r="O18">
        <f>(1-Summary!$B$11)*S18+Summary!$B$11*U18</f>
        <v>0</v>
      </c>
      <c r="P18">
        <f>IF(Summary!$B$3=0,0,O18/Summary!$B$3)</f>
        <v>0</v>
      </c>
      <c r="Q18">
        <f>IFERROR(1/(IF(Inputs!$B$38="pvp",15,MAX(0.1,Skills!E18-IF(TRUE=TRUE,Inputs!$B$32,0)))*(1-IF(AND(ArtifactsInput!$M$27,Inputs!$B$4="Chapter Hunt"),CHOOSE(ArtifactsInput!$N$27+1,20,24,28,32,36,40),0)/100)),0)</f>
        <v>1.6666666666666666E-2</v>
      </c>
      <c r="R18">
        <f>IF(AND(Inputs!$B$38&lt;&gt;"pvp",Inputs!$B$43&gt;0),IF(Inputs!$B$43&lt;=0,0,(INT(Inputs!$B$43/(IF(Inputs!$B$38="pvp",15,MAX(0.1,Skills!E18-IF(TRUE=TRUE,Inputs!$B$32,0)))*(1-IF(AND(ArtifactsInput!$M$27,Inputs!$B$4="Chapter Hunt"),CHOOSE(ArtifactsInput!$N$27+1,20,24,28,32,36,40),0)/100)))+1)),0)</f>
        <v>1</v>
      </c>
      <c r="S18">
        <v>0</v>
      </c>
      <c r="U18">
        <v>0</v>
      </c>
    </row>
    <row r="19" spans="1:21" x14ac:dyDescent="0.2">
      <c r="A19" t="str">
        <f>Skills!A19</f>
        <v>INFINITY</v>
      </c>
      <c r="B19" t="str">
        <f>Skills!B19</f>
        <v>Infinity</v>
      </c>
      <c r="C19" t="b">
        <f>Inputs!$B$3&gt;=110</f>
        <v>1</v>
      </c>
      <c r="D19">
        <f>IF(Skills!C19=1,60+Inputs!$B$25+Inputs!$B$29,IF(Skills!C19=2,90+Inputs!$B$26+Inputs!$B$29,IF(Skills!C19=3,120+Inputs!$B$27+Inputs!$B$29,MAX(0,(Inputs!$B$3-100)*3)+Inputs!$B$28+Inputs!$B$29)))</f>
        <v>185</v>
      </c>
      <c r="E19">
        <f>INDEX(FactorTable!$B$2:$Y$301, MATCH(ROUND(MIN(300,MAX(1,D19)),0), FactorTable!$A$2:$A$301,0), Skills!M19+1)</f>
        <v>1740</v>
      </c>
      <c r="F19">
        <f>IF(Skills!N19=TRUE,(Skills!L19/10)*(E19/1000),Skills!L19/10)+Skills!O19</f>
        <v>37.700579999999995</v>
      </c>
      <c r="G19">
        <f>Skills!G19*IF(Skills!H19&gt;0,IF(Inputs!$B$38="pvp",MIN(Skills!I19,15),Skills!I19)/Skills!H19,1)</f>
        <v>1</v>
      </c>
      <c r="H19">
        <f>1-(1-Skills!J19/100)^Skills!K19</f>
        <v>1</v>
      </c>
      <c r="I19">
        <f>IF(Skills!X19&lt;&gt;"",1+(Skills!X19/10)*($Z$3/1000)/100,1)</f>
        <v>1</v>
      </c>
      <c r="O19">
        <f>(1-Summary!$B$11)*S19+Summary!$B$11*U19</f>
        <v>0</v>
      </c>
      <c r="P19">
        <f>IF(Summary!$B$3=0,0,O19/Summary!$B$3)</f>
        <v>0</v>
      </c>
      <c r="Q19">
        <f>IFERROR(1/(IF(Inputs!$B$38="pvp",15,MAX(0.1,Skills!E19-IF(TRUE=TRUE,Inputs!$B$32,0)))*(1-IF(AND(ArtifactsInput!$M$27,Inputs!$B$4="Chapter Hunt"),CHOOSE(ArtifactsInput!$N$27+1,20,24,28,32,36,40),0)/100)),0)</f>
        <v>3.3333333333333333E-2</v>
      </c>
      <c r="R19">
        <f>IF(AND(Inputs!$B$38&lt;&gt;"pvp",Inputs!$B$43&gt;0),IF(Inputs!$B$43&lt;=0,0,(INT(Inputs!$B$43/(IF(Inputs!$B$38="pvp",15,MAX(0.1,Skills!E19-IF(TRUE=TRUE,Inputs!$B$32,0)))*(1-IF(AND(ArtifactsInput!$M$27,Inputs!$B$4="Chapter Hunt"),CHOOSE(ArtifactsInput!$N$27+1,20,24,28,32,36,40),0)/100)))+1)),0)</f>
        <v>2</v>
      </c>
      <c r="S19">
        <v>0</v>
      </c>
      <c r="U19">
        <v>0</v>
      </c>
    </row>
    <row r="20" spans="1:21" x14ac:dyDescent="0.2">
      <c r="A20" t="str">
        <f>Skills!A20</f>
        <v>MAGIC_CRITICAL_RATE</v>
      </c>
      <c r="B20" t="str">
        <f>Skills!B20</f>
        <v>Magic Critical (Crit Rate)</v>
      </c>
      <c r="C20" t="b">
        <f>TRUE</f>
        <v>1</v>
      </c>
      <c r="D20">
        <f>IF(Skills!C20=1,60+Inputs!$B$25+Inputs!$B$29,IF(Skills!C20=2,90+Inputs!$B$26+Inputs!$B$29,IF(Skills!C20=3,120+Inputs!$B$27+Inputs!$B$29,MAX(0,(Inputs!$B$3-100)*3)+Inputs!$B$28+Inputs!$B$29)))</f>
        <v>184</v>
      </c>
      <c r="E20">
        <f>INDEX(FactorTable!$B$2:$Y$301, MATCH(ROUND(MIN(300,MAX(1,D20)),0), FactorTable!$A$2:$A$301,0), Skills!M20+1)</f>
        <v>1552</v>
      </c>
      <c r="F20">
        <f>IF(Skills!N20=TRUE,(Skills!L20/10)*(E20/1000),Skills!L20/10)+Skills!O20</f>
        <v>12.416</v>
      </c>
      <c r="G20">
        <f>Skills!G20*IF(Skills!H20&gt;0,IF(Inputs!$B$38="pvp",MIN(Skills!I20,15),Skills!I20)/Skills!H20,1)</f>
        <v>1</v>
      </c>
      <c r="H20">
        <f>1-(1-Skills!J20/100)^Skills!K20</f>
        <v>1</v>
      </c>
      <c r="I20">
        <f>IF(Skills!X20&lt;&gt;"",1+(Skills!X20/10)*($Z$3/1000)/100,1)</f>
        <v>1</v>
      </c>
      <c r="O20">
        <f>(1-Summary!$B$11)*S20+Summary!$B$11*U20</f>
        <v>0</v>
      </c>
      <c r="P20">
        <f>IF(Summary!$B$3=0,0,O20/Summary!$B$3)</f>
        <v>0</v>
      </c>
      <c r="Q20">
        <f>IFERROR(1/(IF(Inputs!$B$38="pvp",15,MAX(0.1,Skills!E20-IF(TRUE=TRUE,Inputs!$B$32,0)))*(1-IF(AND(ArtifactsInput!$M$27,Inputs!$B$4="Chapter Hunt"),CHOOSE(ArtifactsInput!$N$27+1,20,24,28,32,36,40),0)/100)),0)</f>
        <v>10</v>
      </c>
      <c r="R20">
        <v>0</v>
      </c>
      <c r="S20">
        <v>0</v>
      </c>
      <c r="U20">
        <v>0</v>
      </c>
    </row>
    <row r="21" spans="1:21" x14ac:dyDescent="0.2">
      <c r="A21" t="str">
        <f>Skills!A21</f>
        <v>MAGIC_CRITICAL_DAMAGE</v>
      </c>
      <c r="B21" t="str">
        <f>Skills!B21</f>
        <v>Magic Critical (Crit Damage)</v>
      </c>
      <c r="C21" t="b">
        <f>TRUE</f>
        <v>1</v>
      </c>
      <c r="D21">
        <f>IF(Skills!C21=1,60+Inputs!$B$25+Inputs!$B$29,IF(Skills!C21=2,90+Inputs!$B$26+Inputs!$B$29,IF(Skills!C21=3,120+Inputs!$B$27+Inputs!$B$29,MAX(0,(Inputs!$B$3-100)*3)+Inputs!$B$28+Inputs!$B$29)))</f>
        <v>184</v>
      </c>
      <c r="E21">
        <f>INDEX(FactorTable!$B$2:$Y$301, MATCH(ROUND(MIN(300,MAX(1,D21)),0), FactorTable!$A$2:$A$301,0), Skills!M21+1)</f>
        <v>1552</v>
      </c>
      <c r="F21">
        <f>IF(Skills!N21=TRUE,(Skills!L21/10)*(E21/1000),Skills!L21/10)+Skills!O21</f>
        <v>18.624000000000002</v>
      </c>
      <c r="G21">
        <f>Skills!G21*IF(Skills!H21&gt;0,IF(Inputs!$B$38="pvp",MIN(Skills!I21,15),Skills!I21)/Skills!H21,1)</f>
        <v>1</v>
      </c>
      <c r="H21">
        <f>1-(1-Skills!J21/100)^Skills!K21</f>
        <v>1</v>
      </c>
      <c r="I21">
        <f>IF(Skills!X21&lt;&gt;"",1+(Skills!X21/10)*($Z$3/1000)/100,1)</f>
        <v>1</v>
      </c>
      <c r="O21">
        <f>(1-Summary!$B$11)*S21+Summary!$B$11*U21</f>
        <v>0</v>
      </c>
      <c r="P21">
        <f>IF(Summary!$B$3=0,0,O21/Summary!$B$3)</f>
        <v>0</v>
      </c>
      <c r="Q21">
        <f>IFERROR(1/(IF(Inputs!$B$38="pvp",15,MAX(0.1,Skills!E21-IF(TRUE=TRUE,Inputs!$B$32,0)))*(1-IF(AND(ArtifactsInput!$M$27,Inputs!$B$4="Chapter Hunt"),CHOOSE(ArtifactsInput!$N$27+1,20,24,28,32,36,40),0)/100)),0)</f>
        <v>10</v>
      </c>
      <c r="R21">
        <v>0</v>
      </c>
      <c r="S21">
        <v>0</v>
      </c>
      <c r="U21">
        <v>0</v>
      </c>
    </row>
    <row r="22" spans="1:21" x14ac:dyDescent="0.2">
      <c r="A22" t="str">
        <f>Skills!A22</f>
        <v>SPELL_MASTERY</v>
      </c>
      <c r="B22" t="str">
        <f>Skills!B22</f>
        <v>Spell Mastery</v>
      </c>
      <c r="C22" t="b">
        <f>TRUE</f>
        <v>1</v>
      </c>
      <c r="D22">
        <f>IF(Skills!C22=1,60+Inputs!$B$25+Inputs!$B$29,IF(Skills!C22=2,90+Inputs!$B$26+Inputs!$B$29,IF(Skills!C22=3,120+Inputs!$B$27+Inputs!$B$29,MAX(0,(Inputs!$B$3-100)*3)+Inputs!$B$28+Inputs!$B$29)))</f>
        <v>168</v>
      </c>
      <c r="E22">
        <f>INDEX(FactorTable!$B$2:$Y$301, MATCH(ROUND(MIN(300,MAX(1,D22)),0), FactorTable!$A$2:$A$301,0), Skills!M22+1)</f>
        <v>1504</v>
      </c>
      <c r="F22">
        <f>IF(Skills!N22=TRUE,(Skills!L22/10)*(E22/1000),Skills!L22/10)+Skills!O22</f>
        <v>22.56</v>
      </c>
      <c r="G22">
        <f>Skills!G22*IF(Skills!H22&gt;0,IF(Inputs!$B$38="pvp",MIN(Skills!I22,15),Skills!I22)/Skills!H22,1)</f>
        <v>1</v>
      </c>
      <c r="H22">
        <f>1-(1-Skills!J22/100)^Skills!K22</f>
        <v>1</v>
      </c>
      <c r="I22">
        <f>IF(Skills!X22&lt;&gt;"",1+(Skills!X22/10)*($Z$3/1000)/100,1)</f>
        <v>1</v>
      </c>
      <c r="O22">
        <f>(1-Summary!$B$11)*S22+Summary!$B$11*U22</f>
        <v>0</v>
      </c>
      <c r="P22">
        <f>IF(Summary!$B$3=0,0,O22/Summary!$B$3)</f>
        <v>0</v>
      </c>
      <c r="Q22">
        <f>IFERROR(1/(IF(Inputs!$B$38="pvp",15,MAX(0.1,Skills!E22-IF(TRUE=TRUE,Inputs!$B$32,0)))*(1-IF(AND(ArtifactsInput!$M$27,Inputs!$B$4="Chapter Hunt"),CHOOSE(ArtifactsInput!$N$27+1,20,24,28,32,36,40),0)/100)),0)</f>
        <v>10</v>
      </c>
      <c r="R22">
        <v>0</v>
      </c>
      <c r="S22">
        <v>0</v>
      </c>
      <c r="U22">
        <v>0</v>
      </c>
    </row>
    <row r="23" spans="1:21" x14ac:dyDescent="0.2">
      <c r="A23" t="str">
        <f>Skills!A23</f>
        <v>ELEMENT_AMPLIFICATION</v>
      </c>
      <c r="B23" t="str">
        <f>Skills!B23</f>
        <v>Element Amplification</v>
      </c>
      <c r="C23" t="b">
        <f>TRUE</f>
        <v>1</v>
      </c>
      <c r="D23">
        <f>IF(Skills!C23=1,60+Inputs!$B$25+Inputs!$B$29,IF(Skills!C23=2,90+Inputs!$B$26+Inputs!$B$29,IF(Skills!C23=3,120+Inputs!$B$27+Inputs!$B$29,MAX(0,(Inputs!$B$3-100)*3)+Inputs!$B$28+Inputs!$B$29)))</f>
        <v>185</v>
      </c>
      <c r="E23">
        <f>INDEX(FactorTable!$B$2:$Y$301, MATCH(ROUND(MIN(300,MAX(1,D23)),0), FactorTable!$A$2:$A$301,0), Skills!M23+1)</f>
        <v>1555</v>
      </c>
      <c r="F23">
        <f>IF(Skills!N23=TRUE,(Skills!L23/10)*(E23/1000),Skills!L23/10)+Skills!O23</f>
        <v>23.324999999999999</v>
      </c>
      <c r="G23">
        <f>Skills!G23*IF(Skills!H23&gt;0,IF(Inputs!$B$38="pvp",MIN(Skills!I23,15),Skills!I23)/Skills!H23,1)</f>
        <v>1</v>
      </c>
      <c r="H23">
        <f>1-(1-Skills!J23/100)^Skills!K23</f>
        <v>1</v>
      </c>
      <c r="I23">
        <f>IF(Skills!X23&lt;&gt;"",1+(Skills!X23/10)*($Z$3/1000)/100,1)</f>
        <v>1</v>
      </c>
      <c r="O23">
        <f>(1-Summary!$B$11)*S23+Summary!$B$11*U23</f>
        <v>0</v>
      </c>
      <c r="P23">
        <f>IF(Summary!$B$3=0,0,O23/Summary!$B$3)</f>
        <v>0</v>
      </c>
      <c r="Q23">
        <f>IFERROR(1/(IF(Inputs!$B$38="pvp",15,MAX(0.1,Skills!E23-IF(TRUE=TRUE,Inputs!$B$32,0)))*(1-IF(AND(ArtifactsInput!$M$27,Inputs!$B$4="Chapter Hunt"),CHOOSE(ArtifactsInput!$N$27+1,20,24,28,32,36,40),0)/100)),0)</f>
        <v>10</v>
      </c>
      <c r="R23">
        <v>0</v>
      </c>
      <c r="S23">
        <v>0</v>
      </c>
      <c r="U23">
        <v>0</v>
      </c>
    </row>
    <row r="24" spans="1:21" x14ac:dyDescent="0.2">
      <c r="A24" t="str">
        <f>Skills!A24</f>
        <v>IFRIT</v>
      </c>
      <c r="B24" t="str">
        <f>Skills!B24</f>
        <v>Ifrit</v>
      </c>
      <c r="C24" t="b">
        <f>Inputs!$B$3&gt;=115</f>
        <v>1</v>
      </c>
      <c r="D24">
        <f>IF(Skills!C24=1,60+Inputs!$B$25+Inputs!$B$29,IF(Skills!C24=2,90+Inputs!$B$26+Inputs!$B$29,IF(Skills!C24=3,120+Inputs!$B$27+Inputs!$B$29,MAX(0,(Inputs!$B$3-100)*3)+Inputs!$B$28+Inputs!$B$29)))</f>
        <v>185</v>
      </c>
      <c r="E24">
        <f>INDEX(FactorTable!$B$2:$Y$301, MATCH(ROUND(MIN(300,MAX(1,D24)),0), FactorTable!$A$2:$A$301,0), Skills!M24+1)</f>
        <v>1925</v>
      </c>
      <c r="F24">
        <f>IF(Skills!N24=TRUE,(Skills!L24/10)*(E24/1000),Skills!L24/10)+Skills!O24</f>
        <v>6737.5</v>
      </c>
      <c r="G24">
        <f>Skills!G24*IF(Skills!H24&gt;0,IF(Inputs!$B$38="pvp",MIN(Skills!I24,15),Skills!I24)/Skills!H24,1)</f>
        <v>7.5</v>
      </c>
      <c r="H24">
        <f>1-(1-Skills!J24/100)^Skills!K24</f>
        <v>1</v>
      </c>
      <c r="I24">
        <f>IF(Skills!X24&lt;&gt;"",1+(Skills!X24/10)*($Z$3/1000)/100,1)</f>
        <v>1</v>
      </c>
      <c r="J24">
        <f>Summary!$B$6*(F24/100)</f>
        <v>24331438378.718628</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122258974288595.61</v>
      </c>
      <c r="L24">
        <f>K24*(MIN(Inputs!$B$22,Inputs!$B$23)/100+Inputs!$B$23/100)/2</f>
        <v>406511089509580.44</v>
      </c>
      <c r="M24">
        <f>L24*(1+(Inputs!$B$10+Artifacts!$B$33)/100)</f>
        <v>1918325831395709.8</v>
      </c>
      <c r="N24">
        <f>L24*(1-MIN((Inputs!$B$9+Artifacts!$B$32),100)/100)+M24*(MIN((Inputs!$B$9+Artifacts!$B$32),100)/100)</f>
        <v>1918325831395709.8</v>
      </c>
      <c r="O24">
        <f>(1-Summary!$B$11)*S24+Summary!$B$11*U24</f>
        <v>2194085169658842.8</v>
      </c>
      <c r="P24">
        <f>IF(Summary!$B$3=0,0,O24/Summary!$B$3)</f>
        <v>6.6312914553869617E-2</v>
      </c>
      <c r="Q24">
        <f>IFERROR(1/(IF(Inputs!$B$38="pvp",15,MAX(0.1,Skills!E24-IF(TRUE=TRUE,Inputs!$B$32,0)))*(1-IF(AND(ArtifactsInput!$M$27,Inputs!$B$4="Chapter Hunt"),CHOOSE(ArtifactsInput!$N$27+1,20,24,28,32,36,40),0)/100)),0)</f>
        <v>1.2500000000000001E-2</v>
      </c>
      <c r="R24">
        <f>IF(AND(Inputs!$B$38&lt;&gt;"pvp",Inputs!$B$43&gt;0),IF(MAX(0,Inputs!$B$43-Summary!$B$22)&lt;=0,0,(INT(MAX(0,Inputs!$B$43-Summary!$B$22)/(IF(Inputs!$B$38="pvp",15,MAX(0.1,Skills!E24-IF(TRUE=TRUE,Inputs!$B$32,0)))*(1-IF(AND(ArtifactsInput!$M$27,Inputs!$B$4="Chapter Hunt"),CHOOSE(ArtifactsInput!$N$27+1,20,24,28,32,36,40),0)/100)))+1)),0)</f>
        <v>1</v>
      </c>
      <c r="S24">
        <f>IF(C24,(H24*N24*IF(AND(Inputs!$B$38&lt;&gt;"pvp",Inputs!$B$43&gt;0),((Skills!G24*((R24-1)*IF(Skills!H24&gt;0,Skills!I24/Skills!H24,1)+IF(Skills!H24&gt;0,MIN(Skills!I24,MAX(0,MAX(0,Inputs!$B$43-Summary!$B$22)-((R24-1)*(IF(Inputs!$B$38="pvp",15,MAX(0.1,Skills!E24-IF(TRUE=TRUE,Inputs!$B$32,0)))*(1-IF(AND(ArtifactsInput!$M$27,Inputs!$B$4="Chapter Hunt"),CHOOSE(ArtifactsInput!$N$27+1,20,24,28,32,36,40),0)/100)))))/Skills!H24,1)))/Inputs!$B$43),G24*Q24)*(1+IF(Inputs!$B$3&gt;=130,0.2*(Skills!I16/(1/Calc!Q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1140204916035825</v>
      </c>
      <c r="U24">
        <f>IF(C24,(H24*N24*IF(AND(Inputs!$B$38&lt;&gt;"pvp",Inputs!$B$43&gt;0),((Skills!G24*((R24-1)*IF(Skills!H24&gt;0,Skills!I24/Skills!H24,1)+IF(Skills!H24&gt;0,MIN(Skills!I24,MAX(0,MAX(0,Inputs!$B$43-Summary!$B$22)-((R24-1)*(IF(Inputs!$B$38="pvp",15,MAX(0.1,Skills!E24-IF(TRUE=TRUE,Inputs!$B$32,0)))*(1-IF(AND(ArtifactsInput!$M$27,Inputs!$B$4="Chapter Hunt"),CHOOSE(ArtifactsInput!$N$27+1,20,24,28,32,36,40),0)/100)))))/Skills!H24,1)))/Inputs!$B$43),G24*Q24)*(1+IF(Inputs!$B$3&gt;=130,0.2*(Skills!I16/(1/Calc!Q15)+IF(Inputs!$B$3&gt;=126,0.05*(Summary!$B$19+Q13+(H14*Summary!$B$21)/(1+Skills!H14*H14*Summary!$B$21)+Q24),0)*Skills!I16),0)))*IF(Inputs!$B$38="pvp",1,(1+(Inputs!$B$21+Skills!Q24+Artifacts!$B$80)/100)*(MIN(Skills!R24,Inputs!$B$37)))*((1+Artifacts!$B$53/100)),0)</f>
        <v>3247965423281860.5</v>
      </c>
    </row>
    <row r="25" spans="1:21" x14ac:dyDescent="0.2">
      <c r="A25" t="str">
        <f>Skills!A25</f>
        <v>BUFF_MASTERY</v>
      </c>
      <c r="B25" t="str">
        <f>Skills!B25</f>
        <v>Buff Mastery</v>
      </c>
      <c r="C25" t="b">
        <f>Inputs!$B$3&gt;=117</f>
        <v>1</v>
      </c>
      <c r="D25">
        <f>IF(Skills!C25=1,60+Inputs!$B$25+Inputs!$B$29,IF(Skills!C25=2,90+Inputs!$B$26+Inputs!$B$29,IF(Skills!C25=3,120+Inputs!$B$27+Inputs!$B$29,MAX(0,(Inputs!$B$3-100)*3)+Inputs!$B$28+Inputs!$B$29)))</f>
        <v>185</v>
      </c>
      <c r="E25">
        <f>INDEX(FactorTable!$B$2:$Y$301, MATCH(ROUND(MIN(300,MAX(1,D25)),0), FactorTable!$A$2:$A$301,0), Skills!M25+1)</f>
        <v>1555</v>
      </c>
      <c r="F25">
        <f>IF(Skills!N25=TRUE,(Skills!L25/10)*(E25/1000),Skills!L25/10)+Skills!O25</f>
        <v>15.549999999999999</v>
      </c>
      <c r="G25">
        <f>Skills!G25*IF(Skills!H25&gt;0,IF(Inputs!$B$38="pvp",MIN(Skills!I25,15),Skills!I25)/Skills!H25,1)</f>
        <v>1</v>
      </c>
      <c r="H25">
        <f>1-(1-Skills!J25/100)^Skills!K25</f>
        <v>1</v>
      </c>
      <c r="I25">
        <f>IF(Skills!X25&lt;&gt;"",1+(Skills!X25/10)*($Z$3/1000)/100,1)</f>
        <v>1</v>
      </c>
      <c r="O25">
        <f>(1-Summary!$B$11)*S25+Summary!$B$11*U25</f>
        <v>0</v>
      </c>
      <c r="P25">
        <f>IF(Summary!$B$3=0,0,O25/Summary!$B$3)</f>
        <v>0</v>
      </c>
      <c r="Q25">
        <f>IFERROR(1/(IF(Inputs!$B$38="pvp",15,MAX(0.1,Skills!E25-IF(TRUE=TRUE,Inputs!$B$32,0)))*(1-IF(AND(ArtifactsInput!$M$27,Inputs!$B$4="Chapter Hunt"),CHOOSE(ArtifactsInput!$N$27+1,20,24,28,32,36,40),0)/100)),0)</f>
        <v>10</v>
      </c>
      <c r="R25">
        <v>0</v>
      </c>
      <c r="S25">
        <v>0</v>
      </c>
      <c r="U25">
        <v>0</v>
      </c>
    </row>
    <row r="26" spans="1:21" x14ac:dyDescent="0.2">
      <c r="A26" t="str">
        <f>Skills!A26</f>
        <v>ARCANE_AIM</v>
      </c>
      <c r="B26" t="str">
        <f>Skills!B26</f>
        <v>Arcane Aim</v>
      </c>
      <c r="C26" t="b">
        <f>Inputs!$B$3&gt;=120</f>
        <v>0</v>
      </c>
      <c r="D26">
        <f>IF(Skills!C26=1,60+Inputs!$B$25+Inputs!$B$29,IF(Skills!C26=2,90+Inputs!$B$26+Inputs!$B$29,IF(Skills!C26=3,120+Inputs!$B$27+Inputs!$B$29,MAX(0,(Inputs!$B$3-100)*3)+Inputs!$B$28+Inputs!$B$29)))</f>
        <v>185</v>
      </c>
      <c r="E26">
        <f>INDEX(FactorTable!$B$2:$Y$301, MATCH(ROUND(MIN(300,MAX(1,D26)),0), FactorTable!$A$2:$A$301,0), Skills!M26+1)</f>
        <v>1555</v>
      </c>
      <c r="F26">
        <f>IF(Skills!N26=TRUE,(Skills!L26/10)*(E26/1000),Skills!L26/10)+Skills!O26</f>
        <v>4.665</v>
      </c>
      <c r="G26">
        <f>Skills!G26*IF(Skills!H26&gt;0,IF(Inputs!$B$38="pvp",MIN(Skills!I26,15),Skills!I26)/Skills!H26,1)</f>
        <v>1</v>
      </c>
      <c r="H26">
        <f>1-(1-Skills!J26/100)^Skills!K26</f>
        <v>1</v>
      </c>
      <c r="I26">
        <f>IF(Skills!X26&lt;&gt;"",1+(Skills!X26/10)*($Z$3/1000)/100,1)</f>
        <v>1</v>
      </c>
      <c r="O26">
        <f>(1-Summary!$B$11)*S26+Summary!$B$11*U26</f>
        <v>0</v>
      </c>
      <c r="P26">
        <f>IF(Summary!$B$3=0,0,O26/Summary!$B$3)</f>
        <v>0</v>
      </c>
      <c r="Q26">
        <f>IFERROR(1/(IF(Inputs!$B$38="pvp",15,MAX(0.1,Skills!E26-IF(TRUE=TRUE,Inputs!$B$32,0)))*(1-IF(AND(ArtifactsInput!$M$27,Inputs!$B$4="Chapter Hunt"),CHOOSE(ArtifactsInput!$N$27+1,20,24,28,32,36,40),0)/100)),0)</f>
        <v>10</v>
      </c>
      <c r="R26">
        <v>0</v>
      </c>
      <c r="S26">
        <v>0</v>
      </c>
      <c r="U26">
        <v>0</v>
      </c>
    </row>
    <row r="27" spans="1:21" x14ac:dyDescent="0.2">
      <c r="A27" t="str">
        <f>Skills!A27</f>
        <v>FERVENT_DRAIN</v>
      </c>
      <c r="B27" t="str">
        <f>Skills!B27</f>
        <v>Fervent Drain</v>
      </c>
      <c r="C27" t="b">
        <f>Inputs!$B$3&gt;=125</f>
        <v>0</v>
      </c>
      <c r="D27">
        <f>IF(Skills!C27=1,60+Inputs!$B$25+Inputs!$B$29,IF(Skills!C27=2,90+Inputs!$B$26+Inputs!$B$29,IF(Skills!C27=3,120+Inputs!$B$27+Inputs!$B$29,MAX(0,(Inputs!$B$3-100)*3)+Inputs!$B$28+Inputs!$B$29)))</f>
        <v>185</v>
      </c>
      <c r="E27">
        <f>INDEX(FactorTable!$B$2:$Y$301, MATCH(ROUND(MIN(300,MAX(1,D27)),0), FactorTable!$A$2:$A$301,0), Skills!M27+1)</f>
        <v>1555</v>
      </c>
      <c r="F27">
        <f>IF(Skills!N27=TRUE,(Skills!L27/10)*(E27/1000),Skills!L27/10)+Skills!O27</f>
        <v>6.22</v>
      </c>
      <c r="G27">
        <f>Skills!G27*IF(Skills!H27&gt;0,IF(Inputs!$B$38="pvp",MIN(Skills!I27,15),Skills!I27)/Skills!H27,1)</f>
        <v>1</v>
      </c>
      <c r="H27">
        <f>1-(1-Skills!J27/100)^Skills!K27</f>
        <v>1</v>
      </c>
      <c r="I27">
        <f>IF(Skills!X27&lt;&gt;"",1+(Skills!X27/10)*($Z$3/1000)/100,1)</f>
        <v>1</v>
      </c>
      <c r="O27">
        <f>(1-Summary!$B$11)*S27+Summary!$B$11*U27</f>
        <v>0</v>
      </c>
      <c r="P27">
        <f>IF(Summary!$B$3=0,0,O27/Summary!$B$3)</f>
        <v>0</v>
      </c>
      <c r="Q27">
        <f>IFERROR(1/(IF(Inputs!$B$38="pvp",15,MAX(0.1,Skills!E27-IF(TRUE=TRUE,Inputs!$B$32,0)))*(1-IF(AND(ArtifactsInput!$M$27,Inputs!$B$4="Chapter Hunt"),CHOOSE(ArtifactsInput!$N$27+1,20,24,28,32,36,40),0)/100)),0)</f>
        <v>10</v>
      </c>
      <c r="R27">
        <v>0</v>
      </c>
      <c r="S27">
        <v>0</v>
      </c>
      <c r="U27">
        <v>0</v>
      </c>
    </row>
    <row r="28" spans="1:21" x14ac:dyDescent="0.2">
      <c r="A28" t="str">
        <f>Skills!A28</f>
        <v>FLAME_HAZE_FOG</v>
      </c>
      <c r="B28" t="str">
        <f>Skills!B28</f>
        <v>Flame Haze (poison fog DoT)</v>
      </c>
      <c r="C28" t="b">
        <f>Inputs!$B$3&gt;=118</f>
        <v>0</v>
      </c>
      <c r="D28">
        <f>IF(Skills!C28=1,60+Inputs!$B$25+Inputs!$B$29,IF(Skills!C28=2,90+Inputs!$B$26+Inputs!$B$29,IF(Skills!C28=3,120+Inputs!$B$27+Inputs!$B$29,MAX(0,(Inputs!$B$3-100)*3)+Inputs!$B$28+Inputs!$B$29)))</f>
        <v>185</v>
      </c>
      <c r="E28">
        <f>INDEX(FactorTable!$B$2:$Y$301, MATCH(ROUND(MIN(300,MAX(1,D28)),0), FactorTable!$A$2:$A$301,0), Skills!M28+1)</f>
        <v>1925</v>
      </c>
      <c r="F28">
        <f>IF(Skills!N28=TRUE,(Skills!L28/10)*(E28/1000),Skills!L28/10)+Skills!O28</f>
        <v>134.75</v>
      </c>
      <c r="G28">
        <f>Skills!G28*IF(Skills!H28&gt;0,IF(Inputs!$B$38="pvp",MIN(Skills!I28,15),Skills!I28)/Skills!H28,1)</f>
        <v>50</v>
      </c>
      <c r="H28">
        <f>1-(1-Skills!J28/100)^Skills!K28</f>
        <v>1</v>
      </c>
      <c r="I28">
        <f>IF(Skills!X28&lt;&gt;"",1+(Skills!X28/10)*($Z$3/1000)/100,1)</f>
        <v>1</v>
      </c>
      <c r="J28">
        <f>Summary!$B$6*(F28/100)</f>
        <v>486628767.57437253</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2445179485771.9116</v>
      </c>
      <c r="L28">
        <f>K28*(MIN(Inputs!$B$22,Inputs!$B$23)/100+Inputs!$B$23/100)/2</f>
        <v>8130221790191.6064</v>
      </c>
      <c r="M28">
        <f>L28*(1+(Inputs!$B$10+Artifacts!$B$33)/100)</f>
        <v>38366516627914.188</v>
      </c>
      <c r="N28">
        <f>L28*(1-MIN((Inputs!$B$9+Artifacts!$B$32),100)/100)+M28*(MIN((Inputs!$B$9+Artifacts!$B$32),100)/100)</f>
        <v>38366516627914.188</v>
      </c>
      <c r="O28">
        <f>(1-Summary!$B$11)*S28+Summary!$B$11*U28</f>
        <v>0</v>
      </c>
      <c r="P28">
        <f>IF(Summary!$B$3=0,0,O28/Summary!$B$3)</f>
        <v>0</v>
      </c>
      <c r="Q28">
        <f>IFERROR(1/(IF(Inputs!$B$38="pvp",15,MAX(0.1,Skills!E28-IF(TRUE=TRUE,Inputs!$B$32,0)))*(1-IF(AND(ArtifactsInput!$M$27,Inputs!$B$4="Chapter Hunt"),CHOOSE(ArtifactsInput!$N$27+1,20,24,28,32,36,40),0)/100)),0)</f>
        <v>0.04</v>
      </c>
      <c r="R28">
        <f>IF(AND(Inputs!$B$38&lt;&gt;"pvp",Inputs!$B$43&gt;0),IF(MAX(0,Inputs!$B$43-Summary!$B$22)&lt;=0,0,(INT(MAX(0,Inputs!$B$43-Summary!$B$22)/(IF(Inputs!$B$38="pvp",15,MAX(0.1,Skills!E28-IF(TRUE=TRUE,Inputs!$B$32,0)))*(1-IF(AND(ArtifactsInput!$M$27,Inputs!$B$4="Chapter Hunt"),CHOOSE(ArtifactsInput!$N$27+1,20,24,28,32,36,40),0)/100)))+1)),0)</f>
        <v>2</v>
      </c>
      <c r="S28">
        <f>IF(C28,(H28*N28*IF(AND(Inputs!$B$38&lt;&gt;"pvp",Inputs!$B$43&gt;0),((Skills!G28*((R28-1)*IF(Skills!H28&gt;0,Skills!I28/Skills!H28,1)+IF(Skills!H28&gt;0,MIN(Skills!I28,MAX(0,MAX(0,Inputs!$B$43-Summary!$B$22)-((R28-1)*(IF(Inputs!$B$38="pvp",15,MAX(0.1,Skills!E28-IF(TRUE=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0</v>
      </c>
      <c r="U28">
        <f>IF(C28,(H28*N28*IF(AND(Inputs!$B$38&lt;&gt;"pvp",Inputs!$B$43&gt;0),((Skills!G28*((R28-1)*IF(Skills!H28&gt;0,Skills!I28/Skills!H28,1)+IF(Skills!H28&gt;0,MIN(Skills!I28,MAX(0,MAX(0,Inputs!$B$43-Summary!$B$22)-((R28-1)*(IF(Inputs!$B$38="pvp",15,MAX(0.1,Skills!E28-IF(TRUE=TRUE,Inputs!$B$32,0)))*(1-IF(AND(ArtifactsInput!$M$27,Inputs!$B$4="Chapter Hunt"),CHOOSE(ArtifactsInput!$N$27+1,20,24,28,32,36,40),0)/100)))))/Skills!H28,1)))/Inputs!$B$43),G28*Q28))*IF(Inputs!$B$38="pvp",1,(1+(Inputs!$B$21+Skills!Q28+Artifacts!$B$80)/100)*(MIN(Skills!R28,Inputs!$B$37)))*((1+Artifacts!$B$53/100)),0)</f>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8"/>
  <sheetViews>
    <sheetView workbookViewId="0">
      <selection activeCell="H25" sqref="H25"/>
    </sheetView>
  </sheetViews>
  <sheetFormatPr baseColWidth="10" defaultColWidth="8.83203125" defaultRowHeight="15" x14ac:dyDescent="0.2"/>
  <cols>
    <col min="1" max="1" width="55" customWidth="1"/>
    <col min="2" max="2" width="16" customWidth="1"/>
    <col min="3" max="3" width="12" customWidth="1"/>
  </cols>
  <sheetData>
    <row r="1" spans="1:2" ht="19" x14ac:dyDescent="0.25">
      <c r="A1" s="4" t="s">
        <v>347</v>
      </c>
    </row>
    <row r="3" spans="1:2" ht="17" x14ac:dyDescent="0.2">
      <c r="A3" s="10" t="s">
        <v>348</v>
      </c>
      <c r="B3" s="10">
        <f>SUM(Calc!O2:O28)</f>
        <v>3.3086845668296892E+16</v>
      </c>
    </row>
    <row r="5" spans="1:2" ht="16" x14ac:dyDescent="0.2">
      <c r="A5" s="9" t="s">
        <v>349</v>
      </c>
    </row>
    <row r="6" spans="1:2" x14ac:dyDescent="0.2">
      <c r="A6" t="s">
        <v>350</v>
      </c>
      <c r="B6">
        <f>Inputs!$B$6*(1+Inputs!$B$7/100)</f>
        <v>361134521.39100003</v>
      </c>
    </row>
    <row r="7" spans="1:2" x14ac:dyDescent="0.2">
      <c r="A7" t="s">
        <v>351</v>
      </c>
      <c r="B7">
        <f>(Inputs!$B$12*(1+Inputs!$B$13/100))*0.01+Inputs!$B$14*0.0025</f>
        <v>2553.86276</v>
      </c>
    </row>
    <row r="8" spans="1:2" x14ac:dyDescent="0.2">
      <c r="A8" t="s">
        <v>352</v>
      </c>
      <c r="B8">
        <f>MAX(0,(Inputs!$B$3-100)*3)+Inputs!$B$28+Inputs!$B$29</f>
        <v>185</v>
      </c>
    </row>
    <row r="9" spans="1:2" x14ac:dyDescent="0.2">
      <c r="A9" t="s">
        <v>353</v>
      </c>
      <c r="B9">
        <f>INDEX(FactorTable!$B$2:$Y$301, MATCH(ROUND(MIN(300,MAX(1,Summary!$B$8)),0), FactorTable!$A$2:$A$301,0), 22)</f>
        <v>1740</v>
      </c>
    </row>
    <row r="10" spans="1:2" x14ac:dyDescent="0.2">
      <c r="A10" t="s">
        <v>354</v>
      </c>
      <c r="B10">
        <f>290*Summary!$B$9/1000</f>
        <v>504.6</v>
      </c>
    </row>
    <row r="11" spans="1:2" x14ac:dyDescent="0.2">
      <c r="A11" t="s">
        <v>355</v>
      </c>
      <c r="B11">
        <f>IF(Inputs!$B$38="normal",1,IF(Inputs!$B$38="breakthrough",Inputs!$B$44/100,0))</f>
        <v>0.5</v>
      </c>
    </row>
    <row r="13" spans="1:2" x14ac:dyDescent="0.2">
      <c r="A13" t="s">
        <v>356</v>
      </c>
      <c r="B13">
        <f>1+(Calc!F11*Skills!Z11)/100</f>
        <v>1.25</v>
      </c>
    </row>
    <row r="14" spans="1:2" x14ac:dyDescent="0.2">
      <c r="A14" t="s">
        <v>357</v>
      </c>
      <c r="B14">
        <f>1+(Calc!F12+Artifacts!$B$36)/100</f>
        <v>1.18624</v>
      </c>
    </row>
    <row r="15" spans="1:2" x14ac:dyDescent="0.2">
      <c r="A15" t="s">
        <v>358</v>
      </c>
      <c r="B15">
        <f>(1+(Calc!F6*IF(AND(Inputs!$B$38&lt;&gt;"pvp",Inputs!$B$43&gt;0),(((Calc!R6-1)*MIN((Skills!T6*(1+(Inputs!$B$34)/100)),(1/Calc!Q6))+MIN((Skills!T6*(1+(Inputs!$B$34)/100)),MAX(0,Inputs!$B$43-((Calc!R6-1)*(1/Calc!Q6)))))/Inputs!$B$43),IF(Inputs!$B$38="pvp",MIN((Skills!T6*(1+(Inputs!$B$34)/100)),15)/15,MIN(1,(Skills!T6*(1+(Inputs!$B$34)/100))/(1/Calc!Q6))))+Calc!F17*IF(AND(Inputs!$B$38&lt;&gt;"pvp",Inputs!$B$43&gt;0),(((Calc!R17-1)*MIN((Skills!T17*(1+(Inputs!$B$34)/100)),(1/Calc!Q17))+MIN((Skills!T17*(1+(Inputs!$B$34)/100)),MAX(0,Inputs!$B$43-((Calc!R17-1)*(1/Calc!Q17)))))/Inputs!$B$43),IF(Inputs!$B$38="pvp",MIN((Skills!T17*(1+(Inputs!$B$34)/100)),15)/15,MIN(1,(Skills!T17*(1+(Inputs!$B$34)/100))/(1/Calc!Q17))))+Artifacts!$B$52)/100)*IF(Calc!C19=TRUE,(1+Calc!F19*IF(AND(Inputs!$B$38&lt;&gt;"pvp",Inputs!$B$43&gt;0),(((Calc!R19-1)*MIN((Skills!T19*(1+(Inputs!$B$34)/100)),(1/Calc!Q19))+MIN((Skills!T19*(1+(Inputs!$B$34)/100)),MAX(0,Inputs!$B$43-((Calc!R19-1)*(1/Calc!Q19)))))/Inputs!$B$43),IF(Inputs!$B$38="pvp",MIN((Skills!T19*(1+(Inputs!$B$34)/100)),15)/15,MIN(1,(Skills!T19*(1+(Inputs!$B$34)/100))/(1/Calc!Q19))))/100),1)</f>
        <v>1.7965808377980694</v>
      </c>
    </row>
    <row r="16" spans="1:2" x14ac:dyDescent="0.2">
      <c r="A16" t="s">
        <v>359</v>
      </c>
      <c r="B16">
        <f>Calc!F18*IF(AND(Inputs!$B$38&lt;&gt;"pvp",Inputs!$B$43&gt;0),(((Calc!R18-1)*MIN((Skills!T18*(1+(Inputs!$B$34)/100)),(1/Calc!Q18))+MIN((Skills!T18*(1+(Inputs!$B$34)/100)),MAX(0,Inputs!$B$43-((Calc!R18-1)*(1/Calc!Q18)))))/Inputs!$B$43),IF(Inputs!$B$38="pvp",MIN((Skills!T18*(1+(Inputs!$B$34)/100)),15)/15,MIN(1,(Skills!T18*(1+(Inputs!$B$34)/100))/(1/Calc!Q18))))</f>
        <v>6.4968749999999993</v>
      </c>
    </row>
    <row r="17" spans="1:3" x14ac:dyDescent="0.2">
      <c r="A17" t="s">
        <v>360</v>
      </c>
      <c r="B17">
        <f>1+MIN(150,150*(1-(1-Inputs!$B$11/150)*(1-B16/150)))/100</f>
        <v>1.6982958749999999</v>
      </c>
    </row>
    <row r="18" spans="1:3" x14ac:dyDescent="0.2">
      <c r="A18" t="s">
        <v>361</v>
      </c>
      <c r="B18">
        <f>IF(AND(Inputs!$B$38&lt;&gt;"pvp",Inputs!$B$43&gt;0),SUMPRODUCT((Skills!F2:F28=TRUE)*(Calc!C2:C28=TRUE)*Calc!R2:R28)/Inputs!$B$43,SUMPRODUCT((Skills!F2:F28=TRUE)*(Calc!C2:C28=TRUE)*Calc!Q2:Q28))</f>
        <v>0.47499999999999998</v>
      </c>
    </row>
    <row r="19" spans="1:3" x14ac:dyDescent="0.2">
      <c r="A19" t="s">
        <v>362</v>
      </c>
      <c r="B19">
        <f>MAX(0,B17-B18)</f>
        <v>1.2232958749999998</v>
      </c>
    </row>
    <row r="20" spans="1:3" x14ac:dyDescent="0.2">
      <c r="A20" t="s">
        <v>363</v>
      </c>
      <c r="B20">
        <f>Calc!O2</f>
        <v>1.251342481087288E+16</v>
      </c>
    </row>
    <row r="21" spans="1:3" x14ac:dyDescent="0.2">
      <c r="A21" t="s">
        <v>364</v>
      </c>
      <c r="B21">
        <f>IF(AND(Inputs!$B$38&lt;&gt;"pvp",Inputs!$B$43&gt;0),SUMPRODUCT((Skills!V2:V28=TRUE)*(Calc!C2:C28=TRUE)*Calc!R2:R28*Skills!W2:W28)/Inputs!$B$43,SUMPRODUCT((Skills!V2:V28=TRUE)*(Calc!C2:C28=TRUE)*Calc!Q2:Q28*Skills!W2:W28))+B19</f>
        <v>1.5482958749999998</v>
      </c>
    </row>
    <row r="22" spans="1:3" x14ac:dyDescent="0.2">
      <c r="A22" t="s">
        <v>365</v>
      </c>
      <c r="B22">
        <f>IF(AND(Inputs!$B$38&lt;&gt;"pvp",Inputs!$B$43&gt;0),SUMPRODUCT((Skills!T2:T28&gt;0)*(Skills!F2:F28=TRUE)*(Calc!C2:C28=TRUE))/B17,0)</f>
        <v>2.3553021937358238</v>
      </c>
    </row>
    <row r="23" spans="1:3" x14ac:dyDescent="0.2">
      <c r="A23" t="s">
        <v>366</v>
      </c>
      <c r="B23">
        <f>SUM(Calc!S2:S28)</f>
        <v>9517263078933292</v>
      </c>
    </row>
    <row r="24" spans="1:3" x14ac:dyDescent="0.2">
      <c r="A24" t="s">
        <v>367</v>
      </c>
      <c r="B24">
        <f>SUM(Calc!U2:U28)</f>
        <v>5.6656428257660488E+16</v>
      </c>
    </row>
    <row r="26" spans="1:3" ht="16" x14ac:dyDescent="0.2">
      <c r="A26" s="9" t="s">
        <v>368</v>
      </c>
    </row>
    <row r="27" spans="1:3" x14ac:dyDescent="0.2">
      <c r="A27" s="5" t="s">
        <v>369</v>
      </c>
      <c r="B27" s="5" t="s">
        <v>340</v>
      </c>
      <c r="C27" s="5" t="s">
        <v>341</v>
      </c>
    </row>
    <row r="28" spans="1:3" x14ac:dyDescent="0.2">
      <c r="A28" t="str">
        <f>Calc!B2</f>
        <v>Basic Attack</v>
      </c>
      <c r="B28">
        <f>Calc!O2</f>
        <v>1.251342481087288E+16</v>
      </c>
      <c r="C28">
        <f>Calc!P2*100</f>
        <v>37.819938885449503</v>
      </c>
    </row>
    <row r="29" spans="1:3" x14ac:dyDescent="0.2">
      <c r="A29" t="str">
        <f>Calc!B3</f>
        <v>Ignite</v>
      </c>
      <c r="B29">
        <f>Calc!O3</f>
        <v>2907465947806250</v>
      </c>
      <c r="C29">
        <f>Calc!P3*100</f>
        <v>8.7873772463965096</v>
      </c>
    </row>
    <row r="30" spans="1:3" x14ac:dyDescent="0.2">
      <c r="A30" t="str">
        <f>Calc!B4</f>
        <v>Poison Breath</v>
      </c>
      <c r="B30">
        <f>Calc!O4</f>
        <v>2120704790543594.2</v>
      </c>
      <c r="C30">
        <f>Calc!P4*100</f>
        <v>6.4095103286790742</v>
      </c>
    </row>
    <row r="31" spans="1:3" x14ac:dyDescent="0.2">
      <c r="A31" t="str">
        <f>Calc!B5</f>
        <v>Elemental Drain</v>
      </c>
      <c r="B31">
        <f>Calc!O5</f>
        <v>1046004996783807</v>
      </c>
      <c r="C31">
        <f>Calc!P5*100</f>
        <v>3.1613923166633757</v>
      </c>
    </row>
    <row r="32" spans="1:3" x14ac:dyDescent="0.2">
      <c r="A32" t="str">
        <f>Calc!B7</f>
        <v>Poison Mist (burst)</v>
      </c>
      <c r="B32">
        <f>Calc!O7</f>
        <v>447913158316422</v>
      </c>
      <c r="C32">
        <f>Calc!P7*100</f>
        <v>1.3537499549121506</v>
      </c>
    </row>
    <row r="33" spans="1:3" x14ac:dyDescent="0.2">
      <c r="A33" t="str">
        <f>Calc!B8</f>
        <v>Poison Mist (fog DoT)</v>
      </c>
      <c r="B33">
        <f>Calc!O8</f>
        <v>2327471980535951</v>
      </c>
      <c r="C33">
        <f>Calc!P8*100</f>
        <v>7.0344329703392816</v>
      </c>
    </row>
    <row r="34" spans="1:3" x14ac:dyDescent="0.2">
      <c r="A34" t="str">
        <f>Calc!B9</f>
        <v>Mist Eruption</v>
      </c>
      <c r="B34">
        <f>Calc!O9</f>
        <v>3419073236278675</v>
      </c>
      <c r="C34">
        <f>Calc!P9*100</f>
        <v>10.333633101673266</v>
      </c>
    </row>
    <row r="35" spans="1:3" x14ac:dyDescent="0.2">
      <c r="A35" t="str">
        <f>Calc!B10</f>
        <v>Creeping Toxin</v>
      </c>
      <c r="B35">
        <f>Calc!O10</f>
        <v>324323455609081.62</v>
      </c>
      <c r="C35">
        <f>Calc!P10*100</f>
        <v>0.98021872154419787</v>
      </c>
    </row>
    <row r="36" spans="1:3" x14ac:dyDescent="0.2">
      <c r="A36" t="str">
        <f>Calc!B13</f>
        <v>Meteor Shower (burst)</v>
      </c>
      <c r="B36">
        <f>Calc!O13</f>
        <v>1793579843045520.5</v>
      </c>
      <c r="C36">
        <f>Calc!P13*100</f>
        <v>5.4208245204954375</v>
      </c>
    </row>
    <row r="37" spans="1:3" x14ac:dyDescent="0.2">
      <c r="A37" t="str">
        <f>Calc!B14</f>
        <v>Meteor Proc (30% on-hit, 1s ICD)</v>
      </c>
      <c r="B37">
        <f>Calc!O14</f>
        <v>461258197543910.38</v>
      </c>
      <c r="C37">
        <f>Calc!P14*100</f>
        <v>1.3940833229257574</v>
      </c>
    </row>
    <row r="38" spans="1:3" x14ac:dyDescent="0.2">
      <c r="A38" t="str">
        <f>Calc!B15</f>
        <v>Flame Haze (burst)</v>
      </c>
      <c r="B38">
        <f>Calc!O15</f>
        <v>1641155153413763.8</v>
      </c>
      <c r="C38">
        <f>Calc!P15*100</f>
        <v>4.9601438888031675</v>
      </c>
    </row>
    <row r="39" spans="1:3" x14ac:dyDescent="0.2">
      <c r="A39" t="str">
        <f>Calc!B16</f>
        <v>Flame Haze (burn DoT)</v>
      </c>
      <c r="B39">
        <f>Calc!O16</f>
        <v>1890384927888193</v>
      </c>
      <c r="C39">
        <f>Calc!P16*100</f>
        <v>5.7134032867313165</v>
      </c>
    </row>
    <row r="40" spans="1:3" x14ac:dyDescent="0.2">
      <c r="A40" t="str">
        <f>Calc!B24</f>
        <v>Ifrit</v>
      </c>
      <c r="B40">
        <f>Calc!O24</f>
        <v>2194085169658842.8</v>
      </c>
      <c r="C40">
        <f>Calc!P24*100</f>
        <v>6.631291455386962</v>
      </c>
    </row>
    <row r="41" spans="1:3" x14ac:dyDescent="0.2">
      <c r="A41" t="str">
        <f>Calc!B28</f>
        <v>Flame Haze (poison fog DoT)</v>
      </c>
      <c r="B41">
        <f>Calc!O28</f>
        <v>0</v>
      </c>
      <c r="C41">
        <f>Calc!P28*100</f>
        <v>0</v>
      </c>
    </row>
    <row r="42" spans="1:3" ht="16" x14ac:dyDescent="0.2">
      <c r="A42" s="9" t="s">
        <v>370</v>
      </c>
    </row>
    <row r="44" spans="1:3" x14ac:dyDescent="0.2">
      <c r="A44" s="5" t="s">
        <v>371</v>
      </c>
      <c r="B44" s="5" t="s">
        <v>372</v>
      </c>
      <c r="C44" s="5" t="s">
        <v>373</v>
      </c>
    </row>
    <row r="45" spans="1:3" x14ac:dyDescent="0.2">
      <c r="A45" t="str">
        <f>Sensitivity!A5</f>
        <v>Flat INT</v>
      </c>
      <c r="B45">
        <f>Sensitivity!H5</f>
        <v>602676556870.32288</v>
      </c>
      <c r="C45">
        <f>Sensitivity!B5</f>
        <v>548.99838546902708</v>
      </c>
    </row>
    <row r="46" spans="1:3" x14ac:dyDescent="0.2">
      <c r="A46" t="str">
        <f>Sensitivity!A6</f>
        <v>INT %</v>
      </c>
      <c r="B46">
        <f>Sensitivity!H6</f>
        <v>102956340516479.42</v>
      </c>
      <c r="C46">
        <f>Sensitivity!B6</f>
        <v>3.2136773220879213</v>
      </c>
    </row>
    <row r="47" spans="1:3" x14ac:dyDescent="0.2">
      <c r="A47" t="str">
        <f>Sensitivity!A7</f>
        <v>DAMAGE %</v>
      </c>
      <c r="B47">
        <f>Sensitivity!H7</f>
        <v>32286149168906.172</v>
      </c>
      <c r="C47">
        <f>Sensitivity!B7</f>
        <v>10.248000000001131</v>
      </c>
    </row>
    <row r="48" spans="1:3" x14ac:dyDescent="0.2">
      <c r="A48" t="str">
        <f>Sensitivity!A8</f>
        <v>DAMAGE_AMP %</v>
      </c>
      <c r="B48">
        <f>Sensitivity!H8</f>
        <v>172327321189051.22</v>
      </c>
      <c r="C48">
        <f>Sensitivity!B8</f>
        <v>1.9199999999999651</v>
      </c>
    </row>
    <row r="49" spans="1:3" x14ac:dyDescent="0.2">
      <c r="A49" t="str">
        <f>Sensitivity!A9</f>
        <v>BOSS_DAMAGE %</v>
      </c>
      <c r="B49">
        <f>Sensitivity!H9</f>
        <v>51839056871835.828</v>
      </c>
      <c r="C49">
        <f>Sensitivity!B9</f>
        <v>6.3826094965617122</v>
      </c>
    </row>
    <row r="50" spans="1:3" x14ac:dyDescent="0.2">
      <c r="A50" t="str">
        <f>Sensitivity!A10</f>
        <v>NORMAL_DAMAGE %</v>
      </c>
      <c r="B50">
        <f>Sensitivity!H10</f>
        <v>54873899426043.109</v>
      </c>
      <c r="C50">
        <f>Sensitivity!B10</f>
        <v>6.0296144459154872</v>
      </c>
    </row>
    <row r="51" spans="1:3" x14ac:dyDescent="0.2">
      <c r="A51" t="str">
        <f>Sensitivity!A11</f>
        <v>FINAL_DAMAGE % (multiplicative source)</v>
      </c>
      <c r="B51">
        <f>Sensitivity!H11</f>
        <v>330868456682976.56</v>
      </c>
      <c r="C51">
        <f>Sensitivity!B11</f>
        <v>0.99999999999997158</v>
      </c>
    </row>
    <row r="52" spans="1:3" x14ac:dyDescent="0.2">
      <c r="A52" t="str">
        <f>Sensitivity!A12</f>
        <v>MIN_DAMAGE %</v>
      </c>
      <c r="B52">
        <f>Sensitivity!H12</f>
        <v>49754655140299.383</v>
      </c>
      <c r="C52">
        <f>Sensitivity!B12</f>
        <v>6.6499999999993618</v>
      </c>
    </row>
    <row r="53" spans="1:3" x14ac:dyDescent="0.2">
      <c r="A53" t="str">
        <f>Sensitivity!A13</f>
        <v>MAX_DAMAGE %</v>
      </c>
      <c r="B53">
        <f>Sensitivity!H13</f>
        <v>49754655140299.383</v>
      </c>
      <c r="C53">
        <f>Sensitivity!B13</f>
        <v>6.6499999999993618</v>
      </c>
    </row>
    <row r="54" spans="1:3" x14ac:dyDescent="0.2">
      <c r="A54" t="str">
        <f>Sensitivity!A14</f>
        <v>CRIT_RATE %</v>
      </c>
      <c r="B54">
        <f>Sensitivity!H14</f>
        <v>65957390168802.742</v>
      </c>
      <c r="C54">
        <f>Sensitivity!B14</f>
        <v>5.0163970380905445</v>
      </c>
    </row>
    <row r="55" spans="1:3" x14ac:dyDescent="0.2">
      <c r="A55" t="str">
        <f>Sensitivity!A15</f>
        <v>CRIT_DAMAGE %</v>
      </c>
      <c r="B55">
        <f>Sensitivity!H15</f>
        <v>70114103980288.82</v>
      </c>
      <c r="C55">
        <f>Sensitivity!B15</f>
        <v>4.7189999999998991</v>
      </c>
    </row>
    <row r="56" spans="1:3" x14ac:dyDescent="0.2">
      <c r="A56" t="str">
        <f>Sensitivity!A16</f>
        <v>ATTACK_SPEED % (diminishing returns, factor 150)</v>
      </c>
      <c r="B56">
        <f>Sensitivity!H16</f>
        <v>59664313918494.375</v>
      </c>
      <c r="C56">
        <f>Sensitivity!B16</f>
        <v>5.5455000644936296</v>
      </c>
    </row>
    <row r="57" spans="1:3" x14ac:dyDescent="0.2">
      <c r="A57" t="str">
        <f>Sensitivity!A17</f>
        <v>DEF_PEN % (diminishing returns, factor 100)</v>
      </c>
      <c r="B57">
        <f>Sensitivity!H17</f>
        <v>130798804731813.02</v>
      </c>
      <c r="C57">
        <f>Sensitivity!B17</f>
        <v>2.5295984727182659</v>
      </c>
    </row>
    <row r="58" spans="1:3" x14ac:dyDescent="0.2">
      <c r="A58" t="str">
        <f>Sensitivity!A18</f>
        <v>BASIC_ATTACK_DAMAGE %</v>
      </c>
      <c r="B58">
        <f>Sensitivity!H18</f>
        <v>60777177905680.719</v>
      </c>
      <c r="C58">
        <f>Sensitivity!B18</f>
        <v>5.4439588688443941</v>
      </c>
    </row>
    <row r="59" spans="1:3" x14ac:dyDescent="0.2">
      <c r="A59" t="str">
        <f>Sensitivity!A19</f>
        <v>SKILL_DAMAGE %</v>
      </c>
      <c r="B59">
        <f>Sensitivity!H19</f>
        <v>91087187982857.859</v>
      </c>
      <c r="C59">
        <f>Sensitivity!B19</f>
        <v>3.6324368334352224</v>
      </c>
    </row>
    <row r="60" spans="1:3" x14ac:dyDescent="0.2">
      <c r="A60" t="str">
        <f>Sensitivity!A20</f>
        <v>Skill Level Bonus — 1st Job</v>
      </c>
      <c r="B60">
        <f>Sensitivity!H20</f>
        <v>9629763389654.7871</v>
      </c>
      <c r="C60">
        <f>Sensitivity!B20</f>
        <v>34.358939393930505</v>
      </c>
    </row>
    <row r="61" spans="1:3" x14ac:dyDescent="0.2">
      <c r="A61" t="str">
        <f>Sensitivity!A21</f>
        <v>Skill Level Bonus — 2nd Job</v>
      </c>
      <c r="B61">
        <f>Sensitivity!H21</f>
        <v>29061929899545.121</v>
      </c>
      <c r="C61">
        <f>Sensitivity!B21</f>
        <v>11.384944421332268</v>
      </c>
    </row>
    <row r="62" spans="1:3" x14ac:dyDescent="0.2">
      <c r="A62" t="str">
        <f>Sensitivity!A22</f>
        <v>Skill Level Bonus — 3rd Job</v>
      </c>
      <c r="B62">
        <f>Sensitivity!H22</f>
        <v>19932822937137.137</v>
      </c>
      <c r="C62">
        <f>Sensitivity!B22</f>
        <v>16.599177032094826</v>
      </c>
    </row>
    <row r="63" spans="1:3" x14ac:dyDescent="0.2">
      <c r="A63" t="str">
        <f>Sensitivity!A23</f>
        <v>Skill Level Bonus — 4th Job</v>
      </c>
      <c r="B63">
        <f>Sensitivity!H23</f>
        <v>90504453831116.578</v>
      </c>
      <c r="C63">
        <f>Sensitivity!B23</f>
        <v>3.6558251298922504</v>
      </c>
    </row>
    <row r="64" spans="1:3" x14ac:dyDescent="0.2">
      <c r="A64" t="str">
        <f>Sensitivity!A24</f>
        <v>Skill Level Bonus — All Skills</v>
      </c>
      <c r="B64">
        <f>Sensitivity!H24</f>
        <v>149295483983435.78</v>
      </c>
      <c r="C64">
        <f>Sensitivity!B24</f>
        <v>2.2161986943937286</v>
      </c>
    </row>
    <row r="65" spans="1:3" x14ac:dyDescent="0.2">
      <c r="A65" t="str">
        <f>Sensitivity!A25</f>
        <v>Flat ATTACK</v>
      </c>
      <c r="B65">
        <f>Sensitivity!H25</f>
        <v>31176446552.833878</v>
      </c>
      <c r="C65">
        <f>Sensitivity!B25</f>
        <v>10612.76999971433</v>
      </c>
    </row>
    <row r="66" spans="1:3" x14ac:dyDescent="0.2">
      <c r="A66" t="str">
        <f>Sensitivity!A26</f>
        <v>ATTACK %</v>
      </c>
      <c r="B66">
        <f>Sensitivity!H26</f>
        <v>972333195259.80615</v>
      </c>
      <c r="C66">
        <f>Sensitivity!B26</f>
        <v>340.28300000079838</v>
      </c>
    </row>
    <row r="67" spans="1:3" x14ac:dyDescent="0.2">
      <c r="A67" t="str">
        <f>Sensitivity!A27</f>
        <v>Skill Cooldown Decrease (seconds)</v>
      </c>
      <c r="B67">
        <f>Sensitivity!H27</f>
        <v>363350920083618.5</v>
      </c>
      <c r="C67">
        <f>Sensitivity!B27</f>
        <v>0.91060305174630574</v>
      </c>
    </row>
    <row r="68" spans="1:3" x14ac:dyDescent="0.2">
      <c r="A68" t="str">
        <f>Sensitivity!A28</f>
        <v>Basic Attack Target Increase (flat)</v>
      </c>
      <c r="B68">
        <f>Sensitivity!H28</f>
        <v>558422459014296</v>
      </c>
      <c r="C68">
        <f>Sensitivity!B28</f>
        <v>0.59250564038381093</v>
      </c>
    </row>
    <row r="69" spans="1:3" x14ac:dyDescent="0.2">
      <c r="A69" t="str">
        <f>Sensitivity!A29</f>
        <v>Buff Duration Increase %</v>
      </c>
      <c r="B69">
        <f>Sensitivity!H29</f>
        <v>109242831719054.91</v>
      </c>
      <c r="C69">
        <f>Sensitivity!B29</f>
        <v>3.0287429525251279</v>
      </c>
    </row>
    <row r="70" spans="1:3" ht="16" x14ac:dyDescent="0.2">
      <c r="A70" s="9" t="s">
        <v>374</v>
      </c>
    </row>
    <row r="72" spans="1:3" x14ac:dyDescent="0.2">
      <c r="A72" s="5" t="s">
        <v>375</v>
      </c>
      <c r="B72" s="5" t="s">
        <v>376</v>
      </c>
      <c r="C72" s="5" t="s">
        <v>377</v>
      </c>
    </row>
    <row r="73" spans="1:3" x14ac:dyDescent="0.2">
      <c r="A73" t="str">
        <f>Sensitivity!A32</f>
        <v>Ring of Cycles (Equip)</v>
      </c>
      <c r="B73">
        <f>Sensitivity!B32</f>
        <v>6785523731806012</v>
      </c>
      <c r="C73">
        <f>Sensitivity!C32</f>
        <v>125.79917370005522</v>
      </c>
    </row>
    <row r="74" spans="1:3" x14ac:dyDescent="0.2">
      <c r="A74" t="str">
        <f>Sensitivity!A33</f>
        <v>Hexagon Necklace (Equip)</v>
      </c>
      <c r="B74">
        <f>Sensitivity!B33</f>
        <v>5441071702658794</v>
      </c>
      <c r="C74">
        <f>Sensitivity!C33</f>
        <v>119.68138678056796</v>
      </c>
    </row>
    <row r="75" spans="1:3" x14ac:dyDescent="0.2">
      <c r="A75" t="str">
        <f>Sensitivity!A34</f>
        <v>Book of Ancient (Equip)</v>
      </c>
      <c r="B75">
        <f>Sensitivity!B34</f>
        <v>5003948518975551</v>
      </c>
      <c r="C75">
        <f>Sensitivity!C34</f>
        <v>117.81849106368456</v>
      </c>
    </row>
    <row r="76" spans="1:3" x14ac:dyDescent="0.2">
      <c r="A76" t="str">
        <f>Sensitivity!A35</f>
        <v>Silver Pendant (Equip)</v>
      </c>
      <c r="B76">
        <f>Sensitivity!B35</f>
        <v>5660557159239625</v>
      </c>
      <c r="C76">
        <f>Sensitivity!C35</f>
        <v>117.1081801389833</v>
      </c>
    </row>
    <row r="77" spans="1:3" x14ac:dyDescent="0.2">
      <c r="A77" t="str">
        <f>Sensitivity!A36</f>
        <v>Athena Pierce's Old Gloves (Equip)</v>
      </c>
      <c r="B77">
        <f>Sensitivity!B36</f>
        <v>4564048898157380</v>
      </c>
      <c r="C77">
        <f>Sensitivity!C36</f>
        <v>116.00140734773765</v>
      </c>
    </row>
    <row r="78" spans="1:3" x14ac:dyDescent="0.2">
      <c r="A78" t="str">
        <f>Sensitivity!A37</f>
        <v>Peach Tree Herb Pouch (Equip)</v>
      </c>
      <c r="B78">
        <f>Sensitivity!B37</f>
        <v>5131415202992573</v>
      </c>
      <c r="C78">
        <f>Sensitivity!C37</f>
        <v>115.50892839539971</v>
      </c>
    </row>
    <row r="79" spans="1:3" x14ac:dyDescent="0.2">
      <c r="A79" t="str">
        <f>Sensitivity!A38</f>
        <v>Reindeer's Spear (Equip)</v>
      </c>
      <c r="B79">
        <f>Sensitivity!B38</f>
        <v>4346838869252451</v>
      </c>
      <c r="C79">
        <f>Sensitivity!C38</f>
        <v>113.13766477720631</v>
      </c>
    </row>
    <row r="80" spans="1:3" x14ac:dyDescent="0.2">
      <c r="A80" t="str">
        <f>Sensitivity!A39</f>
        <v>Candle (Equip)</v>
      </c>
      <c r="B80">
        <f>Sensitivity!B39</f>
        <v>4326533096111258</v>
      </c>
      <c r="C80">
        <f>Sensitivity!C39</f>
        <v>113.07629364094036</v>
      </c>
    </row>
    <row r="81" spans="1:3" x14ac:dyDescent="0.2">
      <c r="A81" t="str">
        <f>Sensitivity!A40</f>
        <v>Flaming Lava (Equip)</v>
      </c>
      <c r="B81">
        <f>Sensitivity!B40</f>
        <v>3897031567771868</v>
      </c>
      <c r="C81">
        <f>Sensitivity!C40</f>
        <v>111.77819006030521</v>
      </c>
    </row>
    <row r="82" spans="1:3" x14ac:dyDescent="0.2">
      <c r="A82" t="str">
        <f>Sensitivity!A41</f>
        <v>Icy Soul Rock (Equip)</v>
      </c>
      <c r="B82">
        <f>Sensitivity!B41</f>
        <v>3249854539495996</v>
      </c>
      <c r="C82">
        <f>Sensitivity!C41</f>
        <v>109.8221951166833</v>
      </c>
    </row>
    <row r="83" spans="1:3" x14ac:dyDescent="0.2">
      <c r="A83" t="str">
        <f>Sensitivity!A42</f>
        <v>Secret Map (Equip)</v>
      </c>
      <c r="B83">
        <f>Sensitivity!B42</f>
        <v>3144563287768132</v>
      </c>
      <c r="C83">
        <f>Sensitivity!C42</f>
        <v>109.50396819114488</v>
      </c>
    </row>
    <row r="84" spans="1:3" x14ac:dyDescent="0.2">
      <c r="A84" t="str">
        <f>Sensitivity!A43</f>
        <v>Charm of the Undead (Equip)</v>
      </c>
      <c r="B84">
        <f>Sensitivity!B43</f>
        <v>2396544210066497</v>
      </c>
      <c r="C84">
        <f>Sensitivity!C43</f>
        <v>107.24319336479637</v>
      </c>
    </row>
    <row r="85" spans="1:3" x14ac:dyDescent="0.2">
      <c r="A85" t="str">
        <f>Sensitivity!A44</f>
        <v>Alliance Badge (Equip)</v>
      </c>
      <c r="B85">
        <f>Sensitivity!B44</f>
        <v>2315960411171300</v>
      </c>
      <c r="C85">
        <f>Sensitivity!C44</f>
        <v>106.99964098841373</v>
      </c>
    </row>
    <row r="86" spans="1:3" x14ac:dyDescent="0.2">
      <c r="A86" t="str">
        <f>Sensitivity!A45</f>
        <v>Rainbow-colored Snail Shell (Equip)</v>
      </c>
      <c r="B86">
        <f>Sensitivity!B45</f>
        <v>2195255484201528</v>
      </c>
      <c r="C86">
        <f>Sensitivity!C45</f>
        <v>106.63482855455446</v>
      </c>
    </row>
    <row r="87" spans="1:3" x14ac:dyDescent="0.2">
      <c r="A87" t="str">
        <f>Sensitivity!A46</f>
        <v>Shamaness Marble (Equip)</v>
      </c>
      <c r="B87">
        <f>Sensitivity!B46</f>
        <v>1516436542697346.5</v>
      </c>
      <c r="C87">
        <f>Sensitivity!C46</f>
        <v>104.58320070126952</v>
      </c>
    </row>
    <row r="88" spans="1:3" x14ac:dyDescent="0.2">
      <c r="A88" t="str">
        <f>Sensitivity!A47</f>
        <v>Zakum's Stone Piece (Equip)</v>
      </c>
      <c r="B88">
        <f>Sensitivity!B47</f>
        <v>1199212707187110</v>
      </c>
      <c r="C88">
        <f>Sensitivity!C47</f>
        <v>103.62443951052175</v>
      </c>
    </row>
    <row r="89" spans="1:3" x14ac:dyDescent="0.2">
      <c r="A89" t="str">
        <f>Sensitivity!A48</f>
        <v>Clear Spring Water (Equip)</v>
      </c>
      <c r="B89">
        <f>Sensitivity!B48</f>
        <v>1097477988520862.1</v>
      </c>
      <c r="C89">
        <f>Sensitivity!C48</f>
        <v>103.31696166967177</v>
      </c>
    </row>
    <row r="90" spans="1:3" x14ac:dyDescent="0.2">
      <c r="A90" t="str">
        <f>Sensitivity!A49</f>
        <v>Arwen's Glass Shoes (Equip)</v>
      </c>
      <c r="B90">
        <f>Sensitivity!B49</f>
        <v>822371195801567.88</v>
      </c>
      <c r="C90">
        <f>Sensitivity!C49</f>
        <v>102.48549288755424</v>
      </c>
    </row>
    <row r="91" spans="1:3" x14ac:dyDescent="0.2">
      <c r="A91" t="str">
        <f>Sensitivity!A50</f>
        <v>Ancient Text Piece (Equip)</v>
      </c>
      <c r="B91">
        <f>Sensitivity!B50</f>
        <v>725746796205701.62</v>
      </c>
      <c r="C91">
        <f>Sensitivity!C50</f>
        <v>102.19346021522111</v>
      </c>
    </row>
    <row r="92" spans="1:3" x14ac:dyDescent="0.2">
      <c r="A92" t="str">
        <f>Sensitivity!A51</f>
        <v>Old Music Box (Equip)</v>
      </c>
      <c r="B92">
        <f>Sensitivity!B51</f>
        <v>720694383615355.88</v>
      </c>
      <c r="C92">
        <f>Sensitivity!C51</f>
        <v>102.17819006030517</v>
      </c>
    </row>
    <row r="93" spans="1:3" x14ac:dyDescent="0.2">
      <c r="A93" t="str">
        <f>Sensitivity!A52</f>
        <v>The Contract of Darkness (Equip)</v>
      </c>
      <c r="B93">
        <f>Sensitivity!B52</f>
        <v>659573901688027.38</v>
      </c>
      <c r="C93">
        <f>Sensitivity!C52</f>
        <v>101.9934626234861</v>
      </c>
    </row>
    <row r="94" spans="1:3" x14ac:dyDescent="0.2">
      <c r="A94" t="str">
        <f>Sensitivity!A53</f>
        <v>Mushmom's Cap (Equip)</v>
      </c>
      <c r="B94">
        <f>Sensitivity!B53</f>
        <v>466551511846522.44</v>
      </c>
      <c r="C94">
        <f>Sensitivity!C53</f>
        <v>101.41008156692786</v>
      </c>
    </row>
    <row r="95" spans="1:3" x14ac:dyDescent="0.2">
      <c r="A95" t="str">
        <f>Sensitivity!A54</f>
        <v>Horntail's Scale (Equip)</v>
      </c>
      <c r="B95">
        <f>Sensitivity!B54</f>
        <v>463303532324161.06</v>
      </c>
      <c r="C95">
        <f>Sensitivity!C54</f>
        <v>101.40026503876763</v>
      </c>
    </row>
    <row r="96" spans="1:3" x14ac:dyDescent="0.2">
      <c r="A96" t="str">
        <f>Sensitivity!A55</f>
        <v>Soul Pouch (Equip)</v>
      </c>
      <c r="B96">
        <f>Sensitivity!B55</f>
        <v>296808255759608.69</v>
      </c>
      <c r="C96">
        <f>Sensitivity!C55</f>
        <v>100.89705818056873</v>
      </c>
    </row>
    <row r="97" spans="1:3" x14ac:dyDescent="0.2">
      <c r="A97" t="str">
        <f>Sensitivity!A56</f>
        <v>Pig's Ribbon (Equip)</v>
      </c>
      <c r="B97">
        <f>Sensitivity!B56</f>
        <v>129144596675624.69</v>
      </c>
      <c r="C97">
        <f>Sensitivity!C56</f>
        <v>100.3903200624512</v>
      </c>
    </row>
    <row r="98" spans="1:3" x14ac:dyDescent="0.2">
      <c r="A98" t="str">
        <f>Sensitivity!A57</f>
        <v>Pink Bean's Giant Rib (Equip)</v>
      </c>
      <c r="B98">
        <f>Sensitivity!B57</f>
        <v>0</v>
      </c>
      <c r="C98">
        <f>Sensitivity!C57</f>
        <v>100</v>
      </c>
    </row>
    <row r="99" spans="1:3" x14ac:dyDescent="0.2">
      <c r="A99" t="str">
        <f>Sensitivity!A58</f>
        <v>Lunar Dew (Equip)</v>
      </c>
      <c r="B99">
        <f>Sensitivity!B58</f>
        <v>0</v>
      </c>
      <c r="C99">
        <f>Sensitivity!C58</f>
        <v>100</v>
      </c>
    </row>
    <row r="100" spans="1:3" x14ac:dyDescent="0.2">
      <c r="A100" t="str">
        <f>Sensitivity!A59</f>
        <v>Soul Contract (Equip)</v>
      </c>
      <c r="B100">
        <f>Sensitivity!B59</f>
        <v>0</v>
      </c>
      <c r="C100">
        <f>Sensitivity!C59</f>
        <v>100</v>
      </c>
    </row>
    <row r="101" spans="1:3" x14ac:dyDescent="0.2">
      <c r="A101" t="str">
        <f>Sensitivity!A60</f>
        <v/>
      </c>
      <c r="B101" t="str">
        <f>Sensitivity!B60</f>
        <v/>
      </c>
      <c r="C101" t="str">
        <f>Sensitivity!C60</f>
        <v/>
      </c>
    </row>
    <row r="102" spans="1:3" x14ac:dyDescent="0.2">
      <c r="A102" t="str">
        <f>Sensitivity!A61</f>
        <v/>
      </c>
      <c r="B102" t="str">
        <f>Sensitivity!B61</f>
        <v/>
      </c>
      <c r="C102" t="str">
        <f>Sensitivity!C61</f>
        <v/>
      </c>
    </row>
    <row r="103" spans="1:3" x14ac:dyDescent="0.2">
      <c r="A103" t="str">
        <f>Sensitivity!A62</f>
        <v/>
      </c>
      <c r="B103" t="str">
        <f>Sensitivity!B62</f>
        <v/>
      </c>
      <c r="C103" t="str">
        <f>Sensitivity!C62</f>
        <v/>
      </c>
    </row>
    <row r="104" spans="1:3" x14ac:dyDescent="0.2">
      <c r="A104" t="str">
        <f>Sensitivity!A63</f>
        <v/>
      </c>
      <c r="B104" t="str">
        <f>Sensitivity!B63</f>
        <v/>
      </c>
      <c r="C104" t="str">
        <f>Sensitivity!C63</f>
        <v/>
      </c>
    </row>
    <row r="105" spans="1:3" x14ac:dyDescent="0.2">
      <c r="A105" t="str">
        <f>Sensitivity!A64</f>
        <v/>
      </c>
      <c r="B105" t="str">
        <f>Sensitivity!B64</f>
        <v/>
      </c>
      <c r="C105" t="str">
        <f>Sensitivity!C64</f>
        <v/>
      </c>
    </row>
    <row r="106" spans="1:3" x14ac:dyDescent="0.2">
      <c r="A106" t="str">
        <f>Sensitivity!A65</f>
        <v/>
      </c>
      <c r="B106" t="str">
        <f>Sensitivity!B65</f>
        <v/>
      </c>
      <c r="C106" t="str">
        <f>Sensitivity!C65</f>
        <v/>
      </c>
    </row>
    <row r="107" spans="1:3" x14ac:dyDescent="0.2">
      <c r="A107" t="str">
        <f>Sensitivity!A66</f>
        <v/>
      </c>
      <c r="B107" t="str">
        <f>Sensitivity!B66</f>
        <v/>
      </c>
      <c r="C107" t="str">
        <f>Sensitivity!C66</f>
        <v/>
      </c>
    </row>
    <row r="108" spans="1:3" x14ac:dyDescent="0.2">
      <c r="A108" t="str">
        <f>Sensitivity!A67</f>
        <v/>
      </c>
      <c r="B108" t="str">
        <f>Sensitivity!B67</f>
        <v/>
      </c>
      <c r="C108" t="str">
        <f>Sensitivity!C67</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E3205"/>
  <sheetViews>
    <sheetView workbookViewId="0">
      <pane ySplit="4" topLeftCell="A5" activePane="bottomLeft" state="frozen"/>
      <selection pane="bottomLeft" activeCell="B14" sqref="B14"/>
    </sheetView>
  </sheetViews>
  <sheetFormatPr baseColWidth="10" defaultColWidth="8.83203125" defaultRowHeight="15" x14ac:dyDescent="0.2"/>
  <cols>
    <col min="1" max="1" width="40" customWidth="1"/>
    <col min="2" max="2" width="16" customWidth="1"/>
    <col min="3" max="3" width="8" customWidth="1"/>
    <col min="4" max="5" width="14" customWidth="1"/>
    <col min="6" max="6" width="16" customWidth="1"/>
    <col min="7" max="7" width="14" customWidth="1"/>
    <col min="8" max="8" width="12" customWidth="1"/>
    <col min="9" max="9" width="10" customWidth="1"/>
    <col min="27" max="31" width="13" hidden="1" customWidth="1"/>
  </cols>
  <sheetData>
    <row r="1" spans="1:17" ht="19" x14ac:dyDescent="0.25">
      <c r="A1" s="4" t="s">
        <v>378</v>
      </c>
    </row>
    <row r="2" spans="1:17" x14ac:dyDescent="0.2">
      <c r="A2" t="s">
        <v>379</v>
      </c>
    </row>
    <row r="4" spans="1:17" x14ac:dyDescent="0.2">
      <c r="A4" s="5" t="s">
        <v>371</v>
      </c>
      <c r="B4" s="5" t="s">
        <v>373</v>
      </c>
      <c r="C4" s="5" t="s">
        <v>380</v>
      </c>
      <c r="D4" s="5" t="s">
        <v>381</v>
      </c>
      <c r="E4" s="5" t="s">
        <v>382</v>
      </c>
      <c r="F4" s="5" t="s">
        <v>383</v>
      </c>
      <c r="G4" s="5" t="s">
        <v>384</v>
      </c>
      <c r="H4" s="5" t="s">
        <v>376</v>
      </c>
      <c r="I4" s="5" t="s">
        <v>377</v>
      </c>
    </row>
    <row r="5" spans="1:17" x14ac:dyDescent="0.2">
      <c r="A5" t="s">
        <v>47</v>
      </c>
      <c r="B5">
        <f t="shared" ref="B5:B29" si="0">IFERROR(1/(I5-100),"n/a")</f>
        <v>548.99838546902708</v>
      </c>
      <c r="C5" t="s">
        <v>385</v>
      </c>
      <c r="D5">
        <f>Inputs!$B$12</f>
        <v>66028</v>
      </c>
      <c r="E5">
        <f>(Inputs!$B$12+1)</f>
        <v>66029</v>
      </c>
      <c r="F5">
        <f>Summary!$B$3</f>
        <v>3.3086845668296892E+16</v>
      </c>
      <c r="G5">
        <f>B111</f>
        <v>3.3087448344853764E+16</v>
      </c>
      <c r="H5">
        <f>Summary!$B$3*(((1-Summary!$B$11)*IFERROR(B109/Summary!$B$23,1)+Summary!$B$11*IFERROR(B110/Summary!$B$24,1))-1)</f>
        <v>602676556870.32288</v>
      </c>
      <c r="I5">
        <f>((1-Summary!$B$11)*IFERROR(B109/Summary!$B$23,1)+Summary!$B$11*IFERROR(B110/Summary!$B$24,1))*100</f>
        <v>100.00182149898154</v>
      </c>
    </row>
    <row r="6" spans="1:17" x14ac:dyDescent="0.2">
      <c r="A6" t="s">
        <v>49</v>
      </c>
      <c r="B6">
        <f t="shared" si="0"/>
        <v>3.2136773220879213</v>
      </c>
      <c r="C6" t="s">
        <v>386</v>
      </c>
      <c r="D6">
        <f>Inputs!$B$13</f>
        <v>286.7</v>
      </c>
      <c r="E6">
        <f>(Inputs!$B$13+1)</f>
        <v>287.7</v>
      </c>
      <c r="F6">
        <f>Summary!$B$3</f>
        <v>3.3086845668296892E+16</v>
      </c>
      <c r="G6">
        <f>B155</f>
        <v>3.3189802008813376E+16</v>
      </c>
      <c r="H6">
        <f>Summary!$B$3*(((1-Summary!$B$11)*IFERROR(B153/Summary!$B$23,1)+Summary!$B$11*IFERROR(B154/Summary!$B$24,1))-1)</f>
        <v>102956340516479.42</v>
      </c>
      <c r="I6">
        <f>((1-Summary!$B$11)*IFERROR(B153/Summary!$B$23,1)+Summary!$B$11*IFERROR(B154/Summary!$B$24,1))*100</f>
        <v>100.31117000861502</v>
      </c>
      <c r="N6" t="s">
        <v>637</v>
      </c>
    </row>
    <row r="7" spans="1:17" x14ac:dyDescent="0.2">
      <c r="A7" t="s">
        <v>53</v>
      </c>
      <c r="B7">
        <f t="shared" si="0"/>
        <v>10.248000000001131</v>
      </c>
      <c r="C7" t="s">
        <v>386</v>
      </c>
      <c r="D7">
        <f>Inputs!$B$15</f>
        <v>924.8</v>
      </c>
      <c r="E7">
        <f>(Inputs!$B$15+1)</f>
        <v>925.8</v>
      </c>
      <c r="F7">
        <f>Summary!$B$3</f>
        <v>3.3086845668296892E+16</v>
      </c>
      <c r="G7">
        <f>B199</f>
        <v>3.3119131817465792E+16</v>
      </c>
      <c r="H7">
        <f>Summary!$B$3*(((1-Summary!$B$11)*IFERROR(B197/Summary!$B$23,1)+Summary!$B$11*IFERROR(B198/Summary!$B$24,1))-1)</f>
        <v>32286149168906.172</v>
      </c>
      <c r="I7">
        <f>((1-Summary!$B$11)*IFERROR(B197/Summary!$B$23,1)+Summary!$B$11*IFERROR(B198/Summary!$B$24,1))*100</f>
        <v>100.09758001561279</v>
      </c>
      <c r="N7">
        <v>3032</v>
      </c>
      <c r="O7">
        <f>N7/(0.3/B7)</f>
        <v>103573.12000001143</v>
      </c>
      <c r="P7">
        <f>N7/((0.3/B7)/(10/B5))</f>
        <v>1886.5833259514154</v>
      </c>
      <c r="Q7">
        <f>N7/((0.3/B7)/(70/B25))</f>
        <v>683.15043105579002</v>
      </c>
    </row>
    <row r="8" spans="1:17" x14ac:dyDescent="0.2">
      <c r="A8" t="s">
        <v>55</v>
      </c>
      <c r="B8">
        <f t="shared" si="0"/>
        <v>1.9199999999999651</v>
      </c>
      <c r="C8" t="s">
        <v>386</v>
      </c>
      <c r="D8">
        <f>Inputs!$B$16</f>
        <v>92</v>
      </c>
      <c r="E8">
        <f>(Inputs!$B$16+1)</f>
        <v>93</v>
      </c>
      <c r="F8">
        <f>Summary!$B$3</f>
        <v>3.3086845668296892E+16</v>
      </c>
      <c r="G8">
        <f>B243</f>
        <v>3.3259172989485936E+16</v>
      </c>
      <c r="H8">
        <f>Summary!$B$3*(((1-Summary!$B$11)*IFERROR(B241/Summary!$B$23,1)+Summary!$B$11*IFERROR(B242/Summary!$B$24,1))-1)</f>
        <v>172327321189051.22</v>
      </c>
      <c r="I8">
        <f>((1-Summary!$B$11)*IFERROR(B241/Summary!$B$23,1)+Summary!$B$11*IFERROR(B242/Summary!$B$24,1))*100</f>
        <v>100.52083333333334</v>
      </c>
    </row>
    <row r="9" spans="1:17" x14ac:dyDescent="0.2">
      <c r="A9" t="s">
        <v>63</v>
      </c>
      <c r="B9">
        <f t="shared" si="0"/>
        <v>6.3826094965617122</v>
      </c>
      <c r="C9" t="s">
        <v>386</v>
      </c>
      <c r="D9">
        <f>Inputs!$B$20</f>
        <v>217</v>
      </c>
      <c r="E9">
        <f>(Inputs!$B$20+1)</f>
        <v>218</v>
      </c>
      <c r="F9">
        <f>Summary!$B$3</f>
        <v>3.3086845668296892E+16</v>
      </c>
      <c r="G9">
        <f>B287</f>
        <v>3.3101756909669344E+16</v>
      </c>
      <c r="H9">
        <f>Summary!$B$3*(((1-Summary!$B$11)*IFERROR(B285/Summary!$B$23,1)+Summary!$B$11*IFERROR(B286/Summary!$B$24,1))-1)</f>
        <v>51839056871835.828</v>
      </c>
      <c r="I9">
        <f>((1-Summary!$B$11)*IFERROR(B285/Summary!$B$23,1)+Summary!$B$11*IFERROR(B286/Summary!$B$24,1))*100</f>
        <v>100.15667572965864</v>
      </c>
    </row>
    <row r="10" spans="1:17" x14ac:dyDescent="0.2">
      <c r="A10" t="s">
        <v>65</v>
      </c>
      <c r="B10">
        <f t="shared" si="0"/>
        <v>6.0296144459154872</v>
      </c>
      <c r="C10" t="s">
        <v>386</v>
      </c>
      <c r="D10">
        <f>Inputs!$B$21</f>
        <v>201</v>
      </c>
      <c r="E10">
        <f>(Inputs!$B$21+1)</f>
        <v>202</v>
      </c>
      <c r="F10">
        <f>Summary!$B$3</f>
        <v>3.3086845668296892E+16</v>
      </c>
      <c r="G10">
        <f>B331</f>
        <v>3.318080926873248E+16</v>
      </c>
      <c r="H10">
        <f>Summary!$B$3*(((1-Summary!$B$11)*IFERROR(B329/Summary!$B$23,1)+Summary!$B$11*IFERROR(B330/Summary!$B$24,1))-1)</f>
        <v>54873899426043.109</v>
      </c>
      <c r="I10">
        <f>((1-Summary!$B$11)*IFERROR(B329/Summary!$B$23,1)+Summary!$B$11*IFERROR(B330/Summary!$B$24,1))*100</f>
        <v>100.16584808348358</v>
      </c>
    </row>
    <row r="11" spans="1:17" x14ac:dyDescent="0.2">
      <c r="A11" t="s">
        <v>387</v>
      </c>
      <c r="B11">
        <f t="shared" si="0"/>
        <v>0.99999999999997158</v>
      </c>
      <c r="C11" t="s">
        <v>388</v>
      </c>
      <c r="D11">
        <f>Inputs!$B$24</f>
        <v>104.3</v>
      </c>
      <c r="E11">
        <f>((((1+Inputs!$B$24/100)*(1.01))-1)*100)</f>
        <v>106.34300000000003</v>
      </c>
      <c r="F11">
        <f>Summary!$B$3</f>
        <v>3.3086845668296892E+16</v>
      </c>
      <c r="G11">
        <f>B375</f>
        <v>3.3417714124979864E+16</v>
      </c>
      <c r="H11">
        <f>Summary!$B$3*(((1-Summary!$B$11)*IFERROR(B373/Summary!$B$23,1)+Summary!$B$11*IFERROR(B374/Summary!$B$24,1))-1)</f>
        <v>330868456682976.56</v>
      </c>
      <c r="I11">
        <f>((1-Summary!$B$11)*IFERROR(B373/Summary!$B$23,1)+Summary!$B$11*IFERROR(B374/Summary!$B$24,1))*100</f>
        <v>101.00000000000003</v>
      </c>
    </row>
    <row r="12" spans="1:17" x14ac:dyDescent="0.2">
      <c r="A12" t="s">
        <v>67</v>
      </c>
      <c r="B12">
        <f t="shared" si="0"/>
        <v>6.6499999999993618</v>
      </c>
      <c r="C12" t="s">
        <v>386</v>
      </c>
      <c r="D12">
        <f>Inputs!$B$22</f>
        <v>319.89999999999998</v>
      </c>
      <c r="E12">
        <f>(Inputs!$B$22+1)</f>
        <v>320.89999999999998</v>
      </c>
      <c r="F12">
        <f>Summary!$B$3</f>
        <v>3.3086845668296892E+16</v>
      </c>
      <c r="G12">
        <f>B419</f>
        <v>3.3136600323437188E+16</v>
      </c>
      <c r="H12">
        <f>Summary!$B$3*(((1-Summary!$B$11)*IFERROR(B417/Summary!$B$23,1)+Summary!$B$11*IFERROR(B418/Summary!$B$24,1))-1)</f>
        <v>49754655140299.383</v>
      </c>
      <c r="I12">
        <f>((1-Summary!$B$11)*IFERROR(B417/Summary!$B$23,1)+Summary!$B$11*IFERROR(B418/Summary!$B$24,1))*100</f>
        <v>100.15037593984964</v>
      </c>
    </row>
    <row r="13" spans="1:17" x14ac:dyDescent="0.2">
      <c r="A13" t="s">
        <v>69</v>
      </c>
      <c r="B13">
        <f t="shared" si="0"/>
        <v>6.6499999999993618</v>
      </c>
      <c r="C13" t="s">
        <v>386</v>
      </c>
      <c r="D13">
        <f>Inputs!$B$23</f>
        <v>345.1</v>
      </c>
      <c r="E13">
        <f>(Inputs!$B$23+1)</f>
        <v>346.1</v>
      </c>
      <c r="F13">
        <f>Summary!$B$3</f>
        <v>3.3086845668296892E+16</v>
      </c>
      <c r="G13">
        <f>B463</f>
        <v>3.3136600323437188E+16</v>
      </c>
      <c r="H13">
        <f>Summary!$B$3*(((1-Summary!$B$11)*IFERROR(B461/Summary!$B$23,1)+Summary!$B$11*IFERROR(B462/Summary!$B$24,1))-1)</f>
        <v>49754655140299.383</v>
      </c>
      <c r="I13">
        <f>((1-Summary!$B$11)*IFERROR(B461/Summary!$B$23,1)+Summary!$B$11*IFERROR(B462/Summary!$B$24,1))*100</f>
        <v>100.15037593984964</v>
      </c>
    </row>
    <row r="14" spans="1:17" x14ac:dyDescent="0.2">
      <c r="A14" t="s">
        <v>41</v>
      </c>
      <c r="B14">
        <f t="shared" si="0"/>
        <v>5.0163970380905445</v>
      </c>
      <c r="C14" t="s">
        <v>386</v>
      </c>
      <c r="D14">
        <f>Inputs!$B$9</f>
        <v>152.4</v>
      </c>
      <c r="E14">
        <f>(Inputs!$B$9+1)</f>
        <v>153.4</v>
      </c>
      <c r="F14">
        <f>Summary!$B$3</f>
        <v>3.3086845668296892E+16</v>
      </c>
      <c r="G14">
        <f>B507</f>
        <v>3.3161492777242844E+16</v>
      </c>
      <c r="H14">
        <f>Summary!$B$3*(((1-Summary!$B$11)*IFERROR(B505/Summary!$B$23,1)+Summary!$B$11*IFERROR(B506/Summary!$B$24,1))-1)</f>
        <v>65957390168802.742</v>
      </c>
      <c r="I14">
        <f>((1-Summary!$B$11)*IFERROR(B505/Summary!$B$23,1)+Summary!$B$11*IFERROR(B506/Summary!$B$24,1))*100</f>
        <v>100.19934626234861</v>
      </c>
    </row>
    <row r="15" spans="1:17" x14ac:dyDescent="0.2">
      <c r="A15" t="s">
        <v>43</v>
      </c>
      <c r="B15">
        <f t="shared" si="0"/>
        <v>4.7189999999998991</v>
      </c>
      <c r="C15" t="s">
        <v>386</v>
      </c>
      <c r="D15">
        <f>Inputs!$B$10</f>
        <v>371.9</v>
      </c>
      <c r="E15">
        <f>(Inputs!$B$10+1)</f>
        <v>372.9</v>
      </c>
      <c r="F15">
        <f>Summary!$B$3</f>
        <v>3.3086845668296892E+16</v>
      </c>
      <c r="G15">
        <f>B551</f>
        <v>3.3156959772277176E+16</v>
      </c>
      <c r="H15">
        <f>Summary!$B$3*(((1-Summary!$B$11)*IFERROR(B549/Summary!$B$23,1)+Summary!$B$11*IFERROR(B550/Summary!$B$24,1))-1)</f>
        <v>70114103980288.82</v>
      </c>
      <c r="I15">
        <f>((1-Summary!$B$11)*IFERROR(B549/Summary!$B$23,1)+Summary!$B$11*IFERROR(B550/Summary!$B$24,1))*100</f>
        <v>100.2119093028184</v>
      </c>
    </row>
    <row r="16" spans="1:17" x14ac:dyDescent="0.2">
      <c r="A16" t="s">
        <v>389</v>
      </c>
      <c r="B16">
        <f t="shared" si="0"/>
        <v>5.5455000644936296</v>
      </c>
      <c r="C16" t="s">
        <v>390</v>
      </c>
      <c r="D16">
        <f>Inputs!$B$11</f>
        <v>66.2</v>
      </c>
      <c r="E16">
        <f>((1-(1-Inputs!$B$11/150)*(1-1/150))*150)</f>
        <v>66.75866666666667</v>
      </c>
      <c r="F16">
        <f>Summary!$B$3</f>
        <v>3.3086845668296892E+16</v>
      </c>
      <c r="G16">
        <f>B595</f>
        <v>3.3155020384526456E+16</v>
      </c>
      <c r="H16">
        <f>Summary!$B$3*(((1-Summary!$B$11)*IFERROR(B593/Summary!$B$23,1)+Summary!$B$11*IFERROR(B594/Summary!$B$24,1))-1)</f>
        <v>59664313918494.375</v>
      </c>
      <c r="I16">
        <f>((1-Summary!$B$11)*IFERROR(B593/Summary!$B$23,1)+Summary!$B$11*IFERROR(B594/Summary!$B$24,1))*100</f>
        <v>100.18032638867011</v>
      </c>
    </row>
    <row r="17" spans="1:31" x14ac:dyDescent="0.2">
      <c r="A17" t="s">
        <v>391</v>
      </c>
      <c r="B17">
        <f t="shared" si="0"/>
        <v>2.5295984727182659</v>
      </c>
      <c r="C17" t="s">
        <v>392</v>
      </c>
      <c r="D17">
        <f>Inputs!$B$19</f>
        <v>44.8</v>
      </c>
      <c r="E17">
        <f>((1-(1-Inputs!$B$19/100)*(1-1/100))*100)</f>
        <v>45.35199999999999</v>
      </c>
      <c r="F17">
        <f>Summary!$B$3</f>
        <v>3.3086845668296892E+16</v>
      </c>
      <c r="G17">
        <f>B639</f>
        <v>3.3217644473028708E+16</v>
      </c>
      <c r="H17">
        <f>Summary!$B$3*(((1-Summary!$B$11)*IFERROR(B637/Summary!$B$23,1)+Summary!$B$11*IFERROR(B638/Summary!$B$24,1))-1)</f>
        <v>130798804731813.02</v>
      </c>
      <c r="I17">
        <f>((1-Summary!$B$11)*IFERROR(B637/Summary!$B$23,1)+Summary!$B$11*IFERROR(B638/Summary!$B$24,1))*100</f>
        <v>100.39531965676964</v>
      </c>
    </row>
    <row r="18" spans="1:31" x14ac:dyDescent="0.2">
      <c r="A18" t="s">
        <v>57</v>
      </c>
      <c r="B18">
        <f t="shared" si="0"/>
        <v>5.4439588688443941</v>
      </c>
      <c r="C18" t="s">
        <v>386</v>
      </c>
      <c r="D18">
        <f>Inputs!$B$17</f>
        <v>34.6</v>
      </c>
      <c r="E18">
        <f>(Inputs!$B$17+1)</f>
        <v>35.6</v>
      </c>
      <c r="F18">
        <f>Summary!$B$3</f>
        <v>3.3086845668296892E+16</v>
      </c>
      <c r="G18">
        <f>B683</f>
        <v>3.3160593976164524E+16</v>
      </c>
      <c r="H18">
        <f>Summary!$B$3*(((1-Summary!$B$11)*IFERROR(B681/Summary!$B$23,1)+Summary!$B$11*IFERROR(B682/Summary!$B$24,1))-1)</f>
        <v>60777177905680.719</v>
      </c>
      <c r="I18">
        <f>((1-Summary!$B$11)*IFERROR(B681/Summary!$B$23,1)+Summary!$B$11*IFERROR(B682/Summary!$B$24,1))*100</f>
        <v>100.18368985219983</v>
      </c>
    </row>
    <row r="19" spans="1:31" x14ac:dyDescent="0.2">
      <c r="A19" t="s">
        <v>59</v>
      </c>
      <c r="B19">
        <f t="shared" si="0"/>
        <v>3.6324368334352224</v>
      </c>
      <c r="C19" t="s">
        <v>386</v>
      </c>
      <c r="D19">
        <f>Inputs!$B$18</f>
        <v>105.4</v>
      </c>
      <c r="E19">
        <f>(Inputs!$B$18+1)</f>
        <v>106.4</v>
      </c>
      <c r="F19">
        <f>Summary!$B$3</f>
        <v>3.3086845668296892E+16</v>
      </c>
      <c r="G19">
        <f>B727</f>
        <v>3.3169130202077764E+16</v>
      </c>
      <c r="H19">
        <f>Summary!$B$3*(((1-Summary!$B$11)*IFERROR(B725/Summary!$B$23,1)+Summary!$B$11*IFERROR(B726/Summary!$B$24,1))-1)</f>
        <v>91087187982857.859</v>
      </c>
      <c r="I19">
        <f>((1-Summary!$B$11)*IFERROR(B725/Summary!$B$23,1)+Summary!$B$11*IFERROR(B726/Summary!$B$24,1))*100</f>
        <v>100.2752972855014</v>
      </c>
    </row>
    <row r="20" spans="1:31" x14ac:dyDescent="0.2">
      <c r="A20" t="s">
        <v>73</v>
      </c>
      <c r="B20">
        <f t="shared" si="0"/>
        <v>34.358939393930505</v>
      </c>
      <c r="C20" t="s">
        <v>393</v>
      </c>
      <c r="D20">
        <f>Inputs!$B$25</f>
        <v>12</v>
      </c>
      <c r="E20">
        <f>(Inputs!$B$25+1)</f>
        <v>13</v>
      </c>
      <c r="F20">
        <f>Summary!$B$3</f>
        <v>3.3086845668296892E+16</v>
      </c>
      <c r="G20">
        <f>B771</f>
        <v>3.3096475431686536E+16</v>
      </c>
      <c r="H20">
        <f>Summary!$B$3*(((1-Summary!$B$11)*IFERROR(B769/Summary!$B$23,1)+Summary!$B$11*IFERROR(B770/Summary!$B$24,1))-1)</f>
        <v>9629763389654.7871</v>
      </c>
      <c r="I20">
        <f>((1-Summary!$B$11)*IFERROR(B769/Summary!$B$23,1)+Summary!$B$11*IFERROR(B770/Summary!$B$24,1))*100</f>
        <v>100.02910450722983</v>
      </c>
    </row>
    <row r="21" spans="1:31" x14ac:dyDescent="0.2">
      <c r="A21" t="s">
        <v>75</v>
      </c>
      <c r="B21">
        <f t="shared" si="0"/>
        <v>11.384944421332268</v>
      </c>
      <c r="C21" t="s">
        <v>393</v>
      </c>
      <c r="D21">
        <f>Inputs!$B$26</f>
        <v>23</v>
      </c>
      <c r="E21">
        <f>(Inputs!$B$26+1)</f>
        <v>24</v>
      </c>
      <c r="F21">
        <f>Summary!$B$3</f>
        <v>3.3086845668296892E+16</v>
      </c>
      <c r="G21">
        <f>B815</f>
        <v>3.3112740433432252E+16</v>
      </c>
      <c r="H21">
        <f>Summary!$B$3*(((1-Summary!$B$11)*IFERROR(B813/Summary!$B$23,1)+Summary!$B$11*IFERROR(B814/Summary!$B$24,1))-1)</f>
        <v>29061929899545.121</v>
      </c>
      <c r="I21">
        <f>((1-Summary!$B$11)*IFERROR(B813/Summary!$B$23,1)+Summary!$B$11*IFERROR(B814/Summary!$B$24,1))*100</f>
        <v>100.08783529923311</v>
      </c>
    </row>
    <row r="22" spans="1:31" x14ac:dyDescent="0.2">
      <c r="A22" t="s">
        <v>77</v>
      </c>
      <c r="B22">
        <f t="shared" si="0"/>
        <v>16.599177032094826</v>
      </c>
      <c r="C22" t="s">
        <v>393</v>
      </c>
      <c r="D22">
        <f>Inputs!$B$27</f>
        <v>9</v>
      </c>
      <c r="E22">
        <f>(Inputs!$B$27+1)</f>
        <v>10</v>
      </c>
      <c r="F22">
        <f>Summary!$B$3</f>
        <v>3.3086845668296892E+16</v>
      </c>
      <c r="G22">
        <f>B859</f>
        <v>3.3107172958626056E+16</v>
      </c>
      <c r="H22">
        <f>Summary!$B$3*(((1-Summary!$B$11)*IFERROR(B857/Summary!$B$23,1)+Summary!$B$11*IFERROR(B858/Summary!$B$24,1))-1)</f>
        <v>19932822937137.137</v>
      </c>
      <c r="I22">
        <f>((1-Summary!$B$11)*IFERROR(B857/Summary!$B$23,1)+Summary!$B$11*IFERROR(B858/Summary!$B$24,1))*100</f>
        <v>100.0602439505324</v>
      </c>
    </row>
    <row r="23" spans="1:31" x14ac:dyDescent="0.2">
      <c r="A23" t="s">
        <v>79</v>
      </c>
      <c r="B23">
        <f t="shared" si="0"/>
        <v>3.6558251298922504</v>
      </c>
      <c r="C23" t="s">
        <v>393</v>
      </c>
      <c r="D23">
        <f>Inputs!$B$28</f>
        <v>79</v>
      </c>
      <c r="E23">
        <f>(Inputs!$B$28+1)</f>
        <v>80</v>
      </c>
      <c r="F23">
        <f>Summary!$B$3</f>
        <v>3.3086845668296892E+16</v>
      </c>
      <c r="G23">
        <f>B903</f>
        <v>3.3179437745976008E+16</v>
      </c>
      <c r="H23">
        <f>Summary!$B$3*(((1-Summary!$B$11)*IFERROR(B901/Summary!$B$23,1)+Summary!$B$11*IFERROR(B902/Summary!$B$24,1))-1)</f>
        <v>90504453831116.578</v>
      </c>
      <c r="I23">
        <f>((1-Summary!$B$11)*IFERROR(B901/Summary!$B$23,1)+Summary!$B$11*IFERROR(B902/Summary!$B$24,1))*100</f>
        <v>100.27353605943112</v>
      </c>
    </row>
    <row r="24" spans="1:31" x14ac:dyDescent="0.2">
      <c r="A24" t="s">
        <v>81</v>
      </c>
      <c r="B24">
        <f t="shared" si="0"/>
        <v>2.2161986943937286</v>
      </c>
      <c r="C24" t="s">
        <v>393</v>
      </c>
      <c r="D24">
        <f>Inputs!$B$29</f>
        <v>55</v>
      </c>
      <c r="E24">
        <f>(Inputs!$B$29+1)</f>
        <v>56</v>
      </c>
      <c r="F24">
        <f>Summary!$B$3</f>
        <v>3.3086845668296892E+16</v>
      </c>
      <c r="G24">
        <f>B947</f>
        <v>3.3235450934513416E+16</v>
      </c>
      <c r="H24">
        <f>Summary!$B$3*(((1-Summary!$B$11)*IFERROR(B945/Summary!$B$23,1)+Summary!$B$11*IFERROR(B946/Summary!$B$24,1))-1)</f>
        <v>149295483983435.78</v>
      </c>
      <c r="I24">
        <f>((1-Summary!$B$11)*IFERROR(B945/Summary!$B$23,1)+Summary!$B$11*IFERROR(B946/Summary!$B$24,1))*100</f>
        <v>100.45122307964971</v>
      </c>
    </row>
    <row r="25" spans="1:31" x14ac:dyDescent="0.2">
      <c r="A25" t="s">
        <v>35</v>
      </c>
      <c r="B25">
        <f t="shared" si="0"/>
        <v>10612.76999971433</v>
      </c>
      <c r="C25" t="s">
        <v>385</v>
      </c>
      <c r="D25">
        <f>Inputs!$B$6</f>
        <v>1061277</v>
      </c>
      <c r="E25">
        <f>(Inputs!$B$6+1)</f>
        <v>1061278</v>
      </c>
      <c r="F25">
        <f>Summary!$B$3</f>
        <v>3.3086845668296892E+16</v>
      </c>
      <c r="G25">
        <f>B991</f>
        <v>3.3086876844743444E+16</v>
      </c>
      <c r="H25">
        <f>Summary!$B$3*(((1-Summary!$B$11)*IFERROR(B989/Summary!$B$23,1)+Summary!$B$11*IFERROR(B990/Summary!$B$24,1))-1)</f>
        <v>31176446552.833878</v>
      </c>
      <c r="I25">
        <f>((1-Summary!$B$11)*IFERROR(B989/Summary!$B$23,1)+Summary!$B$11*IFERROR(B990/Summary!$B$24,1))*100</f>
        <v>100.00009422610685</v>
      </c>
    </row>
    <row r="26" spans="1:31" x14ac:dyDescent="0.2">
      <c r="A26" t="s">
        <v>37</v>
      </c>
      <c r="B26">
        <f t="shared" si="0"/>
        <v>340.28300000079838</v>
      </c>
      <c r="C26" t="s">
        <v>386</v>
      </c>
      <c r="D26">
        <f>Inputs!$B$7</f>
        <v>33928.300000000003</v>
      </c>
      <c r="E26">
        <f>(Inputs!$B$7+1)</f>
        <v>33929.300000000003</v>
      </c>
      <c r="F26">
        <f>Summary!$B$3</f>
        <v>3.3086845668296892E+16</v>
      </c>
      <c r="G26">
        <f>B1035</f>
        <v>3.3087818001492148E+16</v>
      </c>
      <c r="H26">
        <f>Summary!$B$3*(((1-Summary!$B$11)*IFERROR(B1033/Summary!$B$23,1)+Summary!$B$11*IFERROR(B1034/Summary!$B$24,1))-1)</f>
        <v>972333195259.80615</v>
      </c>
      <c r="I26">
        <f>((1-Summary!$B$11)*IFERROR(B1033/Summary!$B$23,1)+Summary!$B$11*IFERROR(B1034/Summary!$B$24,1))*100</f>
        <v>100.00293873040968</v>
      </c>
    </row>
    <row r="27" spans="1:31" x14ac:dyDescent="0.2">
      <c r="A27" t="s">
        <v>394</v>
      </c>
      <c r="B27">
        <f t="shared" si="0"/>
        <v>0.91060305174630574</v>
      </c>
      <c r="C27" t="s">
        <v>385</v>
      </c>
      <c r="D27">
        <f>Inputs!$B$32</f>
        <v>0</v>
      </c>
      <c r="E27">
        <f>(Inputs!$B$32+1)</f>
        <v>1</v>
      </c>
      <c r="F27">
        <f>Summary!$B$3</f>
        <v>3.3086845668296892E+16</v>
      </c>
      <c r="G27">
        <f>B1079</f>
        <v>3.341883222204398E+16</v>
      </c>
      <c r="H27">
        <f>Summary!$B$3*(((1-Summary!$B$11)*IFERROR(B1077/Summary!$B$23,1)+Summary!$B$11*IFERROR(B1078/Summary!$B$24,1))-1)</f>
        <v>363350920083618.5</v>
      </c>
      <c r="I27">
        <f>((1-Summary!$B$11)*IFERROR(B1077/Summary!$B$23,1)+Summary!$B$11*IFERROR(B1078/Summary!$B$24,1))*100</f>
        <v>101.09817334576493</v>
      </c>
    </row>
    <row r="28" spans="1:31" x14ac:dyDescent="0.2">
      <c r="A28" t="s">
        <v>395</v>
      </c>
      <c r="B28">
        <f t="shared" si="0"/>
        <v>0.59250564038381093</v>
      </c>
      <c r="C28" t="s">
        <v>385</v>
      </c>
      <c r="D28">
        <f>Inputs!$B$33</f>
        <v>6</v>
      </c>
      <c r="E28">
        <f>(Inputs!$B$33+1)</f>
        <v>7</v>
      </c>
      <c r="F28">
        <f>Summary!$B$3</f>
        <v>3.3086845668296892E+16</v>
      </c>
      <c r="G28">
        <f>B1123</f>
        <v>3.4043063202714956E+16</v>
      </c>
      <c r="H28">
        <f>Summary!$B$3*(((1-Summary!$B$11)*IFERROR(B1121/Summary!$B$23,1)+Summary!$B$11*IFERROR(B1122/Summary!$B$24,1))-1)</f>
        <v>558422459014296</v>
      </c>
      <c r="I28">
        <f>((1-Summary!$B$11)*IFERROR(B1121/Summary!$B$23,1)+Summary!$B$11*IFERROR(B1122/Summary!$B$24,1))*100</f>
        <v>101.68774764633839</v>
      </c>
    </row>
    <row r="29" spans="1:31" x14ac:dyDescent="0.2">
      <c r="A29" t="s">
        <v>90</v>
      </c>
      <c r="B29">
        <f t="shared" si="0"/>
        <v>3.0287429525251279</v>
      </c>
      <c r="C29" t="s">
        <v>386</v>
      </c>
      <c r="D29">
        <f>Inputs!$B$34</f>
        <v>15.5</v>
      </c>
      <c r="E29">
        <f>(Inputs!$B$34+1)</f>
        <v>16.5</v>
      </c>
      <c r="F29">
        <f>Summary!$B$3</f>
        <v>3.3086845668296892E+16</v>
      </c>
      <c r="G29">
        <f>B1167</f>
        <v>3.3196590261183868E+16</v>
      </c>
      <c r="H29">
        <f>Summary!$B$3*(((1-Summary!$B$11)*IFERROR(B1165/Summary!$B$23,1)+Summary!$B$11*IFERROR(B1166/Summary!$B$24,1))-1)</f>
        <v>109242831719054.91</v>
      </c>
      <c r="I29">
        <f>((1-Summary!$B$11)*IFERROR(B1165/Summary!$B$23,1)+Summary!$B$11*IFERROR(B1166/Summary!$B$24,1))*100</f>
        <v>100.33016997998007</v>
      </c>
    </row>
    <row r="30" spans="1:31" ht="16" x14ac:dyDescent="0.2">
      <c r="A30" s="9" t="s">
        <v>396</v>
      </c>
    </row>
    <row r="31" spans="1:31" x14ac:dyDescent="0.2">
      <c r="A31" s="5" t="s">
        <v>375</v>
      </c>
      <c r="B31" s="5" t="s">
        <v>376</v>
      </c>
      <c r="C31" s="5" t="s">
        <v>377</v>
      </c>
    </row>
    <row r="32" spans="1:31" x14ac:dyDescent="0.2">
      <c r="A32" t="str">
        <f>IF(1&gt;COUNTIF($AD$32:$AD$67,TRUE),"",INDEX($AA$32:$AA$67,MATCH(1,$AE$32:$AE$67,0)))</f>
        <v>Ring of Cycles (Equip)</v>
      </c>
      <c r="B32">
        <f>IF(1&gt;COUNTIF($AD$32:$AD$67,TRUE),"",INDEX($AB$32:$AB$67,MATCH(1,$AE$32:$AE$67,0)))</f>
        <v>6785523731806012</v>
      </c>
      <c r="C32">
        <f>IF(1&gt;COUNTIF($AD$32:$AD$67,TRUE),"",INDEX($AC$32:$AC$67,MATCH(1,$AE$32:$AE$67,0)))</f>
        <v>125.79917370005522</v>
      </c>
      <c r="AA32" t="s">
        <v>397</v>
      </c>
      <c r="AB32">
        <f>(IF(ArtifactsInput!$M$5,-1,1)*Summary!$B$3*(((1-Summary!$B$11)*IFERROR(B1209/Summary!$B$23,1)+Summary!$B$11*IFERROR(B1210/Summary!$B$24,1))-1)+ArtifactsInput!$L$5)</f>
        <v>2396544210066497</v>
      </c>
      <c r="AC32">
        <f>IF(ArtifactsInput!$M$5,Summary!$B$3/(Summary!$B$3-(IF(ArtifactsInput!$M$5,-1,1)*Summary!$B$3*(((1-Summary!$B$11)*IFERROR(B1209/Summary!$B$23,1)+Summary!$B$11*IFERROR(B1210/Summary!$B$24,1))-1)+ArtifactsInput!$L$5))*100,(Summary!$B$3+(IF(ArtifactsInput!$M$5,-1,1)*Summary!$B$3*(((1-Summary!$B$11)*IFERROR(B1209/Summary!$B$23,1)+Summary!$B$11*IFERROR(B1210/Summary!$B$24,1))-1)+ArtifactsInput!$L$5))/Summary!$B$3*100)</f>
        <v>107.24319336479637</v>
      </c>
      <c r="AD32" t="b">
        <f>ArtifactsInput!$B$5&lt;&gt;"Not Unlocked"</f>
        <v>1</v>
      </c>
      <c r="AE32">
        <f>IF(AD32,SUMPRODUCT(($AD$32:$AD$67)*($AC$32:$AC$67&gt;AC32))+COUNTIFS($AD$32:AD32,TRUE,$AC$32:AC32,AC32),"")</f>
        <v>12</v>
      </c>
    </row>
    <row r="33" spans="1:31" x14ac:dyDescent="0.2">
      <c r="A33" t="str">
        <f>IF(2&gt;COUNTIF($AD$32:$AD$67,TRUE),"",INDEX($AA$32:$AA$67,MATCH(2,$AE$32:$AE$67,0)))</f>
        <v>Hexagon Necklace (Equip)</v>
      </c>
      <c r="B33">
        <f>IF(2&gt;COUNTIF($AD$32:$AD$67,TRUE),"",INDEX($AB$32:$AB$67,MATCH(2,$AE$32:$AE$67,0)))</f>
        <v>5441071702658794</v>
      </c>
      <c r="C33">
        <f>IF(2&gt;COUNTIF($AD$32:$AD$67,TRUE),"",INDEX($AC$32:$AC$67,MATCH(2,$AE$32:$AE$67,0)))</f>
        <v>119.68138678056796</v>
      </c>
      <c r="AA33" t="s">
        <v>398</v>
      </c>
      <c r="AB33">
        <f>(IF(ArtifactsInput!$M$6,-1,1)*Summary!$B$3*(((1-Summary!$B$11)*IFERROR(B1253/Summary!$B$23,1)+Summary!$B$11*IFERROR(B1254/Summary!$B$24,1))-1)+ArtifactsInput!$L$6)</f>
        <v>129144596675624.69</v>
      </c>
      <c r="AC33">
        <f>IF(ArtifactsInput!$M$6,Summary!$B$3/(Summary!$B$3-(IF(ArtifactsInput!$M$6,-1,1)*Summary!$B$3*(((1-Summary!$B$11)*IFERROR(B1253/Summary!$B$23,1)+Summary!$B$11*IFERROR(B1254/Summary!$B$24,1))-1)+ArtifactsInput!$L$6))*100,(Summary!$B$3+(IF(ArtifactsInput!$M$6,-1,1)*Summary!$B$3*(((1-Summary!$B$11)*IFERROR(B1253/Summary!$B$23,1)+Summary!$B$11*IFERROR(B1254/Summary!$B$24,1))-1)+ArtifactsInput!$L$6))/Summary!$B$3*100)</f>
        <v>100.3903200624512</v>
      </c>
      <c r="AD33" t="b">
        <f>ArtifactsInput!$B$6&lt;&gt;"Not Unlocked"</f>
        <v>1</v>
      </c>
      <c r="AE33">
        <f>IF(AD33,SUMPRODUCT(($AD$32:$AD$67)*($AC$32:$AC$67&gt;AC33))+COUNTIFS($AD$32:AD33,TRUE,$AC$32:AC33,AC33),"")</f>
        <v>25</v>
      </c>
    </row>
    <row r="34" spans="1:31" x14ac:dyDescent="0.2">
      <c r="A34" t="str">
        <f>IF(3&gt;COUNTIF($AD$32:$AD$67,TRUE),"",INDEX($AA$32:$AA$67,MATCH(3,$AE$32:$AE$67,0)))</f>
        <v>Book of Ancient (Equip)</v>
      </c>
      <c r="B34">
        <f>IF(3&gt;COUNTIF($AD$32:$AD$67,TRUE),"",INDEX($AB$32:$AB$67,MATCH(3,$AE$32:$AE$67,0)))</f>
        <v>5003948518975551</v>
      </c>
      <c r="C34">
        <f>IF(3&gt;COUNTIF($AD$32:$AD$67,TRUE),"",INDEX($AC$32:$AC$67,MATCH(3,$AE$32:$AE$67,0)))</f>
        <v>117.81849106368456</v>
      </c>
      <c r="AA34" t="s">
        <v>399</v>
      </c>
      <c r="AB34">
        <f>(IF(ArtifactsInput!$M$7,-1,1)*Summary!$B$3*(((1-Summary!$B$11)*IFERROR(B1297/Summary!$B$23,1)+Summary!$B$11*IFERROR(B1298/Summary!$B$24,1))-1)+ArtifactsInput!$L$7)</f>
        <v>1516436542697346.5</v>
      </c>
      <c r="AC34">
        <f>IF(ArtifactsInput!$M$7,Summary!$B$3/(Summary!$B$3-(IF(ArtifactsInput!$M$7,-1,1)*Summary!$B$3*(((1-Summary!$B$11)*IFERROR(B1297/Summary!$B$23,1)+Summary!$B$11*IFERROR(B1298/Summary!$B$24,1))-1)+ArtifactsInput!$L$7))*100,(Summary!$B$3+(IF(ArtifactsInput!$M$7,-1,1)*Summary!$B$3*(((1-Summary!$B$11)*IFERROR(B1297/Summary!$B$23,1)+Summary!$B$11*IFERROR(B1298/Summary!$B$24,1))-1)+ArtifactsInput!$L$7))/Summary!$B$3*100)</f>
        <v>104.58320070126952</v>
      </c>
      <c r="AD34" t="b">
        <f>ArtifactsInput!$B$7&lt;&gt;"Not Unlocked"</f>
        <v>1</v>
      </c>
      <c r="AE34">
        <f>IF(AD34,SUMPRODUCT(($AD$32:$AD$67)*($AC$32:$AC$67&gt;AC34))+COUNTIFS($AD$32:AD34,TRUE,$AC$32:AC34,AC34),"")</f>
        <v>15</v>
      </c>
    </row>
    <row r="35" spans="1:31" x14ac:dyDescent="0.2">
      <c r="A35" t="str">
        <f>IF(4&gt;COUNTIF($AD$32:$AD$67,TRUE),"",INDEX($AA$32:$AA$67,MATCH(4,$AE$32:$AE$67,0)))</f>
        <v>Silver Pendant (Equip)</v>
      </c>
      <c r="B35">
        <f>IF(4&gt;COUNTIF($AD$32:$AD$67,TRUE),"",INDEX($AB$32:$AB$67,MATCH(4,$AE$32:$AE$67,0)))</f>
        <v>5660557159239625</v>
      </c>
      <c r="C35">
        <f>IF(4&gt;COUNTIF($AD$32:$AD$67,TRUE),"",INDEX($AC$32:$AC$67,MATCH(4,$AE$32:$AE$67,0)))</f>
        <v>117.1081801389833</v>
      </c>
      <c r="AA35" t="s">
        <v>400</v>
      </c>
      <c r="AB35">
        <f>(IF(ArtifactsInput!$M$8,-1,1)*Summary!$B$3*(((1-Summary!$B$11)*IFERROR(B1341/Summary!$B$23,1)+Summary!$B$11*IFERROR(B1342/Summary!$B$24,1))-1)+ArtifactsInput!$L$8)</f>
        <v>659573901688027.38</v>
      </c>
      <c r="AC35">
        <f>IF(ArtifactsInput!$M$8,Summary!$B$3/(Summary!$B$3-(IF(ArtifactsInput!$M$8,-1,1)*Summary!$B$3*(((1-Summary!$B$11)*IFERROR(B1341/Summary!$B$23,1)+Summary!$B$11*IFERROR(B1342/Summary!$B$24,1))-1)+ArtifactsInput!$L$8))*100,(Summary!$B$3+(IF(ArtifactsInput!$M$8,-1,1)*Summary!$B$3*(((1-Summary!$B$11)*IFERROR(B1341/Summary!$B$23,1)+Summary!$B$11*IFERROR(B1342/Summary!$B$24,1))-1)+ArtifactsInput!$L$8))/Summary!$B$3*100)</f>
        <v>101.9934626234861</v>
      </c>
      <c r="AD35" t="b">
        <f>ArtifactsInput!$B$8&lt;&gt;"Not Unlocked"</f>
        <v>1</v>
      </c>
      <c r="AE35">
        <f>IF(AD35,SUMPRODUCT(($AD$32:$AD$67)*($AC$32:$AC$67&gt;AC35))+COUNTIFS($AD$32:AD35,TRUE,$AC$32:AC35,AC35),"")</f>
        <v>21</v>
      </c>
    </row>
    <row r="36" spans="1:31" x14ac:dyDescent="0.2">
      <c r="A36" t="str">
        <f>IF(5&gt;COUNTIF($AD$32:$AD$67,TRUE),"",INDEX($AA$32:$AA$67,MATCH(5,$AE$32:$AE$67,0)))</f>
        <v>Athena Pierce's Old Gloves (Equip)</v>
      </c>
      <c r="B36">
        <f>IF(5&gt;COUNTIF($AD$32:$AD$67,TRUE),"",INDEX($AB$32:$AB$67,MATCH(5,$AE$32:$AE$67,0)))</f>
        <v>4564048898157380</v>
      </c>
      <c r="C36">
        <f>IF(5&gt;COUNTIF($AD$32:$AD$67,TRUE),"",INDEX($AC$32:$AC$67,MATCH(5,$AE$32:$AE$67,0)))</f>
        <v>116.00140734773765</v>
      </c>
      <c r="AA36" t="s">
        <v>401</v>
      </c>
      <c r="AB36">
        <f>(IF(ArtifactsInput!$M$10,-1,1)*Summary!$B$3*(((1-Summary!$B$11)*IFERROR(B1385/Summary!$B$23,1)+Summary!$B$11*IFERROR(B1386/Summary!$B$24,1))-1)+ArtifactsInput!$L$10)</f>
        <v>2195255484201528</v>
      </c>
      <c r="AC36">
        <f>IF(ArtifactsInput!$M$10,Summary!$B$3/(Summary!$B$3-(IF(ArtifactsInput!$M$10,-1,1)*Summary!$B$3*(((1-Summary!$B$11)*IFERROR(B1385/Summary!$B$23,1)+Summary!$B$11*IFERROR(B1386/Summary!$B$24,1))-1)+ArtifactsInput!$L$10))*100,(Summary!$B$3+(IF(ArtifactsInput!$M$10,-1,1)*Summary!$B$3*(((1-Summary!$B$11)*IFERROR(B1385/Summary!$B$23,1)+Summary!$B$11*IFERROR(B1386/Summary!$B$24,1))-1)+ArtifactsInput!$L$10))/Summary!$B$3*100)</f>
        <v>106.63482855455446</v>
      </c>
      <c r="AD36" t="b">
        <f>ArtifactsInput!$B$10&lt;&gt;"Not Unlocked"</f>
        <v>1</v>
      </c>
      <c r="AE36">
        <f>IF(AD36,SUMPRODUCT(($AD$32:$AD$67)*($AC$32:$AC$67&gt;AC36))+COUNTIFS($AD$32:AD36,TRUE,$AC$32:AC36,AC36),"")</f>
        <v>14</v>
      </c>
    </row>
    <row r="37" spans="1:31" x14ac:dyDescent="0.2">
      <c r="A37" t="str">
        <f>IF(6&gt;COUNTIF($AD$32:$AD$67,TRUE),"",INDEX($AA$32:$AA$67,MATCH(6,$AE$32:$AE$67,0)))</f>
        <v>Peach Tree Herb Pouch (Equip)</v>
      </c>
      <c r="B37">
        <f>IF(6&gt;COUNTIF($AD$32:$AD$67,TRUE),"",INDEX($AB$32:$AB$67,MATCH(6,$AE$32:$AE$67,0)))</f>
        <v>5131415202992573</v>
      </c>
      <c r="C37">
        <f>IF(6&gt;COUNTIF($AD$32:$AD$67,TRUE),"",INDEX($AC$32:$AC$67,MATCH(6,$AE$32:$AE$67,0)))</f>
        <v>115.50892839539971</v>
      </c>
      <c r="AA37" t="s">
        <v>402</v>
      </c>
      <c r="AB37">
        <f>(IF(ArtifactsInput!$M$11,-1,1)*Summary!$B$3*(((1-Summary!$B$11)*IFERROR(B1429/Summary!$B$23,1)+Summary!$B$11*IFERROR(B1430/Summary!$B$24,1))-1)+ArtifactsInput!$L$11)</f>
        <v>5441071702658794</v>
      </c>
      <c r="AC37">
        <f>IF(ArtifactsInput!$M$11,Summary!$B$3/(Summary!$B$3-(IF(ArtifactsInput!$M$11,-1,1)*Summary!$B$3*(((1-Summary!$B$11)*IFERROR(B1429/Summary!$B$23,1)+Summary!$B$11*IFERROR(B1430/Summary!$B$24,1))-1)+ArtifactsInput!$L$11))*100,(Summary!$B$3+(IF(ArtifactsInput!$M$11,-1,1)*Summary!$B$3*(((1-Summary!$B$11)*IFERROR(B1429/Summary!$B$23,1)+Summary!$B$11*IFERROR(B1430/Summary!$B$24,1))-1)+ArtifactsInput!$L$11))/Summary!$B$3*100)</f>
        <v>119.68138678056796</v>
      </c>
      <c r="AD37" t="b">
        <f>ArtifactsInput!$B$11&lt;&gt;"Not Unlocked"</f>
        <v>1</v>
      </c>
      <c r="AE37">
        <f>IF(AD37,SUMPRODUCT(($AD$32:$AD$67)*($AC$32:$AC$67&gt;AC37))+COUNTIFS($AD$32:AD37,TRUE,$AC$32:AC37,AC37),"")</f>
        <v>2</v>
      </c>
    </row>
    <row r="38" spans="1:31" x14ac:dyDescent="0.2">
      <c r="A38" t="str">
        <f>IF(7&gt;COUNTIF($AD$32:$AD$67,TRUE),"",INDEX($AA$32:$AA$67,MATCH(7,$AE$32:$AE$67,0)))</f>
        <v>Reindeer's Spear (Equip)</v>
      </c>
      <c r="B38">
        <f>IF(7&gt;COUNTIF($AD$32:$AD$67,TRUE),"",INDEX($AB$32:$AB$67,MATCH(7,$AE$32:$AE$67,0)))</f>
        <v>4346838869252451</v>
      </c>
      <c r="C38">
        <f>IF(7&gt;COUNTIF($AD$32:$AD$67,TRUE),"",INDEX($AC$32:$AC$67,MATCH(7,$AE$32:$AE$67,0)))</f>
        <v>113.13766477720631</v>
      </c>
      <c r="AA38" t="s">
        <v>403</v>
      </c>
      <c r="AB38">
        <f>(IF(ArtifactsInput!$M$12,-1,1)*Summary!$B$3*(((1-Summary!$B$11)*IFERROR(B1473/Summary!$B$23,1)+Summary!$B$11*IFERROR(B1474/Summary!$B$24,1))-1)+ArtifactsInput!$L$12)</f>
        <v>822371195801567.88</v>
      </c>
      <c r="AC38">
        <f>IF(ArtifactsInput!$M$12,Summary!$B$3/(Summary!$B$3-(IF(ArtifactsInput!$M$12,-1,1)*Summary!$B$3*(((1-Summary!$B$11)*IFERROR(B1473/Summary!$B$23,1)+Summary!$B$11*IFERROR(B1474/Summary!$B$24,1))-1)+ArtifactsInput!$L$12))*100,(Summary!$B$3+(IF(ArtifactsInput!$M$12,-1,1)*Summary!$B$3*(((1-Summary!$B$11)*IFERROR(B1473/Summary!$B$23,1)+Summary!$B$11*IFERROR(B1474/Summary!$B$24,1))-1)+ArtifactsInput!$L$12))/Summary!$B$3*100)</f>
        <v>102.48549288755424</v>
      </c>
      <c r="AD38" t="b">
        <f>ArtifactsInput!$B$12&lt;&gt;"Not Unlocked"</f>
        <v>1</v>
      </c>
      <c r="AE38">
        <f>IF(AD38,SUMPRODUCT(($AD$32:$AD$67)*($AC$32:$AC$67&gt;AC38))+COUNTIFS($AD$32:AD38,TRUE,$AC$32:AC38,AC38),"")</f>
        <v>18</v>
      </c>
    </row>
    <row r="39" spans="1:31" x14ac:dyDescent="0.2">
      <c r="A39" t="str">
        <f>IF(8&gt;COUNTIF($AD$32:$AD$67,TRUE),"",INDEX($AA$32:$AA$67,MATCH(8,$AE$32:$AE$67,0)))</f>
        <v>Candle (Equip)</v>
      </c>
      <c r="B39">
        <f>IF(8&gt;COUNTIF($AD$32:$AD$67,TRUE),"",INDEX($AB$32:$AB$67,MATCH(8,$AE$32:$AE$67,0)))</f>
        <v>4326533096111258</v>
      </c>
      <c r="C39">
        <f>IF(8&gt;COUNTIF($AD$32:$AD$67,TRUE),"",INDEX($AC$32:$AC$67,MATCH(8,$AE$32:$AE$67,0)))</f>
        <v>113.07629364094036</v>
      </c>
      <c r="AA39" t="s">
        <v>404</v>
      </c>
      <c r="AB39">
        <f>(IF(ArtifactsInput!$M$13,-1,1)*Summary!$B$3*(((1-Summary!$B$11)*IFERROR(B1517/Summary!$B$23,1)+Summary!$B$11*IFERROR(B1518/Summary!$B$24,1))-1)+ArtifactsInput!$L$13)</f>
        <v>466551511846522.44</v>
      </c>
      <c r="AC39">
        <f>IF(ArtifactsInput!$M$13,Summary!$B$3/(Summary!$B$3-(IF(ArtifactsInput!$M$13,-1,1)*Summary!$B$3*(((1-Summary!$B$11)*IFERROR(B1517/Summary!$B$23,1)+Summary!$B$11*IFERROR(B1518/Summary!$B$24,1))-1)+ArtifactsInput!$L$13))*100,(Summary!$B$3+(IF(ArtifactsInput!$M$13,-1,1)*Summary!$B$3*(((1-Summary!$B$11)*IFERROR(B1517/Summary!$B$23,1)+Summary!$B$11*IFERROR(B1518/Summary!$B$24,1))-1)+ArtifactsInput!$L$13))/Summary!$B$3*100)</f>
        <v>101.41008156692786</v>
      </c>
      <c r="AD39" t="b">
        <f>ArtifactsInput!$B$13&lt;&gt;"Not Unlocked"</f>
        <v>1</v>
      </c>
      <c r="AE39">
        <f>IF(AD39,SUMPRODUCT(($AD$32:$AD$67)*($AC$32:$AC$67&gt;AC39))+COUNTIFS($AD$32:AD39,TRUE,$AC$32:AC39,AC39),"")</f>
        <v>22</v>
      </c>
    </row>
    <row r="40" spans="1:31" x14ac:dyDescent="0.2">
      <c r="A40" t="str">
        <f>IF(9&gt;COUNTIF($AD$32:$AD$67,TRUE),"",INDEX($AA$32:$AA$67,MATCH(9,$AE$32:$AE$67,0)))</f>
        <v>Flaming Lava (Equip)</v>
      </c>
      <c r="B40">
        <f>IF(9&gt;COUNTIF($AD$32:$AD$67,TRUE),"",INDEX($AB$32:$AB$67,MATCH(9,$AE$32:$AE$67,0)))</f>
        <v>3897031567771868</v>
      </c>
      <c r="C40">
        <f>IF(9&gt;COUNTIF($AD$32:$AD$67,TRUE),"",INDEX($AC$32:$AC$67,MATCH(9,$AE$32:$AE$67,0)))</f>
        <v>111.77819006030521</v>
      </c>
      <c r="AA40" t="s">
        <v>405</v>
      </c>
      <c r="AB40">
        <f>(IF(ArtifactsInput!$M$14,-1,1)*Summary!$B$3*(((1-Summary!$B$11)*IFERROR(B1561/Summary!$B$23,1)+Summary!$B$11*IFERROR(B1562/Summary!$B$24,1))-1)+ArtifactsInput!$L$14)</f>
        <v>1097477988520862.1</v>
      </c>
      <c r="AC40">
        <f>IF(ArtifactsInput!$M$14,Summary!$B$3/(Summary!$B$3-(IF(ArtifactsInput!$M$14,-1,1)*Summary!$B$3*(((1-Summary!$B$11)*IFERROR(B1561/Summary!$B$23,1)+Summary!$B$11*IFERROR(B1562/Summary!$B$24,1))-1)+ArtifactsInput!$L$14))*100,(Summary!$B$3+(IF(ArtifactsInput!$M$14,-1,1)*Summary!$B$3*(((1-Summary!$B$11)*IFERROR(B1561/Summary!$B$23,1)+Summary!$B$11*IFERROR(B1562/Summary!$B$24,1))-1)+ArtifactsInput!$L$14))/Summary!$B$3*100)</f>
        <v>103.31696166967177</v>
      </c>
      <c r="AD40" t="b">
        <f>ArtifactsInput!$B$14&lt;&gt;"Not Unlocked"</f>
        <v>1</v>
      </c>
      <c r="AE40">
        <f>IF(AD40,SUMPRODUCT(($AD$32:$AD$67)*($AC$32:$AC$67&gt;AC40))+COUNTIFS($AD$32:AD40,TRUE,$AC$32:AC40,AC40),"")</f>
        <v>17</v>
      </c>
    </row>
    <row r="41" spans="1:31" x14ac:dyDescent="0.2">
      <c r="A41" t="str">
        <f>IF(10&gt;COUNTIF($AD$32:$AD$67,TRUE),"",INDEX($AA$32:$AA$67,MATCH(10,$AE$32:$AE$67,0)))</f>
        <v>Icy Soul Rock (Equip)</v>
      </c>
      <c r="B41">
        <f>IF(10&gt;COUNTIF($AD$32:$AD$67,TRUE),"",INDEX($AB$32:$AB$67,MATCH(10,$AE$32:$AE$67,0)))</f>
        <v>3249854539495996</v>
      </c>
      <c r="C41">
        <f>IF(10&gt;COUNTIF($AD$32:$AD$67,TRUE),"",INDEX($AC$32:$AC$67,MATCH(10,$AE$32:$AE$67,0)))</f>
        <v>109.8221951166833</v>
      </c>
      <c r="AA41" t="s">
        <v>406</v>
      </c>
      <c r="AB41">
        <f>(IF(ArtifactsInput!$M$15,-1,1)*Summary!$B$3*(((1-Summary!$B$11)*IFERROR(B1605/Summary!$B$23,1)+Summary!$B$11*IFERROR(B1606/Summary!$B$24,1))-1)+ArtifactsInput!$L$15)</f>
        <v>4564048898157380</v>
      </c>
      <c r="AC41">
        <f>IF(ArtifactsInput!$M$15,Summary!$B$3/(Summary!$B$3-(IF(ArtifactsInput!$M$15,-1,1)*Summary!$B$3*(((1-Summary!$B$11)*IFERROR(B1605/Summary!$B$23,1)+Summary!$B$11*IFERROR(B1606/Summary!$B$24,1))-1)+ArtifactsInput!$L$15))*100,(Summary!$B$3+(IF(ArtifactsInput!$M$15,-1,1)*Summary!$B$3*(((1-Summary!$B$11)*IFERROR(B1605/Summary!$B$23,1)+Summary!$B$11*IFERROR(B1606/Summary!$B$24,1))-1)+ArtifactsInput!$L$15))/Summary!$B$3*100)</f>
        <v>116.00140734773765</v>
      </c>
      <c r="AD41" t="b">
        <f>ArtifactsInput!$B$15&lt;&gt;"Not Unlocked"</f>
        <v>1</v>
      </c>
      <c r="AE41">
        <f>IF(AD41,SUMPRODUCT(($AD$32:$AD$67)*($AC$32:$AC$67&gt;AC41))+COUNTIFS($AD$32:AD41,TRUE,$AC$32:AC41,AC41),"")</f>
        <v>5</v>
      </c>
    </row>
    <row r="42" spans="1:31" x14ac:dyDescent="0.2">
      <c r="A42" t="str">
        <f>IF(11&gt;COUNTIF($AD$32:$AD$67,TRUE),"",INDEX($AA$32:$AA$67,MATCH(11,$AE$32:$AE$67,0)))</f>
        <v>Secret Map (Equip)</v>
      </c>
      <c r="B42">
        <f>IF(11&gt;COUNTIF($AD$32:$AD$67,TRUE),"",INDEX($AB$32:$AB$67,MATCH(11,$AE$32:$AE$67,0)))</f>
        <v>3144563287768132</v>
      </c>
      <c r="C42">
        <f>IF(11&gt;COUNTIF($AD$32:$AD$67,TRUE),"",INDEX($AC$32:$AC$67,MATCH(11,$AE$32:$AE$67,0)))</f>
        <v>109.50396819114488</v>
      </c>
      <c r="AA42" t="s">
        <v>407</v>
      </c>
      <c r="AB42">
        <f>(IF(ArtifactsInput!$M$16,-1,1)*Summary!$B$3*(((1-Summary!$B$11)*IFERROR(B1649/Summary!$B$23,1)+Summary!$B$11*IFERROR(B1650/Summary!$B$24,1))-1)+ArtifactsInput!$L$16)</f>
        <v>1199212707187110</v>
      </c>
      <c r="AC42">
        <f>IF(ArtifactsInput!$M$16,Summary!$B$3/(Summary!$B$3-(IF(ArtifactsInput!$M$16,-1,1)*Summary!$B$3*(((1-Summary!$B$11)*IFERROR(B1649/Summary!$B$23,1)+Summary!$B$11*IFERROR(B1650/Summary!$B$24,1))-1)+ArtifactsInput!$L$16))*100,(Summary!$B$3+(IF(ArtifactsInput!$M$16,-1,1)*Summary!$B$3*(((1-Summary!$B$11)*IFERROR(B1649/Summary!$B$23,1)+Summary!$B$11*IFERROR(B1650/Summary!$B$24,1))-1)+ArtifactsInput!$L$16))/Summary!$B$3*100)</f>
        <v>103.62443951052175</v>
      </c>
      <c r="AD42" t="b">
        <f>ArtifactsInput!$B$16&lt;&gt;"Not Unlocked"</f>
        <v>1</v>
      </c>
      <c r="AE42">
        <f>IF(AD42,SUMPRODUCT(($AD$32:$AD$67)*($AC$32:$AC$67&gt;AC42))+COUNTIFS($AD$32:AD42,TRUE,$AC$32:AC42,AC42),"")</f>
        <v>16</v>
      </c>
    </row>
    <row r="43" spans="1:31" x14ac:dyDescent="0.2">
      <c r="A43" t="str">
        <f>IF(12&gt;COUNTIF($AD$32:$AD$67,TRUE),"",INDEX($AA$32:$AA$67,MATCH(12,$AE$32:$AE$67,0)))</f>
        <v>Charm of the Undead (Equip)</v>
      </c>
      <c r="B43">
        <f>IF(12&gt;COUNTIF($AD$32:$AD$67,TRUE),"",INDEX($AB$32:$AB$67,MATCH(12,$AE$32:$AE$67,0)))</f>
        <v>2396544210066497</v>
      </c>
      <c r="C43">
        <f>IF(12&gt;COUNTIF($AD$32:$AD$67,TRUE),"",INDEX($AC$32:$AC$67,MATCH(12,$AE$32:$AE$67,0)))</f>
        <v>107.24319336479637</v>
      </c>
      <c r="AA43" t="s">
        <v>408</v>
      </c>
      <c r="AB43">
        <f>(IF(ArtifactsInput!$M$17,-1,1)*Summary!$B$3*(((1-Summary!$B$11)*IFERROR(B1693/Summary!$B$23,1)+Summary!$B$11*IFERROR(B1694/Summary!$B$24,1))-1)+ArtifactsInput!$L$17)</f>
        <v>463303532324161.06</v>
      </c>
      <c r="AC43">
        <f>IF(ArtifactsInput!$M$17,Summary!$B$3/(Summary!$B$3-(IF(ArtifactsInput!$M$17,-1,1)*Summary!$B$3*(((1-Summary!$B$11)*IFERROR(B1693/Summary!$B$23,1)+Summary!$B$11*IFERROR(B1694/Summary!$B$24,1))-1)+ArtifactsInput!$L$17))*100,(Summary!$B$3+(IF(ArtifactsInput!$M$17,-1,1)*Summary!$B$3*(((1-Summary!$B$11)*IFERROR(B1693/Summary!$B$23,1)+Summary!$B$11*IFERROR(B1694/Summary!$B$24,1))-1)+ArtifactsInput!$L$17))/Summary!$B$3*100)</f>
        <v>101.40026503876763</v>
      </c>
      <c r="AD43" t="b">
        <f>ArtifactsInput!$B$17&lt;&gt;"Not Unlocked"</f>
        <v>1</v>
      </c>
      <c r="AE43">
        <f>IF(AD43,SUMPRODUCT(($AD$32:$AD$67)*($AC$32:$AC$67&gt;AC43))+COUNTIFS($AD$32:AD43,TRUE,$AC$32:AC43,AC43),"")</f>
        <v>23</v>
      </c>
    </row>
    <row r="44" spans="1:31" x14ac:dyDescent="0.2">
      <c r="A44" t="str">
        <f>IF(13&gt;COUNTIF($AD$32:$AD$67,TRUE),"",INDEX($AA$32:$AA$67,MATCH(13,$AE$32:$AE$67,0)))</f>
        <v>Alliance Badge (Equip)</v>
      </c>
      <c r="B44">
        <f>IF(13&gt;COUNTIF($AD$32:$AD$67,TRUE),"",INDEX($AB$32:$AB$67,MATCH(13,$AE$32:$AE$67,0)))</f>
        <v>2315960411171300</v>
      </c>
      <c r="C44">
        <f>IF(13&gt;COUNTIF($AD$32:$AD$67,TRUE),"",INDEX($AC$32:$AC$67,MATCH(13,$AE$32:$AE$67,0)))</f>
        <v>106.99964098841373</v>
      </c>
      <c r="AA44" t="s">
        <v>409</v>
      </c>
      <c r="AB44">
        <f>(IF(ArtifactsInput!$M$18,-1,1)*Summary!$B$3*(((1-Summary!$B$11)*IFERROR(B1737/Summary!$B$23,1)+Summary!$B$11*IFERROR(B1738/Summary!$B$24,1))-1)+ArtifactsInput!$L$18)</f>
        <v>0</v>
      </c>
      <c r="AC44">
        <f>IF(ArtifactsInput!$M$18,Summary!$B$3/(Summary!$B$3-(IF(ArtifactsInput!$M$18,-1,1)*Summary!$B$3*(((1-Summary!$B$11)*IFERROR(B1737/Summary!$B$23,1)+Summary!$B$11*IFERROR(B1738/Summary!$B$24,1))-1)+ArtifactsInput!$L$18))*100,(Summary!$B$3+(IF(ArtifactsInput!$M$18,-1,1)*Summary!$B$3*(((1-Summary!$B$11)*IFERROR(B1737/Summary!$B$23,1)+Summary!$B$11*IFERROR(B1738/Summary!$B$24,1))-1)+ArtifactsInput!$L$18))/Summary!$B$3*100)</f>
        <v>100</v>
      </c>
      <c r="AD44" t="b">
        <f>ArtifactsInput!$B$18&lt;&gt;"Not Unlocked"</f>
        <v>1</v>
      </c>
      <c r="AE44">
        <f>IF(AD44,SUMPRODUCT(($AD$32:$AD$67)*($AC$32:$AC$67&gt;AC44))+COUNTIFS($AD$32:AD44,TRUE,$AC$32:AC44,AC44),"")</f>
        <v>26</v>
      </c>
    </row>
    <row r="45" spans="1:31" x14ac:dyDescent="0.2">
      <c r="A45" t="str">
        <f>IF(14&gt;COUNTIF($AD$32:$AD$67,TRUE),"",INDEX($AA$32:$AA$67,MATCH(14,$AE$32:$AE$67,0)))</f>
        <v>Rainbow-colored Snail Shell (Equip)</v>
      </c>
      <c r="B45">
        <f>IF(14&gt;COUNTIF($AD$32:$AD$67,TRUE),"",INDEX($AB$32:$AB$67,MATCH(14,$AE$32:$AE$67,0)))</f>
        <v>2195255484201528</v>
      </c>
      <c r="C45">
        <f>IF(14&gt;COUNTIF($AD$32:$AD$67,TRUE),"",INDEX($AC$32:$AC$67,MATCH(14,$AE$32:$AE$67,0)))</f>
        <v>106.63482855455446</v>
      </c>
      <c r="AA45" t="s">
        <v>410</v>
      </c>
      <c r="AB45">
        <f>(IF(ArtifactsInput!$M$20,-1,1)*Summary!$B$3*(((1-Summary!$B$11)*IFERROR(B1781/Summary!$B$23,1)+Summary!$B$11*IFERROR(B1782/Summary!$B$24,1))-1)+ArtifactsInput!$L$20)</f>
        <v>3722270137683394.5</v>
      </c>
      <c r="AC45">
        <f>IF(ArtifactsInput!$M$20,Summary!$B$3/(Summary!$B$3-(IF(ArtifactsInput!$M$20,-1,1)*Summary!$B$3*(((1-Summary!$B$11)*IFERROR(B1781/Summary!$B$23,1)+Summary!$B$11*IFERROR(B1782/Summary!$B$24,1))-1)+ArtifactsInput!$L$20))*100,(Summary!$B$3+(IF(ArtifactsInput!$M$20,-1,1)*Summary!$B$3*(((1-Summary!$B$11)*IFERROR(B1781/Summary!$B$23,1)+Summary!$B$11*IFERROR(B1782/Summary!$B$24,1))-1)+ArtifactsInput!$L$20))/Summary!$B$3*100)</f>
        <v>111.24999999999999</v>
      </c>
      <c r="AD45" t="b">
        <f>ArtifactsInput!$B$20&lt;&gt;"Not Unlocked"</f>
        <v>0</v>
      </c>
      <c r="AE45" t="str">
        <f>IF(AD45,SUMPRODUCT(($AD$32:$AD$67)*($AC$32:$AC$67&gt;AC45))+COUNTIFS($AD$32:AD45,TRUE,$AC$32:AC45,AC45),"")</f>
        <v/>
      </c>
    </row>
    <row r="46" spans="1:31" x14ac:dyDescent="0.2">
      <c r="A46" t="str">
        <f>IF(15&gt;COUNTIF($AD$32:$AD$67,TRUE),"",INDEX($AA$32:$AA$67,MATCH(15,$AE$32:$AE$67,0)))</f>
        <v>Shamaness Marble (Equip)</v>
      </c>
      <c r="B46">
        <f>IF(15&gt;COUNTIF($AD$32:$AD$67,TRUE),"",INDEX($AB$32:$AB$67,MATCH(15,$AE$32:$AE$67,0)))</f>
        <v>1516436542697346.5</v>
      </c>
      <c r="C46">
        <f>IF(15&gt;COUNTIF($AD$32:$AD$67,TRUE),"",INDEX($AC$32:$AC$67,MATCH(15,$AE$32:$AE$67,0)))</f>
        <v>104.58320070126952</v>
      </c>
      <c r="AA46" t="s">
        <v>411</v>
      </c>
      <c r="AB46">
        <f>(IF(ArtifactsInput!$M$21,-1,1)*Summary!$B$3*(((1-Summary!$B$11)*IFERROR(B1825/Summary!$B$23,1)+Summary!$B$11*IFERROR(B1826/Summary!$B$24,1))-1)+ArtifactsInput!$L$21)</f>
        <v>720694383615355.88</v>
      </c>
      <c r="AC46">
        <f>IF(ArtifactsInput!$M$21,Summary!$B$3/(Summary!$B$3-(IF(ArtifactsInput!$M$21,-1,1)*Summary!$B$3*(((1-Summary!$B$11)*IFERROR(B1825/Summary!$B$23,1)+Summary!$B$11*IFERROR(B1826/Summary!$B$24,1))-1)+ArtifactsInput!$L$21))*100,(Summary!$B$3+(IF(ArtifactsInput!$M$21,-1,1)*Summary!$B$3*(((1-Summary!$B$11)*IFERROR(B1825/Summary!$B$23,1)+Summary!$B$11*IFERROR(B1826/Summary!$B$24,1))-1)+ArtifactsInput!$L$21))/Summary!$B$3*100)</f>
        <v>102.17819006030517</v>
      </c>
      <c r="AD46" t="b">
        <f>ArtifactsInput!$B$21&lt;&gt;"Not Unlocked"</f>
        <v>1</v>
      </c>
      <c r="AE46">
        <f>IF(AD46,SUMPRODUCT(($AD$32:$AD$67)*($AC$32:$AC$67&gt;AC46))+COUNTIFS($AD$32:AD46,TRUE,$AC$32:AC46,AC46),"")</f>
        <v>20</v>
      </c>
    </row>
    <row r="47" spans="1:31" x14ac:dyDescent="0.2">
      <c r="A47" t="str">
        <f>IF(16&gt;COUNTIF($AD$32:$AD$67,TRUE),"",INDEX($AA$32:$AA$67,MATCH(16,$AE$32:$AE$67,0)))</f>
        <v>Zakum's Stone Piece (Equip)</v>
      </c>
      <c r="B47">
        <f>IF(16&gt;COUNTIF($AD$32:$AD$67,TRUE),"",INDEX($AB$32:$AB$67,MATCH(16,$AE$32:$AE$67,0)))</f>
        <v>1199212707187110</v>
      </c>
      <c r="C47">
        <f>IF(16&gt;COUNTIF($AD$32:$AD$67,TRUE),"",INDEX($AC$32:$AC$67,MATCH(16,$AE$32:$AE$67,0)))</f>
        <v>103.62443951052175</v>
      </c>
      <c r="AA47" t="s">
        <v>412</v>
      </c>
      <c r="AB47">
        <f>(IF(ArtifactsInput!$M$22,-1,1)*Summary!$B$3*(((1-Summary!$B$11)*IFERROR(B1869/Summary!$B$23,1)+Summary!$B$11*IFERROR(B1870/Summary!$B$24,1))-1)+ArtifactsInput!$L$22)</f>
        <v>5660557159239625</v>
      </c>
      <c r="AC47">
        <f>IF(ArtifactsInput!$M$22,Summary!$B$3/(Summary!$B$3-(IF(ArtifactsInput!$M$22,-1,1)*Summary!$B$3*(((1-Summary!$B$11)*IFERROR(B1869/Summary!$B$23,1)+Summary!$B$11*IFERROR(B1870/Summary!$B$24,1))-1)+ArtifactsInput!$L$22))*100,(Summary!$B$3+(IF(ArtifactsInput!$M$22,-1,1)*Summary!$B$3*(((1-Summary!$B$11)*IFERROR(B1869/Summary!$B$23,1)+Summary!$B$11*IFERROR(B1870/Summary!$B$24,1))-1)+ArtifactsInput!$L$22))/Summary!$B$3*100)</f>
        <v>117.1081801389833</v>
      </c>
      <c r="AD47" t="b">
        <f>ArtifactsInput!$B$22&lt;&gt;"Not Unlocked"</f>
        <v>1</v>
      </c>
      <c r="AE47">
        <f>IF(AD47,SUMPRODUCT(($AD$32:$AD$67)*($AC$32:$AC$67&gt;AC47))+COUNTIFS($AD$32:AD47,TRUE,$AC$32:AC47,AC47),"")</f>
        <v>4</v>
      </c>
    </row>
    <row r="48" spans="1:31" x14ac:dyDescent="0.2">
      <c r="A48" t="str">
        <f>IF(17&gt;COUNTIF($AD$32:$AD$67,TRUE),"",INDEX($AA$32:$AA$67,MATCH(17,$AE$32:$AE$67,0)))</f>
        <v>Clear Spring Water (Equip)</v>
      </c>
      <c r="B48">
        <f>IF(17&gt;COUNTIF($AD$32:$AD$67,TRUE),"",INDEX($AB$32:$AB$67,MATCH(17,$AE$32:$AE$67,0)))</f>
        <v>1097477988520862.1</v>
      </c>
      <c r="C48">
        <f>IF(17&gt;COUNTIF($AD$32:$AD$67,TRUE),"",INDEX($AC$32:$AC$67,MATCH(17,$AE$32:$AE$67,0)))</f>
        <v>103.31696166967177</v>
      </c>
      <c r="AA48" t="s">
        <v>413</v>
      </c>
      <c r="AB48">
        <f>(IF(ArtifactsInput!$M$23,-1,1)*Summary!$B$3*(((1-Summary!$B$11)*IFERROR(B1913/Summary!$B$23,1)+Summary!$B$11*IFERROR(B1914/Summary!$B$24,1))-1)+ArtifactsInput!$L$23)</f>
        <v>2591952843591821</v>
      </c>
      <c r="AC48">
        <f>IF(ArtifactsInput!$M$23,Summary!$B$3/(Summary!$B$3-(IF(ArtifactsInput!$M$23,-1,1)*Summary!$B$3*(((1-Summary!$B$11)*IFERROR(B1913/Summary!$B$23,1)+Summary!$B$11*IFERROR(B1914/Summary!$B$24,1))-1)+ArtifactsInput!$L$23))*100,(Summary!$B$3+(IF(ArtifactsInput!$M$23,-1,1)*Summary!$B$3*(((1-Summary!$B$11)*IFERROR(B1913/Summary!$B$23,1)+Summary!$B$11*IFERROR(B1914/Summary!$B$24,1))-1)+ArtifactsInput!$L$23))/Summary!$B$3*100)</f>
        <v>107.83378648293262</v>
      </c>
      <c r="AD48" t="b">
        <f>ArtifactsInput!$B$23&lt;&gt;"Not Unlocked"</f>
        <v>0</v>
      </c>
      <c r="AE48" t="str">
        <f>IF(AD48,SUMPRODUCT(($AD$32:$AD$67)*($AC$32:$AC$67&gt;AC48))+COUNTIFS($AD$32:AD48,TRUE,$AC$32:AC48,AC48),"")</f>
        <v/>
      </c>
    </row>
    <row r="49" spans="1:31" x14ac:dyDescent="0.2">
      <c r="A49" t="str">
        <f>IF(18&gt;COUNTIF($AD$32:$AD$67,TRUE),"",INDEX($AA$32:$AA$67,MATCH(18,$AE$32:$AE$67,0)))</f>
        <v>Arwen's Glass Shoes (Equip)</v>
      </c>
      <c r="B49">
        <f>IF(18&gt;COUNTIF($AD$32:$AD$67,TRUE),"",INDEX($AB$32:$AB$67,MATCH(18,$AE$32:$AE$67,0)))</f>
        <v>822371195801567.88</v>
      </c>
      <c r="C49">
        <f>IF(18&gt;COUNTIF($AD$32:$AD$67,TRUE),"",INDEX($AC$32:$AC$67,MATCH(18,$AE$32:$AE$67,0)))</f>
        <v>102.48549288755424</v>
      </c>
      <c r="AA49" t="s">
        <v>414</v>
      </c>
      <c r="AB49">
        <f>(IF(ArtifactsInput!$M$24,-1,1)*Summary!$B$3*(((1-Summary!$B$11)*IFERROR(B1957/Summary!$B$23,1)+Summary!$B$11*IFERROR(B1958/Summary!$B$24,1))-1)+ArtifactsInput!$L$24)</f>
        <v>5003948518975551</v>
      </c>
      <c r="AC49">
        <f>IF(ArtifactsInput!$M$24,Summary!$B$3/(Summary!$B$3-(IF(ArtifactsInput!$M$24,-1,1)*Summary!$B$3*(((1-Summary!$B$11)*IFERROR(B1957/Summary!$B$23,1)+Summary!$B$11*IFERROR(B1958/Summary!$B$24,1))-1)+ArtifactsInput!$L$24))*100,(Summary!$B$3+(IF(ArtifactsInput!$M$24,-1,1)*Summary!$B$3*(((1-Summary!$B$11)*IFERROR(B1957/Summary!$B$23,1)+Summary!$B$11*IFERROR(B1958/Summary!$B$24,1))-1)+ArtifactsInput!$L$24))/Summary!$B$3*100)</f>
        <v>117.81849106368456</v>
      </c>
      <c r="AD49" t="b">
        <f>ArtifactsInput!$B$24&lt;&gt;"Not Unlocked"</f>
        <v>1</v>
      </c>
      <c r="AE49">
        <f>IF(AD49,SUMPRODUCT(($AD$32:$AD$67)*($AC$32:$AC$67&gt;AC49))+COUNTIFS($AD$32:AD49,TRUE,$AC$32:AC49,AC49),"")</f>
        <v>3</v>
      </c>
    </row>
    <row r="50" spans="1:31" x14ac:dyDescent="0.2">
      <c r="A50" t="str">
        <f>IF(19&gt;COUNTIF($AD$32:$AD$67,TRUE),"",INDEX($AA$32:$AA$67,MATCH(19,$AE$32:$AE$67,0)))</f>
        <v>Ancient Text Piece (Equip)</v>
      </c>
      <c r="B50">
        <f>IF(19&gt;COUNTIF($AD$32:$AD$67,TRUE),"",INDEX($AB$32:$AB$67,MATCH(19,$AE$32:$AE$67,0)))</f>
        <v>725746796205701.62</v>
      </c>
      <c r="C50">
        <f>IF(19&gt;COUNTIF($AD$32:$AD$67,TRUE),"",INDEX($AC$32:$AC$67,MATCH(19,$AE$32:$AE$67,0)))</f>
        <v>102.19346021522111</v>
      </c>
      <c r="AA50" t="s">
        <v>415</v>
      </c>
      <c r="AB50">
        <f>(IF(ArtifactsInput!$M$25,-1,1)*Summary!$B$3*(((1-Summary!$B$11)*IFERROR(B2001/Summary!$B$23,1)+Summary!$B$11*IFERROR(B2002/Summary!$B$24,1))-1)+ArtifactsInput!$L$25)</f>
        <v>0</v>
      </c>
      <c r="AC50">
        <f>IF(ArtifactsInput!$M$25,Summary!$B$3/(Summary!$B$3-(IF(ArtifactsInput!$M$25,-1,1)*Summary!$B$3*(((1-Summary!$B$11)*IFERROR(B2001/Summary!$B$23,1)+Summary!$B$11*IFERROR(B2002/Summary!$B$24,1))-1)+ArtifactsInput!$L$25))*100,(Summary!$B$3+(IF(ArtifactsInput!$M$25,-1,1)*Summary!$B$3*(((1-Summary!$B$11)*IFERROR(B2001/Summary!$B$23,1)+Summary!$B$11*IFERROR(B2002/Summary!$B$24,1))-1)+ArtifactsInput!$L$25))/Summary!$B$3*100)</f>
        <v>100</v>
      </c>
      <c r="AD50" t="b">
        <f>ArtifactsInput!$B$25&lt;&gt;"Not Unlocked"</f>
        <v>1</v>
      </c>
      <c r="AE50">
        <f>IF(AD50,SUMPRODUCT(($AD$32:$AD$67)*($AC$32:$AC$67&gt;AC50))+COUNTIFS($AD$32:AD50,TRUE,$AC$32:AC50,AC50),"")</f>
        <v>27</v>
      </c>
    </row>
    <row r="51" spans="1:31" x14ac:dyDescent="0.2">
      <c r="A51" t="str">
        <f>IF(20&gt;COUNTIF($AD$32:$AD$67,TRUE),"",INDEX($AA$32:$AA$67,MATCH(20,$AE$32:$AE$67,0)))</f>
        <v>Old Music Box (Equip)</v>
      </c>
      <c r="B51">
        <f>IF(20&gt;COUNTIF($AD$32:$AD$67,TRUE),"",INDEX($AB$32:$AB$67,MATCH(20,$AE$32:$AE$67,0)))</f>
        <v>720694383615355.88</v>
      </c>
      <c r="C51">
        <f>IF(20&gt;COUNTIF($AD$32:$AD$67,TRUE),"",INDEX($AC$32:$AC$67,MATCH(20,$AE$32:$AE$67,0)))</f>
        <v>102.17819006030517</v>
      </c>
      <c r="AA51" t="s">
        <v>416</v>
      </c>
      <c r="AB51">
        <f>(IF(ArtifactsInput!$M$26,-1,1)*Summary!$B$3*(((1-Summary!$B$11)*IFERROR(B2045/Summary!$B$23,1)+Summary!$B$11*IFERROR(B2046/Summary!$B$24,1))-1)+ArtifactsInput!$L$26)</f>
        <v>1819776511756334.2</v>
      </c>
      <c r="AC51">
        <f>IF(ArtifactsInput!$M$26,Summary!$B$3/(Summary!$B$3-(IF(ArtifactsInput!$M$26,-1,1)*Summary!$B$3*(((1-Summary!$B$11)*IFERROR(B2045/Summary!$B$23,1)+Summary!$B$11*IFERROR(B2046/Summary!$B$24,1))-1)+ArtifactsInput!$L$26))*100,(Summary!$B$3+(IF(ArtifactsInput!$M$26,-1,1)*Summary!$B$3*(((1-Summary!$B$11)*IFERROR(B2045/Summary!$B$23,1)+Summary!$B$11*IFERROR(B2046/Summary!$B$24,1))-1)+ArtifactsInput!$L$26))/Summary!$B$3*100)</f>
        <v>105.50000000000001</v>
      </c>
      <c r="AD51" t="b">
        <f>ArtifactsInput!$B$26&lt;&gt;"Not Unlocked"</f>
        <v>0</v>
      </c>
      <c r="AE51" t="str">
        <f>IF(AD51,SUMPRODUCT(($AD$32:$AD$67)*($AC$32:$AC$67&gt;AC51))+COUNTIFS($AD$32:AD51,TRUE,$AC$32:AC51,AC51),"")</f>
        <v/>
      </c>
    </row>
    <row r="52" spans="1:31" x14ac:dyDescent="0.2">
      <c r="A52" t="str">
        <f>IF(21&gt;COUNTIF($AD$32:$AD$67,TRUE),"",INDEX($AA$32:$AA$67,MATCH(21,$AE$32:$AE$67,0)))</f>
        <v>The Contract of Darkness (Equip)</v>
      </c>
      <c r="B52">
        <f>IF(21&gt;COUNTIF($AD$32:$AD$67,TRUE),"",INDEX($AB$32:$AB$67,MATCH(21,$AE$32:$AE$67,0)))</f>
        <v>659573901688027.38</v>
      </c>
      <c r="C52">
        <f>IF(21&gt;COUNTIF($AD$32:$AD$67,TRUE),"",INDEX($AC$32:$AC$67,MATCH(21,$AE$32:$AE$67,0)))</f>
        <v>101.9934626234861</v>
      </c>
      <c r="AA52" t="s">
        <v>417</v>
      </c>
      <c r="AB52">
        <f>(IF(ArtifactsInput!$M$27,-1,1)*Summary!$B$3*(((1-Summary!$B$11)*IFERROR(B2089/Summary!$B$23,1)+Summary!$B$11*IFERROR(B2090/Summary!$B$24,1))-1)+ArtifactsInput!$L$27)</f>
        <v>0</v>
      </c>
      <c r="AC52">
        <f>IF(ArtifactsInput!$M$27,Summary!$B$3/(Summary!$B$3-(IF(ArtifactsInput!$M$27,-1,1)*Summary!$B$3*(((1-Summary!$B$11)*IFERROR(B2089/Summary!$B$23,1)+Summary!$B$11*IFERROR(B2090/Summary!$B$24,1))-1)+ArtifactsInput!$L$27))*100,(Summary!$B$3+(IF(ArtifactsInput!$M$27,-1,1)*Summary!$B$3*(((1-Summary!$B$11)*IFERROR(B2089/Summary!$B$23,1)+Summary!$B$11*IFERROR(B2090/Summary!$B$24,1))-1)+ArtifactsInput!$L$27))/Summary!$B$3*100)</f>
        <v>100</v>
      </c>
      <c r="AD52" t="b">
        <f>ArtifactsInput!$B$27&lt;&gt;"Not Unlocked"</f>
        <v>1</v>
      </c>
      <c r="AE52">
        <f>IF(AD52,SUMPRODUCT(($AD$32:$AD$67)*($AC$32:$AC$67&gt;AC52))+COUNTIFS($AD$32:AD52,TRUE,$AC$32:AC52,AC52),"")</f>
        <v>28</v>
      </c>
    </row>
    <row r="53" spans="1:31" x14ac:dyDescent="0.2">
      <c r="A53" t="str">
        <f>IF(22&gt;COUNTIF($AD$32:$AD$67,TRUE),"",INDEX($AA$32:$AA$67,MATCH(22,$AE$32:$AE$67,0)))</f>
        <v>Mushmom's Cap (Equip)</v>
      </c>
      <c r="B53">
        <f>IF(22&gt;COUNTIF($AD$32:$AD$67,TRUE),"",INDEX($AB$32:$AB$67,MATCH(22,$AE$32:$AE$67,0)))</f>
        <v>466551511846522.44</v>
      </c>
      <c r="C53">
        <f>IF(22&gt;COUNTIF($AD$32:$AD$67,TRUE),"",INDEX($AC$32:$AC$67,MATCH(22,$AE$32:$AE$67,0)))</f>
        <v>101.41008156692786</v>
      </c>
      <c r="AA53" t="s">
        <v>418</v>
      </c>
      <c r="AB53">
        <f>(IF(ArtifactsInput!$M$28,-1,1)*Summary!$B$3*(((1-Summary!$B$11)*IFERROR(B2133/Summary!$B$23,1)+Summary!$B$11*IFERROR(B2134/Summary!$B$24,1))-1)+ArtifactsInput!$L$28)</f>
        <v>0</v>
      </c>
      <c r="AC53">
        <f>IF(ArtifactsInput!$M$28,Summary!$B$3/(Summary!$B$3-(IF(ArtifactsInput!$M$28,-1,1)*Summary!$B$3*(((1-Summary!$B$11)*IFERROR(B2133/Summary!$B$23,1)+Summary!$B$11*IFERROR(B2134/Summary!$B$24,1))-1)+ArtifactsInput!$L$28))*100,(Summary!$B$3+(IF(ArtifactsInput!$M$28,-1,1)*Summary!$B$3*(((1-Summary!$B$11)*IFERROR(B2133/Summary!$B$23,1)+Summary!$B$11*IFERROR(B2134/Summary!$B$24,1))-1)+ArtifactsInput!$L$28))/Summary!$B$3*100)</f>
        <v>100</v>
      </c>
      <c r="AD53" t="b">
        <f>ArtifactsInput!$B$28&lt;&gt;"Not Unlocked"</f>
        <v>0</v>
      </c>
      <c r="AE53" t="str">
        <f>IF(AD53,SUMPRODUCT(($AD$32:$AD$67)*($AC$32:$AC$67&gt;AC53))+COUNTIFS($AD$32:AD53,TRUE,$AC$32:AC53,AC53),"")</f>
        <v/>
      </c>
    </row>
    <row r="54" spans="1:31" x14ac:dyDescent="0.2">
      <c r="A54" t="str">
        <f>IF(23&gt;COUNTIF($AD$32:$AD$67,TRUE),"",INDEX($AA$32:$AA$67,MATCH(23,$AE$32:$AE$67,0)))</f>
        <v>Horntail's Scale (Equip)</v>
      </c>
      <c r="B54">
        <f>IF(23&gt;COUNTIF($AD$32:$AD$67,TRUE),"",INDEX($AB$32:$AB$67,MATCH(23,$AE$32:$AE$67,0)))</f>
        <v>463303532324161.06</v>
      </c>
      <c r="C54">
        <f>IF(23&gt;COUNTIF($AD$32:$AD$67,TRUE),"",INDEX($AC$32:$AC$67,MATCH(23,$AE$32:$AE$67,0)))</f>
        <v>101.40026503876763</v>
      </c>
      <c r="AA54" t="s">
        <v>419</v>
      </c>
      <c r="AB54">
        <f>(IF(ArtifactsInput!$M$29,-1,1)*Summary!$B$3*(((1-Summary!$B$11)*IFERROR(B2177/Summary!$B$23,1)+Summary!$B$11*IFERROR(B2178/Summary!$B$24,1))-1)+ArtifactsInput!$L$29)</f>
        <v>296808255759608.69</v>
      </c>
      <c r="AC54">
        <f>IF(ArtifactsInput!$M$29,Summary!$B$3/(Summary!$B$3-(IF(ArtifactsInput!$M$29,-1,1)*Summary!$B$3*(((1-Summary!$B$11)*IFERROR(B2177/Summary!$B$23,1)+Summary!$B$11*IFERROR(B2178/Summary!$B$24,1))-1)+ArtifactsInput!$L$29))*100,(Summary!$B$3+(IF(ArtifactsInput!$M$29,-1,1)*Summary!$B$3*(((1-Summary!$B$11)*IFERROR(B2177/Summary!$B$23,1)+Summary!$B$11*IFERROR(B2178/Summary!$B$24,1))-1)+ArtifactsInput!$L$29))/Summary!$B$3*100)</f>
        <v>100.89705818056873</v>
      </c>
      <c r="AD54" t="b">
        <f>ArtifactsInput!$B$29&lt;&gt;"Not Unlocked"</f>
        <v>1</v>
      </c>
      <c r="AE54">
        <f>IF(AD54,SUMPRODUCT(($AD$32:$AD$67)*($AC$32:$AC$67&gt;AC54))+COUNTIFS($AD$32:AD54,TRUE,$AC$32:AC54,AC54),"")</f>
        <v>24</v>
      </c>
    </row>
    <row r="55" spans="1:31" x14ac:dyDescent="0.2">
      <c r="A55" t="str">
        <f>IF(24&gt;COUNTIF($AD$32:$AD$67,TRUE),"",INDEX($AA$32:$AA$67,MATCH(24,$AE$32:$AE$67,0)))</f>
        <v>Soul Pouch (Equip)</v>
      </c>
      <c r="B55">
        <f>IF(24&gt;COUNTIF($AD$32:$AD$67,TRUE),"",INDEX($AB$32:$AB$67,MATCH(24,$AE$32:$AE$67,0)))</f>
        <v>296808255759608.69</v>
      </c>
      <c r="C55">
        <f>IF(24&gt;COUNTIF($AD$32:$AD$67,TRUE),"",INDEX($AC$32:$AC$67,MATCH(24,$AE$32:$AE$67,0)))</f>
        <v>100.89705818056873</v>
      </c>
      <c r="AA55" t="s">
        <v>420</v>
      </c>
      <c r="AB55">
        <f>(IF(ArtifactsInput!$M$30,-1,1)*Summary!$B$3*(((1-Summary!$B$11)*IFERROR(B2221/Summary!$B$23,1)+Summary!$B$11*IFERROR(B2222/Summary!$B$24,1))-1)+ArtifactsInput!$L$30)</f>
        <v>725746796205701.62</v>
      </c>
      <c r="AC55">
        <f>IF(ArtifactsInput!$M$30,Summary!$B$3/(Summary!$B$3-(IF(ArtifactsInput!$M$30,-1,1)*Summary!$B$3*(((1-Summary!$B$11)*IFERROR(B2221/Summary!$B$23,1)+Summary!$B$11*IFERROR(B2222/Summary!$B$24,1))-1)+ArtifactsInput!$L$30))*100,(Summary!$B$3+(IF(ArtifactsInput!$M$30,-1,1)*Summary!$B$3*(((1-Summary!$B$11)*IFERROR(B2221/Summary!$B$23,1)+Summary!$B$11*IFERROR(B2222/Summary!$B$24,1))-1)+ArtifactsInput!$L$30))/Summary!$B$3*100)</f>
        <v>102.19346021522111</v>
      </c>
      <c r="AD55" t="b">
        <f>ArtifactsInput!$B$30&lt;&gt;"Not Unlocked"</f>
        <v>1</v>
      </c>
      <c r="AE55">
        <f>IF(AD55,SUMPRODUCT(($AD$32:$AD$67)*($AC$32:$AC$67&gt;AC55))+COUNTIFS($AD$32:AD55,TRUE,$AC$32:AC55,AC55),"")</f>
        <v>19</v>
      </c>
    </row>
    <row r="56" spans="1:31" x14ac:dyDescent="0.2">
      <c r="A56" t="str">
        <f>IF(25&gt;COUNTIF($AD$32:$AD$67,TRUE),"",INDEX($AA$32:$AA$67,MATCH(25,$AE$32:$AE$67,0)))</f>
        <v>Pig's Ribbon (Equip)</v>
      </c>
      <c r="B56">
        <f>IF(25&gt;COUNTIF($AD$32:$AD$67,TRUE),"",INDEX($AB$32:$AB$67,MATCH(25,$AE$32:$AE$67,0)))</f>
        <v>129144596675624.69</v>
      </c>
      <c r="C56">
        <f>IF(25&gt;COUNTIF($AD$32:$AD$67,TRUE),"",INDEX($AC$32:$AC$67,MATCH(25,$AE$32:$AE$67,0)))</f>
        <v>100.3903200624512</v>
      </c>
      <c r="AA56" t="s">
        <v>421</v>
      </c>
      <c r="AB56">
        <f>(IF(ArtifactsInput!$M$31,-1,1)*Summary!$B$3*(((1-Summary!$B$11)*IFERROR(B2265/Summary!$B$23,1)+Summary!$B$11*IFERROR(B2266/Summary!$B$24,1))-1)+ArtifactsInput!$L$31)</f>
        <v>3249854539495996</v>
      </c>
      <c r="AC56">
        <f>IF(ArtifactsInput!$M$31,Summary!$B$3/(Summary!$B$3-(IF(ArtifactsInput!$M$31,-1,1)*Summary!$B$3*(((1-Summary!$B$11)*IFERROR(B2265/Summary!$B$23,1)+Summary!$B$11*IFERROR(B2266/Summary!$B$24,1))-1)+ArtifactsInput!$L$31))*100,(Summary!$B$3+(IF(ArtifactsInput!$M$31,-1,1)*Summary!$B$3*(((1-Summary!$B$11)*IFERROR(B2265/Summary!$B$23,1)+Summary!$B$11*IFERROR(B2266/Summary!$B$24,1))-1)+ArtifactsInput!$L$31))/Summary!$B$3*100)</f>
        <v>109.8221951166833</v>
      </c>
      <c r="AD56" t="b">
        <f>ArtifactsInput!$B$31&lt;&gt;"Not Unlocked"</f>
        <v>1</v>
      </c>
      <c r="AE56">
        <f>IF(AD56,SUMPRODUCT(($AD$32:$AD$67)*($AC$32:$AC$67&gt;AC56))+COUNTIFS($AD$32:AD56,TRUE,$AC$32:AC56,AC56),"")</f>
        <v>10</v>
      </c>
    </row>
    <row r="57" spans="1:31" x14ac:dyDescent="0.2">
      <c r="A57" t="str">
        <f>IF(26&gt;COUNTIF($AD$32:$AD$67,TRUE),"",INDEX($AA$32:$AA$67,MATCH(26,$AE$32:$AE$67,0)))</f>
        <v>Pink Bean's Giant Rib (Equip)</v>
      </c>
      <c r="B57">
        <f>IF(26&gt;COUNTIF($AD$32:$AD$67,TRUE),"",INDEX($AB$32:$AB$67,MATCH(26,$AE$32:$AE$67,0)))</f>
        <v>0</v>
      </c>
      <c r="C57">
        <f>IF(26&gt;COUNTIF($AD$32:$AD$67,TRUE),"",INDEX($AC$32:$AC$67,MATCH(26,$AE$32:$AE$67,0)))</f>
        <v>100</v>
      </c>
      <c r="AA57" t="s">
        <v>422</v>
      </c>
      <c r="AB57">
        <f>(IF(ArtifactsInput!$M$32,-1,1)*Summary!$B$3*(((1-Summary!$B$11)*IFERROR(B2309/Summary!$B$23,1)+Summary!$B$11*IFERROR(B2310/Summary!$B$24,1))-1)+ArtifactsInput!$L$32)</f>
        <v>3897031567771868</v>
      </c>
      <c r="AC57">
        <f>IF(ArtifactsInput!$M$32,Summary!$B$3/(Summary!$B$3-(IF(ArtifactsInput!$M$32,-1,1)*Summary!$B$3*(((1-Summary!$B$11)*IFERROR(B2309/Summary!$B$23,1)+Summary!$B$11*IFERROR(B2310/Summary!$B$24,1))-1)+ArtifactsInput!$L$32))*100,(Summary!$B$3+(IF(ArtifactsInput!$M$32,-1,1)*Summary!$B$3*(((1-Summary!$B$11)*IFERROR(B2309/Summary!$B$23,1)+Summary!$B$11*IFERROR(B2310/Summary!$B$24,1))-1)+ArtifactsInput!$L$32))/Summary!$B$3*100)</f>
        <v>111.77819006030521</v>
      </c>
      <c r="AD57" t="b">
        <f>ArtifactsInput!$B$32&lt;&gt;"Not Unlocked"</f>
        <v>1</v>
      </c>
      <c r="AE57">
        <f>IF(AD57,SUMPRODUCT(($AD$32:$AD$67)*($AC$32:$AC$67&gt;AC57))+COUNTIFS($AD$32:AD57,TRUE,$AC$32:AC57,AC57),"")</f>
        <v>9</v>
      </c>
    </row>
    <row r="58" spans="1:31" x14ac:dyDescent="0.2">
      <c r="A58" t="str">
        <f>IF(27&gt;COUNTIF($AD$32:$AD$67,TRUE),"",INDEX($AA$32:$AA$67,MATCH(27,$AE$32:$AE$67,0)))</f>
        <v>Lunar Dew (Equip)</v>
      </c>
      <c r="B58">
        <f>IF(27&gt;COUNTIF($AD$32:$AD$67,TRUE),"",INDEX($AB$32:$AB$67,MATCH(27,$AE$32:$AE$67,0)))</f>
        <v>0</v>
      </c>
      <c r="C58">
        <f>IF(27&gt;COUNTIF($AD$32:$AD$67,TRUE),"",INDEX($AC$32:$AC$67,MATCH(27,$AE$32:$AE$67,0)))</f>
        <v>100</v>
      </c>
      <c r="AA58" t="s">
        <v>423</v>
      </c>
      <c r="AB58">
        <f>(IF(ArtifactsInput!$M$33,-1,1)*Summary!$B$3*(((1-Summary!$B$11)*IFERROR(B2353/Summary!$B$23,1)+Summary!$B$11*IFERROR(B2354/Summary!$B$24,1))-1)+ArtifactsInput!$L$33)</f>
        <v>2164607551499798.5</v>
      </c>
      <c r="AC58">
        <f>IF(ArtifactsInput!$M$33,Summary!$B$3/(Summary!$B$3-(IF(ArtifactsInput!$M$33,-1,1)*Summary!$B$3*(((1-Summary!$B$11)*IFERROR(B2353/Summary!$B$23,1)+Summary!$B$11*IFERROR(B2354/Summary!$B$24,1))-1)+ArtifactsInput!$L$33))*100,(Summary!$B$3+(IF(ArtifactsInput!$M$33,-1,1)*Summary!$B$3*(((1-Summary!$B$11)*IFERROR(B2353/Summary!$B$23,1)+Summary!$B$11*IFERROR(B2354/Summary!$B$24,1))-1)+ArtifactsInput!$L$33))/Summary!$B$3*100)</f>
        <v>106.54219980109461</v>
      </c>
      <c r="AD58" t="b">
        <f>ArtifactsInput!$B$33&lt;&gt;"Not Unlocked"</f>
        <v>0</v>
      </c>
      <c r="AE58" t="str">
        <f>IF(AD58,SUMPRODUCT(($AD$32:$AD$67)*($AC$32:$AC$67&gt;AC58))+COUNTIFS($AD$32:AD58,TRUE,$AC$32:AC58,AC58),"")</f>
        <v/>
      </c>
    </row>
    <row r="59" spans="1:31" x14ac:dyDescent="0.2">
      <c r="A59" t="str">
        <f>IF(28&gt;COUNTIF($AD$32:$AD$67,TRUE),"",INDEX($AA$32:$AA$67,MATCH(28,$AE$32:$AE$67,0)))</f>
        <v>Soul Contract (Equip)</v>
      </c>
      <c r="B59">
        <f>IF(28&gt;COUNTIF($AD$32:$AD$67,TRUE),"",INDEX($AB$32:$AB$67,MATCH(28,$AE$32:$AE$67,0)))</f>
        <v>0</v>
      </c>
      <c r="C59">
        <f>IF(28&gt;COUNTIF($AD$32:$AD$67,TRUE),"",INDEX($AC$32:$AC$67,MATCH(28,$AE$32:$AE$67,0)))</f>
        <v>100</v>
      </c>
      <c r="AA59" t="s">
        <v>424</v>
      </c>
      <c r="AB59">
        <f>(IF(ArtifactsInput!$M$34,-1,1)*Summary!$B$3*(((1-Summary!$B$11)*IFERROR(B2397/Summary!$B$23,1)+Summary!$B$11*IFERROR(B2398/Summary!$B$24,1))-1)+ArtifactsInput!$L$34)</f>
        <v>3851735408369170</v>
      </c>
      <c r="AC59">
        <f>IF(ArtifactsInput!$M$34,Summary!$B$3/(Summary!$B$3-(IF(ArtifactsInput!$M$34,-1,1)*Summary!$B$3*(((1-Summary!$B$11)*IFERROR(B2397/Summary!$B$23,1)+Summary!$B$11*IFERROR(B2398/Summary!$B$24,1))-1)+ArtifactsInput!$L$34))*100,(Summary!$B$3+(IF(ArtifactsInput!$M$34,-1,1)*Summary!$B$3*(((1-Summary!$B$11)*IFERROR(B2397/Summary!$B$23,1)+Summary!$B$11*IFERROR(B2398/Summary!$B$24,1))-1)+ArtifactsInput!$L$34))/Summary!$B$3*100)</f>
        <v>111.64128925127432</v>
      </c>
      <c r="AD59" t="b">
        <f>ArtifactsInput!$B$34&lt;&gt;"Not Unlocked"</f>
        <v>0</v>
      </c>
      <c r="AE59" t="str">
        <f>IF(AD59,SUMPRODUCT(($AD$32:$AD$67)*($AC$32:$AC$67&gt;AC59))+COUNTIFS($AD$32:AD59,TRUE,$AC$32:AC59,AC59),"")</f>
        <v/>
      </c>
    </row>
    <row r="60" spans="1:31" x14ac:dyDescent="0.2">
      <c r="A60" t="str">
        <f>IF(29&gt;COUNTIF($AD$32:$AD$67,TRUE),"",INDEX($AA$32:$AA$67,MATCH(29,$AE$32:$AE$67,0)))</f>
        <v/>
      </c>
      <c r="B60" t="str">
        <f>IF(29&gt;COUNTIF($AD$32:$AD$67,TRUE),"",INDEX($AB$32:$AB$67,MATCH(29,$AE$32:$AE$67,0)))</f>
        <v/>
      </c>
      <c r="C60" t="str">
        <f>IF(29&gt;COUNTIF($AD$32:$AD$67,TRUE),"",INDEX($AC$32:$AC$67,MATCH(29,$AE$32:$AE$67,0)))</f>
        <v/>
      </c>
      <c r="AA60" t="s">
        <v>425</v>
      </c>
      <c r="AB60">
        <f>(IF(ArtifactsInput!$M$35,-1,1)*Summary!$B$3*(((1-Summary!$B$11)*IFERROR(B2441/Summary!$B$23,1)+Summary!$B$11*IFERROR(B2442/Summary!$B$24,1))-1)+ArtifactsInput!$L$35)</f>
        <v>5131415202992573</v>
      </c>
      <c r="AC60">
        <f>IF(ArtifactsInput!$M$35,Summary!$B$3/(Summary!$B$3-(IF(ArtifactsInput!$M$35,-1,1)*Summary!$B$3*(((1-Summary!$B$11)*IFERROR(B2441/Summary!$B$23,1)+Summary!$B$11*IFERROR(B2442/Summary!$B$24,1))-1)+ArtifactsInput!$L$35))*100,(Summary!$B$3+(IF(ArtifactsInput!$M$35,-1,1)*Summary!$B$3*(((1-Summary!$B$11)*IFERROR(B2441/Summary!$B$23,1)+Summary!$B$11*IFERROR(B2442/Summary!$B$24,1))-1)+ArtifactsInput!$L$35))/Summary!$B$3*100)</f>
        <v>115.50892839539971</v>
      </c>
      <c r="AD60" t="b">
        <f>ArtifactsInput!$B$35&lt;&gt;"Not Unlocked"</f>
        <v>1</v>
      </c>
      <c r="AE60">
        <f>IF(AD60,SUMPRODUCT(($AD$32:$AD$67)*($AC$32:$AC$67&gt;AC60))+COUNTIFS($AD$32:AD60,TRUE,$AC$32:AC60,AC60),"")</f>
        <v>6</v>
      </c>
    </row>
    <row r="61" spans="1:31" x14ac:dyDescent="0.2">
      <c r="A61" t="str">
        <f>IF(30&gt;COUNTIF($AD$32:$AD$67,TRUE),"",INDEX($AA$32:$AA$67,MATCH(30,$AE$32:$AE$67,0)))</f>
        <v/>
      </c>
      <c r="B61" t="str">
        <f>IF(30&gt;COUNTIF($AD$32:$AD$67,TRUE),"",INDEX($AB$32:$AB$67,MATCH(30,$AE$32:$AE$67,0)))</f>
        <v/>
      </c>
      <c r="C61" t="str">
        <f>IF(30&gt;COUNTIF($AD$32:$AD$67,TRUE),"",INDEX($AC$32:$AC$67,MATCH(30,$AE$32:$AE$67,0)))</f>
        <v/>
      </c>
      <c r="AA61" t="s">
        <v>426</v>
      </c>
      <c r="AB61">
        <f>(IF(ArtifactsInput!$M$36,-1,1)*Summary!$B$3*(((1-Summary!$B$11)*IFERROR(B2485/Summary!$B$23,1)+Summary!$B$11*IFERROR(B2486/Summary!$B$24,1))-1)+ArtifactsInput!$L$36)</f>
        <v>4326533096111258</v>
      </c>
      <c r="AC61">
        <f>IF(ArtifactsInput!$M$36,Summary!$B$3/(Summary!$B$3-(IF(ArtifactsInput!$M$36,-1,1)*Summary!$B$3*(((1-Summary!$B$11)*IFERROR(B2485/Summary!$B$23,1)+Summary!$B$11*IFERROR(B2486/Summary!$B$24,1))-1)+ArtifactsInput!$L$36))*100,(Summary!$B$3+(IF(ArtifactsInput!$M$36,-1,1)*Summary!$B$3*(((1-Summary!$B$11)*IFERROR(B2485/Summary!$B$23,1)+Summary!$B$11*IFERROR(B2486/Summary!$B$24,1))-1)+ArtifactsInput!$L$36))/Summary!$B$3*100)</f>
        <v>113.07629364094036</v>
      </c>
      <c r="AD61" t="b">
        <f>ArtifactsInput!$B$36&lt;&gt;"Not Unlocked"</f>
        <v>1</v>
      </c>
      <c r="AE61">
        <f>IF(AD61,SUMPRODUCT(($AD$32:$AD$67)*($AC$32:$AC$67&gt;AC61))+COUNTIFS($AD$32:AD61,TRUE,$AC$32:AC61,AC61),"")</f>
        <v>8</v>
      </c>
    </row>
    <row r="62" spans="1:31" x14ac:dyDescent="0.2">
      <c r="A62" t="str">
        <f>IF(31&gt;COUNTIF($AD$32:$AD$67,TRUE),"",INDEX($AA$32:$AA$67,MATCH(31,$AE$32:$AE$67,0)))</f>
        <v/>
      </c>
      <c r="B62" t="str">
        <f>IF(31&gt;COUNTIF($AD$32:$AD$67,TRUE),"",INDEX($AB$32:$AB$67,MATCH(31,$AE$32:$AE$67,0)))</f>
        <v/>
      </c>
      <c r="C62" t="str">
        <f>IF(31&gt;COUNTIF($AD$32:$AD$67,TRUE),"",INDEX($AC$32:$AC$67,MATCH(31,$AE$32:$AE$67,0)))</f>
        <v/>
      </c>
      <c r="AA62" t="s">
        <v>427</v>
      </c>
      <c r="AB62">
        <f>(IF(ArtifactsInput!$M$37,-1,1)*Summary!$B$3*(((1-Summary!$B$11)*IFERROR(B2529/Summary!$B$23,1)+Summary!$B$11*IFERROR(B2530/Summary!$B$24,1))-1)+ArtifactsInput!$L$37)</f>
        <v>2315960411171300</v>
      </c>
      <c r="AC62">
        <f>IF(ArtifactsInput!$M$37,Summary!$B$3/(Summary!$B$3-(IF(ArtifactsInput!$M$37,-1,1)*Summary!$B$3*(((1-Summary!$B$11)*IFERROR(B2529/Summary!$B$23,1)+Summary!$B$11*IFERROR(B2530/Summary!$B$24,1))-1)+ArtifactsInput!$L$37))*100,(Summary!$B$3+(IF(ArtifactsInput!$M$37,-1,1)*Summary!$B$3*(((1-Summary!$B$11)*IFERROR(B2529/Summary!$B$23,1)+Summary!$B$11*IFERROR(B2530/Summary!$B$24,1))-1)+ArtifactsInput!$L$37))/Summary!$B$3*100)</f>
        <v>106.99964098841373</v>
      </c>
      <c r="AD62" t="b">
        <f>ArtifactsInput!$B$37&lt;&gt;"Not Unlocked"</f>
        <v>1</v>
      </c>
      <c r="AE62">
        <f>IF(AD62,SUMPRODUCT(($AD$32:$AD$67)*($AC$32:$AC$67&gt;AC62))+COUNTIFS($AD$32:AD62,TRUE,$AC$32:AC62,AC62),"")</f>
        <v>13</v>
      </c>
    </row>
    <row r="63" spans="1:31" x14ac:dyDescent="0.2">
      <c r="A63" t="str">
        <f>IF(32&gt;COUNTIF($AD$32:$AD$67,TRUE),"",INDEX($AA$32:$AA$67,MATCH(32,$AE$32:$AE$67,0)))</f>
        <v/>
      </c>
      <c r="B63" t="str">
        <f>IF(32&gt;COUNTIF($AD$32:$AD$67,TRUE),"",INDEX($AB$32:$AB$67,MATCH(32,$AE$32:$AE$67,0)))</f>
        <v/>
      </c>
      <c r="C63" t="str">
        <f>IF(32&gt;COUNTIF($AD$32:$AD$67,TRUE),"",INDEX($AC$32:$AC$67,MATCH(32,$AE$32:$AE$67,0)))</f>
        <v/>
      </c>
      <c r="AA63" t="s">
        <v>428</v>
      </c>
      <c r="AB63">
        <f>(IF(ArtifactsInput!$M$38,-1,1)*Summary!$B$3*(((1-Summary!$B$11)*IFERROR(B2573/Summary!$B$23,1)+Summary!$B$11*IFERROR(B2574/Summary!$B$24,1))-1)+ArtifactsInput!$L$38)</f>
        <v>2481513425122273</v>
      </c>
      <c r="AC63">
        <f>IF(ArtifactsInput!$M$38,Summary!$B$3/(Summary!$B$3-(IF(ArtifactsInput!$M$38,-1,1)*Summary!$B$3*(((1-Summary!$B$11)*IFERROR(B2573/Summary!$B$23,1)+Summary!$B$11*IFERROR(B2574/Summary!$B$24,1))-1)+ArtifactsInput!$L$38))*100,(Summary!$B$3+(IF(ArtifactsInput!$M$38,-1,1)*Summary!$B$3*(((1-Summary!$B$11)*IFERROR(B2573/Summary!$B$23,1)+Summary!$B$11*IFERROR(B2574/Summary!$B$24,1))-1)+ArtifactsInput!$L$38))/Summary!$B$3*100)</f>
        <v>107.50000000000001</v>
      </c>
      <c r="AD63" t="b">
        <f>ArtifactsInput!$B$38&lt;&gt;"Not Unlocked"</f>
        <v>0</v>
      </c>
      <c r="AE63" t="str">
        <f>IF(AD63,SUMPRODUCT(($AD$32:$AD$67)*($AC$32:$AC$67&gt;AC63))+COUNTIFS($AD$32:AD63,TRUE,$AC$32:AC63,AC63),"")</f>
        <v/>
      </c>
    </row>
    <row r="64" spans="1:31" x14ac:dyDescent="0.2">
      <c r="A64" t="str">
        <f>IF(33&gt;COUNTIF($AD$32:$AD$67,TRUE),"",INDEX($AA$32:$AA$67,MATCH(33,$AE$32:$AE$67,0)))</f>
        <v/>
      </c>
      <c r="B64" t="str">
        <f>IF(33&gt;COUNTIF($AD$32:$AD$67,TRUE),"",INDEX($AB$32:$AB$67,MATCH(33,$AE$32:$AE$67,0)))</f>
        <v/>
      </c>
      <c r="C64" t="str">
        <f>IF(33&gt;COUNTIF($AD$32:$AD$67,TRUE),"",INDEX($AC$32:$AC$67,MATCH(33,$AE$32:$AE$67,0)))</f>
        <v/>
      </c>
      <c r="AA64" t="s">
        <v>429</v>
      </c>
      <c r="AB64">
        <f>(IF(ArtifactsInput!$M$39,-1,1)*Summary!$B$3*(((1-Summary!$B$11)*IFERROR(B2617/Summary!$B$23,1)+Summary!$B$11*IFERROR(B2618/Summary!$B$24,1))-1)+ArtifactsInput!$L$39)</f>
        <v>2316079196780792</v>
      </c>
      <c r="AC64">
        <f>IF(ArtifactsInput!$M$39,Summary!$B$3/(Summary!$B$3-(IF(ArtifactsInput!$M$39,-1,1)*Summary!$B$3*(((1-Summary!$B$11)*IFERROR(B2617/Summary!$B$23,1)+Summary!$B$11*IFERROR(B2618/Summary!$B$24,1))-1)+ArtifactsInput!$L$39))*100,(Summary!$B$3+(IF(ArtifactsInput!$M$39,-1,1)*Summary!$B$3*(((1-Summary!$B$11)*IFERROR(B2617/Summary!$B$23,1)+Summary!$B$11*IFERROR(B2618/Summary!$B$24,1))-1)+ArtifactsInput!$L$39))/Summary!$B$3*100)</f>
        <v>107.00000000000003</v>
      </c>
      <c r="AD64" t="b">
        <f>ArtifactsInput!$B$39&lt;&gt;"Not Unlocked"</f>
        <v>0</v>
      </c>
      <c r="AE64" t="str">
        <f>IF(AD64,SUMPRODUCT(($AD$32:$AD$67)*($AC$32:$AC$67&gt;AC64))+COUNTIFS($AD$32:AD64,TRUE,$AC$32:AC64,AC64),"")</f>
        <v/>
      </c>
    </row>
    <row r="65" spans="1:31" x14ac:dyDescent="0.2">
      <c r="A65" t="str">
        <f>IF(34&gt;COUNTIF($AD$32:$AD$67,TRUE),"",INDEX($AA$32:$AA$67,MATCH(34,$AE$32:$AE$67,0)))</f>
        <v/>
      </c>
      <c r="B65" t="str">
        <f>IF(34&gt;COUNTIF($AD$32:$AD$67,TRUE),"",INDEX($AB$32:$AB$67,MATCH(34,$AE$32:$AE$67,0)))</f>
        <v/>
      </c>
      <c r="C65" t="str">
        <f>IF(34&gt;COUNTIF($AD$32:$AD$67,TRUE),"",INDEX($AC$32:$AC$67,MATCH(34,$AE$32:$AE$67,0)))</f>
        <v/>
      </c>
      <c r="AA65" t="s">
        <v>430</v>
      </c>
      <c r="AB65">
        <f>(IF(ArtifactsInput!$M$40,-1,1)*Summary!$B$3*(((1-Summary!$B$11)*IFERROR(B2661/Summary!$B$23,1)+Summary!$B$11*IFERROR(B2662/Summary!$B$24,1))-1)+ArtifactsInput!$L$40)</f>
        <v>4346838869252451</v>
      </c>
      <c r="AC65">
        <f>IF(ArtifactsInput!$M$40,Summary!$B$3/(Summary!$B$3-(IF(ArtifactsInput!$M$40,-1,1)*Summary!$B$3*(((1-Summary!$B$11)*IFERROR(B2661/Summary!$B$23,1)+Summary!$B$11*IFERROR(B2662/Summary!$B$24,1))-1)+ArtifactsInput!$L$40))*100,(Summary!$B$3+(IF(ArtifactsInput!$M$40,-1,1)*Summary!$B$3*(((1-Summary!$B$11)*IFERROR(B2661/Summary!$B$23,1)+Summary!$B$11*IFERROR(B2662/Summary!$B$24,1))-1)+ArtifactsInput!$L$40))/Summary!$B$3*100)</f>
        <v>113.13766477720631</v>
      </c>
      <c r="AD65" t="b">
        <f>ArtifactsInput!$B$40&lt;&gt;"Not Unlocked"</f>
        <v>1</v>
      </c>
      <c r="AE65">
        <f>IF(AD65,SUMPRODUCT(($AD$32:$AD$67)*($AC$32:$AC$67&gt;AC65))+COUNTIFS($AD$32:AD65,TRUE,$AC$32:AC65,AC65),"")</f>
        <v>7</v>
      </c>
    </row>
    <row r="66" spans="1:31" x14ac:dyDescent="0.2">
      <c r="A66" t="str">
        <f>IF(35&gt;COUNTIF($AD$32:$AD$67,TRUE),"",INDEX($AA$32:$AA$67,MATCH(35,$AE$32:$AE$67,0)))</f>
        <v/>
      </c>
      <c r="B66" t="str">
        <f>IF(35&gt;COUNTIF($AD$32:$AD$67,TRUE),"",INDEX($AB$32:$AB$67,MATCH(35,$AE$32:$AE$67,0)))</f>
        <v/>
      </c>
      <c r="C66" t="str">
        <f>IF(35&gt;COUNTIF($AD$32:$AD$67,TRUE),"",INDEX($AC$32:$AC$67,MATCH(35,$AE$32:$AE$67,0)))</f>
        <v/>
      </c>
      <c r="AA66" t="s">
        <v>431</v>
      </c>
      <c r="AB66">
        <f>(IF(ArtifactsInput!$M$41,-1,1)*Summary!$B$3*(((1-Summary!$B$11)*IFERROR(B2705/Summary!$B$23,1)+Summary!$B$11*IFERROR(B2706/Summary!$B$24,1))-1)+ArtifactsInput!$L$41)</f>
        <v>3144563287768132</v>
      </c>
      <c r="AC66">
        <f>IF(ArtifactsInput!$M$41,Summary!$B$3/(Summary!$B$3-(IF(ArtifactsInput!$M$41,-1,1)*Summary!$B$3*(((1-Summary!$B$11)*IFERROR(B2705/Summary!$B$23,1)+Summary!$B$11*IFERROR(B2706/Summary!$B$24,1))-1)+ArtifactsInput!$L$41))*100,(Summary!$B$3+(IF(ArtifactsInput!$M$41,-1,1)*Summary!$B$3*(((1-Summary!$B$11)*IFERROR(B2705/Summary!$B$23,1)+Summary!$B$11*IFERROR(B2706/Summary!$B$24,1))-1)+ArtifactsInput!$L$41))/Summary!$B$3*100)</f>
        <v>109.50396819114488</v>
      </c>
      <c r="AD66" t="b">
        <f>ArtifactsInput!$B$41&lt;&gt;"Not Unlocked"</f>
        <v>1</v>
      </c>
      <c r="AE66">
        <f>IF(AD66,SUMPRODUCT(($AD$32:$AD$67)*($AC$32:$AC$67&gt;AC66))+COUNTIFS($AD$32:AD66,TRUE,$AC$32:AC66,AC66),"")</f>
        <v>11</v>
      </c>
    </row>
    <row r="67" spans="1:31" x14ac:dyDescent="0.2">
      <c r="A67" t="str">
        <f>IF(36&gt;COUNTIF($AD$32:$AD$67,TRUE),"",INDEX($AA$32:$AA$67,MATCH(36,$AE$32:$AE$67,0)))</f>
        <v/>
      </c>
      <c r="B67" t="str">
        <f>IF(36&gt;COUNTIF($AD$32:$AD$67,TRUE),"",INDEX($AB$32:$AB$67,MATCH(36,$AE$32:$AE$67,0)))</f>
        <v/>
      </c>
      <c r="C67" t="str">
        <f>IF(36&gt;COUNTIF($AD$32:$AD$67,TRUE),"",INDEX($AC$32:$AC$67,MATCH(36,$AE$32:$AE$67,0)))</f>
        <v/>
      </c>
      <c r="AA67" t="s">
        <v>432</v>
      </c>
      <c r="AB67">
        <f>(IF(ArtifactsInput!$M$42,-1,1)*Summary!$B$3*(((1-Summary!$B$11)*IFERROR(B2749/Summary!$B$23,1)+Summary!$B$11*IFERROR(B2750/Summary!$B$24,1))-1)+ArtifactsInput!$L$42)</f>
        <v>6785523731806012</v>
      </c>
      <c r="AC67">
        <f>IF(ArtifactsInput!$M$42,Summary!$B$3/(Summary!$B$3-(IF(ArtifactsInput!$M$42,-1,1)*Summary!$B$3*(((1-Summary!$B$11)*IFERROR(B2749/Summary!$B$23,1)+Summary!$B$11*IFERROR(B2750/Summary!$B$24,1))-1)+ArtifactsInput!$L$42))*100,(Summary!$B$3+(IF(ArtifactsInput!$M$42,-1,1)*Summary!$B$3*(((1-Summary!$B$11)*IFERROR(B2749/Summary!$B$23,1)+Summary!$B$11*IFERROR(B2750/Summary!$B$24,1))-1)+ArtifactsInput!$L$42))/Summary!$B$3*100)</f>
        <v>125.79917370005522</v>
      </c>
      <c r="AD67" t="b">
        <f>ArtifactsInput!$B$42&lt;&gt;"Not Unlocked"</f>
        <v>1</v>
      </c>
      <c r="AE67">
        <f>IF(AD67,SUMPRODUCT(($AD$32:$AD$67)*($AC$32:$AC$67&gt;AC67))+COUNTIFS($AD$32:AD67,TRUE,$AC$32:AC67,AC67),"")</f>
        <v>1</v>
      </c>
    </row>
    <row r="70" spans="1:31" x14ac:dyDescent="0.2">
      <c r="A70" s="6" t="s">
        <v>433</v>
      </c>
    </row>
    <row r="71" spans="1:31" x14ac:dyDescent="0.2">
      <c r="A71" s="5" t="s">
        <v>136</v>
      </c>
      <c r="B71" s="5" t="s">
        <v>137</v>
      </c>
      <c r="C71" s="5" t="s">
        <v>328</v>
      </c>
      <c r="D71" s="5" t="s">
        <v>329</v>
      </c>
      <c r="E71" s="5" t="s">
        <v>330</v>
      </c>
      <c r="F71" s="5" t="s">
        <v>331</v>
      </c>
      <c r="G71" s="5" t="s">
        <v>332</v>
      </c>
      <c r="H71" s="5" t="s">
        <v>333</v>
      </c>
      <c r="I71" s="5" t="s">
        <v>334</v>
      </c>
      <c r="J71" s="5" t="s">
        <v>335</v>
      </c>
      <c r="K71" s="5" t="s">
        <v>336</v>
      </c>
      <c r="L71" s="5" t="s">
        <v>337</v>
      </c>
      <c r="M71" s="5" t="s">
        <v>338</v>
      </c>
      <c r="N71" s="5" t="s">
        <v>339</v>
      </c>
      <c r="O71" s="5" t="s">
        <v>340</v>
      </c>
      <c r="P71" s="5" t="s">
        <v>341</v>
      </c>
      <c r="R71" t="s">
        <v>434</v>
      </c>
    </row>
    <row r="72" spans="1:31" x14ac:dyDescent="0.2">
      <c r="A72" t="str">
        <f>Skills!A2</f>
        <v>BASIC_ATTACK</v>
      </c>
      <c r="B72" t="str">
        <f>Skills!B2</f>
        <v>Basic Attack</v>
      </c>
      <c r="C72" t="b">
        <f>TRUE</f>
        <v>1</v>
      </c>
      <c r="F72">
        <f>T74+Skills!O2</f>
        <v>537.6</v>
      </c>
      <c r="G72">
        <f>Calc!G2</f>
        <v>5</v>
      </c>
      <c r="H72">
        <f>Calc!H2</f>
        <v>1</v>
      </c>
      <c r="I72">
        <f>IF(Skills!X2&lt;&gt;"",1+(Skills!X2/10)*(Z73/1000)/100,1)</f>
        <v>1</v>
      </c>
      <c r="J72">
        <f>((Inputs!$B$6*(1+Inputs!$B$7/100))+((((Inputs!$B$12+1)*(1+Inputs!$B$13/100))-(Inputs!$B$12*(1+Inputs!$B$13/100)))+0.25*(Inputs!$B$14-Inputs!$B$14))*(1+Inputs!$B$7/100))*(F72/100)</f>
        <v>1941466261.1385808</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6620411299993.9912</v>
      </c>
      <c r="L72">
        <f>K72*(MIN(Inputs!$B$22+(F92-Calc!F22),(Inputs!$B$23+(IF(ArtifactsInput!$M$15,CHOOSE(ArtifactsInput!$N$15+1,25,30,35,40,45,50)/100*(Inputs!$B$11-Inputs!$B$11),0))))/100+(Inputs!$B$23+(IF(ArtifactsInput!$M$15,CHOOSE(ArtifactsInput!$N$15+1,25,30,35,40,45,50)/100*(Inputs!$B$11-Inputs!$B$11),0)))/100)/2</f>
        <v>22012867572480.023</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103878722074533.22</v>
      </c>
      <c r="N72">
        <f>L72*(1-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103878722074533.22</v>
      </c>
      <c r="O72">
        <f>(1-Summary!$B$11)*S72+Summary!$B$11*U72</f>
        <v>1.2513652742778368E+16</v>
      </c>
      <c r="P72">
        <f>IF(B111=0,0,O72/B111)</f>
        <v>0.37819938885449506</v>
      </c>
      <c r="Q72">
        <f>IFERROR(1/(IF(Inputs!$B$38="pvp",15,MAX(0.1,Skills!E2-IF(TRUE=TRUE,Inputs!$B$32,0)))*(1-IF(AND(ArtifactsInput!$M$27,Inputs!$B$4="Chapter Hunt"),CHOOSE(ArtifactsInput!$N$27+1,20,24,28,32,36,40),0)/100)),0)</f>
        <v>10</v>
      </c>
      <c r="R72">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2077666639699683.5</v>
      </c>
      <c r="T72">
        <f>MAX(0,(Inputs!$B$3-100)*3)+Inputs!$B$28+Inputs!$B$29</f>
        <v>185</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2.2949638845857052E+16</v>
      </c>
      <c r="Z72">
        <f>MAX(0,(Inputs!$B$3-100)*3)+Inputs!$B$28+Inputs!$B$29</f>
        <v>185</v>
      </c>
    </row>
    <row r="73" spans="1:31" x14ac:dyDescent="0.2">
      <c r="A73" t="str">
        <f>Skills!A3</f>
        <v>IGNITE</v>
      </c>
      <c r="B73" t="str">
        <f>Skills!B3</f>
        <v>Ignite</v>
      </c>
      <c r="C73" t="b">
        <f>TRUE</f>
        <v>1</v>
      </c>
      <c r="D73">
        <f>IF(Skills!C3=1,60+Inputs!$B$25+Inputs!$B$29,IF(Skills!C3=2,90+Inputs!$B$26+Inputs!$B$29,IF(Skills!C3=3,120+Inputs!$B$27+Inputs!$B$29,MAX(0,(Inputs!$B$3-100)*3)+Inputs!$B$28+Inputs!$B$29)))</f>
        <v>168</v>
      </c>
      <c r="E73">
        <f>INDEX(FactorTable!$B$2:$Y$301, MATCH(ROUND(MIN(300,MAX(1,D73)),0), FactorTable!$A$2:$A$301,0), Skills!M3+1)</f>
        <v>1672</v>
      </c>
      <c r="F73">
        <f>IF(Skills!N3=TRUE,(Skills!L3/10)*(E73/1000),Skills!L3/10)+Skills!O3</f>
        <v>121.736</v>
      </c>
      <c r="G73">
        <f>Calc!G3</f>
        <v>3</v>
      </c>
      <c r="H73">
        <f>Calc!H3</f>
        <v>1</v>
      </c>
      <c r="I73">
        <f>IF(Skills!X3&lt;&gt;"",1+(Skills!X3/10)*(Z73/1000)/100,1)</f>
        <v>4.8250000000000002</v>
      </c>
      <c r="J73">
        <f>((Inputs!$B$6*(1+Inputs!$B$7/100))+((((Inputs!$B$12+1)*(1+Inputs!$B$13/100))-(Inputs!$B$12*(1+Inputs!$B$13/100)))+0.25*(Inputs!$B$14-Inputs!$B$14))*(1+Inputs!$B$7/100))*(F73/100)</f>
        <v>439632322.85335988</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10658748762685.766</v>
      </c>
      <c r="L73">
        <f>K73*(MIN(Inputs!$B$22+(F92-Calc!F22),(Inputs!$B$23+(IF(ArtifactsInput!$M$15,CHOOSE(ArtifactsInput!$N$15+1,25,30,35,40,45,50)/100*(Inputs!$B$11-Inputs!$B$11),0))))/100+(Inputs!$B$23+(IF(ArtifactsInput!$M$15,CHOOSE(ArtifactsInput!$N$15+1,25,30,35,40,45,50)/100*(Inputs!$B$11-Inputs!$B$11),0)))/100)/2</f>
        <v>35440339635930.172</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167242962741954.47</v>
      </c>
      <c r="N73">
        <f>L73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167242962741954.47</v>
      </c>
      <c r="O73">
        <f>(1-Summary!$B$11)*S73+Summary!$B$11*U73</f>
        <v>2907518907268878.5</v>
      </c>
      <c r="P73">
        <f>IF(B111=0,0,O73/B111)</f>
        <v>8.7873772463965105E-2</v>
      </c>
      <c r="Q73">
        <f>IFERROR(1/(IF(Inputs!$B$38="pvp",15,MAX(0.1,Skills!E3-IF(FALSE=TRUE,Inputs!$B$32,0)))*(1-IF(AND(ArtifactsInput!$M$27,Inputs!$B$4="Chapter Hunt"),CHOOSE(ArtifactsInput!$N$27+1,20,24,28,32,36,40),0)/100)),0)</f>
        <v>1</v>
      </c>
      <c r="R73">
        <f>IF(AND(Inputs!$B$38&lt;&gt;"pvp",Inputs!$B$43&gt;0),IF(MAX(0,Inputs!$B$43-B108)&lt;=0,0,(INT(MAX(0,Inputs!$B$43-B108)/(IF(Inputs!$B$38="pvp",15,MAX(0.1,Skills!E3-IF(FALSE=TRUE,Inputs!$B$32,0)))*(1-IF(AND(ArtifactsInput!$M$27,Inputs!$B$4="Chapter Hunt"),CHOOSE(ArtifactsInput!$N$27+1,20,24,28,32,36,40),0)/100)))+1)),0)</f>
        <v>38</v>
      </c>
      <c r="S73">
        <f>IF(C73,(H73*N73*IF(AND(Inputs!$B$38&lt;&gt;"pvp",Inputs!$B$43&gt;0),((Skills!G3*((R73-1)*IF(Skills!H3&gt;0,Skills!I3/Skills!H3,1)+IF(Skills!H3&gt;0,MIN(Skills!I3,MAX(0,MAX(0,Inputs!$B$43-B108)-((R73-1)*(IF(Inputs!$B$38="pvp",15,MAX(0.1,Skills!E3-IF(FALSE=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1510956546892187.8</v>
      </c>
      <c r="T73">
        <f>INDEX(FactorTable!$B$2:$Y$301, MATCH(ROUND(MIN(300,MAX(1,T72)),0), FactorTable!$A$2:$A$301,0), 22)</f>
        <v>1740</v>
      </c>
      <c r="U73">
        <f>IF(C73,(H73*N73*IF(AND(Inputs!$B$38&lt;&gt;"pvp",Inputs!$B$43&gt;0),((Skills!G3*((R73-1)*IF(Skills!H3&gt;0,Skills!I3/Skills!H3,1)+IF(Skills!H3&gt;0,MIN(Skills!I3,MAX(0,MAX(0,Inputs!$B$43-B108)-((R73-1)*(IF(Inputs!$B$38="pvp",15,MAX(0.1,Skills!E3-IF(FALSE=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4304081267645569</v>
      </c>
      <c r="Z73">
        <f>INDEX(FactorTable!$B$2:$Y$301, MATCH(ROUND(MIN(300,MAX(1,Z72)),0), FactorTable!$A$2:$A$301,0), 24)</f>
        <v>7650</v>
      </c>
    </row>
    <row r="74" spans="1:31" x14ac:dyDescent="0.2">
      <c r="A74" t="str">
        <f>Skills!A4</f>
        <v>POISON_BREATH</v>
      </c>
      <c r="B74" t="str">
        <f>Skills!B4</f>
        <v>Poison Breath</v>
      </c>
      <c r="C74" t="b">
        <f>TRUE</f>
        <v>1</v>
      </c>
      <c r="D74">
        <f>IF(Skills!C4=1,60+Inputs!$B$25+Inputs!$B$29,IF(Skills!C4=2,90+Inputs!$B$26+Inputs!$B$29,IF(Skills!C4=3,120+Inputs!$B$27+Inputs!$B$29,MAX(0,(Inputs!$B$3-100)*3)+Inputs!$B$28+Inputs!$B$29)))</f>
        <v>168</v>
      </c>
      <c r="E74">
        <f>INDEX(FactorTable!$B$2:$Y$301, MATCH(ROUND(MIN(300,MAX(1,D74)),0), FactorTable!$A$2:$A$301,0), Skills!M4+1)</f>
        <v>1840</v>
      </c>
      <c r="F74">
        <f>IF(Skills!N4=TRUE,(Skills!L4/10)*(E74/1000),Skills!L4/10)+Skills!O4</f>
        <v>438</v>
      </c>
      <c r="G74">
        <f>Calc!G4</f>
        <v>3</v>
      </c>
      <c r="H74">
        <f>Calc!H4</f>
        <v>1</v>
      </c>
      <c r="I74">
        <f>IF(Skills!X4&lt;&gt;"",1+(Skills!X4/10)*(Z73/1000)/100,1)</f>
        <v>7.12</v>
      </c>
      <c r="J74">
        <f>((Inputs!$B$6*(1+Inputs!$B$7/100))+((((Inputs!$B$12+1)*(1+Inputs!$B$13/100))-(Inputs!$B$12*(1+Inputs!$B$13/100)))+0.25*(Inputs!$B$14-Inputs!$B$14))*(1+Inputs!$B$7/100))*(F74/100)</f>
        <v>1581774967.2222812</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56590559068211</v>
      </c>
      <c r="L74">
        <f>K74*(MIN(Inputs!$B$22+(F92-Calc!F22),(Inputs!$B$23+(IF(ArtifactsInput!$M$15,CHOOSE(ArtifactsInput!$N$15+1,25,30,35,40,45,50)/100*(Inputs!$B$11-Inputs!$B$11),0))))/100+(Inputs!$B$23+(IF(ArtifactsInput!$M$15,CHOOSE(ArtifactsInput!$N$15+1,25,30,35,40,45,50)/100*(Inputs!$B$11-Inputs!$B$11),0)))/100)/2</f>
        <v>188163608901801.59</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887944070407601.62</v>
      </c>
      <c r="N74">
        <f>L74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887944070407601.62</v>
      </c>
      <c r="O74">
        <f>(1-Summary!$B$11)*S74+Summary!$B$11*U74</f>
        <v>2120743419159755.5</v>
      </c>
      <c r="P74">
        <f>IF(B111=0,0,O74/B111)</f>
        <v>6.4095103286790744E-2</v>
      </c>
      <c r="Q74">
        <f>IFERROR(1/(IF(Inputs!$B$38="pvp",15,MAX(0.1,Skills!E4-IF(TRUE=TRUE,Inputs!$B$32,0)))*(1-IF(AND(ArtifactsInput!$M$27,Inputs!$B$4="Chapter Hunt"),CHOOSE(ArtifactsInput!$N$27+1,20,24,28,32,36,40),0)/100)),0)</f>
        <v>5.5555555555555552E-2</v>
      </c>
      <c r="R74">
        <f>IF(AND(Inputs!$B$38&lt;&gt;"pvp",Inputs!$B$43&gt;0),IF(MAX(0,Inputs!$B$43-B108)&lt;=0,0,(INT(MAX(0,Inputs!$B$43-B108)/(IF(Inputs!$B$38="pvp",15,MAX(0.1,Skills!E4-IF(TRUE=TRUE,Inputs!$B$32,0)))*(1-IF(AND(ArtifactsInput!$M$27,Inputs!$B$4="Chapter Hunt"),CHOOSE(ArtifactsInput!$N$27+1,20,24,28,32,36,40),0)/100)))+1)),0)</f>
        <v>3</v>
      </c>
      <c r="S74">
        <f>IF(C74,(H74*N74*IF(AND(Inputs!$B$38&lt;&gt;"pvp",Inputs!$B$43&gt;0),((Skills!G4*((R74-1)*IF(Skills!H4&gt;0,Skills!I4/Skills!H4,1)+IF(Skills!H4&gt;0,MIN(Skills!I4,MAX(0,MAX(0,Inputs!$B$43-B108)-((R74-1)*(IF(Inputs!$B$38="pvp",15,MAX(0.1,Skills!E4-IF(TRUE=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633326108218221.88</v>
      </c>
      <c r="T74">
        <f>290*T73/1000</f>
        <v>504.6</v>
      </c>
      <c r="U74">
        <f>IF(C74,(H74*N74*IF(AND(Inputs!$B$38&lt;&gt;"pvp",Inputs!$B$43&gt;0),((Skills!G4*((R74-1)*IF(Skills!H4&gt;0,Skills!I4/Skills!H4,1)+IF(Skills!H4&gt;0,MIN(Skills!I4,MAX(0,MAX(0,Inputs!$B$43-B108)-((R74-1)*(IF(Inputs!$B$38="pvp",15,MAX(0.1,Skills!E4-IF(TRUE=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3608160730101289</v>
      </c>
    </row>
    <row r="75" spans="1:31" x14ac:dyDescent="0.2">
      <c r="A75" t="str">
        <f>Skills!A5</f>
        <v>ELEMENTAL_DRAIN</v>
      </c>
      <c r="B75" t="str">
        <f>Skills!B5</f>
        <v>Elemental Drain</v>
      </c>
      <c r="C75" t="b">
        <f>TRUE</f>
        <v>1</v>
      </c>
      <c r="D75">
        <f>IF(Skills!C5=1,60+Inputs!$B$25+Inputs!$B$29,IF(Skills!C5=2,90+Inputs!$B$26+Inputs!$B$29,IF(Skills!C5=3,120+Inputs!$B$27+Inputs!$B$29,MAX(0,(Inputs!$B$3-100)*3)+Inputs!$B$28+Inputs!$B$29)))</f>
        <v>168</v>
      </c>
      <c r="E75">
        <f>INDEX(FactorTable!$B$2:$Y$301, MATCH(ROUND(MIN(300,MAX(1,D75)),0), FactorTable!$A$2:$A$301,0), Skills!M5+1)</f>
        <v>1672</v>
      </c>
      <c r="F75">
        <f>IF(Skills!N5=TRUE,(Skills!L5/10)*(E75/1000),Skills!L5/10)+Skills!O5</f>
        <v>20.064</v>
      </c>
      <c r="G75">
        <f>Calc!G5</f>
        <v>5</v>
      </c>
      <c r="H75">
        <f>Calc!H5</f>
        <v>1</v>
      </c>
      <c r="I75">
        <f>IF(Skills!X5&lt;&gt;"",1+(Skills!X5/10)*(Z73/1000)/100,1)</f>
        <v>12.475</v>
      </c>
      <c r="J75">
        <f>((Inputs!$B$6*(1+Inputs!$B$7/100))+((((Inputs!$B$12+1)*(1+Inputs!$B$13/100))-(Inputs!$B$12*(1+Inputs!$B$13/100)))+0.25*(Inputs!$B$14-Inputs!$B$14))*(1+Inputs!$B$7/100))*(F75/100)</f>
        <v>72458294.388922036</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4542008616117.2783</v>
      </c>
      <c r="L75">
        <f>K75*(MIN(Inputs!$B$22+(F92-Calc!F22),(Inputs!$B$23+(IF(ArtifactsInput!$M$15,CHOOSE(ArtifactsInput!$N$15+1,25,30,35,40,45,50)/100*(Inputs!$B$11-Inputs!$B$11),0))))/100+(Inputs!$B$23+(IF(ArtifactsInput!$M$15,CHOOSE(ArtifactsInput!$N$15+1,25,30,35,40,45,50)/100*(Inputs!$B$11-Inputs!$B$11),0)))/100)/2</f>
        <v>15102178648589.951</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71267181042695.969</v>
      </c>
      <c r="N75">
        <f>L75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71267181042695.969</v>
      </c>
      <c r="O75">
        <f>(1-Summary!$B$11)*S75+Summary!$B$11*U75</f>
        <v>1046024049754170.1</v>
      </c>
      <c r="P75">
        <f>IF(B111=0,0,O75/B111)</f>
        <v>3.1613923166633758E-2</v>
      </c>
      <c r="Q75">
        <f>IFERROR(1/(IF(Inputs!$B$38="pvp",15,MAX(0.1,Skills!E5-IF(FALSE=TRUE,Inputs!$B$32,0)))*(1-IF(AND(ArtifactsInput!$M$27,Inputs!$B$4="Chapter Hunt"),CHOOSE(ArtifactsInput!$N$27+1,20,24,28,32,36,40),0)/100)),0)</f>
        <v>1</v>
      </c>
      <c r="R75">
        <f>IF(AND(Inputs!$B$38&lt;&gt;"pvp",Inputs!$B$43&gt;0),IF(MAX(0,Inputs!$B$43-B108)&lt;=0,0,(INT(MAX(0,Inputs!$B$43-B108)/(IF(Inputs!$B$38="pvp",15,MAX(0.1,Skills!E5-IF(FALSE=TRUE,Inputs!$B$32,0)))*(1-IF(AND(ArtifactsInput!$M$27,Inputs!$B$4="Chapter Hunt"),CHOOSE(ArtifactsInput!$N$27+1,20,24,28,32,36,40),0)/100)))+1)),0)</f>
        <v>38</v>
      </c>
      <c r="S75">
        <f>IF(C75,(H75*N75*IF(AND(Inputs!$B$38&lt;&gt;"pvp",Inputs!$B$43&gt;0),((Skills!G5*((R75-1)*IF(Skills!H5&gt;0,Skills!I5/Skills!H5,1)+IF(Skills!H5&gt;0,MIN(Skills!I5,MAX(0,MAX(0,Inputs!$B$43-B108)-((R75-1)*(IF(Inputs!$B$38="pvp",15,MAX(0.1,Skills!E5-IF(FALSE=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1073105578550394.6</v>
      </c>
      <c r="U75">
        <f>IF(C75,(H75*N75*IF(AND(Inputs!$B$38&lt;&gt;"pvp",Inputs!$B$43&gt;0),((Skills!G5*((R75-1)*IF(Skills!H5&gt;0,Skills!I5/Skills!H5,1)+IF(Skills!H5&gt;0,MIN(Skills!I5,MAX(0,MAX(0,Inputs!$B$43-B108)-((R75-1)*(IF(Inputs!$B$38="pvp",15,MAX(0.1,Skills!E5-IF(FALSE=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1018942520957945.6</v>
      </c>
    </row>
    <row r="76" spans="1:31" x14ac:dyDescent="0.2">
      <c r="A76" t="str">
        <f>Skills!A6</f>
        <v>MEDITATION</v>
      </c>
      <c r="B76" t="str">
        <f>Skills!B6</f>
        <v>Meditation</v>
      </c>
      <c r="C76" t="b">
        <f>TRUE</f>
        <v>1</v>
      </c>
      <c r="D76">
        <f>IF(Skills!C6=1,60+Inputs!$B$25+Inputs!$B$29,IF(Skills!C6=2,90+Inputs!$B$26+Inputs!$B$29,IF(Skills!C6=3,120+Inputs!$B$27+Inputs!$B$29,MAX(0,(Inputs!$B$3-100)*3)+Inputs!$B$28+Inputs!$B$29)))</f>
        <v>168</v>
      </c>
      <c r="E76">
        <f>INDEX(FactorTable!$B$2:$Y$301, MATCH(ROUND(MIN(300,MAX(1,D76)),0), FactorTable!$A$2:$A$301,0), Skills!M6+1)</f>
        <v>1672</v>
      </c>
      <c r="F76">
        <f>IF(Skills!N6=TRUE,(Skills!L6/10)*(E76/1000),Skills!L6/10)+Skills!O6</f>
        <v>33.44</v>
      </c>
      <c r="G76">
        <f>Calc!G6</f>
        <v>1</v>
      </c>
      <c r="H76">
        <f>Calc!H6</f>
        <v>1</v>
      </c>
      <c r="I76">
        <f>IF(Skills!X6&lt;&gt;"",1+(Skills!X6/10)*(Z73/1000)/100,1)</f>
        <v>1</v>
      </c>
      <c r="O76">
        <f>(1-Summary!$B$11)*S76+Summary!$B$11*U76</f>
        <v>0</v>
      </c>
      <c r="P76">
        <f>IF(B111=0,0,O76/B111)</f>
        <v>0</v>
      </c>
      <c r="Q76">
        <f>IFERROR(1/(IF(Inputs!$B$38="pvp",15,MAX(0.1,Skills!E6-IF(TRUE=TRUE,Inputs!$B$32,0)))*(1-IF(AND(ArtifactsInput!$M$27,Inputs!$B$4="Chapter Hunt"),CHOOSE(ArtifactsInput!$N$27+1,20,24,28,32,36,40),0)/100)),0)</f>
        <v>3.3333333333333333E-2</v>
      </c>
      <c r="R76">
        <f>IF(AND(Inputs!$B$38&lt;&gt;"pvp",Inputs!$B$43&gt;0),IF(Inputs!$B$43&lt;=0,0,(INT(Inputs!$B$43/(IF(Inputs!$B$38="pvp",15,MAX(0.1,Skills!E6-IF(TRUE=TRUE,Inputs!$B$32,0)))*(1-IF(AND(ArtifactsInput!$M$27,Inputs!$B$4="Chapter Hunt"),CHOOSE(ArtifactsInput!$N$27+1,20,24,28,32,36,40),0)/100)))+1)),0)</f>
        <v>2</v>
      </c>
      <c r="S76">
        <v>0</v>
      </c>
      <c r="U76">
        <v>0</v>
      </c>
    </row>
    <row r="77" spans="1:31" x14ac:dyDescent="0.2">
      <c r="A77" t="str">
        <f>Skills!A7</f>
        <v>POISON_MIST_BURST</v>
      </c>
      <c r="B77" t="str">
        <f>Skills!B7</f>
        <v>Poison Mist (burst)</v>
      </c>
      <c r="C77" t="b">
        <f>TRUE</f>
        <v>1</v>
      </c>
      <c r="D77">
        <f>IF(Skills!C7=1,60+Inputs!$B$25+Inputs!$B$29,IF(Skills!C7=2,90+Inputs!$B$26+Inputs!$B$29,IF(Skills!C7=3,120+Inputs!$B$27+Inputs!$B$29,MAX(0,(Inputs!$B$3-100)*3)+Inputs!$B$28+Inputs!$B$29)))</f>
        <v>184</v>
      </c>
      <c r="E77">
        <f>INDEX(FactorTable!$B$2:$Y$301, MATCH(ROUND(MIN(300,MAX(1,D77)),0), FactorTable!$A$2:$A$301,0), Skills!M7+1)</f>
        <v>1920</v>
      </c>
      <c r="F77">
        <f>IF(Skills!N7=TRUE,(Skills!L7/10)*(E77/1000),Skills!L7/10)+Skills!O7</f>
        <v>357.2</v>
      </c>
      <c r="G77">
        <f>Calc!G7</f>
        <v>3</v>
      </c>
      <c r="H77">
        <f>Calc!H7</f>
        <v>1</v>
      </c>
      <c r="I77">
        <f>IF(Skills!X7&lt;&gt;"",1+(Skills!X7/10)*(Z73/1000)/100,1)</f>
        <v>1.7650000000000001</v>
      </c>
      <c r="J77">
        <f>((Inputs!$B$6*(1+Inputs!$B$7/100))+((((Inputs!$B$12+1)*(1+Inputs!$B$13/100))-(Inputs!$B$12*(1+Inputs!$B$13/100)))+0.25*(Inputs!$B$14-Inputs!$B$14))*(1+Inputs!$B$7/100))*(F77/100)</f>
        <v>1289977210.7118695</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11440527259063.854</v>
      </c>
      <c r="L77">
        <f>K77*(MIN(Inputs!$B$22+(F92-Calc!F22),(Inputs!$B$23+(IF(ArtifactsInput!$M$15,CHOOSE(ArtifactsInput!$N$15+1,25,30,35,40,45,50)/100*(Inputs!$B$11-Inputs!$B$11),0))))/100+(Inputs!$B$23+(IF(ArtifactsInput!$M$15,CHOOSE(ArtifactsInput!$N$15+1,25,30,35,40,45,50)/100*(Inputs!$B$11-Inputs!$B$11),0)))/100)/2</f>
        <v>38039753136387.312</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179509595050611.72</v>
      </c>
      <c r="N77">
        <f>L77*(1-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179509595050611.72</v>
      </c>
      <c r="O77">
        <f>(1-Summary!$B$11)*S77+Summary!$B$11*U77</f>
        <v>447921317050038.88</v>
      </c>
      <c r="P77">
        <f>IF(B111=0,0,O77/B111)</f>
        <v>1.3537499549121503E-2</v>
      </c>
      <c r="Q77">
        <f>IFERROR(1/(IF(Inputs!$B$38="pvp",15,MAX(0.1,Skills!E7-IF(TRUE=TRUE,Inputs!$B$32,0)))*(1-IF(AND(ArtifactsInput!$M$27,Inputs!$B$4="Chapter Hunt"),CHOOSE(ArtifactsInput!$N$27+1,20,24,28,32,36,40),0)/100)),0)</f>
        <v>4.0816326530612242E-2</v>
      </c>
      <c r="R77">
        <f>IF(AND(Inputs!$B$38&lt;&gt;"pvp",Inputs!$B$43&gt;0),IF(MAX(0,Inputs!$B$43-B108)&lt;=0,0,(INT(MAX(0,Inputs!$B$43-B108)/(IF(Inputs!$B$38="pvp",15,MAX(0.1,Skills!E7-IF(TRUE=TRUE,Inputs!$B$32,0)))*(1-IF(AND(ArtifactsInput!$M$27,Inputs!$B$4="Chapter Hunt"),CHOOSE(ArtifactsInput!$N$27+1,20,24,28,32,36,40),0)/100)))+1)),0)</f>
        <v>2</v>
      </c>
      <c r="S77">
        <f>IF(C77,(H77*N77*IF(AND(Inputs!$B$38&lt;&gt;"pvp",Inputs!$B$43&gt;0),((Skills!G7*((R77-1)*IF(Skills!H7&gt;0,Skills!I7/Skills!H7,1)+IF(Skills!H7&gt;0,MIN(Skills!I7,MAX(0,MAX(0,Inputs!$B$43-B108)-((R77-1)*(IF(Inputs!$B$38="pvp",15,MAX(0.1,Skills!E7-IF(TRUE=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85356812446565.875</v>
      </c>
      <c r="U77">
        <f>IF(C77,(H77*N77*IF(AND(Inputs!$B$38&lt;&gt;"pvp",Inputs!$B$43&gt;0),((Skills!G7*((R77-1)*IF(Skills!H7&gt;0,Skills!I7/Skills!H7,1)+IF(Skills!H7&gt;0,MIN(Skills!I7,MAX(0,MAX(0,Inputs!$B$43-B108)-((R77-1)*(IF(Inputs!$B$38="pvp",15,MAX(0.1,Skills!E7-IF(TRUE=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810485821653511.88</v>
      </c>
    </row>
    <row r="78" spans="1:31" x14ac:dyDescent="0.2">
      <c r="A78" t="str">
        <f>Skills!A8</f>
        <v>POISON_MIST_DOT</v>
      </c>
      <c r="B78" t="str">
        <f>Skills!B8</f>
        <v>Poison Mist (fog DoT)</v>
      </c>
      <c r="C78" t="b">
        <f>TRUE</f>
        <v>1</v>
      </c>
      <c r="D78">
        <f>IF(Skills!C8=1,60+Inputs!$B$25+Inputs!$B$29,IF(Skills!C8=2,90+Inputs!$B$26+Inputs!$B$29,IF(Skills!C8=3,120+Inputs!$B$27+Inputs!$B$29,MAX(0,(Inputs!$B$3-100)*3)+Inputs!$B$28+Inputs!$B$29)))</f>
        <v>184</v>
      </c>
      <c r="E78">
        <f>INDEX(FactorTable!$B$2:$Y$301, MATCH(ROUND(MIN(300,MAX(1,D78)),0), FactorTable!$A$2:$A$301,0), Skills!M8+1)</f>
        <v>1920</v>
      </c>
      <c r="F78">
        <f>IF(Skills!N8=TRUE,(Skills!L8/10)*(E78/1000),Skills!L8/10)+Skills!O8</f>
        <v>134.4</v>
      </c>
      <c r="G78">
        <f>Calc!G8</f>
        <v>50</v>
      </c>
      <c r="H78">
        <f>Calc!H8</f>
        <v>1</v>
      </c>
      <c r="I78">
        <f>IF(Skills!X8&lt;&gt;"",1+(Skills!X8/10)*(Z73/1000)/100,1)</f>
        <v>1.7650000000000001</v>
      </c>
      <c r="J78">
        <f>((Inputs!$B$6*(1+Inputs!$B$7/100))+((((Inputs!$B$12+1)*(1+Inputs!$B$13/100))-(Inputs!$B$12*(1+Inputs!$B$13/100)))+0.25*(Inputs!$B$14-Inputs!$B$14))*(1+Inputs!$B$7/100))*(F78/100)</f>
        <v>485366565.2846452</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4304610480454.0366</v>
      </c>
      <c r="L78">
        <f>K78*(MIN(Inputs!$B$22+(F92-Calc!F22),(Inputs!$B$23+(IF(ArtifactsInput!$M$15,CHOOSE(ArtifactsInput!$N$15+1,25,30,35,40,45,50)/100*(Inputs!$B$11-Inputs!$B$11),0))))/100+(Inputs!$B$23+(IF(ArtifactsInput!$M$15,CHOOSE(ArtifactsInput!$N$15+1,25,30,35,40,45,50)/100*(Inputs!$B$11-Inputs!$B$11),0)))/100)/2</f>
        <v>14312829847509.672</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67542244050398.133</v>
      </c>
      <c r="N78">
        <f>L78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67542244050398.133</v>
      </c>
      <c r="O78">
        <f>(1-Summary!$B$11)*S78+Summary!$B$11*U78</f>
        <v>2327514375414371</v>
      </c>
      <c r="P78">
        <f>IF(B111=0,0,O78/B111)</f>
        <v>7.0344329703392786E-2</v>
      </c>
      <c r="Q78">
        <f>IFERROR(1/(IF(Inputs!$B$38="pvp",15,MAX(0.1,Skills!E8-IF(TRUE=TRUE,Inputs!$B$32,0)))*(1-IF(AND(ArtifactsInput!$M$27,Inputs!$B$4="Chapter Hunt"),CHOOSE(ArtifactsInput!$N$27+1,20,24,28,32,36,40),0)/100)),0)</f>
        <v>4.0816326530612242E-2</v>
      </c>
      <c r="R78">
        <f>IF(AND(Inputs!$B$38&lt;&gt;"pvp",Inputs!$B$43&gt;0),IF(MAX(0,Inputs!$B$43-B108)&lt;=0,0,(INT(MAX(0,Inputs!$B$43-B108)/(IF(Inputs!$B$38="pvp",15,MAX(0.1,Skills!E8-IF(TRUE=TRUE,Inputs!$B$32,0)))*(1-IF(AND(ArtifactsInput!$M$27,Inputs!$B$4="Chapter Hunt"),CHOOSE(ArtifactsInput!$N$27+1,20,24,28,32,36,40),0)/100)))+1)),0)</f>
        <v>2</v>
      </c>
      <c r="S78">
        <f>IF(C78,(H78*N78*IF(AND(Inputs!$B$38&lt;&gt;"pvp",Inputs!$B$43&gt;0),((Skills!G8*((R78-1)*IF(Skills!H8&gt;0,Skills!I8/Skills!H8,1)+IF(Skills!H8&gt;0,MIN(Skills!I8,MAX(0,MAX(0,Inputs!$B$43-B108)-((R78-1)*(IF(Inputs!$B$38="pvp",15,MAX(0.1,Skills!E8-IF(TRUE=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443535952513589.25</v>
      </c>
      <c r="U78">
        <f>IF(C78,(H78*N78*IF(AND(Inputs!$B$38&lt;&gt;"pvp",Inputs!$B$43&gt;0),((Skills!G8*((R78-1)*IF(Skills!H8&gt;0,Skills!I8/Skills!H8,1)+IF(Skills!H8&gt;0,MIN(Skills!I8,MAX(0,MAX(0,Inputs!$B$43-B108)-((R78-1)*(IF(Inputs!$B$38="pvp",15,MAX(0.1,Skills!E8-IF(TRUE=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4211492798315153</v>
      </c>
    </row>
    <row r="79" spans="1:31" x14ac:dyDescent="0.2">
      <c r="A79" t="str">
        <f>Skills!A9</f>
        <v>MIST_ERUPTION</v>
      </c>
      <c r="B79" t="str">
        <f>Skills!B9</f>
        <v>Mist Eruption</v>
      </c>
      <c r="C79" t="b">
        <f>Inputs!$B$3&gt;=103</f>
        <v>1</v>
      </c>
      <c r="D79">
        <f>IF(Skills!C9=1,60+Inputs!$B$25+Inputs!$B$29,IF(Skills!C9=2,90+Inputs!$B$26+Inputs!$B$29,IF(Skills!C9=3,120+Inputs!$B$27+Inputs!$B$29,MAX(0,(Inputs!$B$3-100)*3)+Inputs!$B$28+Inputs!$B$29)))</f>
        <v>185</v>
      </c>
      <c r="E79">
        <f>INDEX(FactorTable!$B$2:$Y$301, MATCH(ROUND(MIN(300,MAX(1,D79)),0), FactorTable!$A$2:$A$301,0), Skills!M9+1)</f>
        <v>1925</v>
      </c>
      <c r="F79">
        <f>IF(Skills!N9=TRUE,(Skills!L9/10)*(E79/1000),Skills!L9/10)+Skills!O9</f>
        <v>5775</v>
      </c>
      <c r="G79">
        <f>Calc!G9</f>
        <v>2.5</v>
      </c>
      <c r="H79">
        <f>Calc!H9</f>
        <v>1</v>
      </c>
      <c r="I79">
        <f>IF(Skills!X9&lt;&gt;"",1+(Skills!X9/10)*(Z73/1000)/100,1)</f>
        <v>1</v>
      </c>
      <c r="J79">
        <f>((Inputs!$B$6*(1+Inputs!$B$7/100))+((((Inputs!$B$12+1)*(1+Inputs!$B$13/100))-(Inputs!$B$12*(1+Inputs!$B$13/100)))+0.25*(Inputs!$B$14-Inputs!$B$14))*(1+Inputs!$B$7/100))*(F79/100)</f>
        <v>20855594602.0746</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104795315343914.66</v>
      </c>
      <c r="L79">
        <f>K79*(MIN(Inputs!$B$22+(F92-Calc!F22),(Inputs!$B$23+(IF(ArtifactsInput!$M$15,CHOOSE(ArtifactsInput!$N$15+1,25,30,35,40,45,50)/100*(Inputs!$B$11-Inputs!$B$11),0))))/100+(Inputs!$B$23+(IF(ArtifactsInput!$M$15,CHOOSE(ArtifactsInput!$N$15+1,25,30,35,40,45,50)/100*(Inputs!$B$11-Inputs!$B$11),0)))/100)/2</f>
        <v>348444423518516.25</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1644309234583878</v>
      </c>
      <c r="N79">
        <f>L79*(1-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1644309234583878</v>
      </c>
      <c r="O79">
        <f>(1-Summary!$B$11)*S79+Summary!$B$11*U79</f>
        <v>3419135514662851.5</v>
      </c>
      <c r="P79">
        <f>IF(B111=0,0,O79/B111)</f>
        <v>0.10333633101673265</v>
      </c>
      <c r="Q79">
        <f>IFERROR(1/(IF(Inputs!$B$38="pvp",15,MAX(0.1,Skills!E9-IF(TRUE=TRUE,Inputs!$B$32,0)))*(1-IF(AND(ArtifactsInput!$M$27,Inputs!$B$4="Chapter Hunt"),CHOOSE(ArtifactsInput!$N$27+1,20,24,28,32,36,40),0)/100)),0)</f>
        <v>4.0816326530612242E-2</v>
      </c>
      <c r="R79">
        <f>IF(AND(Inputs!$B$38&lt;&gt;"pvp",Inputs!$B$43&gt;0),IF(MAX(0,Inputs!$B$43-B108)&lt;=0,0,(INT(MAX(0,Inputs!$B$43-B108)/(IF(Inputs!$B$38="pvp",15,MAX(0.1,Skills!E9-IF(TRUE=TRUE,Inputs!$B$32,0)))*(1-IF(AND(ArtifactsInput!$M$27,Inputs!$B$4="Chapter Hunt"),CHOOSE(ArtifactsInput!$N$27+1,20,24,28,32,36,40),0)/100)))+1)),0)</f>
        <v>2</v>
      </c>
      <c r="S79">
        <f>IF(C79,(H79*N79*IF(AND(Inputs!$B$38&lt;&gt;"pvp",Inputs!$B$43&gt;0),((Skills!G9*((R79-1)*IF(Skills!H9&gt;0,Skills!I9/Skills!H9,1)+IF(Skills!H9&gt;0,MIN(Skills!I9,MAX(0,MAX(0,Inputs!$B$43-B108)-((R79-1)*(IF(Inputs!$B$38="pvp",15,MAX(0.1,Skills!E9-IF(TRUE=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651557534203861.62</v>
      </c>
      <c r="U79">
        <f>IF(C79,(H79*N79*IF(AND(Inputs!$B$38&lt;&gt;"pvp",Inputs!$B$43&gt;0),((Skills!G9*((R79-1)*IF(Skills!H9&gt;0,Skills!I9/Skills!H9,1)+IF(Skills!H9&gt;0,MIN(Skills!I9,MAX(0,MAX(0,Inputs!$B$43-B108)-((R79-1)*(IF(Inputs!$B$38="pvp",15,MAX(0.1,Skills!E9-IF(TRUE=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6186713495121841</v>
      </c>
    </row>
    <row r="80" spans="1:31" x14ac:dyDescent="0.2">
      <c r="A80" t="str">
        <f>Skills!A10</f>
        <v>CREEPING_TOXIN</v>
      </c>
      <c r="B80" t="str">
        <f>Skills!B10</f>
        <v>Creeping Toxin</v>
      </c>
      <c r="C80" t="b">
        <f>TRUE</f>
        <v>1</v>
      </c>
      <c r="D80">
        <f>IF(Skills!C10=1,60+Inputs!$B$25+Inputs!$B$29,IF(Skills!C10=2,90+Inputs!$B$26+Inputs!$B$29,IF(Skills!C10=3,120+Inputs!$B$27+Inputs!$B$29,MAX(0,(Inputs!$B$3-100)*3)+Inputs!$B$28+Inputs!$B$29)))</f>
        <v>184</v>
      </c>
      <c r="E80">
        <f>INDEX(FactorTable!$B$2:$Y$301, MATCH(ROUND(MIN(300,MAX(1,D80)),0), FactorTable!$A$2:$A$301,0), Skills!M10+1)</f>
        <v>1920</v>
      </c>
      <c r="F80">
        <f>IF(Skills!N10=TRUE,(Skills!L10/10)*(E80/1000),Skills!L10/10)+Skills!O10</f>
        <v>280.39999999999998</v>
      </c>
      <c r="G80">
        <f>Calc!G10</f>
        <v>15</v>
      </c>
      <c r="H80">
        <f>Calc!H10</f>
        <v>1</v>
      </c>
      <c r="I80">
        <f>IF(Skills!X10&lt;&gt;"",1+(Skills!X10/10)*(Z73/1000)/100,1)</f>
        <v>1.7650000000000001</v>
      </c>
      <c r="J80">
        <f>((Inputs!$B$6*(1+Inputs!$B$7/100))+((((Inputs!$B$12+1)*(1+Inputs!$B$13/100))-(Inputs!$B$12*(1+Inputs!$B$13/100)))+0.25*(Inputs!$B$14-Inputs!$B$14))*(1+Inputs!$B$7/100))*(F80/100)</f>
        <v>1012624887.6920722</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8980749841661.5469</v>
      </c>
      <c r="L80">
        <f>K80*(MIN(Inputs!$B$22+(F92-Calc!F22),(Inputs!$B$23+(IF(ArtifactsInput!$M$15,CHOOSE(ArtifactsInput!$N$15+1,25,30,35,40,45,50)/100*(Inputs!$B$11-Inputs!$B$11),0))))/100+(Inputs!$B$23+(IF(ArtifactsInput!$M$15,CHOOSE(ArtifactsInput!$N$15+1,25,30,35,40,45,50)/100*(Inputs!$B$11-Inputs!$B$11),0)))/100)/2</f>
        <v>29860993223524.645</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140914027021812.78</v>
      </c>
      <c r="N80">
        <f>L80*(1-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140914027021812.78</v>
      </c>
      <c r="O80">
        <f>(1-Summary!$B$11)*S80+Summary!$B$11*U80</f>
        <v>324329363157522.44</v>
      </c>
      <c r="P80">
        <f>IF(B111=0,0,O80/B111)</f>
        <v>9.8021872154419789E-3</v>
      </c>
      <c r="Q80">
        <f>IFERROR(1/(IF(Inputs!$B$38="pvp",15,MAX(0.1,Skills!E10-IF(TRUE=TRUE,Inputs!$B$32,0)))*(1-IF(AND(ArtifactsInput!$M$27,Inputs!$B$4="Chapter Hunt"),CHOOSE(ArtifactsInput!$N$27+1,20,24,28,32,36,40),0)/100)),0)</f>
        <v>3.7037037037037035E-2</v>
      </c>
      <c r="R80">
        <f>IF(AND(Inputs!$B$38&lt;&gt;"pvp",Inputs!$B$43&gt;0),IF(MAX(0,Inputs!$B$43-B108)&lt;=0,0,(INT(MAX(0,Inputs!$B$43-B108)/(IF(Inputs!$B$38="pvp",15,MAX(0.1,Skills!E10-IF(TRUE=TRUE,Inputs!$B$32,0)))*(1-IF(AND(ArtifactsInput!$M$27,Inputs!$B$4="Chapter Hunt"),CHOOSE(ArtifactsInput!$N$27+1,20,24,28,32,36,40),0)/100)))+1)),0)</f>
        <v>2</v>
      </c>
      <c r="S80">
        <f>IF(C80,(H80*N80*IF(AND(Inputs!$B$38&lt;&gt;"pvp",Inputs!$B$43&gt;0),((Skills!G10*((R80-1)*IF(Skills!H10&gt;0,Skills!I10/Skills!H10,1)+IF(Skills!H10&gt;0,MIN(Skills!I10,MAX(0,MAX(0,Inputs!$B$43-B108)-((R80-1)*(IF(Inputs!$B$38="pvp",15,MAX(0.1,Skills!E10-IF(TRUE=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286385537941322.06</v>
      </c>
      <c r="U80">
        <f>IF(C80,(H80*N80*IF(AND(Inputs!$B$38&lt;&gt;"pvp",Inputs!$B$43&gt;0),((Skills!G10*((R80-1)*IF(Skills!H10&gt;0,Skills!I10/Skills!H10,1)+IF(Skills!H10&gt;0,MIN(Skills!I10,MAX(0,MAX(0,Inputs!$B$43-B108)-((R80-1)*(IF(Inputs!$B$38="pvp",15,MAX(0.1,Skills!E10-IF(TRUE=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362273188373722.81</v>
      </c>
    </row>
    <row r="81" spans="1:21" x14ac:dyDescent="0.2">
      <c r="A81" t="str">
        <f>Skills!A11</f>
        <v>BURNING_MAGIC</v>
      </c>
      <c r="B81" t="str">
        <f>Skills!B11</f>
        <v>Burning Magic</v>
      </c>
      <c r="C81" t="b">
        <f>TRUE</f>
        <v>1</v>
      </c>
      <c r="D81">
        <f>IF(Skills!C11=1,60+Inputs!$B$25+Inputs!$B$29,IF(Skills!C11=2,90+Inputs!$B$26+Inputs!$B$29,IF(Skills!C11=3,120+Inputs!$B$27+Inputs!$B$29,MAX(0,(Inputs!$B$3-100)*3)+Inputs!$B$28+Inputs!$B$29)))</f>
        <v>184</v>
      </c>
      <c r="E81">
        <f>INDEX(FactorTable!$B$2:$Y$301, MATCH(ROUND(MIN(300,MAX(1,D81)),0), FactorTable!$A$2:$A$301,0), Skills!M11+1)</f>
        <v>0</v>
      </c>
      <c r="F81">
        <f>IF(Skills!N11=TRUE,(Skills!L11/10)*(E81/1000),Skills!L11/10)+Skills!O11</f>
        <v>5</v>
      </c>
      <c r="G81">
        <f>Calc!G11</f>
        <v>1</v>
      </c>
      <c r="H81">
        <f>Calc!H11</f>
        <v>1</v>
      </c>
      <c r="I81">
        <f>IF(Skills!X11&lt;&gt;"",1+(Skills!X11/10)*(Z73/1000)/100,1)</f>
        <v>1</v>
      </c>
      <c r="O81">
        <f>(1-Summary!$B$11)*S81+Summary!$B$11*U81</f>
        <v>0</v>
      </c>
      <c r="P81">
        <f>IF(B111=0,0,O81/B111)</f>
        <v>0</v>
      </c>
      <c r="Q81">
        <f>IFERROR(1/(IF(Inputs!$B$38="pvp",15,MAX(0.1,Skills!E11-IF(TRUE=TRUE,Inputs!$B$32,0)))*(1-IF(AND(ArtifactsInput!$M$27,Inputs!$B$4="Chapter Hunt"),CHOOSE(ArtifactsInput!$N$27+1,20,24,28,32,36,40),0)/100)),0)</f>
        <v>10</v>
      </c>
      <c r="R81">
        <v>0</v>
      </c>
      <c r="S81">
        <v>0</v>
      </c>
      <c r="U81">
        <v>0</v>
      </c>
    </row>
    <row r="82" spans="1:21" x14ac:dyDescent="0.2">
      <c r="A82" t="str">
        <f>Skills!A12</f>
        <v>ELEMENTAL_DECREASE</v>
      </c>
      <c r="B82" t="str">
        <f>Skills!B12</f>
        <v>Elemental Decrease</v>
      </c>
      <c r="C82" t="b">
        <f>TRUE</f>
        <v>1</v>
      </c>
      <c r="D82">
        <f>IF(Skills!C12=1,60+Inputs!$B$25+Inputs!$B$29,IF(Skills!C12=2,90+Inputs!$B$26+Inputs!$B$29,IF(Skills!C12=3,120+Inputs!$B$27+Inputs!$B$29,MAX(0,(Inputs!$B$3-100)*3)+Inputs!$B$28+Inputs!$B$29)))</f>
        <v>184</v>
      </c>
      <c r="E82">
        <f>INDEX(FactorTable!$B$2:$Y$301, MATCH(ROUND(MIN(300,MAX(1,D82)),0), FactorTable!$A$2:$A$301,0), Skills!M12+1)</f>
        <v>1552</v>
      </c>
      <c r="F82">
        <f>IF(Skills!N12=TRUE,(Skills!L12/10)*(E82/1000),Skills!L12/10)+Skills!O12</f>
        <v>18.624000000000002</v>
      </c>
      <c r="G82">
        <f>Calc!G12</f>
        <v>1</v>
      </c>
      <c r="H82">
        <f>Calc!H12</f>
        <v>0.5</v>
      </c>
      <c r="I82">
        <f>IF(Skills!X12&lt;&gt;"",1+(Skills!X12/10)*(Z73/1000)/100,1)</f>
        <v>1</v>
      </c>
      <c r="O82">
        <f>(1-Summary!$B$11)*S82+Summary!$B$11*U82</f>
        <v>0</v>
      </c>
      <c r="P82">
        <f>IF(B111=0,0,O82/B111)</f>
        <v>0</v>
      </c>
      <c r="Q82">
        <f>IFERROR(1/(IF(Inputs!$B$38="pvp",15,MAX(0.1,Skills!E12-IF(TRUE=TRUE,Inputs!$B$32,0)))*(1-IF(AND(ArtifactsInput!$M$27,Inputs!$B$4="Chapter Hunt"),CHOOSE(ArtifactsInput!$N$27+1,20,24,28,32,36,40),0)/100)),0)</f>
        <v>10</v>
      </c>
      <c r="R82">
        <v>0</v>
      </c>
      <c r="S82">
        <v>0</v>
      </c>
      <c r="U82">
        <v>0</v>
      </c>
    </row>
    <row r="83" spans="1:21" x14ac:dyDescent="0.2">
      <c r="A83" t="str">
        <f>Skills!A13</f>
        <v>METEOR_SHOWER_BURST</v>
      </c>
      <c r="B83" t="str">
        <f>Skills!B13</f>
        <v>Meteor Shower (burst)</v>
      </c>
      <c r="C83" t="b">
        <f>Inputs!$B$3&gt;=105</f>
        <v>1</v>
      </c>
      <c r="D83">
        <f>IF(Skills!C13=1,60+Inputs!$B$25+Inputs!$B$29,IF(Skills!C13=2,90+Inputs!$B$26+Inputs!$B$29,IF(Skills!C13=3,120+Inputs!$B$27+Inputs!$B$29,MAX(0,(Inputs!$B$3-100)*3)+Inputs!$B$28+Inputs!$B$29)))</f>
        <v>185</v>
      </c>
      <c r="E83">
        <f>INDEX(FactorTable!$B$2:$Y$301, MATCH(ROUND(MIN(300,MAX(1,D83)),0), FactorTable!$A$2:$A$301,0), Skills!M13+1)</f>
        <v>1925</v>
      </c>
      <c r="F83">
        <f>IF(Skills!N13=TRUE,(Skills!L13/10)*(E83/1000),Skills!L13/10)+Skills!O13</f>
        <v>1155</v>
      </c>
      <c r="G83">
        <f>Calc!G13</f>
        <v>9</v>
      </c>
      <c r="H83">
        <f>Calc!H13</f>
        <v>1</v>
      </c>
      <c r="I83">
        <f>IF(Skills!X13&lt;&gt;"",1+(Skills!X13/10)*(Z73/1000)/100,1)</f>
        <v>1</v>
      </c>
      <c r="J83">
        <f>((Inputs!$B$6*(1+Inputs!$B$7/100))+((((Inputs!$B$12+1)*(1+Inputs!$B$13/100))-(Inputs!$B$12*(1+Inputs!$B$13/100)))+0.25*(Inputs!$B$14-Inputs!$B$14))*(1+Inputs!$B$7/100))*(F83/100)</f>
        <v>4171118920.4149199</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20959063068782.934</v>
      </c>
      <c r="L83">
        <f>K83*(MIN(Inputs!$B$22+(F92-Calc!F22),(Inputs!$B$23+(IF(ArtifactsInput!$M$15,CHOOSE(ArtifactsInput!$N$15+1,25,30,35,40,45,50)/100*(Inputs!$B$11-Inputs!$B$11),0))))/100+(Inputs!$B$23+(IF(ArtifactsInput!$M$15,CHOOSE(ArtifactsInput!$N$15+1,25,30,35,40,45,50)/100*(Inputs!$B$11-Inputs!$B$11),0)))/100)/2</f>
        <v>69688884703703.258</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328861846916775.62</v>
      </c>
      <c r="N83">
        <f>L83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328861846916775.62</v>
      </c>
      <c r="O83">
        <f>(1-Summary!$B$11)*S83+Summary!$B$11*U83</f>
        <v>1793612513084094.2</v>
      </c>
      <c r="P83">
        <f>IF(B111=0,0,O83/B111)</f>
        <v>5.4208245204954361E-2</v>
      </c>
      <c r="Q83">
        <f>IFERROR(1/(IF(Inputs!$B$38="pvp",15,MAX(0.1,Skills!E13-IF(TRUE=TRUE,Inputs!$B$32,0)))*(1-IF(AND(ArtifactsInput!$M$27,Inputs!$B$4="Chapter Hunt"),CHOOSE(ArtifactsInput!$N$27+1,20,24,28,32,36,40),0)/100)),0)</f>
        <v>3.0303030303030304E-2</v>
      </c>
      <c r="R83">
        <f>IF(AND(Inputs!$B$38&lt;&gt;"pvp",Inputs!$B$43&gt;0),IF(MAX(0,Inputs!$B$43-B108)&lt;=0,0,(INT(MAX(0,Inputs!$B$43-B108)/(IF(Inputs!$B$38="pvp",15,MAX(0.1,Skills!E13-IF(TRUE=TRUE,Inputs!$B$32,0)))*(1-IF(AND(ArtifactsInput!$M$27,Inputs!$B$4="Chapter Hunt"),CHOOSE(ArtifactsInput!$N$27+1,20,24,28,32,36,40),0)/100)))+1)),0)</f>
        <v>2</v>
      </c>
      <c r="S83">
        <f>IF(C83,(H83*N83*IF(AND(Inputs!$B$38&lt;&gt;"pvp",Inputs!$B$43&gt;0),((Skills!G13*((R83-1)*IF(Skills!H13&gt;0,Skills!I13/Skills!H13,1)+IF(Skills!H13&gt;0,MIN(Skills!I13,MAX(0,MAX(0,Inputs!$B$43-B108)-((R83-1)*(IF(Inputs!$B$38="pvp",15,MAX(0.1,Skills!E13-IF(TRUE=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469121424626780.44</v>
      </c>
      <c r="U83">
        <f>IF(C83,(H83*N83*IF(AND(Inputs!$B$38&lt;&gt;"pvp",Inputs!$B$43&gt;0),((Skills!G13*((R83-1)*IF(Skills!H13&gt;0,Skills!I13/Skills!H13,1)+IF(Skills!H13&gt;0,MIN(Skills!I13,MAX(0,MAX(0,Inputs!$B$43-B108)-((R83-1)*(IF(Inputs!$B$38="pvp",15,MAX(0.1,Skills!E13-IF(TRUE=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3118103601541408</v>
      </c>
    </row>
    <row r="84" spans="1:21" x14ac:dyDescent="0.2">
      <c r="A84" t="str">
        <f>Skills!A14</f>
        <v>METEOR_PROC</v>
      </c>
      <c r="B84" t="str">
        <f>Skills!B14</f>
        <v>Meteor Proc (30% on-hit, 1s ICD)</v>
      </c>
      <c r="C84" t="b">
        <f>Inputs!$B$3&gt;=113</f>
        <v>1</v>
      </c>
      <c r="D84">
        <f>IF(Skills!C14=1,60+Inputs!$B$25+Inputs!$B$29,IF(Skills!C14=2,90+Inputs!$B$26+Inputs!$B$29,IF(Skills!C14=3,120+Inputs!$B$27+Inputs!$B$29,MAX(0,(Inputs!$B$3-100)*3)+Inputs!$B$28+Inputs!$B$29)))</f>
        <v>185</v>
      </c>
      <c r="E84">
        <f>INDEX(FactorTable!$B$2:$Y$301, MATCH(ROUND(MIN(300,MAX(1,D84)),0), FactorTable!$A$2:$A$301,0), Skills!M14+1)</f>
        <v>1740</v>
      </c>
      <c r="F84">
        <f>IF(Skills!N14=TRUE,(Skills!L14/10)*(E84/1000),Skills!L14/10)+Skills!O14</f>
        <v>1653</v>
      </c>
      <c r="G84">
        <f>Calc!G14</f>
        <v>0</v>
      </c>
      <c r="H84">
        <f>Calc!H14</f>
        <v>0.30000000000000004</v>
      </c>
      <c r="I84">
        <f>IF(Skills!X14&lt;&gt;"",1+(Skills!X14/10)*(Z73/1000)/100,1)</f>
        <v>1</v>
      </c>
      <c r="J84">
        <f>((Inputs!$B$6*(1+Inputs!$B$7/100))+((((Inputs!$B$12+1)*(1+Inputs!$B$13/100))-(Inputs!$B$12*(1+Inputs!$B$13/100)))+0.25*(Inputs!$B$14-Inputs!$B$14))*(1+Inputs!$B$7/100))*(F84/100)</f>
        <v>5969575389.996418</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29995957794543.887</v>
      </c>
      <c r="L84">
        <f>K84*(MIN(Inputs!$B$22+(F92-Calc!F22),(Inputs!$B$23+(IF(ArtifactsInput!$M$15,CHOOSE(ArtifactsInput!$N$15+1,25,30,35,40,45,50)/100*(Inputs!$B$11-Inputs!$B$11),0))))/100+(Inputs!$B$23+(IF(ArtifactsInput!$M$15,CHOOSE(ArtifactsInput!$N$15+1,25,30,35,40,45,50)/100*(Inputs!$B$11-Inputs!$B$11),0)))/100)/2</f>
        <v>99736559666858.422</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470656825067904.81</v>
      </c>
      <c r="N84">
        <f>L84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470656825067904.81</v>
      </c>
      <c r="O84">
        <f>(1-Summary!$B$11)*S84+Summary!$B$11*U84</f>
        <v>461266599357280.88</v>
      </c>
      <c r="P84">
        <f>IF(B111=0,0,O84/B111)</f>
        <v>1.3940833229257574E-2</v>
      </c>
      <c r="Q84">
        <f>IFERROR(1/(IF(Inputs!$B$38="pvp",15,MAX(0.1,Skills!E14-IF(TRUE=TRUE,Inputs!$B$32,0)))*(1-IF(AND(ArtifactsInput!$M$27,Inputs!$B$4="Chapter Hunt"),CHOOSE(ArtifactsInput!$N$27+1,20,24,28,32,36,40),0)/100)),0)</f>
        <v>10</v>
      </c>
      <c r="R84">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473208776686919.19</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449324422027642.5</v>
      </c>
    </row>
    <row r="85" spans="1:21" x14ac:dyDescent="0.2">
      <c r="A85" t="str">
        <f>Skills!A15</f>
        <v>FLAME_HAZE_BURST</v>
      </c>
      <c r="B85" t="str">
        <f>Skills!B15</f>
        <v>Flame Haze (burst)</v>
      </c>
      <c r="C85" t="b">
        <f>Inputs!$B$3&gt;=107</f>
        <v>1</v>
      </c>
      <c r="D85">
        <f>IF(Skills!C15=1,60+Inputs!$B$25+Inputs!$B$29,IF(Skills!C15=2,90+Inputs!$B$26+Inputs!$B$29,IF(Skills!C15=3,120+Inputs!$B$27+Inputs!$B$29,MAX(0,(Inputs!$B$3-100)*3)+Inputs!$B$28+Inputs!$B$29)))</f>
        <v>185</v>
      </c>
      <c r="E85">
        <f>INDEX(FactorTable!$B$2:$Y$301, MATCH(ROUND(MIN(300,MAX(1,D85)),0), FactorTable!$A$2:$A$301,0), Skills!M15+1)</f>
        <v>1925</v>
      </c>
      <c r="F85">
        <f>IF(Skills!N15=TRUE,(Skills!L15/10)*(E85/1000),Skills!L15/10)+Skills!O15</f>
        <v>2310</v>
      </c>
      <c r="G85">
        <f>Calc!G15</f>
        <v>3</v>
      </c>
      <c r="H85">
        <f>Calc!H15</f>
        <v>1</v>
      </c>
      <c r="I85">
        <f>IF(Skills!X15&lt;&gt;"",1+(Skills!X15/10)*(Z73/1000)/100,1)</f>
        <v>1</v>
      </c>
      <c r="J85">
        <f>((Inputs!$B$6*(1+Inputs!$B$7/100))+((((Inputs!$B$12+1)*(1+Inputs!$B$13/100))-(Inputs!$B$12*(1+Inputs!$B$13/100)))+0.25*(Inputs!$B$14-Inputs!$B$14))*(1+Inputs!$B$7/100))*(F85/100)</f>
        <v>8342237840.8298397</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41918126137565.867</v>
      </c>
      <c r="L85">
        <f>K85*(MIN(Inputs!$B$22+(F92-Calc!F22),(Inputs!$B$23+(IF(ArtifactsInput!$M$15,CHOOSE(ArtifactsInput!$N$15+1,25,30,35,40,45,50)/100*(Inputs!$B$11-Inputs!$B$11),0))))/100+(Inputs!$B$23+(IF(ArtifactsInput!$M$15,CHOOSE(ArtifactsInput!$N$15+1,25,30,35,40,45,50)/100*(Inputs!$B$11-Inputs!$B$11),0)))/100)/2</f>
        <v>139377769407406.52</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657723693833551.25</v>
      </c>
      <c r="N85">
        <f>L85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657723693833551.25</v>
      </c>
      <c r="O85">
        <f>(1-Summary!$B$11)*S85+Summary!$B$11*U85</f>
        <v>1641185047038168.5</v>
      </c>
      <c r="P85">
        <f>IF(B111=0,0,O85/B111)</f>
        <v>4.9601438888031667E-2</v>
      </c>
      <c r="Q85">
        <f>IFERROR(1/(IF(Inputs!$B$38="pvp",15,MAX(0.1,Skills!E15-IF(TRUE=TRUE,Inputs!$B$32,0)))*(1-IF(AND(ArtifactsInput!$M$27,Inputs!$B$4="Chapter Hunt"),CHOOSE(ArtifactsInput!$N$27+1,20,24,28,32,36,40),0)/100)),0)</f>
        <v>0.04</v>
      </c>
      <c r="R85">
        <f>IF(AND(Inputs!$B$38&lt;&gt;"pvp",Inputs!$B$43&gt;0),IF(MAX(0,Inputs!$B$43-B108)&lt;=0,0,(INT(MAX(0,Inputs!$B$43-B108)/(IF(Inputs!$B$38="pvp",15,MAX(0.1,Skills!E15-IF(TRUE=TRUE,Inputs!$B$32,0)))*(1-IF(AND(ArtifactsInput!$M$27,Inputs!$B$4="Chapter Hunt"),CHOOSE(ArtifactsInput!$N$27+1,20,24,28,32,36,40),0)/100)))+1)),0)</f>
        <v>2</v>
      </c>
      <c r="S85">
        <f>IF(C85,(H85*N85*IF(AND(Inputs!$B$38&lt;&gt;"pvp",Inputs!$B$43&gt;0),((Skills!G15*((R85-1)*IF(Skills!H15&gt;0,Skills!I15/Skills!H15,1)+IF(Skills!H15&gt;0,MIN(Skills!I15,MAX(0,MAX(0,Inputs!$B$43-B108)-((R85-1)*(IF(Inputs!$B$38="pvp",15,MAX(0.1,Skills!E15-IF(TRUE=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312747616417853.62</v>
      </c>
      <c r="U85">
        <f>IF(C85,(H85*N85*IF(AND(Inputs!$B$38&lt;&gt;"pvp",Inputs!$B$43&gt;0),((Skills!G15*((R85-1)*IF(Skills!H15&gt;0,Skills!I15/Skills!H15,1)+IF(Skills!H15&gt;0,MIN(Skills!I15,MAX(0,MAX(0,Inputs!$B$43-B108)-((R85-1)*(IF(Inputs!$B$38="pvp",15,MAX(0.1,Skills!E15-IF(TRUE=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2969622477658483.5</v>
      </c>
    </row>
    <row r="86" spans="1:21" x14ac:dyDescent="0.2">
      <c r="A86" t="str">
        <f>Skills!A16</f>
        <v>FLAME_HAZE_DOT</v>
      </c>
      <c r="B86" t="str">
        <f>Skills!B16</f>
        <v>Flame Haze (burn DoT)</v>
      </c>
      <c r="C86" t="b">
        <f>Inputs!$B$3&gt;=107</f>
        <v>1</v>
      </c>
      <c r="D86">
        <f>IF(Skills!C16=1,60+Inputs!$B$25+Inputs!$B$29,IF(Skills!C16=2,90+Inputs!$B$26+Inputs!$B$29,IF(Skills!C16=3,120+Inputs!$B$27+Inputs!$B$29,MAX(0,(Inputs!$B$3-100)*3)+Inputs!$B$28+Inputs!$B$29)))</f>
        <v>185</v>
      </c>
      <c r="E86">
        <f>INDEX(FactorTable!$B$2:$Y$301, MATCH(ROUND(MIN(300,MAX(1,D86)),0), FactorTable!$A$2:$A$301,0), Skills!M16+1)</f>
        <v>1925</v>
      </c>
      <c r="F86">
        <f>IF(Skills!N16=TRUE,(Skills!L16/10)*(E86/1000),Skills!L16/10)+Skills!O16</f>
        <v>288.75</v>
      </c>
      <c r="G86">
        <f>Calc!G16</f>
        <v>30</v>
      </c>
      <c r="H86">
        <f>Calc!H16</f>
        <v>1</v>
      </c>
      <c r="I86">
        <f>IF(Skills!X16&lt;&gt;"",1+(Skills!X16/10)*(Z73/1000)/100,1)</f>
        <v>1</v>
      </c>
      <c r="J86">
        <f>((Inputs!$B$6*(1+Inputs!$B$7/100))+((((Inputs!$B$12+1)*(1+Inputs!$B$13/100))-(Inputs!$B$12*(1+Inputs!$B$13/100)))+0.25*(Inputs!$B$14-Inputs!$B$14))*(1+Inputs!$B$7/100))*(F86/100)</f>
        <v>1042779730.10373</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5239765767195.7334</v>
      </c>
      <c r="L86">
        <f>K86*(MIN(Inputs!$B$22+(F92-Calc!F22),(Inputs!$B$23+(IF(ArtifactsInput!$M$15,CHOOSE(ArtifactsInput!$N$15+1,25,30,35,40,45,50)/100*(Inputs!$B$11-Inputs!$B$11),0))))/100+(Inputs!$B$23+(IF(ArtifactsInput!$M$15,CHOOSE(ArtifactsInput!$N$15+1,25,30,35,40,45,50)/100*(Inputs!$B$11-Inputs!$B$11),0)))/100)/2</f>
        <v>17422221175925.814</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82215461729193.906</v>
      </c>
      <c r="N86">
        <f>L86*(1-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82215461729193.906</v>
      </c>
      <c r="O86">
        <f>(1-Summary!$B$11)*S86+Summary!$B$11*U86</f>
        <v>1890419361230401.2</v>
      </c>
      <c r="P86">
        <f>IF(B111=0,0,O86/B111)</f>
        <v>5.7134032867313153E-2</v>
      </c>
      <c r="Q86">
        <f>IFERROR(1/(IF(Inputs!$B$38="pvp",15,MAX(0.1,Skills!E16-IF(TRUE=TRUE,Inputs!$B$32,0)))*(1-IF(AND(ArtifactsInput!$M$27,Inputs!$B$4="Chapter Hunt"),CHOOSE(ArtifactsInput!$N$27+1,20,24,28,32,36,40),0)/100)),0)</f>
        <v>0.04</v>
      </c>
      <c r="R86">
        <f>IF(AND(Inputs!$B$38&lt;&gt;"pvp",Inputs!$B$43&gt;0),IF(MAX(0,Inputs!$B$43-B108)&lt;=0,0,(INT(MAX(0,Inputs!$B$43-B108)/(IF(Inputs!$B$38="pvp",15,MAX(0.1,Skills!E16-IF(TRUE=TRUE,Inputs!$B$32,0)))*(1-IF(AND(ArtifactsInput!$M$27,Inputs!$B$4="Chapter Hunt"),CHOOSE(ArtifactsInput!$N$27+1,20,24,28,32,36,40),0)/100)))+1)),0)</f>
        <v>2</v>
      </c>
      <c r="S86">
        <f>IF(C86,(H86*N86*IF(AND(Inputs!$B$38&lt;&gt;"pvp",Inputs!$B$43&gt;0),((Skills!G16*((R86-1)*IF(Skills!H16&gt;0,Skills!I16/Skills!H16,1)+IF(Skills!H16&gt;0,MIN(Skills!I16,MAX(0,MAX(0,Inputs!$B$43-B108)-((R86-1)*(IF(Inputs!$B$38="pvp",15,MAX(0.1,Skills!E16-IF(TRUE=TRUE,Inputs!$B$32,0)))*(1-IF(AND(ArtifactsInput!$M$27,Inputs!$B$4="Chapter Hunt"),CHOOSE(ArtifactsInput!$N$27+1,20,24,28,32,36,40),0)/100)))))/Skills!H16,1)))/Inputs!$B$43),G86*Q86)*(1+IF(Inputs!$B$3&gt;=126,0.05*(B106+Q83+(H84*B107)/(1+Skills!H14*H84*B107)+Q94),0)*(1/Q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360242222729207.81</v>
      </c>
      <c r="U86">
        <f>IF(C86,(H86*N86*IF(AND(Inputs!$B$38&lt;&gt;"pvp",Inputs!$B$43&gt;0),((Skills!G16*((R86-1)*IF(Skills!H16&gt;0,Skills!I16/Skills!H16,1)+IF(Skills!H16&gt;0,MIN(Skills!I16,MAX(0,MAX(0,Inputs!$B$43-B108)-((R86-1)*(IF(Inputs!$B$38="pvp",15,MAX(0.1,Skills!E16-IF(TRUE=TRUE,Inputs!$B$32,0)))*(1-IF(AND(ArtifactsInput!$M$27,Inputs!$B$4="Chapter Hunt"),CHOOSE(ArtifactsInput!$N$27+1,20,24,28,32,36,40),0)/100)))))/Skills!H16,1)))/Inputs!$B$43),G86*Q86)*(1+IF(Inputs!$B$3&gt;=126,0.05*(B106+Q83+(H84*B107)/(1+Skills!H14*H84*B107)+Q94),0)*(1/Q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3420596499731594.5</v>
      </c>
    </row>
    <row r="87" spans="1:21" x14ac:dyDescent="0.2">
      <c r="A87" t="str">
        <f>Skills!A17</f>
        <v>MAGIC_GUARD</v>
      </c>
      <c r="B87" t="str">
        <f>Skills!B17</f>
        <v>Magic Guard</v>
      </c>
      <c r="C87" t="b">
        <f>TRUE</f>
        <v>1</v>
      </c>
      <c r="D87">
        <f>IF(Skills!C17=1,60+Inputs!$B$25+Inputs!$B$29,IF(Skills!C17=2,90+Inputs!$B$26+Inputs!$B$29,IF(Skills!C17=3,120+Inputs!$B$27+Inputs!$B$29,MAX(0,(Inputs!$B$3-100)*3)+Inputs!$B$28+Inputs!$B$29)))</f>
        <v>127</v>
      </c>
      <c r="E87">
        <f>INDEX(FactorTable!$B$2:$Y$301, MATCH(ROUND(MIN(300,MAX(1,D87)),0), FactorTable!$A$2:$A$301,0), Skills!M17+1)</f>
        <v>1508</v>
      </c>
      <c r="F87">
        <f>IF(Skills!N17=TRUE,(Skills!L17/10)*(E87/1000),Skills!L17/10)+Skills!O17</f>
        <v>18.096</v>
      </c>
      <c r="G87">
        <f>Calc!G17</f>
        <v>1</v>
      </c>
      <c r="H87">
        <f>Calc!H17</f>
        <v>1</v>
      </c>
      <c r="I87">
        <f>IF(Skills!X17&lt;&gt;"",1+(Skills!X17/10)*(Z73/1000)/100,1)</f>
        <v>1</v>
      </c>
      <c r="O87">
        <f>(1-Summary!$B$11)*S87+Summary!$B$11*U87</f>
        <v>0</v>
      </c>
      <c r="P87">
        <f>IF(B111=0,0,O87/B111)</f>
        <v>0</v>
      </c>
      <c r="Q87">
        <f>IFERROR(1/(IF(Inputs!$B$38="pvp",15,MAX(0.1,Skills!E17-IF(TRUE=TRUE,Inputs!$B$32,0)))*(1-IF(AND(ArtifactsInput!$M$27,Inputs!$B$4="Chapter Hunt"),CHOOSE(ArtifactsInput!$N$27+1,20,24,28,32,36,40),0)/100)),0)</f>
        <v>4.7619047619047616E-2</v>
      </c>
      <c r="R87">
        <f>IF(AND(Inputs!$B$38&lt;&gt;"pvp",Inputs!$B$43&gt;0),IF(Inputs!$B$43&lt;=0,0,(INT(Inputs!$B$43/(IF(Inputs!$B$38="pvp",15,MAX(0.1,Skills!E17-IF(TRUE=TRUE,Inputs!$B$32,0)))*(1-IF(AND(ArtifactsInput!$M$27,Inputs!$B$4="Chapter Hunt"),CHOOSE(ArtifactsInput!$N$27+1,20,24,28,32,36,40),0)/100)))+1)),0)</f>
        <v>2</v>
      </c>
      <c r="S87">
        <v>0</v>
      </c>
      <c r="U87">
        <v>0</v>
      </c>
    </row>
    <row r="88" spans="1:21" x14ac:dyDescent="0.2">
      <c r="A88" t="str">
        <f>Skills!A18</f>
        <v>NIMBLE_FEET</v>
      </c>
      <c r="B88" t="str">
        <f>Skills!B18</f>
        <v>Nimble Feet</v>
      </c>
      <c r="C88" t="b">
        <f>TRUE</f>
        <v>1</v>
      </c>
      <c r="D88">
        <f>IF(Skills!C18=1,60+Inputs!$B$25+Inputs!$B$29,IF(Skills!C18=2,90+Inputs!$B$26+Inputs!$B$29,IF(Skills!C18=3,120+Inputs!$B$27+Inputs!$B$29,MAX(0,(Inputs!$B$3-100)*3)+Inputs!$B$28+Inputs!$B$29)))</f>
        <v>127</v>
      </c>
      <c r="E88">
        <f>INDEX(FactorTable!$B$2:$Y$301, MATCH(ROUND(MIN(300,MAX(1,D88)),0), FactorTable!$A$2:$A$301,0), Skills!M18+1)</f>
        <v>0</v>
      </c>
      <c r="F88">
        <f>IF(Skills!N18=TRUE,(Skills!L18/10)*(E88/1000),Skills!L18/10)+Skills!O18</f>
        <v>15</v>
      </c>
      <c r="G88">
        <f>Calc!G18</f>
        <v>1</v>
      </c>
      <c r="H88">
        <f>Calc!H18</f>
        <v>1</v>
      </c>
      <c r="I88">
        <f>IF(Skills!X18&lt;&gt;"",1+(Skills!X18/10)*(Z73/1000)/100,1)</f>
        <v>1</v>
      </c>
      <c r="O88">
        <f>(1-Summary!$B$11)*S88+Summary!$B$11*U88</f>
        <v>0</v>
      </c>
      <c r="P88">
        <f>IF(B111=0,0,O88/B111)</f>
        <v>0</v>
      </c>
      <c r="Q88">
        <f>IFERROR(1/(IF(Inputs!$B$38="pvp",15,MAX(0.1,Skills!E18-IF(TRUE=TRUE,Inputs!$B$32,0)))*(1-IF(AND(ArtifactsInput!$M$27,Inputs!$B$4="Chapter Hunt"),CHOOSE(ArtifactsInput!$N$27+1,20,24,28,32,36,40),0)/100)),0)</f>
        <v>1.6666666666666666E-2</v>
      </c>
      <c r="R88">
        <f>IF(AND(Inputs!$B$38&lt;&gt;"pvp",Inputs!$B$43&gt;0),IF(Inputs!$B$43&lt;=0,0,(INT(Inputs!$B$43/(IF(Inputs!$B$38="pvp",15,MAX(0.1,Skills!E18-IF(TRUE=TRUE,Inputs!$B$32,0)))*(1-IF(AND(ArtifactsInput!$M$27,Inputs!$B$4="Chapter Hunt"),CHOOSE(ArtifactsInput!$N$27+1,20,24,28,32,36,40),0)/100)))+1)),0)</f>
        <v>1</v>
      </c>
      <c r="S88">
        <v>0</v>
      </c>
      <c r="U88">
        <v>0</v>
      </c>
    </row>
    <row r="89" spans="1:21" x14ac:dyDescent="0.2">
      <c r="A89" t="str">
        <f>Skills!A19</f>
        <v>INFINITY</v>
      </c>
      <c r="B89" t="str">
        <f>Skills!B19</f>
        <v>Infinity</v>
      </c>
      <c r="C89" t="b">
        <f>Inputs!$B$3&gt;=110</f>
        <v>1</v>
      </c>
      <c r="D89">
        <f>IF(Skills!C19=1,60+Inputs!$B$25+Inputs!$B$29,IF(Skills!C19=2,90+Inputs!$B$26+Inputs!$B$29,IF(Skills!C19=3,120+Inputs!$B$27+Inputs!$B$29,MAX(0,(Inputs!$B$3-100)*3)+Inputs!$B$28+Inputs!$B$29)))</f>
        <v>185</v>
      </c>
      <c r="E89">
        <f>INDEX(FactorTable!$B$2:$Y$301, MATCH(ROUND(MIN(300,MAX(1,D89)),0), FactorTable!$A$2:$A$301,0), Skills!M19+1)</f>
        <v>1740</v>
      </c>
      <c r="F89">
        <f>IF(Skills!N19=TRUE,(Skills!L19/10)*(E89/1000),Skills!L19/10)+Skills!O19</f>
        <v>37.700579999999995</v>
      </c>
      <c r="G89">
        <f>Calc!G19</f>
        <v>1</v>
      </c>
      <c r="H89">
        <f>Calc!H19</f>
        <v>1</v>
      </c>
      <c r="I89">
        <f>IF(Skills!X19&lt;&gt;"",1+(Skills!X19/10)*(Z73/1000)/100,1)</f>
        <v>1</v>
      </c>
      <c r="O89">
        <f>(1-Summary!$B$11)*S89+Summary!$B$11*U89</f>
        <v>0</v>
      </c>
      <c r="P89">
        <f>IF(B111=0,0,O89/B111)</f>
        <v>0</v>
      </c>
      <c r="Q89">
        <f>IFERROR(1/(IF(Inputs!$B$38="pvp",15,MAX(0.1,Skills!E19-IF(TRUE=TRUE,Inputs!$B$32,0)))*(1-IF(AND(ArtifactsInput!$M$27,Inputs!$B$4="Chapter Hunt"),CHOOSE(ArtifactsInput!$N$27+1,20,24,28,32,36,40),0)/100)),0)</f>
        <v>3.3333333333333333E-2</v>
      </c>
      <c r="R89">
        <f>IF(AND(Inputs!$B$38&lt;&gt;"pvp",Inputs!$B$43&gt;0),IF(Inputs!$B$43&lt;=0,0,(INT(Inputs!$B$43/(IF(Inputs!$B$38="pvp",15,MAX(0.1,Skills!E19-IF(TRUE=TRUE,Inputs!$B$32,0)))*(1-IF(AND(ArtifactsInput!$M$27,Inputs!$B$4="Chapter Hunt"),CHOOSE(ArtifactsInput!$N$27+1,20,24,28,32,36,40),0)/100)))+1)),0)</f>
        <v>2</v>
      </c>
      <c r="S89">
        <v>0</v>
      </c>
      <c r="U89">
        <v>0</v>
      </c>
    </row>
    <row r="90" spans="1:21" x14ac:dyDescent="0.2">
      <c r="A90" t="str">
        <f>Skills!A20</f>
        <v>MAGIC_CRITICAL_RATE</v>
      </c>
      <c r="B90" t="str">
        <f>Skills!B20</f>
        <v>Magic Critical (Crit Rate)</v>
      </c>
      <c r="C90" t="b">
        <f>TRUE</f>
        <v>1</v>
      </c>
      <c r="D90">
        <f>IF(Skills!C20=1,60+Inputs!$B$25+Inputs!$B$29,IF(Skills!C20=2,90+Inputs!$B$26+Inputs!$B$29,IF(Skills!C20=3,120+Inputs!$B$27+Inputs!$B$29,MAX(0,(Inputs!$B$3-100)*3)+Inputs!$B$28+Inputs!$B$29)))</f>
        <v>184</v>
      </c>
      <c r="E90">
        <f>INDEX(FactorTable!$B$2:$Y$301, MATCH(ROUND(MIN(300,MAX(1,D90)),0), FactorTable!$A$2:$A$301,0), Skills!M20+1)</f>
        <v>1552</v>
      </c>
      <c r="F90">
        <f>IF(Skills!N20=TRUE,(Skills!L20/10)*(E90/1000),Skills!L20/10)+Skills!O20</f>
        <v>12.416</v>
      </c>
      <c r="G90">
        <f>Calc!G20</f>
        <v>1</v>
      </c>
      <c r="H90">
        <f>Calc!H20</f>
        <v>1</v>
      </c>
      <c r="I90">
        <f>IF(Skills!X20&lt;&gt;"",1+(Skills!X20/10)*(Z73/1000)/100,1)</f>
        <v>1</v>
      </c>
      <c r="O90">
        <f>(1-Summary!$B$11)*S90+Summary!$B$11*U90</f>
        <v>0</v>
      </c>
      <c r="P90">
        <f>IF(B111=0,0,O90/B111)</f>
        <v>0</v>
      </c>
      <c r="Q90">
        <f>IFERROR(1/(IF(Inputs!$B$38="pvp",15,MAX(0.1,Skills!E20-IF(TRUE=TRUE,Inputs!$B$32,0)))*(1-IF(AND(ArtifactsInput!$M$27,Inputs!$B$4="Chapter Hunt"),CHOOSE(ArtifactsInput!$N$27+1,20,24,28,32,36,40),0)/100)),0)</f>
        <v>10</v>
      </c>
      <c r="R90">
        <v>0</v>
      </c>
      <c r="S90">
        <v>0</v>
      </c>
      <c r="U90">
        <v>0</v>
      </c>
    </row>
    <row r="91" spans="1:21" x14ac:dyDescent="0.2">
      <c r="A91" t="str">
        <f>Skills!A21</f>
        <v>MAGIC_CRITICAL_DAMAGE</v>
      </c>
      <c r="B91" t="str">
        <f>Skills!B21</f>
        <v>Magic Critical (Crit Damage)</v>
      </c>
      <c r="C91" t="b">
        <f>TRUE</f>
        <v>1</v>
      </c>
      <c r="D91">
        <f>IF(Skills!C21=1,60+Inputs!$B$25+Inputs!$B$29,IF(Skills!C21=2,90+Inputs!$B$26+Inputs!$B$29,IF(Skills!C21=3,120+Inputs!$B$27+Inputs!$B$29,MAX(0,(Inputs!$B$3-100)*3)+Inputs!$B$28+Inputs!$B$29)))</f>
        <v>184</v>
      </c>
      <c r="E91">
        <f>INDEX(FactorTable!$B$2:$Y$301, MATCH(ROUND(MIN(300,MAX(1,D91)),0), FactorTable!$A$2:$A$301,0), Skills!M21+1)</f>
        <v>1552</v>
      </c>
      <c r="F91">
        <f>IF(Skills!N21=TRUE,(Skills!L21/10)*(E91/1000),Skills!L21/10)+Skills!O21</f>
        <v>18.624000000000002</v>
      </c>
      <c r="G91">
        <f>Calc!G21</f>
        <v>1</v>
      </c>
      <c r="H91">
        <f>Calc!H21</f>
        <v>1</v>
      </c>
      <c r="I91">
        <f>IF(Skills!X21&lt;&gt;"",1+(Skills!X21/10)*(Z73/1000)/100,1)</f>
        <v>1</v>
      </c>
      <c r="O91">
        <f>(1-Summary!$B$11)*S91+Summary!$B$11*U91</f>
        <v>0</v>
      </c>
      <c r="P91">
        <f>IF(B111=0,0,O91/B111)</f>
        <v>0</v>
      </c>
      <c r="Q91">
        <f>IFERROR(1/(IF(Inputs!$B$38="pvp",15,MAX(0.1,Skills!E21-IF(TRUE=TRUE,Inputs!$B$32,0)))*(1-IF(AND(ArtifactsInput!$M$27,Inputs!$B$4="Chapter Hunt"),CHOOSE(ArtifactsInput!$N$27+1,20,24,28,32,36,40),0)/100)),0)</f>
        <v>10</v>
      </c>
      <c r="R91">
        <v>0</v>
      </c>
      <c r="S91">
        <v>0</v>
      </c>
      <c r="U91">
        <v>0</v>
      </c>
    </row>
    <row r="92" spans="1:21" x14ac:dyDescent="0.2">
      <c r="A92" t="str">
        <f>Skills!A22</f>
        <v>SPELL_MASTERY</v>
      </c>
      <c r="B92" t="str">
        <f>Skills!B22</f>
        <v>Spell Mastery</v>
      </c>
      <c r="C92" t="b">
        <f>TRUE</f>
        <v>1</v>
      </c>
      <c r="D92">
        <f>IF(Skills!C22=1,60+Inputs!$B$25+Inputs!$B$29,IF(Skills!C22=2,90+Inputs!$B$26+Inputs!$B$29,IF(Skills!C22=3,120+Inputs!$B$27+Inputs!$B$29,MAX(0,(Inputs!$B$3-100)*3)+Inputs!$B$28+Inputs!$B$29)))</f>
        <v>168</v>
      </c>
      <c r="E92">
        <f>INDEX(FactorTable!$B$2:$Y$301, MATCH(ROUND(MIN(300,MAX(1,D92)),0), FactorTable!$A$2:$A$301,0), Skills!M22+1)</f>
        <v>1504</v>
      </c>
      <c r="F92">
        <f>IF(Skills!N22=TRUE,(Skills!L22/10)*(E92/1000),Skills!L22/10)+Skills!O22</f>
        <v>22.56</v>
      </c>
      <c r="G92">
        <f>Calc!G22</f>
        <v>1</v>
      </c>
      <c r="H92">
        <f>Calc!H22</f>
        <v>1</v>
      </c>
      <c r="I92">
        <f>IF(Skills!X22&lt;&gt;"",1+(Skills!X22/10)*(Z73/1000)/100,1)</f>
        <v>1</v>
      </c>
      <c r="O92">
        <f>(1-Summary!$B$11)*S92+Summary!$B$11*U92</f>
        <v>0</v>
      </c>
      <c r="P92">
        <f>IF(B111=0,0,O92/B111)</f>
        <v>0</v>
      </c>
      <c r="Q92">
        <f>IFERROR(1/(IF(Inputs!$B$38="pvp",15,MAX(0.1,Skills!E22-IF(TRUE=TRUE,Inputs!$B$32,0)))*(1-IF(AND(ArtifactsInput!$M$27,Inputs!$B$4="Chapter Hunt"),CHOOSE(ArtifactsInput!$N$27+1,20,24,28,32,36,40),0)/100)),0)</f>
        <v>10</v>
      </c>
      <c r="R92">
        <v>0</v>
      </c>
      <c r="S92">
        <v>0</v>
      </c>
      <c r="U92">
        <v>0</v>
      </c>
    </row>
    <row r="93" spans="1:21" x14ac:dyDescent="0.2">
      <c r="A93" t="str">
        <f>Skills!A23</f>
        <v>ELEMENT_AMPLIFICATION</v>
      </c>
      <c r="B93" t="str">
        <f>Skills!B23</f>
        <v>Element Amplification</v>
      </c>
      <c r="C93" t="b">
        <f>TRUE</f>
        <v>1</v>
      </c>
      <c r="D93">
        <f>IF(Skills!C23=1,60+Inputs!$B$25+Inputs!$B$29,IF(Skills!C23=2,90+Inputs!$B$26+Inputs!$B$29,IF(Skills!C23=3,120+Inputs!$B$27+Inputs!$B$29,MAX(0,(Inputs!$B$3-100)*3)+Inputs!$B$28+Inputs!$B$29)))</f>
        <v>185</v>
      </c>
      <c r="E93">
        <f>INDEX(FactorTable!$B$2:$Y$301, MATCH(ROUND(MIN(300,MAX(1,D93)),0), FactorTable!$A$2:$A$301,0), Skills!M23+1)</f>
        <v>1555</v>
      </c>
      <c r="F93">
        <f>IF(Skills!N23=TRUE,(Skills!L23/10)*(E93/1000),Skills!L23/10)+Skills!O23</f>
        <v>23.324999999999999</v>
      </c>
      <c r="G93">
        <f>Calc!G23</f>
        <v>1</v>
      </c>
      <c r="H93">
        <f>Calc!H23</f>
        <v>1</v>
      </c>
      <c r="I93">
        <f>IF(Skills!X23&lt;&gt;"",1+(Skills!X23/10)*(Z73/1000)/100,1)</f>
        <v>1</v>
      </c>
      <c r="O93">
        <f>(1-Summary!$B$11)*S93+Summary!$B$11*U93</f>
        <v>0</v>
      </c>
      <c r="P93">
        <f>IF(B111=0,0,O93/B111)</f>
        <v>0</v>
      </c>
      <c r="Q93">
        <f>IFERROR(1/(IF(Inputs!$B$38="pvp",15,MAX(0.1,Skills!E23-IF(TRUE=TRUE,Inputs!$B$32,0)))*(1-IF(AND(ArtifactsInput!$M$27,Inputs!$B$4="Chapter Hunt"),CHOOSE(ArtifactsInput!$N$27+1,20,24,28,32,36,40),0)/100)),0)</f>
        <v>10</v>
      </c>
      <c r="R93">
        <v>0</v>
      </c>
      <c r="S93">
        <v>0</v>
      </c>
      <c r="U93">
        <v>0</v>
      </c>
    </row>
    <row r="94" spans="1:21" x14ac:dyDescent="0.2">
      <c r="A94" t="str">
        <f>Skills!A24</f>
        <v>IFRIT</v>
      </c>
      <c r="B94" t="str">
        <f>Skills!B24</f>
        <v>Ifrit</v>
      </c>
      <c r="C94" t="b">
        <f>Inputs!$B$3&gt;=115</f>
        <v>1</v>
      </c>
      <c r="D94">
        <f>IF(Skills!C24=1,60+Inputs!$B$25+Inputs!$B$29,IF(Skills!C24=2,90+Inputs!$B$26+Inputs!$B$29,IF(Skills!C24=3,120+Inputs!$B$27+Inputs!$B$29,MAX(0,(Inputs!$B$3-100)*3)+Inputs!$B$28+Inputs!$B$29)))</f>
        <v>185</v>
      </c>
      <c r="E94">
        <f>INDEX(FactorTable!$B$2:$Y$301, MATCH(ROUND(MIN(300,MAX(1,D94)),0), FactorTable!$A$2:$A$301,0), Skills!M24+1)</f>
        <v>1925</v>
      </c>
      <c r="F94">
        <f>IF(Skills!N24=TRUE,(Skills!L24/10)*(E94/1000),Skills!L24/10)+Skills!O24</f>
        <v>6737.5</v>
      </c>
      <c r="G94">
        <f>Calc!G24</f>
        <v>7.5</v>
      </c>
      <c r="H94">
        <f>Calc!H24</f>
        <v>1</v>
      </c>
      <c r="I94">
        <f>IF(Skills!X24&lt;&gt;"",1+(Skills!X24/10)*(Z73/1000)/100,1)</f>
        <v>1</v>
      </c>
      <c r="J94">
        <f>((Inputs!$B$6*(1+Inputs!$B$7/100))+((((Inputs!$B$12+1)*(1+Inputs!$B$13/100))-(Inputs!$B$12*(1+Inputs!$B$13/100)))+0.25*(Inputs!$B$14-Inputs!$B$14))*(1+Inputs!$B$7/100))*(F94/100)</f>
        <v>24331527035.753696</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122261201234567.08</v>
      </c>
      <c r="L94">
        <f>K94*(MIN(Inputs!$B$22+(F92-Calc!F22),(Inputs!$B$23+(IF(ArtifactsInput!$M$15,CHOOSE(ArtifactsInput!$N$15+1,25,30,35,40,45,50)/100*(Inputs!$B$11-Inputs!$B$11),0))))/100+(Inputs!$B$23+(IF(ArtifactsInput!$M$15,CHOOSE(ArtifactsInput!$N$15+1,25,30,35,40,45,50)/100*(Inputs!$B$11-Inputs!$B$11),0)))/100)/2</f>
        <v>406518494104935.56</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1918360773681190.8</v>
      </c>
      <c r="N94">
        <f>L94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1918360773681190.8</v>
      </c>
      <c r="O94">
        <f>(1-Summary!$B$11)*S94+Summary!$B$11*U94</f>
        <v>2194125134897861.5</v>
      </c>
      <c r="P94">
        <f>IF(B111=0,0,O94/B111)</f>
        <v>6.631291455386959E-2</v>
      </c>
      <c r="Q94">
        <f>IFERROR(1/(IF(Inputs!$B$38="pvp",15,MAX(0.1,Skills!E24-IF(TRUE=TRUE,Inputs!$B$32,0)))*(1-IF(AND(ArtifactsInput!$M$27,Inputs!$B$4="Chapter Hunt"),CHOOSE(ArtifactsInput!$N$27+1,20,24,28,32,36,40),0)/100)),0)</f>
        <v>1.2500000000000001E-2</v>
      </c>
      <c r="R94">
        <f>IF(AND(Inputs!$B$38&lt;&gt;"pvp",Inputs!$B$43&gt;0),IF(MAX(0,Inputs!$B$43-B108)&lt;=0,0,(INT(MAX(0,Inputs!$B$43-B108)/(IF(Inputs!$B$38="pvp",15,MAX(0.1,Skills!E24-IF(TRUE=TRUE,Inputs!$B$32,0)))*(1-IF(AND(ArtifactsInput!$M$27,Inputs!$B$4="Chapter Hunt"),CHOOSE(ArtifactsInput!$N$27+1,20,24,28,32,36,40),0)/100)))+1)),0)</f>
        <v>1</v>
      </c>
      <c r="S94">
        <f>IF(C94,(H94*N94*IF(AND(Inputs!$B$38&lt;&gt;"pvp",Inputs!$B$43&gt;0),((Skills!G24*((R94-1)*IF(Skills!H24&gt;0,Skills!I24/Skills!H24,1)+IF(Skills!H24&gt;0,MIN(Skills!I24,MAX(0,MAX(0,Inputs!$B$43-B108)-((R94-1)*(IF(Inputs!$B$38="pvp",15,MAX(0.1,Skills!E24-IF(TRUE=TRUE,Inputs!$B$32,0)))*(1-IF(AND(ArtifactsInput!$M$27,Inputs!$B$4="Chapter Hunt"),CHOOSE(ArtifactsInput!$N$27+1,20,24,28,32,36,40),0)/100)))))/Skills!H24,1)))/Inputs!$B$43),G94*Q94)*(1+IF(Inputs!$B$3&gt;=130,0.2*(Skills!I16/(1/Q85)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1140225684856757.8</v>
      </c>
      <c r="U94">
        <f>IF(C94,(H94*N94*IF(AND(Inputs!$B$38&lt;&gt;"pvp",Inputs!$B$43&gt;0),((Skills!G24*((R94-1)*IF(Skills!H24&gt;0,Skills!I24/Skills!H24,1)+IF(Skills!H24&gt;0,MIN(Skills!I24,MAX(0,MAX(0,Inputs!$B$43-B108)-((R94-1)*(IF(Inputs!$B$38="pvp",15,MAX(0.1,Skills!E24-IF(TRUE=TRUE,Inputs!$B$32,0)))*(1-IF(AND(ArtifactsInput!$M$27,Inputs!$B$4="Chapter Hunt"),CHOOSE(ArtifactsInput!$N$27+1,20,24,28,32,36,40),0)/100)))))/Skills!H24,1)))/Inputs!$B$43),G94*Q94)*(1+IF(Inputs!$B$3&gt;=130,0.2*(Skills!I16/(1/Q85)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3248024584938965.5</v>
      </c>
    </row>
    <row r="95" spans="1:21" x14ac:dyDescent="0.2">
      <c r="A95" t="str">
        <f>Skills!A25</f>
        <v>BUFF_MASTERY</v>
      </c>
      <c r="B95" t="str">
        <f>Skills!B25</f>
        <v>Buff Mastery</v>
      </c>
      <c r="C95" t="b">
        <f>Inputs!$B$3&gt;=117</f>
        <v>1</v>
      </c>
      <c r="D95">
        <f>IF(Skills!C25=1,60+Inputs!$B$25+Inputs!$B$29,IF(Skills!C25=2,90+Inputs!$B$26+Inputs!$B$29,IF(Skills!C25=3,120+Inputs!$B$27+Inputs!$B$29,MAX(0,(Inputs!$B$3-100)*3)+Inputs!$B$28+Inputs!$B$29)))</f>
        <v>185</v>
      </c>
      <c r="E95">
        <f>INDEX(FactorTable!$B$2:$Y$301, MATCH(ROUND(MIN(300,MAX(1,D95)),0), FactorTable!$A$2:$A$301,0), Skills!M25+1)</f>
        <v>1555</v>
      </c>
      <c r="F95">
        <f>IF(Skills!N25=TRUE,(Skills!L25/10)*(E95/1000),Skills!L25/10)+Skills!O25</f>
        <v>15.549999999999999</v>
      </c>
      <c r="G95">
        <f>Calc!G25</f>
        <v>1</v>
      </c>
      <c r="H95">
        <f>Calc!H25</f>
        <v>1</v>
      </c>
      <c r="I95">
        <f>IF(Skills!X25&lt;&gt;"",1+(Skills!X25/10)*(Z73/1000)/100,1)</f>
        <v>1</v>
      </c>
      <c r="O95">
        <f>(1-Summary!$B$11)*S95+Summary!$B$11*U95</f>
        <v>0</v>
      </c>
      <c r="P95">
        <f>IF(B111=0,0,O95/B111)</f>
        <v>0</v>
      </c>
      <c r="Q95">
        <f>IFERROR(1/(IF(Inputs!$B$38="pvp",15,MAX(0.1,Skills!E25-IF(TRUE=TRUE,Inputs!$B$32,0)))*(1-IF(AND(ArtifactsInput!$M$27,Inputs!$B$4="Chapter Hunt"),CHOOSE(ArtifactsInput!$N$27+1,20,24,28,32,36,40),0)/100)),0)</f>
        <v>10</v>
      </c>
      <c r="R95">
        <v>0</v>
      </c>
      <c r="S95">
        <v>0</v>
      </c>
      <c r="U95">
        <v>0</v>
      </c>
    </row>
    <row r="96" spans="1:21" x14ac:dyDescent="0.2">
      <c r="A96" t="str">
        <f>Skills!A26</f>
        <v>ARCANE_AIM</v>
      </c>
      <c r="B96" t="str">
        <f>Skills!B26</f>
        <v>Arcane Aim</v>
      </c>
      <c r="C96" t="b">
        <f>Inputs!$B$3&gt;=120</f>
        <v>0</v>
      </c>
      <c r="D96">
        <f>IF(Skills!C26=1,60+Inputs!$B$25+Inputs!$B$29,IF(Skills!C26=2,90+Inputs!$B$26+Inputs!$B$29,IF(Skills!C26=3,120+Inputs!$B$27+Inputs!$B$29,MAX(0,(Inputs!$B$3-100)*3)+Inputs!$B$28+Inputs!$B$29)))</f>
        <v>185</v>
      </c>
      <c r="E96">
        <f>INDEX(FactorTable!$B$2:$Y$301, MATCH(ROUND(MIN(300,MAX(1,D96)),0), FactorTable!$A$2:$A$301,0), Skills!M26+1)</f>
        <v>1555</v>
      </c>
      <c r="F96">
        <f>IF(Skills!N26=TRUE,(Skills!L26/10)*(E96/1000),Skills!L26/10)+Skills!O26</f>
        <v>4.665</v>
      </c>
      <c r="G96">
        <f>Calc!G26</f>
        <v>1</v>
      </c>
      <c r="H96">
        <f>Calc!H26</f>
        <v>1</v>
      </c>
      <c r="I96">
        <f>IF(Skills!X26&lt;&gt;"",1+(Skills!X26/10)*(Z73/1000)/100,1)</f>
        <v>1</v>
      </c>
      <c r="O96">
        <f>(1-Summary!$B$11)*S96+Summary!$B$11*U96</f>
        <v>0</v>
      </c>
      <c r="P96">
        <f>IF(B111=0,0,O96/B111)</f>
        <v>0</v>
      </c>
      <c r="Q96">
        <f>IFERROR(1/(IF(Inputs!$B$38="pvp",15,MAX(0.1,Skills!E26-IF(TRUE=TRUE,Inputs!$B$32,0)))*(1-IF(AND(ArtifactsInput!$M$27,Inputs!$B$4="Chapter Hunt"),CHOOSE(ArtifactsInput!$N$27+1,20,24,28,32,36,40),0)/100)),0)</f>
        <v>10</v>
      </c>
      <c r="R96">
        <v>0</v>
      </c>
      <c r="S96">
        <v>0</v>
      </c>
      <c r="U96">
        <v>0</v>
      </c>
    </row>
    <row r="97" spans="1:21" x14ac:dyDescent="0.2">
      <c r="A97" t="str">
        <f>Skills!A27</f>
        <v>FERVENT_DRAIN</v>
      </c>
      <c r="B97" t="str">
        <f>Skills!B27</f>
        <v>Fervent Drain</v>
      </c>
      <c r="C97" t="b">
        <f>Inputs!$B$3&gt;=125</f>
        <v>0</v>
      </c>
      <c r="D97">
        <f>IF(Skills!C27=1,60+Inputs!$B$25+Inputs!$B$29,IF(Skills!C27=2,90+Inputs!$B$26+Inputs!$B$29,IF(Skills!C27=3,120+Inputs!$B$27+Inputs!$B$29,MAX(0,(Inputs!$B$3-100)*3)+Inputs!$B$28+Inputs!$B$29)))</f>
        <v>185</v>
      </c>
      <c r="E97">
        <f>INDEX(FactorTable!$B$2:$Y$301, MATCH(ROUND(MIN(300,MAX(1,D97)),0), FactorTable!$A$2:$A$301,0), Skills!M27+1)</f>
        <v>1555</v>
      </c>
      <c r="F97">
        <f>IF(Skills!N27=TRUE,(Skills!L27/10)*(E97/1000),Skills!L27/10)+Skills!O27</f>
        <v>6.22</v>
      </c>
      <c r="G97">
        <f>Calc!G27</f>
        <v>1</v>
      </c>
      <c r="H97">
        <f>Calc!H27</f>
        <v>1</v>
      </c>
      <c r="I97">
        <f>IF(Skills!X27&lt;&gt;"",1+(Skills!X27/10)*(Z73/1000)/100,1)</f>
        <v>1</v>
      </c>
      <c r="O97">
        <f>(1-Summary!$B$11)*S97+Summary!$B$11*U97</f>
        <v>0</v>
      </c>
      <c r="P97">
        <f>IF(B111=0,0,O97/B111)</f>
        <v>0</v>
      </c>
      <c r="Q97">
        <f>IFERROR(1/(IF(Inputs!$B$38="pvp",15,MAX(0.1,Skills!E27-IF(TRUE=TRUE,Inputs!$B$32,0)))*(1-IF(AND(ArtifactsInput!$M$27,Inputs!$B$4="Chapter Hunt"),CHOOSE(ArtifactsInput!$N$27+1,20,24,28,32,36,40),0)/100)),0)</f>
        <v>10</v>
      </c>
      <c r="R97">
        <v>0</v>
      </c>
      <c r="S97">
        <v>0</v>
      </c>
      <c r="U97">
        <v>0</v>
      </c>
    </row>
    <row r="98" spans="1:21" x14ac:dyDescent="0.2">
      <c r="A98" t="str">
        <f>Skills!A28</f>
        <v>FLAME_HAZE_FOG</v>
      </c>
      <c r="B98" t="str">
        <f>Skills!B28</f>
        <v>Flame Haze (poison fog DoT)</v>
      </c>
      <c r="C98" t="b">
        <f>Inputs!$B$3&gt;=118</f>
        <v>0</v>
      </c>
      <c r="D98">
        <f>IF(Skills!C28=1,60+Inputs!$B$25+Inputs!$B$29,IF(Skills!C28=2,90+Inputs!$B$26+Inputs!$B$29,IF(Skills!C28=3,120+Inputs!$B$27+Inputs!$B$29,MAX(0,(Inputs!$B$3-100)*3)+Inputs!$B$28+Inputs!$B$29)))</f>
        <v>185</v>
      </c>
      <c r="E98">
        <f>INDEX(FactorTable!$B$2:$Y$301, MATCH(ROUND(MIN(300,MAX(1,D98)),0), FactorTable!$A$2:$A$301,0), Skills!M28+1)</f>
        <v>1925</v>
      </c>
      <c r="F98">
        <f>IF(Skills!N28=TRUE,(Skills!L28/10)*(E98/1000),Skills!L28/10)+Skills!O28</f>
        <v>134.75</v>
      </c>
      <c r="G98">
        <f>Calc!G28</f>
        <v>50</v>
      </c>
      <c r="H98">
        <f>Calc!H28</f>
        <v>1</v>
      </c>
      <c r="I98">
        <f>IF(Skills!X28&lt;&gt;"",1+(Skills!X28/10)*(Z73/1000)/100,1)</f>
        <v>1</v>
      </c>
      <c r="J98">
        <f>((Inputs!$B$6*(1+Inputs!$B$7/100))+((((Inputs!$B$12+1)*(1+Inputs!$B$13/100))-(Inputs!$B$12*(1+Inputs!$B$13/100)))+0.25*(Inputs!$B$14-Inputs!$B$14))*(1+Inputs!$B$7/100))*(F98/100)</f>
        <v>486630540.71507394</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2445224024691.3413</v>
      </c>
      <c r="L98">
        <f>K98*(MIN(Inputs!$B$22+(F92-Calc!F22),(Inputs!$B$23+(IF(ArtifactsInput!$M$15,CHOOSE(ArtifactsInput!$N$15+1,25,30,35,40,45,50)/100*(Inputs!$B$11-Inputs!$B$11),0))))/100+(Inputs!$B$23+(IF(ArtifactsInput!$M$15,CHOOSE(ArtifactsInput!$N$15+1,25,30,35,40,45,50)/100*(Inputs!$B$11-Inputs!$B$11),0)))/100)/2</f>
        <v>8130369882098.71</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38367215473623.805</v>
      </c>
      <c r="N98">
        <f>L98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38367215473623.805</v>
      </c>
      <c r="O98">
        <f>(1-Summary!$B$11)*S98+Summary!$B$11*U98</f>
        <v>0</v>
      </c>
      <c r="P98">
        <f>IF(B111=0,0,O98/B111)</f>
        <v>0</v>
      </c>
      <c r="Q98">
        <f>IFERROR(1/(IF(Inputs!$B$38="pvp",15,MAX(0.1,Skills!E28-IF(TRUE=TRUE,Inputs!$B$32,0)))*(1-IF(AND(ArtifactsInput!$M$27,Inputs!$B$4="Chapter Hunt"),CHOOSE(ArtifactsInput!$N$27+1,20,24,28,32,36,40),0)/100)),0)</f>
        <v>0.04</v>
      </c>
      <c r="R98">
        <f>IF(AND(Inputs!$B$38&lt;&gt;"pvp",Inputs!$B$43&gt;0),IF(MAX(0,Inputs!$B$43-B108)&lt;=0,0,(INT(MAX(0,Inputs!$B$43-B108)/(IF(Inputs!$B$38="pvp",15,MAX(0.1,Skills!E28-IF(TRUE=TRUE,Inputs!$B$32,0)))*(1-IF(AND(ArtifactsInput!$M$27,Inputs!$B$4="Chapter Hunt"),CHOOSE(ArtifactsInput!$N$27+1,20,24,28,32,36,40),0)/100)))+1)),0)</f>
        <v>2</v>
      </c>
      <c r="S98">
        <f>IF(C98,(H98*N98*IF(AND(Inputs!$B$38&lt;&gt;"pvp",Inputs!$B$43&gt;0),((Skills!G28*((R98-1)*IF(Skills!H28&gt;0,Skills!I28/Skills!H28,1)+IF(Skills!H28&gt;0,MIN(Skills!I28,MAX(0,MAX(0,Inputs!$B$43-B108)-((R98-1)*(IF(Inputs!$B$38="pvp",15,MAX(0.1,Skills!E28-IF(TRUE=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8">
        <f>IF(C98,(H98*N98*IF(AND(Inputs!$B$38&lt;&gt;"pvp",Inputs!$B$43&gt;0),((Skills!G28*((R98-1)*IF(Skills!H28&gt;0,Skills!I28/Skills!H28,1)+IF(Skills!H28&gt;0,MIN(Skills!I28,MAX(0,MAX(0,Inputs!$B$43-B108)-((R98-1)*(IF(Inputs!$B$38="pvp",15,MAX(0.1,Skills!E28-IF(TRUE=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0" spans="1:21" x14ac:dyDescent="0.2">
      <c r="A100" t="s">
        <v>356</v>
      </c>
      <c r="B100">
        <f>1+(F81*Skills!Z11)/100</f>
        <v>1.25</v>
      </c>
    </row>
    <row r="101" spans="1:21" x14ac:dyDescent="0.2">
      <c r="A101" t="s">
        <v>435</v>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1.18624</v>
      </c>
    </row>
    <row r="102" spans="1:21" x14ac:dyDescent="0.2">
      <c r="A102" t="s">
        <v>358</v>
      </c>
      <c r="B102">
        <f>(1+(F76*IF(AND(Inputs!$B$38&lt;&gt;"pvp",Inputs!$B$43&gt;0),(((R76-1)*MIN((Skills!T6*(1+((Inputs!$B$34+(ArtifactsInput!$M$7-ArtifactsInput!$M$7)*CHOOSE(ArtifactsInput!$N$7+1,6,7.2,8.4,9.6,10.8,12)))/100)),(1/Q76))+MIN((Skills!T6*(1+((Inputs!$B$34+(ArtifactsInput!$M$7-ArtifactsInput!$M$7)*CHOOSE(ArtifactsInput!$N$7+1,6,7.2,8.4,9.6,10.8,12)))/100)),MAX(0,Inputs!$B$43-((R76-1)*(1/Q76)))))/Inputs!$B$43),IF(Inputs!$B$38="pvp",MIN((Skills!T6*(1+((Inputs!$B$34+(ArtifactsInput!$M$7-ArtifactsInput!$M$7)*CHOOSE(ArtifactsInput!$N$7+1,6,7.2,8.4,9.6,10.8,12)))/100)),15)/15,MIN(1,(Skills!T6*(1+((Inputs!$B$34+(ArtifactsInput!$M$7-ArtifactsInput!$M$7)*CHOOSE(ArtifactsInput!$N$7+1,6,7.2,8.4,9.6,10.8,12)))/100))/(1/Q76))))+F87*IF(AND(Inputs!$B$38&lt;&gt;"pvp",Inputs!$B$43&gt;0),(((R87-1)*MIN((Skills!T17*(1+((Inputs!$B$34+(ArtifactsInput!$M$7-ArtifactsInput!$M$7)*CHOOSE(ArtifactsInput!$N$7+1,6,7.2,8.4,9.6,10.8,12)))/100)),(1/Q87))+MIN((Skills!T17*(1+((Inputs!$B$34+(ArtifactsInput!$M$7-ArtifactsInput!$M$7)*CHOOSE(ArtifactsInput!$N$7+1,6,7.2,8.4,9.6,10.8,12)))/100)),MAX(0,Inputs!$B$43-((R87-1)*(1/Q87)))))/Inputs!$B$43),IF(Inputs!$B$38="pvp",MIN((Skills!T17*(1+((Inputs!$B$34+(ArtifactsInput!$M$7-ArtifactsInput!$M$7)*CHOOSE(ArtifactsInput!$N$7+1,6,7.2,8.4,9.6,10.8,12)))/100)),15)/15,MIN(1,(Skills!T17*(1+((Inputs!$B$34+(ArtifactsInput!$M$7-ArtifactsInput!$M$7)*CHOOSE(ArtifactsInput!$N$7+1,6,7.2,8.4,9.6,10.8,12)))/100))/(1/Q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MIN((Skills!T19*(1+((Inputs!$B$34+(ArtifactsInput!$M$7-ArtifactsInput!$M$7)*CHOOSE(ArtifactsInput!$N$7+1,6,7.2,8.4,9.6,10.8,12)))/100)),(1/Q89))+MIN((Skills!T19*(1+((Inputs!$B$34+(ArtifactsInput!$M$7-ArtifactsInput!$M$7)*CHOOSE(ArtifactsInput!$N$7+1,6,7.2,8.4,9.6,10.8,12)))/100)),MAX(0,Inputs!$B$43-((R89-1)*(1/Q89)))))/Inputs!$B$43),IF(Inputs!$B$38="pvp",MIN((Skills!T19*(1+((Inputs!$B$34+(ArtifactsInput!$M$7-ArtifactsInput!$M$7)*CHOOSE(ArtifactsInput!$N$7+1,6,7.2,8.4,9.6,10.8,12)))/100)),15)/15,MIN(1,(Skills!T19*(1+((Inputs!$B$34+(ArtifactsInput!$M$7-ArtifactsInput!$M$7)*CHOOSE(ArtifactsInput!$N$7+1,6,7.2,8.4,9.6,10.8,12)))/100))/(1/Q89))))/100),1)</f>
        <v>1.7965808377980694</v>
      </c>
    </row>
    <row r="103" spans="1:21" x14ac:dyDescent="0.2">
      <c r="A103" t="s">
        <v>359</v>
      </c>
      <c r="B103">
        <f>F88*IF(AND(Inputs!$B$38&lt;&gt;"pvp",Inputs!$B$43&gt;0),(((R88-1)*MIN((Skills!T18*(1+((Inputs!$B$34+(ArtifactsInput!$M$7-ArtifactsInput!$M$7)*CHOOSE(ArtifactsInput!$N$7+1,6,7.2,8.4,9.6,10.8,12)))/100)),(1/Q88))+MIN((Skills!T18*(1+((Inputs!$B$34+(ArtifactsInput!$M$7-ArtifactsInput!$M$7)*CHOOSE(ArtifactsInput!$N$7+1,6,7.2,8.4,9.6,10.8,12)))/100)),MAX(0,Inputs!$B$43-((R88-1)*(1/Q88)))))/Inputs!$B$43),IF(Inputs!$B$38="pvp",MIN((Skills!T18*(1+((Inputs!$B$34+(ArtifactsInput!$M$7-ArtifactsInput!$M$7)*CHOOSE(ArtifactsInput!$N$7+1,6,7.2,8.4,9.6,10.8,12)))/100)),15)/15,MIN(1,(Skills!T18*(1+((Inputs!$B$34+(ArtifactsInput!$M$7-ArtifactsInput!$M$7)*CHOOSE(ArtifactsInput!$N$7+1,6,7.2,8.4,9.6,10.8,12)))/100))/(1/Q88))))</f>
        <v>6.4968749999999993</v>
      </c>
    </row>
    <row r="104" spans="1:21" x14ac:dyDescent="0.2">
      <c r="A104" t="s">
        <v>436</v>
      </c>
      <c r="B104">
        <f>1+MIN(150,150*(1-(1-(Inputs!$B$11+(ArtifactsInput!$M$15-ArtifactsInput!$M$15)*CHOOSE(ArtifactsInput!$N$15+1,8,9.6,11.2,12.8,14.4,16))/150)*(1-B103/150)))/100</f>
        <v>1.6982958749999999</v>
      </c>
    </row>
    <row r="105" spans="1:21" x14ac:dyDescent="0.2">
      <c r="A105" t="s">
        <v>437</v>
      </c>
      <c r="B105">
        <f>IF(AND(Inputs!$B$38&lt;&gt;"pvp",Inputs!$B$43&gt;0),SUMPRODUCT((Skills!F2:F28=TRUE)*(C72:C98=TRUE)*R72:R98)/Inputs!$B$43,SUMPRODUCT((Skills!F2:F28=TRUE)*(C72:C98=TRUE)*Q72:Q98))</f>
        <v>0.47499999999999998</v>
      </c>
    </row>
    <row r="106" spans="1:21" x14ac:dyDescent="0.2">
      <c r="A106" t="s">
        <v>362</v>
      </c>
      <c r="B106">
        <f>MAX(0,B104-B105)</f>
        <v>1.2232958749999998</v>
      </c>
    </row>
    <row r="107" spans="1:21" x14ac:dyDescent="0.2">
      <c r="A107" t="s">
        <v>438</v>
      </c>
      <c r="B107">
        <f>IF(AND(Inputs!$B$38&lt;&gt;"pvp",Inputs!$B$43&gt;0),SUMPRODUCT((Skills!V2:V28=TRUE)*(C72:C98=TRUE)*R72:R98*Skills!W2:W28)/Inputs!$B$43,SUMPRODUCT((Skills!V2:V28=TRUE)*(C72:C98=TRUE)*Q72:Q98*Skills!W2:W28))+B106</f>
        <v>1.5482958749999998</v>
      </c>
    </row>
    <row r="108" spans="1:21" x14ac:dyDescent="0.2">
      <c r="A108" t="s">
        <v>439</v>
      </c>
      <c r="B108">
        <f>IF(AND(Inputs!$B$38&lt;&gt;"pvp",Inputs!$B$43&gt;0),SUMPRODUCT((Skills!T2:T28&gt;0)*(Skills!F2:F28=TRUE)*(C72:C98=TRUE))/B104,0)</f>
        <v>2.3553021937358238</v>
      </c>
    </row>
    <row r="109" spans="1:21" x14ac:dyDescent="0.2">
      <c r="A109" t="s">
        <v>440</v>
      </c>
      <c r="B109">
        <f>SUM(S72:S98)</f>
        <v>9517436435783346</v>
      </c>
    </row>
    <row r="110" spans="1:21" x14ac:dyDescent="0.2">
      <c r="A110" t="s">
        <v>441</v>
      </c>
      <c r="B110">
        <f>SUM(U72:U98)</f>
        <v>5.6657460253924168E+16</v>
      </c>
    </row>
    <row r="111" spans="1:21" x14ac:dyDescent="0.2">
      <c r="A111" s="6" t="s">
        <v>348</v>
      </c>
      <c r="B111" s="6">
        <f>SUM(O72:O98)</f>
        <v>3.3087448344853764E+16</v>
      </c>
    </row>
    <row r="114" spans="1:26" x14ac:dyDescent="0.2">
      <c r="A114" s="6" t="s">
        <v>442</v>
      </c>
    </row>
    <row r="115" spans="1:26" x14ac:dyDescent="0.2">
      <c r="A115" s="5" t="s">
        <v>136</v>
      </c>
      <c r="B115" s="5" t="s">
        <v>137</v>
      </c>
      <c r="C115" s="5" t="s">
        <v>328</v>
      </c>
      <c r="D115" s="5" t="s">
        <v>329</v>
      </c>
      <c r="E115" s="5" t="s">
        <v>330</v>
      </c>
      <c r="F115" s="5" t="s">
        <v>331</v>
      </c>
      <c r="G115" s="5" t="s">
        <v>332</v>
      </c>
      <c r="H115" s="5" t="s">
        <v>333</v>
      </c>
      <c r="I115" s="5" t="s">
        <v>334</v>
      </c>
      <c r="J115" s="5" t="s">
        <v>335</v>
      </c>
      <c r="K115" s="5" t="s">
        <v>336</v>
      </c>
      <c r="L115" s="5" t="s">
        <v>337</v>
      </c>
      <c r="M115" s="5" t="s">
        <v>338</v>
      </c>
      <c r="N115" s="5" t="s">
        <v>339</v>
      </c>
      <c r="O115" s="5" t="s">
        <v>340</v>
      </c>
      <c r="P115" s="5" t="s">
        <v>341</v>
      </c>
      <c r="R115" t="s">
        <v>434</v>
      </c>
    </row>
    <row r="116" spans="1:26" x14ac:dyDescent="0.2">
      <c r="A116" t="str">
        <f>Skills!A2</f>
        <v>BASIC_ATTACK</v>
      </c>
      <c r="B116" t="str">
        <f>Skills!B2</f>
        <v>Basic Attack</v>
      </c>
      <c r="C116" t="b">
        <f>TRUE</f>
        <v>1</v>
      </c>
      <c r="F116">
        <f>T118+Skills!O2</f>
        <v>537.6</v>
      </c>
      <c r="G116">
        <f>Calc!G2</f>
        <v>5</v>
      </c>
      <c r="H116">
        <f>Calc!H2</f>
        <v>1</v>
      </c>
      <c r="I116">
        <f>IF(Skills!X2&lt;&gt;"",1+(Skills!X2/10)*(Z117/1000)/100,1)</f>
        <v>1</v>
      </c>
      <c r="J116">
        <f>((Inputs!$B$6*(1+Inputs!$B$7/100))+(((Inputs!$B$12*(1+(Inputs!$B$13+1)/100))-(Inputs!$B$12*(1+Inputs!$B$13/100)))+0.25*(Inputs!$B$14-Inputs!$B$14))*(1+Inputs!$B$7/100))*(F116/100)</f>
        <v>1942667077.7484903</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6640891070643.3164</v>
      </c>
      <c r="L116">
        <f>K116*(MIN(Inputs!$B$22+(F136-Calc!F22),(Inputs!$B$23+(IF(ArtifactsInput!$M$15,CHOOSE(ArtifactsInput!$N$15+1,25,30,35,40,45,50)/100*(Inputs!$B$11-Inputs!$B$11),0))))/100+(Inputs!$B$23+(IF(ArtifactsInput!$M$15,CHOOSE(ArtifactsInput!$N$15+1,25,30,35,40,45,50)/100*(Inputs!$B$11-Inputs!$B$11),0)))/100)/2</f>
        <v>22080962809889.027</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104200063499866.31</v>
      </c>
      <c r="N116">
        <f>L116*(1-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104200063499866.31</v>
      </c>
      <c r="O116">
        <f>(1-Summary!$B$11)*S116+Summary!$B$11*U116</f>
        <v>1.255236283593491E+16</v>
      </c>
      <c r="P116">
        <f>IF(B155=0,0,O116/B155)</f>
        <v>0.378199388854495</v>
      </c>
      <c r="Q116">
        <f>IFERROR(1/(IF(Inputs!$B$38="pvp",15,MAX(0.1,Skills!E2-IF(TRUE=TRUE,Inputs!$B$32,0)))*(1-IF(AND(ArtifactsInput!$M$27,Inputs!$B$4="Chapter Hunt"),CHOOSE(ArtifactsInput!$N$27+1,20,24,28,32,36,40),0)/100)),0)</f>
        <v>10</v>
      </c>
      <c r="R116">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2084093753414935.5</v>
      </c>
      <c r="T116">
        <f>MAX(0,(Inputs!$B$3-100)*3)+Inputs!$B$28+Inputs!$B$29</f>
        <v>185</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2.3020631918454884E+16</v>
      </c>
      <c r="Z116">
        <f>MAX(0,(Inputs!$B$3-100)*3)+Inputs!$B$28+Inputs!$B$29</f>
        <v>185</v>
      </c>
    </row>
    <row r="117" spans="1:26" x14ac:dyDescent="0.2">
      <c r="A117" t="str">
        <f>Skills!A3</f>
        <v>IGNITE</v>
      </c>
      <c r="B117" t="str">
        <f>Skills!B3</f>
        <v>Ignite</v>
      </c>
      <c r="C117" t="b">
        <f>TRUE</f>
        <v>1</v>
      </c>
      <c r="D117">
        <f>IF(Skills!C3=1,60+Inputs!$B$25+Inputs!$B$29,IF(Skills!C3=2,90+Inputs!$B$26+Inputs!$B$29,IF(Skills!C3=3,120+Inputs!$B$27+Inputs!$B$29,MAX(0,(Inputs!$B$3-100)*3)+Inputs!$B$28+Inputs!$B$29)))</f>
        <v>168</v>
      </c>
      <c r="E117">
        <f>INDEX(FactorTable!$B$2:$Y$301, MATCH(ROUND(MIN(300,MAX(1,D117)),0), FactorTable!$A$2:$A$301,0), Skills!M3+1)</f>
        <v>1672</v>
      </c>
      <c r="F117">
        <f>IF(Skills!N3=TRUE,(Skills!L3/10)*(E117/1000),Skills!L3/10)+Skills!O3</f>
        <v>121.736</v>
      </c>
      <c r="G117">
        <f>Calc!G3</f>
        <v>3</v>
      </c>
      <c r="H117">
        <f>Calc!H3</f>
        <v>1</v>
      </c>
      <c r="I117">
        <f>IF(Skills!X3&lt;&gt;"",1+(Skills!X3/10)*(Z117/1000)/100,1)</f>
        <v>4.8250000000000002</v>
      </c>
      <c r="J117">
        <f>((Inputs!$B$6*(1+Inputs!$B$7/100))+(((Inputs!$B$12*(1+(Inputs!$B$13+1)/100))-(Inputs!$B$12*(1+Inputs!$B$13/100)))+0.25*(Inputs!$B$14-Inputs!$B$14))*(1+Inputs!$B$7/100))*(F117/100)</f>
        <v>439904239.91218418</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10691720842542.611</v>
      </c>
      <c r="L117">
        <f>K117*(MIN(Inputs!$B$22+(F136-Calc!F22),(Inputs!$B$23+(IF(ArtifactsInput!$M$15,CHOOSE(ArtifactsInput!$N$15+1,25,30,35,40,45,50)/100*(Inputs!$B$11-Inputs!$B$11),0))))/100+(Inputs!$B$23+(IF(ArtifactsInput!$M$15,CHOOSE(ArtifactsInput!$N$15+1,25,30,35,40,45,50)/100*(Inputs!$B$11-Inputs!$B$11),0)))/100)/2</f>
        <v>35549971801454.188</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167760316931062.28</v>
      </c>
      <c r="N117">
        <f>L117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167760316931062.28</v>
      </c>
      <c r="O117">
        <f>(1-Summary!$B$11)*S117+Summary!$B$11*U117</f>
        <v>2916513109846517.5</v>
      </c>
      <c r="P117">
        <f>IF(B155=0,0,O117/B155)</f>
        <v>8.7873772463965077E-2</v>
      </c>
      <c r="Q117">
        <f>IFERROR(1/(IF(Inputs!$B$38="pvp",15,MAX(0.1,Skills!E3-IF(FALSE=TRUE,Inputs!$B$32,0)))*(1-IF(AND(ArtifactsInput!$M$27,Inputs!$B$4="Chapter Hunt"),CHOOSE(ArtifactsInput!$N$27+1,20,24,28,32,36,40),0)/100)),0)</f>
        <v>1</v>
      </c>
      <c r="R117">
        <f>IF(AND(Inputs!$B$38&lt;&gt;"pvp",Inputs!$B$43&gt;0),IF(MAX(0,Inputs!$B$43-B152)&lt;=0,0,(INT(MAX(0,Inputs!$B$43-B152)/(IF(Inputs!$B$38="pvp",15,MAX(0.1,Skills!E3-IF(FALSE=TRUE,Inputs!$B$32,0)))*(1-IF(AND(ArtifactsInput!$M$27,Inputs!$B$4="Chapter Hunt"),CHOOSE(ArtifactsInput!$N$27+1,20,24,28,32,36,40),0)/100)))+1)),0)</f>
        <v>38</v>
      </c>
      <c r="S117">
        <f>IF(C117,(H117*N117*IF(AND(Inputs!$B$38&lt;&gt;"pvp",Inputs!$B$43&gt;0),((Skills!G3*((R117-1)*IF(Skills!H3&gt;0,Skills!I3/Skills!H3,1)+IF(Skills!H3&gt;0,MIN(Skills!I3,MAX(0,MAX(0,Inputs!$B$43-B152)-((R117-1)*(IF(Inputs!$B$38="pvp",15,MAX(0.1,Skills!E3-IF(FALSE=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1515630583313682.2</v>
      </c>
      <c r="T117">
        <f>INDEX(FactorTable!$B$2:$Y$301, MATCH(ROUND(MIN(300,MAX(1,T116)),0), FactorTable!$A$2:$A$301,0), 22)</f>
        <v>1740</v>
      </c>
      <c r="U117">
        <f>IF(C117,(H117*N117*IF(AND(Inputs!$B$38&lt;&gt;"pvp",Inputs!$B$43&gt;0),((Skills!G3*((R117-1)*IF(Skills!H3&gt;0,Skills!I3/Skills!H3,1)+IF(Skills!H3&gt;0,MIN(Skills!I3,MAX(0,MAX(0,Inputs!$B$43-B152)-((R117-1)*(IF(Inputs!$B$38="pvp",15,MAX(0.1,Skills!E3-IF(FALSE=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4317395636379353</v>
      </c>
      <c r="Z117">
        <f>INDEX(FactorTable!$B$2:$Y$301, MATCH(ROUND(MIN(300,MAX(1,Z116)),0), FactorTable!$A$2:$A$301,0), 24)</f>
        <v>7650</v>
      </c>
    </row>
    <row r="118" spans="1:26" x14ac:dyDescent="0.2">
      <c r="A118" t="str">
        <f>Skills!A4</f>
        <v>POISON_BREATH</v>
      </c>
      <c r="B118" t="str">
        <f>Skills!B4</f>
        <v>Poison Breath</v>
      </c>
      <c r="C118" t="b">
        <f>TRUE</f>
        <v>1</v>
      </c>
      <c r="D118">
        <f>IF(Skills!C4=1,60+Inputs!$B$25+Inputs!$B$29,IF(Skills!C4=2,90+Inputs!$B$26+Inputs!$B$29,IF(Skills!C4=3,120+Inputs!$B$27+Inputs!$B$29,MAX(0,(Inputs!$B$3-100)*3)+Inputs!$B$28+Inputs!$B$29)))</f>
        <v>168</v>
      </c>
      <c r="E118">
        <f>INDEX(FactorTable!$B$2:$Y$301, MATCH(ROUND(MIN(300,MAX(1,D118)),0), FactorTable!$A$2:$A$301,0), Skills!M4+1)</f>
        <v>1840</v>
      </c>
      <c r="F118">
        <f>IF(Skills!N4=TRUE,(Skills!L4/10)*(E118/1000),Skills!L4/10)+Skills!O4</f>
        <v>438</v>
      </c>
      <c r="G118">
        <f>Calc!G4</f>
        <v>3</v>
      </c>
      <c r="H118">
        <f>Calc!H4</f>
        <v>1</v>
      </c>
      <c r="I118">
        <f>IF(Skills!X4&lt;&gt;"",1+(Skills!X4/10)*(Z117/1000)/100,1)</f>
        <v>7.12</v>
      </c>
      <c r="J118">
        <f>((Inputs!$B$6*(1+Inputs!$B$7/100))+(((Inputs!$B$12*(1+(Inputs!$B$13+1)/100))-(Inputs!$B$12*(1+Inputs!$B$13/100)))+0.25*(Inputs!$B$14-Inputs!$B$14))*(1+Inputs!$B$7/100))*(F118/100)</f>
        <v>1582753311.1120512</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56765617930586.383</v>
      </c>
      <c r="L118">
        <f>K118*(MIN(Inputs!$B$22+(F136-Calc!F22),(Inputs!$B$23+(IF(ArtifactsInput!$M$15,CHOOSE(ArtifactsInput!$N$15+1,25,30,35,40,45,50)/100*(Inputs!$B$11-Inputs!$B$11),0))))/100+(Inputs!$B$23+(IF(ArtifactsInput!$M$15,CHOOSE(ArtifactsInput!$N$15+1,25,30,35,40,45,50)/100*(Inputs!$B$11-Inputs!$B$11),0)))/100)/2</f>
        <v>188745679619199.72</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890690862123003.38</v>
      </c>
      <c r="N118">
        <f>L118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890690862123003.38</v>
      </c>
      <c r="O118">
        <f>(1-Summary!$B$11)*S118+Summary!$B$11*U118</f>
        <v>2127303787823028</v>
      </c>
      <c r="P118">
        <f>IF(B155=0,0,O118/B155)</f>
        <v>6.4095103286790731E-2</v>
      </c>
      <c r="Q118">
        <f>IFERROR(1/(IF(Inputs!$B$38="pvp",15,MAX(0.1,Skills!E4-IF(TRUE=TRUE,Inputs!$B$32,0)))*(1-IF(AND(ArtifactsInput!$M$27,Inputs!$B$4="Chapter Hunt"),CHOOSE(ArtifactsInput!$N$27+1,20,24,28,32,36,40),0)/100)),0)</f>
        <v>5.5555555555555552E-2</v>
      </c>
      <c r="R118">
        <f>IF(AND(Inputs!$B$38&lt;&gt;"pvp",Inputs!$B$43&gt;0),IF(MAX(0,Inputs!$B$43-B152)&lt;=0,0,(INT(MAX(0,Inputs!$B$43-B152)/(IF(Inputs!$B$38="pvp",15,MAX(0.1,Skills!E4-IF(TRUE=TRUE,Inputs!$B$32,0)))*(1-IF(AND(ArtifactsInput!$M$27,Inputs!$B$4="Chapter Hunt"),CHOOSE(ArtifactsInput!$N$27+1,20,24,28,32,36,40),0)/100)))+1)),0)</f>
        <v>3</v>
      </c>
      <c r="S118">
        <f>IF(C118,(H118*N118*IF(AND(Inputs!$B$38&lt;&gt;"pvp",Inputs!$B$43&gt;0),((Skills!G4*((R118-1)*IF(Skills!H4&gt;0,Skills!I4/Skills!H4,1)+IF(Skills!H4&gt;0,MIN(Skills!I4,MAX(0,MAX(0,Inputs!$B$43-B152)-((R118-1)*(IF(Inputs!$B$38="pvp",15,MAX(0.1,Skills!E4-IF(TRUE=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635285257409232.12</v>
      </c>
      <c r="T118">
        <f>290*T117/1000</f>
        <v>504.6</v>
      </c>
      <c r="U118">
        <f>IF(C118,(H118*N118*IF(AND(Inputs!$B$38&lt;&gt;"pvp",Inputs!$B$43&gt;0),((Skills!G4*((R118-1)*IF(Skills!H4&gt;0,Skills!I4/Skills!H4,1)+IF(Skills!H4&gt;0,MIN(Skills!I4,MAX(0,MAX(0,Inputs!$B$43-B152)-((R118-1)*(IF(Inputs!$B$38="pvp",15,MAX(0.1,Skills!E4-IF(TRUE=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3619322318236824</v>
      </c>
    </row>
    <row r="119" spans="1:26" x14ac:dyDescent="0.2">
      <c r="A119" t="str">
        <f>Skills!A5</f>
        <v>ELEMENTAL_DRAIN</v>
      </c>
      <c r="B119" t="str">
        <f>Skills!B5</f>
        <v>Elemental Drain</v>
      </c>
      <c r="C119" t="b">
        <f>TRUE</f>
        <v>1</v>
      </c>
      <c r="D119">
        <f>IF(Skills!C5=1,60+Inputs!$B$25+Inputs!$B$29,IF(Skills!C5=2,90+Inputs!$B$26+Inputs!$B$29,IF(Skills!C5=3,120+Inputs!$B$27+Inputs!$B$29,MAX(0,(Inputs!$B$3-100)*3)+Inputs!$B$28+Inputs!$B$29)))</f>
        <v>168</v>
      </c>
      <c r="E119">
        <f>INDEX(FactorTable!$B$2:$Y$301, MATCH(ROUND(MIN(300,MAX(1,D119)),0), FactorTable!$A$2:$A$301,0), Skills!M5+1)</f>
        <v>1672</v>
      </c>
      <c r="F119">
        <f>IF(Skills!N5=TRUE,(Skills!L5/10)*(E119/1000),Skills!L5/10)+Skills!O5</f>
        <v>20.064</v>
      </c>
      <c r="G119">
        <f>Calc!G5</f>
        <v>5</v>
      </c>
      <c r="H119">
        <f>Calc!H5</f>
        <v>1</v>
      </c>
      <c r="I119">
        <f>IF(Skills!X5&lt;&gt;"",1+(Skills!X5/10)*(Z117/1000)/100,1)</f>
        <v>12.475</v>
      </c>
      <c r="J119">
        <f>((Inputs!$B$6*(1+Inputs!$B$7/100))+(((Inputs!$B$12*(1+(Inputs!$B$13+1)/100))-(Inputs!$B$12*(1+Inputs!$B$13/100)))+0.25*(Inputs!$B$14-Inputs!$B$14))*(1+Inputs!$B$7/100))*(F119/100)</f>
        <v>72503110.580256164</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4556058996151.1338</v>
      </c>
      <c r="L119">
        <f>K119*(MIN(Inputs!$B$22+(F136-Calc!F22),(Inputs!$B$23+(IF(ArtifactsInput!$M$15,CHOOSE(ArtifactsInput!$N$15+1,25,30,35,40,45,50)/100*(Inputs!$B$11-Inputs!$B$11),0))))/100+(Inputs!$B$23+(IF(ArtifactsInput!$M$15,CHOOSE(ArtifactsInput!$N$15+1,25,30,35,40,45,50)/100*(Inputs!$B$11-Inputs!$B$11),0)))/100)/2</f>
        <v>15148896162202.521</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71487640989433.688</v>
      </c>
      <c r="N119">
        <f>L119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71487640989433.688</v>
      </c>
      <c r="O119">
        <f>(1-Summary!$B$11)*S119+Summary!$B$11*U119</f>
        <v>1049259850622412.8</v>
      </c>
      <c r="P119">
        <f>IF(B155=0,0,O119/B155)</f>
        <v>3.1613923166633758E-2</v>
      </c>
      <c r="Q119">
        <f>IFERROR(1/(IF(Inputs!$B$38="pvp",15,MAX(0.1,Skills!E5-IF(FALSE=TRUE,Inputs!$B$32,0)))*(1-IF(AND(ArtifactsInput!$M$27,Inputs!$B$4="Chapter Hunt"),CHOOSE(ArtifactsInput!$N$27+1,20,24,28,32,36,40),0)/100)),0)</f>
        <v>1</v>
      </c>
      <c r="R119">
        <f>IF(AND(Inputs!$B$38&lt;&gt;"pvp",Inputs!$B$43&gt;0),IF(MAX(0,Inputs!$B$43-B152)&lt;=0,0,(INT(MAX(0,Inputs!$B$43-B152)/(IF(Inputs!$B$38="pvp",15,MAX(0.1,Skills!E5-IF(FALSE=TRUE,Inputs!$B$32,0)))*(1-IF(AND(ArtifactsInput!$M$27,Inputs!$B$4="Chapter Hunt"),CHOOSE(ArtifactsInput!$N$27+1,20,24,28,32,36,40),0)/100)))+1)),0)</f>
        <v>38</v>
      </c>
      <c r="S119">
        <f>IF(C119,(H119*N119*IF(AND(Inputs!$B$38&lt;&gt;"pvp",Inputs!$B$43&gt;0),((Skills!G5*((R119-1)*IF(Skills!H5&gt;0,Skills!I5/Skills!H5,1)+IF(Skills!H5&gt;0,MIN(Skills!I5,MAX(0,MAX(0,Inputs!$B$43-B152)-((R119-1)*(IF(Inputs!$B$38="pvp",15,MAX(0.1,Skills!E5-IF(FALSE=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1076425154198397.6</v>
      </c>
      <c r="U119">
        <f>IF(C119,(H119*N119*IF(AND(Inputs!$B$38&lt;&gt;"pvp",Inputs!$B$43&gt;0),((Skills!G5*((R119-1)*IF(Skills!H5&gt;0,Skills!I5/Skills!H5,1)+IF(Skills!H5&gt;0,MIN(Skills!I5,MAX(0,MAX(0,Inputs!$B$43-B152)-((R119-1)*(IF(Inputs!$B$38="pvp",15,MAX(0.1,Skills!E5-IF(FALSE=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1022094547046428</v>
      </c>
    </row>
    <row r="120" spans="1:26" x14ac:dyDescent="0.2">
      <c r="A120" t="str">
        <f>Skills!A6</f>
        <v>MEDITATION</v>
      </c>
      <c r="B120" t="str">
        <f>Skills!B6</f>
        <v>Meditation</v>
      </c>
      <c r="C120" t="b">
        <f>TRUE</f>
        <v>1</v>
      </c>
      <c r="D120">
        <f>IF(Skills!C6=1,60+Inputs!$B$25+Inputs!$B$29,IF(Skills!C6=2,90+Inputs!$B$26+Inputs!$B$29,IF(Skills!C6=3,120+Inputs!$B$27+Inputs!$B$29,MAX(0,(Inputs!$B$3-100)*3)+Inputs!$B$28+Inputs!$B$29)))</f>
        <v>168</v>
      </c>
      <c r="E120">
        <f>INDEX(FactorTable!$B$2:$Y$301, MATCH(ROUND(MIN(300,MAX(1,D120)),0), FactorTable!$A$2:$A$301,0), Skills!M6+1)</f>
        <v>1672</v>
      </c>
      <c r="F120">
        <f>IF(Skills!N6=TRUE,(Skills!L6/10)*(E120/1000),Skills!L6/10)+Skills!O6</f>
        <v>33.44</v>
      </c>
      <c r="G120">
        <f>Calc!G6</f>
        <v>1</v>
      </c>
      <c r="H120">
        <f>Calc!H6</f>
        <v>1</v>
      </c>
      <c r="I120">
        <f>IF(Skills!X6&lt;&gt;"",1+(Skills!X6/10)*(Z117/1000)/100,1)</f>
        <v>1</v>
      </c>
      <c r="O120">
        <f>(1-Summary!$B$11)*S120+Summary!$B$11*U120</f>
        <v>0</v>
      </c>
      <c r="P120">
        <f>IF(B155=0,0,O120/B155)</f>
        <v>0</v>
      </c>
      <c r="Q120">
        <f>IFERROR(1/(IF(Inputs!$B$38="pvp",15,MAX(0.1,Skills!E6-IF(TRUE=TRUE,Inputs!$B$32,0)))*(1-IF(AND(ArtifactsInput!$M$27,Inputs!$B$4="Chapter Hunt"),CHOOSE(ArtifactsInput!$N$27+1,20,24,28,32,36,40),0)/100)),0)</f>
        <v>3.3333333333333333E-2</v>
      </c>
      <c r="R120">
        <f>IF(AND(Inputs!$B$38&lt;&gt;"pvp",Inputs!$B$43&gt;0),IF(Inputs!$B$43&lt;=0,0,(INT(Inputs!$B$43/(IF(Inputs!$B$38="pvp",15,MAX(0.1,Skills!E6-IF(TRUE=TRUE,Inputs!$B$32,0)))*(1-IF(AND(ArtifactsInput!$M$27,Inputs!$B$4="Chapter Hunt"),CHOOSE(ArtifactsInput!$N$27+1,20,24,28,32,36,40),0)/100)))+1)),0)</f>
        <v>2</v>
      </c>
      <c r="S120">
        <v>0</v>
      </c>
      <c r="U120">
        <v>0</v>
      </c>
    </row>
    <row r="121" spans="1:26" x14ac:dyDescent="0.2">
      <c r="A121" t="str">
        <f>Skills!A7</f>
        <v>POISON_MIST_BURST</v>
      </c>
      <c r="B121" t="str">
        <f>Skills!B7</f>
        <v>Poison Mist (burst)</v>
      </c>
      <c r="C121" t="b">
        <f>TRUE</f>
        <v>1</v>
      </c>
      <c r="D121">
        <f>IF(Skills!C7=1,60+Inputs!$B$25+Inputs!$B$29,IF(Skills!C7=2,90+Inputs!$B$26+Inputs!$B$29,IF(Skills!C7=3,120+Inputs!$B$27+Inputs!$B$29,MAX(0,(Inputs!$B$3-100)*3)+Inputs!$B$28+Inputs!$B$29)))</f>
        <v>184</v>
      </c>
      <c r="E121">
        <f>INDEX(FactorTable!$B$2:$Y$301, MATCH(ROUND(MIN(300,MAX(1,D121)),0), FactorTable!$A$2:$A$301,0), Skills!M7+1)</f>
        <v>1920</v>
      </c>
      <c r="F121">
        <f>IF(Skills!N7=TRUE,(Skills!L7/10)*(E121/1000),Skills!L7/10)+Skills!O7</f>
        <v>357.2</v>
      </c>
      <c r="G121">
        <f>Calc!G7</f>
        <v>3</v>
      </c>
      <c r="H121">
        <f>Calc!H7</f>
        <v>1</v>
      </c>
      <c r="I121">
        <f>IF(Skills!X7&lt;&gt;"",1+(Skills!X7/10)*(Z117/1000)/100,1)</f>
        <v>1.7650000000000001</v>
      </c>
      <c r="J121">
        <f>((Inputs!$B$6*(1+Inputs!$B$7/100))+(((Inputs!$B$12*(1+(Inputs!$B$13+1)/100))-(Inputs!$B$12*(1+Inputs!$B$13/100)))+0.25*(Inputs!$B$14-Inputs!$B$14))*(1+Inputs!$B$7/100))*(F121/100)</f>
        <v>1290775074.7242575</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11475917714997.188</v>
      </c>
      <c r="L121">
        <f>K121*(MIN(Inputs!$B$22+(F136-Calc!F22),(Inputs!$B$23+(IF(ArtifactsInput!$M$15,CHOOSE(ArtifactsInput!$N$15+1,25,30,35,40,45,50)/100*(Inputs!$B$11-Inputs!$B$11),0))))/100+(Inputs!$B$23+(IF(ArtifactsInput!$M$15,CHOOSE(ArtifactsInput!$N$15+1,25,30,35,40,45,50)/100*(Inputs!$B$11-Inputs!$B$11),0)))/100)/2</f>
        <v>38157426402365.648</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180064895192763.47</v>
      </c>
      <c r="N121">
        <f>L121*(1-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180064895192763.47</v>
      </c>
      <c r="O121">
        <f>(1-Summary!$B$11)*S121+Summary!$B$11*U121</f>
        <v>449306929729743</v>
      </c>
      <c r="P121">
        <f>IF(B155=0,0,O121/B155)</f>
        <v>1.3537499549121501E-2</v>
      </c>
      <c r="Q121">
        <f>IFERROR(1/(IF(Inputs!$B$38="pvp",15,MAX(0.1,Skills!E7-IF(TRUE=TRUE,Inputs!$B$32,0)))*(1-IF(AND(ArtifactsInput!$M$27,Inputs!$B$4="Chapter Hunt"),CHOOSE(ArtifactsInput!$N$27+1,20,24,28,32,36,40),0)/100)),0)</f>
        <v>4.0816326530612242E-2</v>
      </c>
      <c r="R121">
        <f>IF(AND(Inputs!$B$38&lt;&gt;"pvp",Inputs!$B$43&gt;0),IF(MAX(0,Inputs!$B$43-B152)&lt;=0,0,(INT(MAX(0,Inputs!$B$43-B152)/(IF(Inputs!$B$38="pvp",15,MAX(0.1,Skills!E7-IF(TRUE=TRUE,Inputs!$B$32,0)))*(1-IF(AND(ArtifactsInput!$M$27,Inputs!$B$4="Chapter Hunt"),CHOOSE(ArtifactsInput!$N$27+1,20,24,28,32,36,40),0)/100)))+1)),0)</f>
        <v>2</v>
      </c>
      <c r="S121">
        <f>IF(C121,(H121*N121*IF(AND(Inputs!$B$38&lt;&gt;"pvp",Inputs!$B$43&gt;0),((Skills!G7*((R121-1)*IF(Skills!H7&gt;0,Skills!I7/Skills!H7,1)+IF(Skills!H7&gt;0,MIN(Skills!I7,MAX(0,MAX(0,Inputs!$B$43-B152)-((R121-1)*(IF(Inputs!$B$38="pvp",15,MAX(0.1,Skills!E7-IF(TRUE=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85620857664159.031</v>
      </c>
      <c r="U121">
        <f>IF(C121,(H121*N121*IF(AND(Inputs!$B$38&lt;&gt;"pvp",Inputs!$B$43&gt;0),((Skills!G7*((R121-1)*IF(Skills!H7&gt;0,Skills!I7/Skills!H7,1)+IF(Skills!H7&gt;0,MIN(Skills!I7,MAX(0,MAX(0,Inputs!$B$43-B152)-((R121-1)*(IF(Inputs!$B$38="pvp",15,MAX(0.1,Skills!E7-IF(TRUE=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812993001795327</v>
      </c>
    </row>
    <row r="122" spans="1:26" x14ac:dyDescent="0.2">
      <c r="A122" t="str">
        <f>Skills!A8</f>
        <v>POISON_MIST_DOT</v>
      </c>
      <c r="B122" t="str">
        <f>Skills!B8</f>
        <v>Poison Mist (fog DoT)</v>
      </c>
      <c r="C122" t="b">
        <f>TRUE</f>
        <v>1</v>
      </c>
      <c r="D122">
        <f>IF(Skills!C8=1,60+Inputs!$B$25+Inputs!$B$29,IF(Skills!C8=2,90+Inputs!$B$26+Inputs!$B$29,IF(Skills!C8=3,120+Inputs!$B$27+Inputs!$B$29,MAX(0,(Inputs!$B$3-100)*3)+Inputs!$B$28+Inputs!$B$29)))</f>
        <v>184</v>
      </c>
      <c r="E122">
        <f>INDEX(FactorTable!$B$2:$Y$301, MATCH(ROUND(MIN(300,MAX(1,D122)),0), FactorTable!$A$2:$A$301,0), Skills!M8+1)</f>
        <v>1920</v>
      </c>
      <c r="F122">
        <f>IF(Skills!N8=TRUE,(Skills!L8/10)*(E122/1000),Skills!L8/10)+Skills!O8</f>
        <v>134.4</v>
      </c>
      <c r="G122">
        <f>Calc!G8</f>
        <v>50</v>
      </c>
      <c r="H122">
        <f>Calc!H8</f>
        <v>1</v>
      </c>
      <c r="I122">
        <f>IF(Skills!X8&lt;&gt;"",1+(Skills!X8/10)*(Z117/1000)/100,1)</f>
        <v>1.7650000000000001</v>
      </c>
      <c r="J122">
        <f>((Inputs!$B$6*(1+Inputs!$B$7/100))+(((Inputs!$B$12*(1+(Inputs!$B$13+1)/100))-(Inputs!$B$12*(1+Inputs!$B$13/100)))+0.25*(Inputs!$B$14-Inputs!$B$14))*(1+Inputs!$B$7/100))*(F122/100)</f>
        <v>485666769.43712258</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4317926486269.938</v>
      </c>
      <c r="L122">
        <f>K122*(MIN(Inputs!$B$22+(F136-Calc!F22),(Inputs!$B$23+(IF(ArtifactsInput!$M$15,CHOOSE(ArtifactsInput!$N$15+1,25,30,35,40,45,50)/100*(Inputs!$B$11-Inputs!$B$11),0))))/100+(Inputs!$B$23+(IF(ArtifactsInput!$M$15,CHOOSE(ArtifactsInput!$N$15+1,25,30,35,40,45,50)/100*(Inputs!$B$11-Inputs!$B$11),0)))/100)/2</f>
        <v>14357105566847.545</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67751181169953.555</v>
      </c>
      <c r="N122">
        <f>L122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67751181169953.555</v>
      </c>
      <c r="O122">
        <f>(1-Summary!$B$11)*S122+Summary!$B$11*U122</f>
        <v>2334714375298296.5</v>
      </c>
      <c r="P122">
        <f>IF(B155=0,0,O122/B155)</f>
        <v>7.0344329703392786E-2</v>
      </c>
      <c r="Q122">
        <f>IFERROR(1/(IF(Inputs!$B$38="pvp",15,MAX(0.1,Skills!E8-IF(TRUE=TRUE,Inputs!$B$32,0)))*(1-IF(AND(ArtifactsInput!$M$27,Inputs!$B$4="Chapter Hunt"),CHOOSE(ArtifactsInput!$N$27+1,20,24,28,32,36,40),0)/100)),0)</f>
        <v>4.0816326530612242E-2</v>
      </c>
      <c r="R122">
        <f>IF(AND(Inputs!$B$38&lt;&gt;"pvp",Inputs!$B$43&gt;0),IF(MAX(0,Inputs!$B$43-B152)&lt;=0,0,(INT(MAX(0,Inputs!$B$43-B152)/(IF(Inputs!$B$38="pvp",15,MAX(0.1,Skills!E8-IF(TRUE=TRUE,Inputs!$B$32,0)))*(1-IF(AND(ArtifactsInput!$M$27,Inputs!$B$4="Chapter Hunt"),CHOOSE(ArtifactsInput!$N$27+1,20,24,28,32,36,40),0)/100)))+1)),0)</f>
        <v>2</v>
      </c>
      <c r="S122">
        <f>IF(C122,(H122*N122*IF(AND(Inputs!$B$38&lt;&gt;"pvp",Inputs!$B$43&gt;0),((Skills!G8*((R122-1)*IF(Skills!H8&gt;0,Skills!I8/Skills!H8,1)+IF(Skills!H8&gt;0,MIN(Skills!I8,MAX(0,MAX(0,Inputs!$B$43-B152)-((R122-1)*(IF(Inputs!$B$38="pvp",15,MAX(0.1,Skills!E8-IF(TRUE=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444907999380559.06</v>
      </c>
      <c r="U122">
        <f>IF(C122,(H122*N122*IF(AND(Inputs!$B$38&lt;&gt;"pvp",Inputs!$B$43&gt;0),((Skills!G8*((R122-1)*IF(Skills!H8&gt;0,Skills!I8/Skills!H8,1)+IF(Skills!H8&gt;0,MIN(Skills!I8,MAX(0,MAX(0,Inputs!$B$43-B152)-((R122-1)*(IF(Inputs!$B$38="pvp",15,MAX(0.1,Skills!E8-IF(TRUE=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4224520751216033.5</v>
      </c>
    </row>
    <row r="123" spans="1:26" x14ac:dyDescent="0.2">
      <c r="A123" t="str">
        <f>Skills!A9</f>
        <v>MIST_ERUPTION</v>
      </c>
      <c r="B123" t="str">
        <f>Skills!B9</f>
        <v>Mist Eruption</v>
      </c>
      <c r="C123" t="b">
        <f>Inputs!$B$3&gt;=103</f>
        <v>1</v>
      </c>
      <c r="D123">
        <f>IF(Skills!C9=1,60+Inputs!$B$25+Inputs!$B$29,IF(Skills!C9=2,90+Inputs!$B$26+Inputs!$B$29,IF(Skills!C9=3,120+Inputs!$B$27+Inputs!$B$29,MAX(0,(Inputs!$B$3-100)*3)+Inputs!$B$28+Inputs!$B$29)))</f>
        <v>185</v>
      </c>
      <c r="E123">
        <f>INDEX(FactorTable!$B$2:$Y$301, MATCH(ROUND(MIN(300,MAX(1,D123)),0), FactorTable!$A$2:$A$301,0), Skills!M9+1)</f>
        <v>1925</v>
      </c>
      <c r="F123">
        <f>IF(Skills!N9=TRUE,(Skills!L9/10)*(E123/1000),Skills!L9/10)+Skills!O9</f>
        <v>5775</v>
      </c>
      <c r="G123">
        <f>Calc!G9</f>
        <v>2.5</v>
      </c>
      <c r="H123">
        <f>Calc!H9</f>
        <v>1</v>
      </c>
      <c r="I123">
        <f>IF(Skills!X9&lt;&gt;"",1+(Skills!X9/10)*(Z117/1000)/100,1)</f>
        <v>1</v>
      </c>
      <c r="J123">
        <f>((Inputs!$B$6*(1+Inputs!$B$7/100))+(((Inputs!$B$12*(1+(Inputs!$B$13+1)/100))-(Inputs!$B$12*(1+Inputs!$B$13/100)))+0.25*(Inputs!$B$14-Inputs!$B$14))*(1+Inputs!$B$7/100))*(F123/100)</f>
        <v>20868493999.251362</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105119492185218.95</v>
      </c>
      <c r="L123">
        <f>K123*(MIN(Inputs!$B$22+(F136-Calc!F22),(Inputs!$B$23+(IF(ArtifactsInput!$M$15,CHOOSE(ArtifactsInput!$N$15+1,25,30,35,40,45,50)/100*(Inputs!$B$11-Inputs!$B$11),0))))/100+(Inputs!$B$23+(IF(ArtifactsInput!$M$15,CHOOSE(ArtifactsInput!$N$15+1,25,30,35,40,45,50)/100*(Inputs!$B$11-Inputs!$B$11),0)))/100)/2</f>
        <v>349522311515853.06</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1649395788043310.5</v>
      </c>
      <c r="N123">
        <f>L123*(1-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1649395788043310.5</v>
      </c>
      <c r="O123">
        <f>(1-Summary!$B$11)*S123+Summary!$B$11*U123</f>
        <v>3429712366762558.5</v>
      </c>
      <c r="P123">
        <f>IF(B155=0,0,O123/B155)</f>
        <v>0.10333633101673269</v>
      </c>
      <c r="Q123">
        <f>IFERROR(1/(IF(Inputs!$B$38="pvp",15,MAX(0.1,Skills!E9-IF(TRUE=TRUE,Inputs!$B$32,0)))*(1-IF(AND(ArtifactsInput!$M$27,Inputs!$B$4="Chapter Hunt"),CHOOSE(ArtifactsInput!$N$27+1,20,24,28,32,36,40),0)/100)),0)</f>
        <v>4.0816326530612242E-2</v>
      </c>
      <c r="R123">
        <f>IF(AND(Inputs!$B$38&lt;&gt;"pvp",Inputs!$B$43&gt;0),IF(MAX(0,Inputs!$B$43-B152)&lt;=0,0,(INT(MAX(0,Inputs!$B$43-B152)/(IF(Inputs!$B$38="pvp",15,MAX(0.1,Skills!E9-IF(TRUE=TRUE,Inputs!$B$32,0)))*(1-IF(AND(ArtifactsInput!$M$27,Inputs!$B$4="Chapter Hunt"),CHOOSE(ArtifactsInput!$N$27+1,20,24,28,32,36,40),0)/100)))+1)),0)</f>
        <v>2</v>
      </c>
      <c r="S123">
        <f>IF(C123,(H123*N123*IF(AND(Inputs!$B$38&lt;&gt;"pvp",Inputs!$B$43&gt;0),((Skills!G9*((R123-1)*IF(Skills!H9&gt;0,Skills!I9/Skills!H9,1)+IF(Skills!H9&gt;0,MIN(Skills!I9,MAX(0,MAX(0,Inputs!$B$43-B152)-((R123-1)*(IF(Inputs!$B$38="pvp",15,MAX(0.1,Skills!E9-IF(TRUE=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653573081012161.75</v>
      </c>
      <c r="U123">
        <f>IF(C123,(H123*N123*IF(AND(Inputs!$B$38&lt;&gt;"pvp",Inputs!$B$43&gt;0),((Skills!G9*((R123-1)*IF(Skills!H9&gt;0,Skills!I9/Skills!H9,1)+IF(Skills!H9&gt;0,MIN(Skills!I9,MAX(0,MAX(0,Inputs!$B$43-B152)-((R123-1)*(IF(Inputs!$B$38="pvp",15,MAX(0.1,Skills!E9-IF(TRUE=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6205851652512955</v>
      </c>
    </row>
    <row r="124" spans="1:26" x14ac:dyDescent="0.2">
      <c r="A124" t="str">
        <f>Skills!A10</f>
        <v>CREEPING_TOXIN</v>
      </c>
      <c r="B124" t="str">
        <f>Skills!B10</f>
        <v>Creeping Toxin</v>
      </c>
      <c r="C124" t="b">
        <f>TRUE</f>
        <v>1</v>
      </c>
      <c r="D124">
        <f>IF(Skills!C10=1,60+Inputs!$B$25+Inputs!$B$29,IF(Skills!C10=2,90+Inputs!$B$26+Inputs!$B$29,IF(Skills!C10=3,120+Inputs!$B$27+Inputs!$B$29,MAX(0,(Inputs!$B$3-100)*3)+Inputs!$B$28+Inputs!$B$29)))</f>
        <v>184</v>
      </c>
      <c r="E124">
        <f>INDEX(FactorTable!$B$2:$Y$301, MATCH(ROUND(MIN(300,MAX(1,D124)),0), FactorTable!$A$2:$A$301,0), Skills!M10+1)</f>
        <v>1920</v>
      </c>
      <c r="F124">
        <f>IF(Skills!N10=TRUE,(Skills!L10/10)*(E124/1000),Skills!L10/10)+Skills!O10</f>
        <v>280.39999999999998</v>
      </c>
      <c r="G124">
        <f>Calc!G10</f>
        <v>15</v>
      </c>
      <c r="H124">
        <f>Calc!H10</f>
        <v>1</v>
      </c>
      <c r="I124">
        <f>IF(Skills!X10&lt;&gt;"",1+(Skills!X10/10)*(Z117/1000)/100,1)</f>
        <v>1.7650000000000001</v>
      </c>
      <c r="J124">
        <f>((Inputs!$B$6*(1+Inputs!$B$7/100))+(((Inputs!$B$12*(1+(Inputs!$B$13+1)/100))-(Inputs!$B$12*(1+Inputs!$B$13/100)))+0.25*(Inputs!$B$14-Inputs!$B$14))*(1+Inputs!$B$7/100))*(F124/100)</f>
        <v>1013251206.474473</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9008531151414.3652</v>
      </c>
      <c r="L124">
        <f>K124*(MIN(Inputs!$B$22+(F136-Calc!F22),(Inputs!$B$23+(IF(ArtifactsInput!$M$15,CHOOSE(ArtifactsInput!$N$15+1,25,30,35,40,45,50)/100*(Inputs!$B$11-Inputs!$B$11),0))))/100+(Inputs!$B$23+(IF(ArtifactsInput!$M$15,CHOOSE(ArtifactsInput!$N$15+1,25,30,35,40,45,50)/100*(Inputs!$B$11-Inputs!$B$11),0)))/100)/2</f>
        <v>29953366078452.766</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141349934524218.59</v>
      </c>
      <c r="N124">
        <f>L124*(1-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141349934524218.59</v>
      </c>
      <c r="O124">
        <f>(1-Summary!$B$11)*S124+Summary!$B$11*U124</f>
        <v>325332652933841</v>
      </c>
      <c r="P124">
        <f>IF(B155=0,0,O124/B155)</f>
        <v>9.8021872154419789E-3</v>
      </c>
      <c r="Q124">
        <f>IFERROR(1/(IF(Inputs!$B$38="pvp",15,MAX(0.1,Skills!E10-IF(TRUE=TRUE,Inputs!$B$32,0)))*(1-IF(AND(ArtifactsInput!$M$27,Inputs!$B$4="Chapter Hunt"),CHOOSE(ArtifactsInput!$N$27+1,20,24,28,32,36,40),0)/100)),0)</f>
        <v>3.7037037037037035E-2</v>
      </c>
      <c r="R124">
        <f>IF(AND(Inputs!$B$38&lt;&gt;"pvp",Inputs!$B$43&gt;0),IF(MAX(0,Inputs!$B$43-B152)&lt;=0,0,(INT(MAX(0,Inputs!$B$43-B152)/(IF(Inputs!$B$38="pvp",15,MAX(0.1,Skills!E10-IF(TRUE=TRUE,Inputs!$B$32,0)))*(1-IF(AND(ArtifactsInput!$M$27,Inputs!$B$4="Chapter Hunt"),CHOOSE(ArtifactsInput!$N$27+1,20,24,28,32,36,40),0)/100)))+1)),0)</f>
        <v>2</v>
      </c>
      <c r="S124">
        <f>IF(C124,(H124*N124*IF(AND(Inputs!$B$38&lt;&gt;"pvp",Inputs!$B$43&gt;0),((Skills!G10*((R124-1)*IF(Skills!H10&gt;0,Skills!I10/Skills!H10,1)+IF(Skills!H10&gt;0,MIN(Skills!I10,MAX(0,MAX(0,Inputs!$B$43-B152)-((R124-1)*(IF(Inputs!$B$38="pvp",15,MAX(0.1,Skills!E10-IF(TRUE=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287271451197848.5</v>
      </c>
      <c r="U124">
        <f>IF(C124,(H124*N124*IF(AND(Inputs!$B$38&lt;&gt;"pvp",Inputs!$B$43&gt;0),((Skills!G10*((R124-1)*IF(Skills!H10&gt;0,Skills!I10/Skills!H10,1)+IF(Skills!H10&gt;0,MIN(Skills!I10,MAX(0,MAX(0,Inputs!$B$43-B152)-((R124-1)*(IF(Inputs!$B$38="pvp",15,MAX(0.1,Skills!E10-IF(TRUE=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363393854669833.56</v>
      </c>
    </row>
    <row r="125" spans="1:26" x14ac:dyDescent="0.2">
      <c r="A125" t="str">
        <f>Skills!A11</f>
        <v>BURNING_MAGIC</v>
      </c>
      <c r="B125" t="str">
        <f>Skills!B11</f>
        <v>Burning Magic</v>
      </c>
      <c r="C125" t="b">
        <f>TRUE</f>
        <v>1</v>
      </c>
      <c r="D125">
        <f>IF(Skills!C11=1,60+Inputs!$B$25+Inputs!$B$29,IF(Skills!C11=2,90+Inputs!$B$26+Inputs!$B$29,IF(Skills!C11=3,120+Inputs!$B$27+Inputs!$B$29,MAX(0,(Inputs!$B$3-100)*3)+Inputs!$B$28+Inputs!$B$29)))</f>
        <v>184</v>
      </c>
      <c r="E125">
        <f>INDEX(FactorTable!$B$2:$Y$301, MATCH(ROUND(MIN(300,MAX(1,D125)),0), FactorTable!$A$2:$A$301,0), Skills!M11+1)</f>
        <v>0</v>
      </c>
      <c r="F125">
        <f>IF(Skills!N11=TRUE,(Skills!L11/10)*(E125/1000),Skills!L11/10)+Skills!O11</f>
        <v>5</v>
      </c>
      <c r="G125">
        <f>Calc!G11</f>
        <v>1</v>
      </c>
      <c r="H125">
        <f>Calc!H11</f>
        <v>1</v>
      </c>
      <c r="I125">
        <f>IF(Skills!X11&lt;&gt;"",1+(Skills!X11/10)*(Z117/1000)/100,1)</f>
        <v>1</v>
      </c>
      <c r="O125">
        <f>(1-Summary!$B$11)*S125+Summary!$B$11*U125</f>
        <v>0</v>
      </c>
      <c r="P125">
        <f>IF(B155=0,0,O125/B155)</f>
        <v>0</v>
      </c>
      <c r="Q125">
        <f>IFERROR(1/(IF(Inputs!$B$38="pvp",15,MAX(0.1,Skills!E11-IF(TRUE=TRUE,Inputs!$B$32,0)))*(1-IF(AND(ArtifactsInput!$M$27,Inputs!$B$4="Chapter Hunt"),CHOOSE(ArtifactsInput!$N$27+1,20,24,28,32,36,40),0)/100)),0)</f>
        <v>10</v>
      </c>
      <c r="R125">
        <v>0</v>
      </c>
      <c r="S125">
        <v>0</v>
      </c>
      <c r="U125">
        <v>0</v>
      </c>
    </row>
    <row r="126" spans="1:26" x14ac:dyDescent="0.2">
      <c r="A126" t="str">
        <f>Skills!A12</f>
        <v>ELEMENTAL_DECREASE</v>
      </c>
      <c r="B126" t="str">
        <f>Skills!B12</f>
        <v>Elemental Decrease</v>
      </c>
      <c r="C126" t="b">
        <f>TRUE</f>
        <v>1</v>
      </c>
      <c r="D126">
        <f>IF(Skills!C12=1,60+Inputs!$B$25+Inputs!$B$29,IF(Skills!C12=2,90+Inputs!$B$26+Inputs!$B$29,IF(Skills!C12=3,120+Inputs!$B$27+Inputs!$B$29,MAX(0,(Inputs!$B$3-100)*3)+Inputs!$B$28+Inputs!$B$29)))</f>
        <v>184</v>
      </c>
      <c r="E126">
        <f>INDEX(FactorTable!$B$2:$Y$301, MATCH(ROUND(MIN(300,MAX(1,D126)),0), FactorTable!$A$2:$A$301,0), Skills!M12+1)</f>
        <v>1552</v>
      </c>
      <c r="F126">
        <f>IF(Skills!N12=TRUE,(Skills!L12/10)*(E126/1000),Skills!L12/10)+Skills!O12</f>
        <v>18.624000000000002</v>
      </c>
      <c r="G126">
        <f>Calc!G12</f>
        <v>1</v>
      </c>
      <c r="H126">
        <f>Calc!H12</f>
        <v>0.5</v>
      </c>
      <c r="I126">
        <f>IF(Skills!X12&lt;&gt;"",1+(Skills!X12/10)*(Z117/1000)/100,1)</f>
        <v>1</v>
      </c>
      <c r="O126">
        <f>(1-Summary!$B$11)*S126+Summary!$B$11*U126</f>
        <v>0</v>
      </c>
      <c r="P126">
        <f>IF(B155=0,0,O126/B155)</f>
        <v>0</v>
      </c>
      <c r="Q126">
        <f>IFERROR(1/(IF(Inputs!$B$38="pvp",15,MAX(0.1,Skills!E12-IF(TRUE=TRUE,Inputs!$B$32,0)))*(1-IF(AND(ArtifactsInput!$M$27,Inputs!$B$4="Chapter Hunt"),CHOOSE(ArtifactsInput!$N$27+1,20,24,28,32,36,40),0)/100)),0)</f>
        <v>10</v>
      </c>
      <c r="R126">
        <v>0</v>
      </c>
      <c r="S126">
        <v>0</v>
      </c>
      <c r="U126">
        <v>0</v>
      </c>
    </row>
    <row r="127" spans="1:26" x14ac:dyDescent="0.2">
      <c r="A127" t="str">
        <f>Skills!A13</f>
        <v>METEOR_SHOWER_BURST</v>
      </c>
      <c r="B127" t="str">
        <f>Skills!B13</f>
        <v>Meteor Shower (burst)</v>
      </c>
      <c r="C127" t="b">
        <f>Inputs!$B$3&gt;=105</f>
        <v>1</v>
      </c>
      <c r="D127">
        <f>IF(Skills!C13=1,60+Inputs!$B$25+Inputs!$B$29,IF(Skills!C13=2,90+Inputs!$B$26+Inputs!$B$29,IF(Skills!C13=3,120+Inputs!$B$27+Inputs!$B$29,MAX(0,(Inputs!$B$3-100)*3)+Inputs!$B$28+Inputs!$B$29)))</f>
        <v>185</v>
      </c>
      <c r="E127">
        <f>INDEX(FactorTable!$B$2:$Y$301, MATCH(ROUND(MIN(300,MAX(1,D127)),0), FactorTable!$A$2:$A$301,0), Skills!M13+1)</f>
        <v>1925</v>
      </c>
      <c r="F127">
        <f>IF(Skills!N13=TRUE,(Skills!L13/10)*(E127/1000),Skills!L13/10)+Skills!O13</f>
        <v>1155</v>
      </c>
      <c r="G127">
        <f>Calc!G13</f>
        <v>9</v>
      </c>
      <c r="H127">
        <f>Calc!H13</f>
        <v>1</v>
      </c>
      <c r="I127">
        <f>IF(Skills!X13&lt;&gt;"",1+(Skills!X13/10)*(Z117/1000)/100,1)</f>
        <v>1</v>
      </c>
      <c r="J127">
        <f>((Inputs!$B$6*(1+Inputs!$B$7/100))+(((Inputs!$B$12*(1+(Inputs!$B$13+1)/100))-(Inputs!$B$12*(1+Inputs!$B$13/100)))+0.25*(Inputs!$B$14-Inputs!$B$14))*(1+Inputs!$B$7/100))*(F127/100)</f>
        <v>4173698799.8502727</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21023898437043.785</v>
      </c>
      <c r="L127">
        <f>K127*(MIN(Inputs!$B$22+(F136-Calc!F22),(Inputs!$B$23+(IF(ArtifactsInput!$M$15,CHOOSE(ArtifactsInput!$N$15+1,25,30,35,40,45,50)/100*(Inputs!$B$11-Inputs!$B$11),0))))/100+(Inputs!$B$23+(IF(ArtifactsInput!$M$15,CHOOSE(ArtifactsInput!$N$15+1,25,30,35,40,45,50)/100*(Inputs!$B$11-Inputs!$B$11),0)))/100)/2</f>
        <v>69904462303170.586</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329879157608661.94</v>
      </c>
      <c r="N127">
        <f>L127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329879157608661.94</v>
      </c>
      <c r="O127">
        <f>(1-Summary!$B$11)*S127+Summary!$B$11*U127</f>
        <v>1799160925597642.5</v>
      </c>
      <c r="P127">
        <f>IF(B155=0,0,O127/B155)</f>
        <v>5.4208245204954368E-2</v>
      </c>
      <c r="Q127">
        <f>IFERROR(1/(IF(Inputs!$B$38="pvp",15,MAX(0.1,Skills!E13-IF(TRUE=TRUE,Inputs!$B$32,0)))*(1-IF(AND(ArtifactsInput!$M$27,Inputs!$B$4="Chapter Hunt"),CHOOSE(ArtifactsInput!$N$27+1,20,24,28,32,36,40),0)/100)),0)</f>
        <v>3.0303030303030304E-2</v>
      </c>
      <c r="R127">
        <f>IF(AND(Inputs!$B$38&lt;&gt;"pvp",Inputs!$B$43&gt;0),IF(MAX(0,Inputs!$B$43-B152)&lt;=0,0,(INT(MAX(0,Inputs!$B$43-B152)/(IF(Inputs!$B$38="pvp",15,MAX(0.1,Skills!E13-IF(TRUE=TRUE,Inputs!$B$32,0)))*(1-IF(AND(ArtifactsInput!$M$27,Inputs!$B$4="Chapter Hunt"),CHOOSE(ArtifactsInput!$N$27+1,20,24,28,32,36,40),0)/100)))+1)),0)</f>
        <v>2</v>
      </c>
      <c r="S127">
        <f>IF(C127,(H127*N127*IF(AND(Inputs!$B$38&lt;&gt;"pvp",Inputs!$B$43&gt;0),((Skills!G13*((R127-1)*IF(Skills!H13&gt;0,Skills!I13/Skills!H13,1)+IF(Skills!H13&gt;0,MIN(Skills!I13,MAX(0,MAX(0,Inputs!$B$43-B152)-((R127-1)*(IF(Inputs!$B$38="pvp",15,MAX(0.1,Skills!E13-IF(TRUE=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470572618328756.25</v>
      </c>
      <c r="U127">
        <f>IF(C127,(H127*N127*IF(AND(Inputs!$B$38&lt;&gt;"pvp",Inputs!$B$43&gt;0),((Skills!G13*((R127-1)*IF(Skills!H13&gt;0,Skills!I13/Skills!H13,1)+IF(Skills!H13&gt;0,MIN(Skills!I13,MAX(0,MAX(0,Inputs!$B$43-B152)-((R127-1)*(IF(Inputs!$B$38="pvp",15,MAX(0.1,Skills!E13-IF(TRUE=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3127749232866528.5</v>
      </c>
    </row>
    <row r="128" spans="1:26" x14ac:dyDescent="0.2">
      <c r="A128" t="str">
        <f>Skills!A14</f>
        <v>METEOR_PROC</v>
      </c>
      <c r="B128" t="str">
        <f>Skills!B14</f>
        <v>Meteor Proc (30% on-hit, 1s ICD)</v>
      </c>
      <c r="C128" t="b">
        <f>Inputs!$B$3&gt;=113</f>
        <v>1</v>
      </c>
      <c r="D128">
        <f>IF(Skills!C14=1,60+Inputs!$B$25+Inputs!$B$29,IF(Skills!C14=2,90+Inputs!$B$26+Inputs!$B$29,IF(Skills!C14=3,120+Inputs!$B$27+Inputs!$B$29,MAX(0,(Inputs!$B$3-100)*3)+Inputs!$B$28+Inputs!$B$29)))</f>
        <v>185</v>
      </c>
      <c r="E128">
        <f>INDEX(FactorTable!$B$2:$Y$301, MATCH(ROUND(MIN(300,MAX(1,D128)),0), FactorTable!$A$2:$A$301,0), Skills!M14+1)</f>
        <v>1740</v>
      </c>
      <c r="F128">
        <f>IF(Skills!N14=TRUE,(Skills!L14/10)*(E128/1000),Skills!L14/10)+Skills!O14</f>
        <v>1653</v>
      </c>
      <c r="G128">
        <f>Calc!G14</f>
        <v>0</v>
      </c>
      <c r="H128">
        <f>Calc!H14</f>
        <v>0.30000000000000004</v>
      </c>
      <c r="I128">
        <f>IF(Skills!X14&lt;&gt;"",1+(Skills!X14/10)*(Z117/1000)/100,1)</f>
        <v>1</v>
      </c>
      <c r="J128">
        <f>((Inputs!$B$6*(1+Inputs!$B$7/100))+(((Inputs!$B$12*(1+(Inputs!$B$13+1)/100))-(Inputs!$B$12*(1+Inputs!$B$13/100)))+0.25*(Inputs!$B$14-Inputs!$B$14))*(1+Inputs!$B$7/100))*(F128/100)</f>
        <v>5973267633.0324678</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30088748152756.168</v>
      </c>
      <c r="L128">
        <f>K128*(MIN(Inputs!$B$22+(F136-Calc!F22),(Inputs!$B$23+(IF(ArtifactsInput!$M$15,CHOOSE(ArtifactsInput!$N$15+1,25,30,35,40,45,50)/100*(Inputs!$B$11-Inputs!$B$11),0))))/100+(Inputs!$B$23+(IF(ArtifactsInput!$M$15,CHOOSE(ArtifactsInput!$N$15+1,25,30,35,40,45,50)/100*(Inputs!$B$11-Inputs!$B$11),0)))/100)/2</f>
        <v>100045087607914.27</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472112768421747.38</v>
      </c>
      <c r="N128">
        <f>L128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472112768421747.38</v>
      </c>
      <c r="O128">
        <f>(1-Summary!$B$11)*S128+Summary!$B$11*U128</f>
        <v>462693494716945.25</v>
      </c>
      <c r="P128">
        <f>IF(B155=0,0,O128/B155)</f>
        <v>1.3940833229257573E-2</v>
      </c>
      <c r="Q128">
        <f>IFERROR(1/(IF(Inputs!$B$38="pvp",15,MAX(0.1,Skills!E14-IF(TRUE=TRUE,Inputs!$B$32,0)))*(1-IF(AND(ArtifactsInput!$M$27,Inputs!$B$4="Chapter Hunt"),CHOOSE(ArtifactsInput!$N$27+1,20,24,28,32,36,40),0)/100)),0)</f>
        <v>10</v>
      </c>
      <c r="R128">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474672614321267.44</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450714375112623</v>
      </c>
    </row>
    <row r="129" spans="1:21" x14ac:dyDescent="0.2">
      <c r="A129" t="str">
        <f>Skills!A15</f>
        <v>FLAME_HAZE_BURST</v>
      </c>
      <c r="B129" t="str">
        <f>Skills!B15</f>
        <v>Flame Haze (burst)</v>
      </c>
      <c r="C129" t="b">
        <f>Inputs!$B$3&gt;=107</f>
        <v>1</v>
      </c>
      <c r="D129">
        <f>IF(Skills!C15=1,60+Inputs!$B$25+Inputs!$B$29,IF(Skills!C15=2,90+Inputs!$B$26+Inputs!$B$29,IF(Skills!C15=3,120+Inputs!$B$27+Inputs!$B$29,MAX(0,(Inputs!$B$3-100)*3)+Inputs!$B$28+Inputs!$B$29)))</f>
        <v>185</v>
      </c>
      <c r="E129">
        <f>INDEX(FactorTable!$B$2:$Y$301, MATCH(ROUND(MIN(300,MAX(1,D129)),0), FactorTable!$A$2:$A$301,0), Skills!M15+1)</f>
        <v>1925</v>
      </c>
      <c r="F129">
        <f>IF(Skills!N15=TRUE,(Skills!L15/10)*(E129/1000),Skills!L15/10)+Skills!O15</f>
        <v>2310</v>
      </c>
      <c r="G129">
        <f>Calc!G15</f>
        <v>3</v>
      </c>
      <c r="H129">
        <f>Calc!H15</f>
        <v>1</v>
      </c>
      <c r="I129">
        <f>IF(Skills!X15&lt;&gt;"",1+(Skills!X15/10)*(Z117/1000)/100,1)</f>
        <v>1</v>
      </c>
      <c r="J129">
        <f>((Inputs!$B$6*(1+Inputs!$B$7/100))+(((Inputs!$B$12*(1+(Inputs!$B$13+1)/100))-(Inputs!$B$12*(1+Inputs!$B$13/100)))+0.25*(Inputs!$B$14-Inputs!$B$14))*(1+Inputs!$B$7/100))*(F129/100)</f>
        <v>8347397599.7005453</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42047796874087.57</v>
      </c>
      <c r="L129">
        <f>K129*(MIN(Inputs!$B$22+(F136-Calc!F22),(Inputs!$B$23+(IF(ArtifactsInput!$M$15,CHOOSE(ArtifactsInput!$N$15+1,25,30,35,40,45,50)/100*(Inputs!$B$11-Inputs!$B$11),0))))/100+(Inputs!$B$23+(IF(ArtifactsInput!$M$15,CHOOSE(ArtifactsInput!$N$15+1,25,30,35,40,45,50)/100*(Inputs!$B$11-Inputs!$B$11),0)))/100)/2</f>
        <v>139808924606341.17</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659758315217323.88</v>
      </c>
      <c r="N129">
        <f>L129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659758315217323.88</v>
      </c>
      <c r="O129">
        <f>(1-Summary!$B$11)*S129+Summary!$B$11*U129</f>
        <v>1646261936046027.2</v>
      </c>
      <c r="P129">
        <f>IF(B155=0,0,O129/B155)</f>
        <v>4.9601438888031667E-2</v>
      </c>
      <c r="Q129">
        <f>IFERROR(1/(IF(Inputs!$B$38="pvp",15,MAX(0.1,Skills!E15-IF(TRUE=TRUE,Inputs!$B$32,0)))*(1-IF(AND(ArtifactsInput!$M$27,Inputs!$B$4="Chapter Hunt"),CHOOSE(ArtifactsInput!$N$27+1,20,24,28,32,36,40),0)/100)),0)</f>
        <v>0.04</v>
      </c>
      <c r="R129">
        <f>IF(AND(Inputs!$B$38&lt;&gt;"pvp",Inputs!$B$43&gt;0),IF(MAX(0,Inputs!$B$43-B152)&lt;=0,0,(INT(MAX(0,Inputs!$B$43-B152)/(IF(Inputs!$B$38="pvp",15,MAX(0.1,Skills!E15-IF(TRUE=TRUE,Inputs!$B$32,0)))*(1-IF(AND(ArtifactsInput!$M$27,Inputs!$B$4="Chapter Hunt"),CHOOSE(ArtifactsInput!$N$27+1,20,24,28,32,36,40),0)/100)))+1)),0)</f>
        <v>2</v>
      </c>
      <c r="S129">
        <f>IF(C129,(H129*N129*IF(AND(Inputs!$B$38&lt;&gt;"pvp",Inputs!$B$43&gt;0),((Skills!G15*((R129-1)*IF(Skills!H15&gt;0,Skills!I15/Skills!H15,1)+IF(Skills!H15&gt;0,MIN(Skills!I15,MAX(0,MAX(0,Inputs!$B$43-B152)-((R129-1)*(IF(Inputs!$B$38="pvp",15,MAX(0.1,Skills!E15-IF(TRUE=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313715078885837.5</v>
      </c>
      <c r="U129">
        <f>IF(C129,(H129*N129*IF(AND(Inputs!$B$38&lt;&gt;"pvp",Inputs!$B$43&gt;0),((Skills!G15*((R129-1)*IF(Skills!H15&gt;0,Skills!I15/Skills!H15,1)+IF(Skills!H15&gt;0,MIN(Skills!I15,MAX(0,MAX(0,Inputs!$B$43-B152)-((R129-1)*(IF(Inputs!$B$38="pvp",15,MAX(0.1,Skills!E15-IF(TRUE=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2978808793206217</v>
      </c>
    </row>
    <row r="130" spans="1:21" x14ac:dyDescent="0.2">
      <c r="A130" t="str">
        <f>Skills!A16</f>
        <v>FLAME_HAZE_DOT</v>
      </c>
      <c r="B130" t="str">
        <f>Skills!B16</f>
        <v>Flame Haze (burn DoT)</v>
      </c>
      <c r="C130" t="b">
        <f>Inputs!$B$3&gt;=107</f>
        <v>1</v>
      </c>
      <c r="D130">
        <f>IF(Skills!C16=1,60+Inputs!$B$25+Inputs!$B$29,IF(Skills!C16=2,90+Inputs!$B$26+Inputs!$B$29,IF(Skills!C16=3,120+Inputs!$B$27+Inputs!$B$29,MAX(0,(Inputs!$B$3-100)*3)+Inputs!$B$28+Inputs!$B$29)))</f>
        <v>185</v>
      </c>
      <c r="E130">
        <f>INDEX(FactorTable!$B$2:$Y$301, MATCH(ROUND(MIN(300,MAX(1,D130)),0), FactorTable!$A$2:$A$301,0), Skills!M16+1)</f>
        <v>1925</v>
      </c>
      <c r="F130">
        <f>IF(Skills!N16=TRUE,(Skills!L16/10)*(E130/1000),Skills!L16/10)+Skills!O16</f>
        <v>288.75</v>
      </c>
      <c r="G130">
        <f>Calc!G16</f>
        <v>30</v>
      </c>
      <c r="H130">
        <f>Calc!H16</f>
        <v>1</v>
      </c>
      <c r="I130">
        <f>IF(Skills!X16&lt;&gt;"",1+(Skills!X16/10)*(Z117/1000)/100,1)</f>
        <v>1</v>
      </c>
      <c r="J130">
        <f>((Inputs!$B$6*(1+Inputs!$B$7/100))+(((Inputs!$B$12*(1+(Inputs!$B$13+1)/100))-(Inputs!$B$12*(1+Inputs!$B$13/100)))+0.25*(Inputs!$B$14-Inputs!$B$14))*(1+Inputs!$B$7/100))*(F130/100)</f>
        <v>1043424699.9625682</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5255974609260.9463</v>
      </c>
      <c r="L130">
        <f>K130*(MIN(Inputs!$B$22+(F136-Calc!F22),(Inputs!$B$23+(IF(ArtifactsInput!$M$15,CHOOSE(ArtifactsInput!$N$15+1,25,30,35,40,45,50)/100*(Inputs!$B$11-Inputs!$B$11),0))))/100+(Inputs!$B$23+(IF(ArtifactsInput!$M$15,CHOOSE(ArtifactsInput!$N$15+1,25,30,35,40,45,50)/100*(Inputs!$B$11-Inputs!$B$11),0)))/100)/2</f>
        <v>17476115575792.646</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82469789402165.484</v>
      </c>
      <c r="N130">
        <f>L130*(1-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82469789402165.484</v>
      </c>
      <c r="O130">
        <f>(1-Summary!$B$11)*S130+Summary!$B$11*U130</f>
        <v>1896267238831159.5</v>
      </c>
      <c r="P130">
        <f>IF(B155=0,0,O130/B155)</f>
        <v>5.7134032867313153E-2</v>
      </c>
      <c r="Q130">
        <f>IFERROR(1/(IF(Inputs!$B$38="pvp",15,MAX(0.1,Skills!E16-IF(TRUE=TRUE,Inputs!$B$32,0)))*(1-IF(AND(ArtifactsInput!$M$27,Inputs!$B$4="Chapter Hunt"),CHOOSE(ArtifactsInput!$N$27+1,20,24,28,32,36,40),0)/100)),0)</f>
        <v>0.04</v>
      </c>
      <c r="R130">
        <f>IF(AND(Inputs!$B$38&lt;&gt;"pvp",Inputs!$B$43&gt;0),IF(MAX(0,Inputs!$B$43-B152)&lt;=0,0,(INT(MAX(0,Inputs!$B$43-B152)/(IF(Inputs!$B$38="pvp",15,MAX(0.1,Skills!E16-IF(TRUE=TRUE,Inputs!$B$32,0)))*(1-IF(AND(ArtifactsInput!$M$27,Inputs!$B$4="Chapter Hunt"),CHOOSE(ArtifactsInput!$N$27+1,20,24,28,32,36,40),0)/100)))+1)),0)</f>
        <v>2</v>
      </c>
      <c r="S130">
        <f>IF(C130,(H130*N130*IF(AND(Inputs!$B$38&lt;&gt;"pvp",Inputs!$B$43&gt;0),((Skills!G16*((R130-1)*IF(Skills!H16&gt;0,Skills!I16/Skills!H16,1)+IF(Skills!H16&gt;0,MIN(Skills!I16,MAX(0,MAX(0,Inputs!$B$43-B152)-((R130-1)*(IF(Inputs!$B$38="pvp",15,MAX(0.1,Skills!E16-IF(TRUE=TRUE,Inputs!$B$32,0)))*(1-IF(AND(ArtifactsInput!$M$27,Inputs!$B$4="Chapter Hunt"),CHOOSE(ArtifactsInput!$N$27+1,20,24,28,32,36,40),0)/100)))))/Skills!H16,1)))/Inputs!$B$43),G130*Q130)*(1+IF(Inputs!$B$3&gt;=126,0.05*(B150+Q127+(H128*B151)/(1+Skills!H14*H128*B151)+Q138),0)*(1/Q129)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361356606377804.38</v>
      </c>
      <c r="U130">
        <f>IF(C130,(H130*N130*IF(AND(Inputs!$B$38&lt;&gt;"pvp",Inputs!$B$43&gt;0),((Skills!G16*((R130-1)*IF(Skills!H16&gt;0,Skills!I16/Skills!H16,1)+IF(Skills!H16&gt;0,MIN(Skills!I16,MAX(0,MAX(0,Inputs!$B$43-B152)-((R130-1)*(IF(Inputs!$B$38="pvp",15,MAX(0.1,Skills!E16-IF(TRUE=TRUE,Inputs!$B$32,0)))*(1-IF(AND(ArtifactsInput!$M$27,Inputs!$B$4="Chapter Hunt"),CHOOSE(ArtifactsInput!$N$27+1,20,24,28,32,36,40),0)/100)))))/Skills!H16,1)))/Inputs!$B$43),G130*Q130)*(1+IF(Inputs!$B$3&gt;=126,0.05*(B150+Q127+(H128*B151)/(1+Skills!H14*H128*B151)+Q138),0)*(1/Q129)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3431177871284514.5</v>
      </c>
    </row>
    <row r="131" spans="1:21" x14ac:dyDescent="0.2">
      <c r="A131" t="str">
        <f>Skills!A17</f>
        <v>MAGIC_GUARD</v>
      </c>
      <c r="B131" t="str">
        <f>Skills!B17</f>
        <v>Magic Guard</v>
      </c>
      <c r="C131" t="b">
        <f>TRUE</f>
        <v>1</v>
      </c>
      <c r="D131">
        <f>IF(Skills!C17=1,60+Inputs!$B$25+Inputs!$B$29,IF(Skills!C17=2,90+Inputs!$B$26+Inputs!$B$29,IF(Skills!C17=3,120+Inputs!$B$27+Inputs!$B$29,MAX(0,(Inputs!$B$3-100)*3)+Inputs!$B$28+Inputs!$B$29)))</f>
        <v>127</v>
      </c>
      <c r="E131">
        <f>INDEX(FactorTable!$B$2:$Y$301, MATCH(ROUND(MIN(300,MAX(1,D131)),0), FactorTable!$A$2:$A$301,0), Skills!M17+1)</f>
        <v>1508</v>
      </c>
      <c r="F131">
        <f>IF(Skills!N17=TRUE,(Skills!L17/10)*(E131/1000),Skills!L17/10)+Skills!O17</f>
        <v>18.096</v>
      </c>
      <c r="G131">
        <f>Calc!G17</f>
        <v>1</v>
      </c>
      <c r="H131">
        <f>Calc!H17</f>
        <v>1</v>
      </c>
      <c r="I131">
        <f>IF(Skills!X17&lt;&gt;"",1+(Skills!X17/10)*(Z117/1000)/100,1)</f>
        <v>1</v>
      </c>
      <c r="O131">
        <f>(1-Summary!$B$11)*S131+Summary!$B$11*U131</f>
        <v>0</v>
      </c>
      <c r="P131">
        <f>IF(B155=0,0,O131/B155)</f>
        <v>0</v>
      </c>
      <c r="Q131">
        <f>IFERROR(1/(IF(Inputs!$B$38="pvp",15,MAX(0.1,Skills!E17-IF(TRUE=TRUE,Inputs!$B$32,0)))*(1-IF(AND(ArtifactsInput!$M$27,Inputs!$B$4="Chapter Hunt"),CHOOSE(ArtifactsInput!$N$27+1,20,24,28,32,36,40),0)/100)),0)</f>
        <v>4.7619047619047616E-2</v>
      </c>
      <c r="R131">
        <f>IF(AND(Inputs!$B$38&lt;&gt;"pvp",Inputs!$B$43&gt;0),IF(Inputs!$B$43&lt;=0,0,(INT(Inputs!$B$43/(IF(Inputs!$B$38="pvp",15,MAX(0.1,Skills!E17-IF(TRUE=TRUE,Inputs!$B$32,0)))*(1-IF(AND(ArtifactsInput!$M$27,Inputs!$B$4="Chapter Hunt"),CHOOSE(ArtifactsInput!$N$27+1,20,24,28,32,36,40),0)/100)))+1)),0)</f>
        <v>2</v>
      </c>
      <c r="S131">
        <v>0</v>
      </c>
      <c r="U131">
        <v>0</v>
      </c>
    </row>
    <row r="132" spans="1:21" x14ac:dyDescent="0.2">
      <c r="A132" t="str">
        <f>Skills!A18</f>
        <v>NIMBLE_FEET</v>
      </c>
      <c r="B132" t="str">
        <f>Skills!B18</f>
        <v>Nimble Feet</v>
      </c>
      <c r="C132" t="b">
        <f>TRUE</f>
        <v>1</v>
      </c>
      <c r="D132">
        <f>IF(Skills!C18=1,60+Inputs!$B$25+Inputs!$B$29,IF(Skills!C18=2,90+Inputs!$B$26+Inputs!$B$29,IF(Skills!C18=3,120+Inputs!$B$27+Inputs!$B$29,MAX(0,(Inputs!$B$3-100)*3)+Inputs!$B$28+Inputs!$B$29)))</f>
        <v>127</v>
      </c>
      <c r="E132">
        <f>INDEX(FactorTable!$B$2:$Y$301, MATCH(ROUND(MIN(300,MAX(1,D132)),0), FactorTable!$A$2:$A$301,0), Skills!M18+1)</f>
        <v>0</v>
      </c>
      <c r="F132">
        <f>IF(Skills!N18=TRUE,(Skills!L18/10)*(E132/1000),Skills!L18/10)+Skills!O18</f>
        <v>15</v>
      </c>
      <c r="G132">
        <f>Calc!G18</f>
        <v>1</v>
      </c>
      <c r="H132">
        <f>Calc!H18</f>
        <v>1</v>
      </c>
      <c r="I132">
        <f>IF(Skills!X18&lt;&gt;"",1+(Skills!X18/10)*(Z117/1000)/100,1)</f>
        <v>1</v>
      </c>
      <c r="O132">
        <f>(1-Summary!$B$11)*S132+Summary!$B$11*U132</f>
        <v>0</v>
      </c>
      <c r="P132">
        <f>IF(B155=0,0,O132/B155)</f>
        <v>0</v>
      </c>
      <c r="Q132">
        <f>IFERROR(1/(IF(Inputs!$B$38="pvp",15,MAX(0.1,Skills!E18-IF(TRUE=TRUE,Inputs!$B$32,0)))*(1-IF(AND(ArtifactsInput!$M$27,Inputs!$B$4="Chapter Hunt"),CHOOSE(ArtifactsInput!$N$27+1,20,24,28,32,36,40),0)/100)),0)</f>
        <v>1.6666666666666666E-2</v>
      </c>
      <c r="R132">
        <f>IF(AND(Inputs!$B$38&lt;&gt;"pvp",Inputs!$B$43&gt;0),IF(Inputs!$B$43&lt;=0,0,(INT(Inputs!$B$43/(IF(Inputs!$B$38="pvp",15,MAX(0.1,Skills!E18-IF(TRUE=TRUE,Inputs!$B$32,0)))*(1-IF(AND(ArtifactsInput!$M$27,Inputs!$B$4="Chapter Hunt"),CHOOSE(ArtifactsInput!$N$27+1,20,24,28,32,36,40),0)/100)))+1)),0)</f>
        <v>1</v>
      </c>
      <c r="S132">
        <v>0</v>
      </c>
      <c r="U132">
        <v>0</v>
      </c>
    </row>
    <row r="133" spans="1:21" x14ac:dyDescent="0.2">
      <c r="A133" t="str">
        <f>Skills!A19</f>
        <v>INFINITY</v>
      </c>
      <c r="B133" t="str">
        <f>Skills!B19</f>
        <v>Infinity</v>
      </c>
      <c r="C133" t="b">
        <f>Inputs!$B$3&gt;=110</f>
        <v>1</v>
      </c>
      <c r="D133">
        <f>IF(Skills!C19=1,60+Inputs!$B$25+Inputs!$B$29,IF(Skills!C19=2,90+Inputs!$B$26+Inputs!$B$29,IF(Skills!C19=3,120+Inputs!$B$27+Inputs!$B$29,MAX(0,(Inputs!$B$3-100)*3)+Inputs!$B$28+Inputs!$B$29)))</f>
        <v>185</v>
      </c>
      <c r="E133">
        <f>INDEX(FactorTable!$B$2:$Y$301, MATCH(ROUND(MIN(300,MAX(1,D133)),0), FactorTable!$A$2:$A$301,0), Skills!M19+1)</f>
        <v>1740</v>
      </c>
      <c r="F133">
        <f>IF(Skills!N19=TRUE,(Skills!L19/10)*(E133/1000),Skills!L19/10)+Skills!O19</f>
        <v>37.700579999999995</v>
      </c>
      <c r="G133">
        <f>Calc!G19</f>
        <v>1</v>
      </c>
      <c r="H133">
        <f>Calc!H19</f>
        <v>1</v>
      </c>
      <c r="I133">
        <f>IF(Skills!X19&lt;&gt;"",1+(Skills!X19/10)*(Z117/1000)/100,1)</f>
        <v>1</v>
      </c>
      <c r="O133">
        <f>(1-Summary!$B$11)*S133+Summary!$B$11*U133</f>
        <v>0</v>
      </c>
      <c r="P133">
        <f>IF(B155=0,0,O133/B155)</f>
        <v>0</v>
      </c>
      <c r="Q133">
        <f>IFERROR(1/(IF(Inputs!$B$38="pvp",15,MAX(0.1,Skills!E19-IF(TRUE=TRUE,Inputs!$B$32,0)))*(1-IF(AND(ArtifactsInput!$M$27,Inputs!$B$4="Chapter Hunt"),CHOOSE(ArtifactsInput!$N$27+1,20,24,28,32,36,40),0)/100)),0)</f>
        <v>3.3333333333333333E-2</v>
      </c>
      <c r="R133">
        <f>IF(AND(Inputs!$B$38&lt;&gt;"pvp",Inputs!$B$43&gt;0),IF(Inputs!$B$43&lt;=0,0,(INT(Inputs!$B$43/(IF(Inputs!$B$38="pvp",15,MAX(0.1,Skills!E19-IF(TRUE=TRUE,Inputs!$B$32,0)))*(1-IF(AND(ArtifactsInput!$M$27,Inputs!$B$4="Chapter Hunt"),CHOOSE(ArtifactsInput!$N$27+1,20,24,28,32,36,40),0)/100)))+1)),0)</f>
        <v>2</v>
      </c>
      <c r="S133">
        <v>0</v>
      </c>
      <c r="U133">
        <v>0</v>
      </c>
    </row>
    <row r="134" spans="1:21" x14ac:dyDescent="0.2">
      <c r="A134" t="str">
        <f>Skills!A20</f>
        <v>MAGIC_CRITICAL_RATE</v>
      </c>
      <c r="B134" t="str">
        <f>Skills!B20</f>
        <v>Magic Critical (Crit Rate)</v>
      </c>
      <c r="C134" t="b">
        <f>TRUE</f>
        <v>1</v>
      </c>
      <c r="D134">
        <f>IF(Skills!C20=1,60+Inputs!$B$25+Inputs!$B$29,IF(Skills!C20=2,90+Inputs!$B$26+Inputs!$B$29,IF(Skills!C20=3,120+Inputs!$B$27+Inputs!$B$29,MAX(0,(Inputs!$B$3-100)*3)+Inputs!$B$28+Inputs!$B$29)))</f>
        <v>184</v>
      </c>
      <c r="E134">
        <f>INDEX(FactorTable!$B$2:$Y$301, MATCH(ROUND(MIN(300,MAX(1,D134)),0), FactorTable!$A$2:$A$301,0), Skills!M20+1)</f>
        <v>1552</v>
      </c>
      <c r="F134">
        <f>IF(Skills!N20=TRUE,(Skills!L20/10)*(E134/1000),Skills!L20/10)+Skills!O20</f>
        <v>12.416</v>
      </c>
      <c r="G134">
        <f>Calc!G20</f>
        <v>1</v>
      </c>
      <c r="H134">
        <f>Calc!H20</f>
        <v>1</v>
      </c>
      <c r="I134">
        <f>IF(Skills!X20&lt;&gt;"",1+(Skills!X20/10)*(Z117/1000)/100,1)</f>
        <v>1</v>
      </c>
      <c r="O134">
        <f>(1-Summary!$B$11)*S134+Summary!$B$11*U134</f>
        <v>0</v>
      </c>
      <c r="P134">
        <f>IF(B155=0,0,O134/B155)</f>
        <v>0</v>
      </c>
      <c r="Q134">
        <f>IFERROR(1/(IF(Inputs!$B$38="pvp",15,MAX(0.1,Skills!E20-IF(TRUE=TRUE,Inputs!$B$32,0)))*(1-IF(AND(ArtifactsInput!$M$27,Inputs!$B$4="Chapter Hunt"),CHOOSE(ArtifactsInput!$N$27+1,20,24,28,32,36,40),0)/100)),0)</f>
        <v>10</v>
      </c>
      <c r="R134">
        <v>0</v>
      </c>
      <c r="S134">
        <v>0</v>
      </c>
      <c r="U134">
        <v>0</v>
      </c>
    </row>
    <row r="135" spans="1:21" x14ac:dyDescent="0.2">
      <c r="A135" t="str">
        <f>Skills!A21</f>
        <v>MAGIC_CRITICAL_DAMAGE</v>
      </c>
      <c r="B135" t="str">
        <f>Skills!B21</f>
        <v>Magic Critical (Crit Damage)</v>
      </c>
      <c r="C135" t="b">
        <f>TRUE</f>
        <v>1</v>
      </c>
      <c r="D135">
        <f>IF(Skills!C21=1,60+Inputs!$B$25+Inputs!$B$29,IF(Skills!C21=2,90+Inputs!$B$26+Inputs!$B$29,IF(Skills!C21=3,120+Inputs!$B$27+Inputs!$B$29,MAX(0,(Inputs!$B$3-100)*3)+Inputs!$B$28+Inputs!$B$29)))</f>
        <v>184</v>
      </c>
      <c r="E135">
        <f>INDEX(FactorTable!$B$2:$Y$301, MATCH(ROUND(MIN(300,MAX(1,D135)),0), FactorTable!$A$2:$A$301,0), Skills!M21+1)</f>
        <v>1552</v>
      </c>
      <c r="F135">
        <f>IF(Skills!N21=TRUE,(Skills!L21/10)*(E135/1000),Skills!L21/10)+Skills!O21</f>
        <v>18.624000000000002</v>
      </c>
      <c r="G135">
        <f>Calc!G21</f>
        <v>1</v>
      </c>
      <c r="H135">
        <f>Calc!H21</f>
        <v>1</v>
      </c>
      <c r="I135">
        <f>IF(Skills!X21&lt;&gt;"",1+(Skills!X21/10)*(Z117/1000)/100,1)</f>
        <v>1</v>
      </c>
      <c r="O135">
        <f>(1-Summary!$B$11)*S135+Summary!$B$11*U135</f>
        <v>0</v>
      </c>
      <c r="P135">
        <f>IF(B155=0,0,O135/B155)</f>
        <v>0</v>
      </c>
      <c r="Q135">
        <f>IFERROR(1/(IF(Inputs!$B$38="pvp",15,MAX(0.1,Skills!E21-IF(TRUE=TRUE,Inputs!$B$32,0)))*(1-IF(AND(ArtifactsInput!$M$27,Inputs!$B$4="Chapter Hunt"),CHOOSE(ArtifactsInput!$N$27+1,20,24,28,32,36,40),0)/100)),0)</f>
        <v>10</v>
      </c>
      <c r="R135">
        <v>0</v>
      </c>
      <c r="S135">
        <v>0</v>
      </c>
      <c r="U135">
        <v>0</v>
      </c>
    </row>
    <row r="136" spans="1:21" x14ac:dyDescent="0.2">
      <c r="A136" t="str">
        <f>Skills!A22</f>
        <v>SPELL_MASTERY</v>
      </c>
      <c r="B136" t="str">
        <f>Skills!B22</f>
        <v>Spell Mastery</v>
      </c>
      <c r="C136" t="b">
        <f>TRUE</f>
        <v>1</v>
      </c>
      <c r="D136">
        <f>IF(Skills!C22=1,60+Inputs!$B$25+Inputs!$B$29,IF(Skills!C22=2,90+Inputs!$B$26+Inputs!$B$29,IF(Skills!C22=3,120+Inputs!$B$27+Inputs!$B$29,MAX(0,(Inputs!$B$3-100)*3)+Inputs!$B$28+Inputs!$B$29)))</f>
        <v>168</v>
      </c>
      <c r="E136">
        <f>INDEX(FactorTable!$B$2:$Y$301, MATCH(ROUND(MIN(300,MAX(1,D136)),0), FactorTable!$A$2:$A$301,0), Skills!M22+1)</f>
        <v>1504</v>
      </c>
      <c r="F136">
        <f>IF(Skills!N22=TRUE,(Skills!L22/10)*(E136/1000),Skills!L22/10)+Skills!O22</f>
        <v>22.56</v>
      </c>
      <c r="G136">
        <f>Calc!G22</f>
        <v>1</v>
      </c>
      <c r="H136">
        <f>Calc!H22</f>
        <v>1</v>
      </c>
      <c r="I136">
        <f>IF(Skills!X22&lt;&gt;"",1+(Skills!X22/10)*(Z117/1000)/100,1)</f>
        <v>1</v>
      </c>
      <c r="O136">
        <f>(1-Summary!$B$11)*S136+Summary!$B$11*U136</f>
        <v>0</v>
      </c>
      <c r="P136">
        <f>IF(B155=0,0,O136/B155)</f>
        <v>0</v>
      </c>
      <c r="Q136">
        <f>IFERROR(1/(IF(Inputs!$B$38="pvp",15,MAX(0.1,Skills!E22-IF(TRUE=TRUE,Inputs!$B$32,0)))*(1-IF(AND(ArtifactsInput!$M$27,Inputs!$B$4="Chapter Hunt"),CHOOSE(ArtifactsInput!$N$27+1,20,24,28,32,36,40),0)/100)),0)</f>
        <v>10</v>
      </c>
      <c r="R136">
        <v>0</v>
      </c>
      <c r="S136">
        <v>0</v>
      </c>
      <c r="U136">
        <v>0</v>
      </c>
    </row>
    <row r="137" spans="1:21" x14ac:dyDescent="0.2">
      <c r="A137" t="str">
        <f>Skills!A23</f>
        <v>ELEMENT_AMPLIFICATION</v>
      </c>
      <c r="B137" t="str">
        <f>Skills!B23</f>
        <v>Element Amplification</v>
      </c>
      <c r="C137" t="b">
        <f>TRUE</f>
        <v>1</v>
      </c>
      <c r="D137">
        <f>IF(Skills!C23=1,60+Inputs!$B$25+Inputs!$B$29,IF(Skills!C23=2,90+Inputs!$B$26+Inputs!$B$29,IF(Skills!C23=3,120+Inputs!$B$27+Inputs!$B$29,MAX(0,(Inputs!$B$3-100)*3)+Inputs!$B$28+Inputs!$B$29)))</f>
        <v>185</v>
      </c>
      <c r="E137">
        <f>INDEX(FactorTable!$B$2:$Y$301, MATCH(ROUND(MIN(300,MAX(1,D137)),0), FactorTable!$A$2:$A$301,0), Skills!M23+1)</f>
        <v>1555</v>
      </c>
      <c r="F137">
        <f>IF(Skills!N23=TRUE,(Skills!L23/10)*(E137/1000),Skills!L23/10)+Skills!O23</f>
        <v>23.324999999999999</v>
      </c>
      <c r="G137">
        <f>Calc!G23</f>
        <v>1</v>
      </c>
      <c r="H137">
        <f>Calc!H23</f>
        <v>1</v>
      </c>
      <c r="I137">
        <f>IF(Skills!X23&lt;&gt;"",1+(Skills!X23/10)*(Z117/1000)/100,1)</f>
        <v>1</v>
      </c>
      <c r="O137">
        <f>(1-Summary!$B$11)*S137+Summary!$B$11*U137</f>
        <v>0</v>
      </c>
      <c r="P137">
        <f>IF(B155=0,0,O137/B155)</f>
        <v>0</v>
      </c>
      <c r="Q137">
        <f>IFERROR(1/(IF(Inputs!$B$38="pvp",15,MAX(0.1,Skills!E23-IF(TRUE=TRUE,Inputs!$B$32,0)))*(1-IF(AND(ArtifactsInput!$M$27,Inputs!$B$4="Chapter Hunt"),CHOOSE(ArtifactsInput!$N$27+1,20,24,28,32,36,40),0)/100)),0)</f>
        <v>10</v>
      </c>
      <c r="R137">
        <v>0</v>
      </c>
      <c r="S137">
        <v>0</v>
      </c>
      <c r="U137">
        <v>0</v>
      </c>
    </row>
    <row r="138" spans="1:21" x14ac:dyDescent="0.2">
      <c r="A138" t="str">
        <f>Skills!A24</f>
        <v>IFRIT</v>
      </c>
      <c r="B138" t="str">
        <f>Skills!B24</f>
        <v>Ifrit</v>
      </c>
      <c r="C138" t="b">
        <f>Inputs!$B$3&gt;=115</f>
        <v>1</v>
      </c>
      <c r="D138">
        <f>IF(Skills!C24=1,60+Inputs!$B$25+Inputs!$B$29,IF(Skills!C24=2,90+Inputs!$B$26+Inputs!$B$29,IF(Skills!C24=3,120+Inputs!$B$27+Inputs!$B$29,MAX(0,(Inputs!$B$3-100)*3)+Inputs!$B$28+Inputs!$B$29)))</f>
        <v>185</v>
      </c>
      <c r="E138">
        <f>INDEX(FactorTable!$B$2:$Y$301, MATCH(ROUND(MIN(300,MAX(1,D138)),0), FactorTable!$A$2:$A$301,0), Skills!M24+1)</f>
        <v>1925</v>
      </c>
      <c r="F138">
        <f>IF(Skills!N24=TRUE,(Skills!L24/10)*(E138/1000),Skills!L24/10)+Skills!O24</f>
        <v>6737.5</v>
      </c>
      <c r="G138">
        <f>Calc!G24</f>
        <v>7.5</v>
      </c>
      <c r="H138">
        <f>Calc!H24</f>
        <v>1</v>
      </c>
      <c r="I138">
        <f>IF(Skills!X24&lt;&gt;"",1+(Skills!X24/10)*(Z117/1000)/100,1)</f>
        <v>1</v>
      </c>
      <c r="J138">
        <f>((Inputs!$B$6*(1+Inputs!$B$7/100))+(((Inputs!$B$12*(1+(Inputs!$B$13+1)/100))-(Inputs!$B$12*(1+Inputs!$B$13/100)))+0.25*(Inputs!$B$14-Inputs!$B$14))*(1+Inputs!$B$7/100))*(F138/100)</f>
        <v>24346576332.459923</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122639407549422.09</v>
      </c>
      <c r="L138">
        <f>K138*(MIN(Inputs!$B$22+(F136-Calc!F22),(Inputs!$B$23+(IF(ArtifactsInput!$M$15,CHOOSE(ArtifactsInput!$N$15+1,25,30,35,40,45,50)/100*(Inputs!$B$11-Inputs!$B$11),0))))/100+(Inputs!$B$23+(IF(ArtifactsInput!$M$15,CHOOSE(ArtifactsInput!$N$15+1,25,30,35,40,45,50)/100*(Inputs!$B$11-Inputs!$B$11),0)))/100)/2</f>
        <v>407776030101828.5</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1924295086050528.5</v>
      </c>
      <c r="N138">
        <f>L138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1924295086050528.5</v>
      </c>
      <c r="O138">
        <f>(1-Summary!$B$11)*S138+Summary!$B$11*U138</f>
        <v>2200912504670292</v>
      </c>
      <c r="P138">
        <f>IF(B155=0,0,O138/B155)</f>
        <v>6.6312914553869631E-2</v>
      </c>
      <c r="Q138">
        <f>IFERROR(1/(IF(Inputs!$B$38="pvp",15,MAX(0.1,Skills!E24-IF(TRUE=TRUE,Inputs!$B$32,0)))*(1-IF(AND(ArtifactsInput!$M$27,Inputs!$B$4="Chapter Hunt"),CHOOSE(ArtifactsInput!$N$27+1,20,24,28,32,36,40),0)/100)),0)</f>
        <v>1.2500000000000001E-2</v>
      </c>
      <c r="R138">
        <f>IF(AND(Inputs!$B$38&lt;&gt;"pvp",Inputs!$B$43&gt;0),IF(MAX(0,Inputs!$B$43-B152)&lt;=0,0,(INT(MAX(0,Inputs!$B$43-B152)/(IF(Inputs!$B$38="pvp",15,MAX(0.1,Skills!E24-IF(TRUE=TRUE,Inputs!$B$32,0)))*(1-IF(AND(ArtifactsInput!$M$27,Inputs!$B$4="Chapter Hunt"),CHOOSE(ArtifactsInput!$N$27+1,20,24,28,32,36,40),0)/100)))+1)),0)</f>
        <v>1</v>
      </c>
      <c r="S138">
        <f>IF(C138,(H138*N138*IF(AND(Inputs!$B$38&lt;&gt;"pvp",Inputs!$B$43&gt;0),((Skills!G24*((R138-1)*IF(Skills!H24&gt;0,Skills!I24/Skills!H24,1)+IF(Skills!H24&gt;0,MIN(Skills!I24,MAX(0,MAX(0,Inputs!$B$43-B152)-((R138-1)*(IF(Inputs!$B$38="pvp",15,MAX(0.1,Skills!E24-IF(TRUE=TRUE,Inputs!$B$32,0)))*(1-IF(AND(ArtifactsInput!$M$27,Inputs!$B$4="Chapter Hunt"),CHOOSE(ArtifactsInput!$N$27+1,20,24,28,32,36,40),0)/100)))))/Skills!H24,1)))/Inputs!$B$43),G138*Q138)*(1+IF(Inputs!$B$3&gt;=130,0.2*(Skills!I16/(1/Q129)+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1143752891771283</v>
      </c>
      <c r="U138">
        <f>IF(C138,(H138*N138*IF(AND(Inputs!$B$38&lt;&gt;"pvp",Inputs!$B$43&gt;0),((Skills!G24*((R138-1)*IF(Skills!H24&gt;0,Skills!I24/Skills!H24,1)+IF(Skills!H24&gt;0,MIN(Skills!I24,MAX(0,MAX(0,Inputs!$B$43-B152)-((R138-1)*(IF(Inputs!$B$38="pvp",15,MAX(0.1,Skills!E24-IF(TRUE=TRUE,Inputs!$B$32,0)))*(1-IF(AND(ArtifactsInput!$M$27,Inputs!$B$4="Chapter Hunt"),CHOOSE(ArtifactsInput!$N$27+1,20,24,28,32,36,40),0)/100)))))/Skills!H24,1)))/Inputs!$B$43),G138*Q138)*(1+IF(Inputs!$B$3&gt;=130,0.2*(Skills!I16/(1/Q129)+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3258072117569301</v>
      </c>
    </row>
    <row r="139" spans="1:21" x14ac:dyDescent="0.2">
      <c r="A139" t="str">
        <f>Skills!A25</f>
        <v>BUFF_MASTERY</v>
      </c>
      <c r="B139" t="str">
        <f>Skills!B25</f>
        <v>Buff Mastery</v>
      </c>
      <c r="C139" t="b">
        <f>Inputs!$B$3&gt;=117</f>
        <v>1</v>
      </c>
      <c r="D139">
        <f>IF(Skills!C25=1,60+Inputs!$B$25+Inputs!$B$29,IF(Skills!C25=2,90+Inputs!$B$26+Inputs!$B$29,IF(Skills!C25=3,120+Inputs!$B$27+Inputs!$B$29,MAX(0,(Inputs!$B$3-100)*3)+Inputs!$B$28+Inputs!$B$29)))</f>
        <v>185</v>
      </c>
      <c r="E139">
        <f>INDEX(FactorTable!$B$2:$Y$301, MATCH(ROUND(MIN(300,MAX(1,D139)),0), FactorTable!$A$2:$A$301,0), Skills!M25+1)</f>
        <v>1555</v>
      </c>
      <c r="F139">
        <f>IF(Skills!N25=TRUE,(Skills!L25/10)*(E139/1000),Skills!L25/10)+Skills!O25</f>
        <v>15.549999999999999</v>
      </c>
      <c r="G139">
        <f>Calc!G25</f>
        <v>1</v>
      </c>
      <c r="H139">
        <f>Calc!H25</f>
        <v>1</v>
      </c>
      <c r="I139">
        <f>IF(Skills!X25&lt;&gt;"",1+(Skills!X25/10)*(Z117/1000)/100,1)</f>
        <v>1</v>
      </c>
      <c r="O139">
        <f>(1-Summary!$B$11)*S139+Summary!$B$11*U139</f>
        <v>0</v>
      </c>
      <c r="P139">
        <f>IF(B155=0,0,O139/B155)</f>
        <v>0</v>
      </c>
      <c r="Q139">
        <f>IFERROR(1/(IF(Inputs!$B$38="pvp",15,MAX(0.1,Skills!E25-IF(TRUE=TRUE,Inputs!$B$32,0)))*(1-IF(AND(ArtifactsInput!$M$27,Inputs!$B$4="Chapter Hunt"),CHOOSE(ArtifactsInput!$N$27+1,20,24,28,32,36,40),0)/100)),0)</f>
        <v>10</v>
      </c>
      <c r="R139">
        <v>0</v>
      </c>
      <c r="S139">
        <v>0</v>
      </c>
      <c r="U139">
        <v>0</v>
      </c>
    </row>
    <row r="140" spans="1:21" x14ac:dyDescent="0.2">
      <c r="A140" t="str">
        <f>Skills!A26</f>
        <v>ARCANE_AIM</v>
      </c>
      <c r="B140" t="str">
        <f>Skills!B26</f>
        <v>Arcane Aim</v>
      </c>
      <c r="C140" t="b">
        <f>Inputs!$B$3&gt;=120</f>
        <v>0</v>
      </c>
      <c r="D140">
        <f>IF(Skills!C26=1,60+Inputs!$B$25+Inputs!$B$29,IF(Skills!C26=2,90+Inputs!$B$26+Inputs!$B$29,IF(Skills!C26=3,120+Inputs!$B$27+Inputs!$B$29,MAX(0,(Inputs!$B$3-100)*3)+Inputs!$B$28+Inputs!$B$29)))</f>
        <v>185</v>
      </c>
      <c r="E140">
        <f>INDEX(FactorTable!$B$2:$Y$301, MATCH(ROUND(MIN(300,MAX(1,D140)),0), FactorTable!$A$2:$A$301,0), Skills!M26+1)</f>
        <v>1555</v>
      </c>
      <c r="F140">
        <f>IF(Skills!N26=TRUE,(Skills!L26/10)*(E140/1000),Skills!L26/10)+Skills!O26</f>
        <v>4.665</v>
      </c>
      <c r="G140">
        <f>Calc!G26</f>
        <v>1</v>
      </c>
      <c r="H140">
        <f>Calc!H26</f>
        <v>1</v>
      </c>
      <c r="I140">
        <f>IF(Skills!X26&lt;&gt;"",1+(Skills!X26/10)*(Z117/1000)/100,1)</f>
        <v>1</v>
      </c>
      <c r="O140">
        <f>(1-Summary!$B$11)*S140+Summary!$B$11*U140</f>
        <v>0</v>
      </c>
      <c r="P140">
        <f>IF(B155=0,0,O140/B155)</f>
        <v>0</v>
      </c>
      <c r="Q140">
        <f>IFERROR(1/(IF(Inputs!$B$38="pvp",15,MAX(0.1,Skills!E26-IF(TRUE=TRUE,Inputs!$B$32,0)))*(1-IF(AND(ArtifactsInput!$M$27,Inputs!$B$4="Chapter Hunt"),CHOOSE(ArtifactsInput!$N$27+1,20,24,28,32,36,40),0)/100)),0)</f>
        <v>10</v>
      </c>
      <c r="R140">
        <v>0</v>
      </c>
      <c r="S140">
        <v>0</v>
      </c>
      <c r="U140">
        <v>0</v>
      </c>
    </row>
    <row r="141" spans="1:21" x14ac:dyDescent="0.2">
      <c r="A141" t="str">
        <f>Skills!A27</f>
        <v>FERVENT_DRAIN</v>
      </c>
      <c r="B141" t="str">
        <f>Skills!B27</f>
        <v>Fervent Drain</v>
      </c>
      <c r="C141" t="b">
        <f>Inputs!$B$3&gt;=125</f>
        <v>0</v>
      </c>
      <c r="D141">
        <f>IF(Skills!C27=1,60+Inputs!$B$25+Inputs!$B$29,IF(Skills!C27=2,90+Inputs!$B$26+Inputs!$B$29,IF(Skills!C27=3,120+Inputs!$B$27+Inputs!$B$29,MAX(0,(Inputs!$B$3-100)*3)+Inputs!$B$28+Inputs!$B$29)))</f>
        <v>185</v>
      </c>
      <c r="E141">
        <f>INDEX(FactorTable!$B$2:$Y$301, MATCH(ROUND(MIN(300,MAX(1,D141)),0), FactorTable!$A$2:$A$301,0), Skills!M27+1)</f>
        <v>1555</v>
      </c>
      <c r="F141">
        <f>IF(Skills!N27=TRUE,(Skills!L27/10)*(E141/1000),Skills!L27/10)+Skills!O27</f>
        <v>6.22</v>
      </c>
      <c r="G141">
        <f>Calc!G27</f>
        <v>1</v>
      </c>
      <c r="H141">
        <f>Calc!H27</f>
        <v>1</v>
      </c>
      <c r="I141">
        <f>IF(Skills!X27&lt;&gt;"",1+(Skills!X27/10)*(Z117/1000)/100,1)</f>
        <v>1</v>
      </c>
      <c r="O141">
        <f>(1-Summary!$B$11)*S141+Summary!$B$11*U141</f>
        <v>0</v>
      </c>
      <c r="P141">
        <f>IF(B155=0,0,O141/B155)</f>
        <v>0</v>
      </c>
      <c r="Q141">
        <f>IFERROR(1/(IF(Inputs!$B$38="pvp",15,MAX(0.1,Skills!E27-IF(TRUE=TRUE,Inputs!$B$32,0)))*(1-IF(AND(ArtifactsInput!$M$27,Inputs!$B$4="Chapter Hunt"),CHOOSE(ArtifactsInput!$N$27+1,20,24,28,32,36,40),0)/100)),0)</f>
        <v>10</v>
      </c>
      <c r="R141">
        <v>0</v>
      </c>
      <c r="S141">
        <v>0</v>
      </c>
      <c r="U141">
        <v>0</v>
      </c>
    </row>
    <row r="142" spans="1:21" x14ac:dyDescent="0.2">
      <c r="A142" t="str">
        <f>Skills!A28</f>
        <v>FLAME_HAZE_FOG</v>
      </c>
      <c r="B142" t="str">
        <f>Skills!B28</f>
        <v>Flame Haze (poison fog DoT)</v>
      </c>
      <c r="C142" t="b">
        <f>Inputs!$B$3&gt;=118</f>
        <v>0</v>
      </c>
      <c r="D142">
        <f>IF(Skills!C28=1,60+Inputs!$B$25+Inputs!$B$29,IF(Skills!C28=2,90+Inputs!$B$26+Inputs!$B$29,IF(Skills!C28=3,120+Inputs!$B$27+Inputs!$B$29,MAX(0,(Inputs!$B$3-100)*3)+Inputs!$B$28+Inputs!$B$29)))</f>
        <v>185</v>
      </c>
      <c r="E142">
        <f>INDEX(FactorTable!$B$2:$Y$301, MATCH(ROUND(MIN(300,MAX(1,D142)),0), FactorTable!$A$2:$A$301,0), Skills!M28+1)</f>
        <v>1925</v>
      </c>
      <c r="F142">
        <f>IF(Skills!N28=TRUE,(Skills!L28/10)*(E142/1000),Skills!L28/10)+Skills!O28</f>
        <v>134.75</v>
      </c>
      <c r="G142">
        <f>Calc!G28</f>
        <v>50</v>
      </c>
      <c r="H142">
        <f>Calc!H28</f>
        <v>1</v>
      </c>
      <c r="I142">
        <f>IF(Skills!X28&lt;&gt;"",1+(Skills!X28/10)*(Z117/1000)/100,1)</f>
        <v>1</v>
      </c>
      <c r="J142">
        <f>((Inputs!$B$6*(1+Inputs!$B$7/100))+(((Inputs!$B$12*(1+(Inputs!$B$13+1)/100))-(Inputs!$B$12*(1+Inputs!$B$13/100)))+0.25*(Inputs!$B$14-Inputs!$B$14))*(1+Inputs!$B$7/100))*(F142/100)</f>
        <v>486931526.64919841</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2452788150988.4414</v>
      </c>
      <c r="L142">
        <f>K142*(MIN(Inputs!$B$22+(F136-Calc!F22),(Inputs!$B$23+(IF(ArtifactsInput!$M$15,CHOOSE(ArtifactsInput!$N$15+1,25,30,35,40,45,50)/100*(Inputs!$B$11-Inputs!$B$11),0))))/100+(Inputs!$B$23+(IF(ArtifactsInput!$M$15,CHOOSE(ArtifactsInput!$N$15+1,25,30,35,40,45,50)/100*(Inputs!$B$11-Inputs!$B$11),0)))/100)/2</f>
        <v>8155520602036.5684</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38485901721010.562</v>
      </c>
      <c r="N142">
        <f>L142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38485901721010.562</v>
      </c>
      <c r="O142">
        <f>(1-Summary!$B$11)*S142+Summary!$B$11*U142</f>
        <v>0</v>
      </c>
      <c r="P142">
        <f>IF(B155=0,0,O142/B155)</f>
        <v>0</v>
      </c>
      <c r="Q142">
        <f>IFERROR(1/(IF(Inputs!$B$38="pvp",15,MAX(0.1,Skills!E28-IF(TRUE=TRUE,Inputs!$B$32,0)))*(1-IF(AND(ArtifactsInput!$M$27,Inputs!$B$4="Chapter Hunt"),CHOOSE(ArtifactsInput!$N$27+1,20,24,28,32,36,40),0)/100)),0)</f>
        <v>0.04</v>
      </c>
      <c r="R142">
        <f>IF(AND(Inputs!$B$38&lt;&gt;"pvp",Inputs!$B$43&gt;0),IF(MAX(0,Inputs!$B$43-B152)&lt;=0,0,(INT(MAX(0,Inputs!$B$43-B152)/(IF(Inputs!$B$38="pvp",15,MAX(0.1,Skills!E28-IF(TRUE=TRUE,Inputs!$B$32,0)))*(1-IF(AND(ArtifactsInput!$M$27,Inputs!$B$4="Chapter Hunt"),CHOOSE(ArtifactsInput!$N$27+1,20,24,28,32,36,40),0)/100)))+1)),0)</f>
        <v>2</v>
      </c>
      <c r="S142">
        <f>IF(C142,(H142*N142*IF(AND(Inputs!$B$38&lt;&gt;"pvp",Inputs!$B$43&gt;0),((Skills!G28*((R142-1)*IF(Skills!H28&gt;0,Skills!I28/Skills!H28,1)+IF(Skills!H28&gt;0,MIN(Skills!I28,MAX(0,MAX(0,Inputs!$B$43-B152)-((R142-1)*(IF(Inputs!$B$38="pvp",15,MAX(0.1,Skills!E28-IF(TRUE=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2">
        <f>IF(C142,(H142*N142*IF(AND(Inputs!$B$38&lt;&gt;"pvp",Inputs!$B$43&gt;0),((Skills!G28*((R142-1)*IF(Skills!H28&gt;0,Skills!I28/Skills!H28,1)+IF(Skills!H28&gt;0,MIN(Skills!I28,MAX(0,MAX(0,Inputs!$B$43-B152)-((R142-1)*(IF(Inputs!$B$38="pvp",15,MAX(0.1,Skills!E28-IF(TRUE=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4" spans="1:21" x14ac:dyDescent="0.2">
      <c r="A144" t="s">
        <v>356</v>
      </c>
      <c r="B144">
        <f>1+(F125*Skills!Z11)/100</f>
        <v>1.25</v>
      </c>
    </row>
    <row r="145" spans="1:26" x14ac:dyDescent="0.2">
      <c r="A145" t="s">
        <v>435</v>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1.18624</v>
      </c>
    </row>
    <row r="146" spans="1:26" x14ac:dyDescent="0.2">
      <c r="A146" t="s">
        <v>358</v>
      </c>
      <c r="B146">
        <f>(1+(F120*IF(AND(Inputs!$B$38&lt;&gt;"pvp",Inputs!$B$43&gt;0),(((R120-1)*MIN((Skills!T6*(1+((Inputs!$B$34+(ArtifactsInput!$M$7-ArtifactsInput!$M$7)*CHOOSE(ArtifactsInput!$N$7+1,6,7.2,8.4,9.6,10.8,12)))/100)),(1/Q120))+MIN((Skills!T6*(1+((Inputs!$B$34+(ArtifactsInput!$M$7-ArtifactsInput!$M$7)*CHOOSE(ArtifactsInput!$N$7+1,6,7.2,8.4,9.6,10.8,12)))/100)),MAX(0,Inputs!$B$43-((R120-1)*(1/Q120)))))/Inputs!$B$43),IF(Inputs!$B$38="pvp",MIN((Skills!T6*(1+((Inputs!$B$34+(ArtifactsInput!$M$7-ArtifactsInput!$M$7)*CHOOSE(ArtifactsInput!$N$7+1,6,7.2,8.4,9.6,10.8,12)))/100)),15)/15,MIN(1,(Skills!T6*(1+((Inputs!$B$34+(ArtifactsInput!$M$7-ArtifactsInput!$M$7)*CHOOSE(ArtifactsInput!$N$7+1,6,7.2,8.4,9.6,10.8,12)))/100))/(1/Q120))))+F131*IF(AND(Inputs!$B$38&lt;&gt;"pvp",Inputs!$B$43&gt;0),(((R131-1)*MIN((Skills!T17*(1+((Inputs!$B$34+(ArtifactsInput!$M$7-ArtifactsInput!$M$7)*CHOOSE(ArtifactsInput!$N$7+1,6,7.2,8.4,9.6,10.8,12)))/100)),(1/Q131))+MIN((Skills!T17*(1+((Inputs!$B$34+(ArtifactsInput!$M$7-ArtifactsInput!$M$7)*CHOOSE(ArtifactsInput!$N$7+1,6,7.2,8.4,9.6,10.8,12)))/100)),MAX(0,Inputs!$B$43-((R131-1)*(1/Q131)))))/Inputs!$B$43),IF(Inputs!$B$38="pvp",MIN((Skills!T17*(1+((Inputs!$B$34+(ArtifactsInput!$M$7-ArtifactsInput!$M$7)*CHOOSE(ArtifactsInput!$N$7+1,6,7.2,8.4,9.6,10.8,12)))/100)),15)/15,MIN(1,(Skills!T17*(1+((Inputs!$B$34+(ArtifactsInput!$M$7-ArtifactsInput!$M$7)*CHOOSE(ArtifactsInput!$N$7+1,6,7.2,8.4,9.6,10.8,12)))/100))/(1/Q131)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MIN((Skills!T19*(1+((Inputs!$B$34+(ArtifactsInput!$M$7-ArtifactsInput!$M$7)*CHOOSE(ArtifactsInput!$N$7+1,6,7.2,8.4,9.6,10.8,12)))/100)),(1/Q133))+MIN((Skills!T19*(1+((Inputs!$B$34+(ArtifactsInput!$M$7-ArtifactsInput!$M$7)*CHOOSE(ArtifactsInput!$N$7+1,6,7.2,8.4,9.6,10.8,12)))/100)),MAX(0,Inputs!$B$43-((R133-1)*(1/Q133)))))/Inputs!$B$43),IF(Inputs!$B$38="pvp",MIN((Skills!T19*(1+((Inputs!$B$34+(ArtifactsInput!$M$7-ArtifactsInput!$M$7)*CHOOSE(ArtifactsInput!$N$7+1,6,7.2,8.4,9.6,10.8,12)))/100)),15)/15,MIN(1,(Skills!T19*(1+((Inputs!$B$34+(ArtifactsInput!$M$7-ArtifactsInput!$M$7)*CHOOSE(ArtifactsInput!$N$7+1,6,7.2,8.4,9.6,10.8,12)))/100))/(1/Q133))))/100),1)</f>
        <v>1.7965808377980694</v>
      </c>
    </row>
    <row r="147" spans="1:26" x14ac:dyDescent="0.2">
      <c r="A147" t="s">
        <v>359</v>
      </c>
      <c r="B147">
        <f>F132*IF(AND(Inputs!$B$38&lt;&gt;"pvp",Inputs!$B$43&gt;0),(((R132-1)*MIN((Skills!T18*(1+((Inputs!$B$34+(ArtifactsInput!$M$7-ArtifactsInput!$M$7)*CHOOSE(ArtifactsInput!$N$7+1,6,7.2,8.4,9.6,10.8,12)))/100)),(1/Q132))+MIN((Skills!T18*(1+((Inputs!$B$34+(ArtifactsInput!$M$7-ArtifactsInput!$M$7)*CHOOSE(ArtifactsInput!$N$7+1,6,7.2,8.4,9.6,10.8,12)))/100)),MAX(0,Inputs!$B$43-((R132-1)*(1/Q132)))))/Inputs!$B$43),IF(Inputs!$B$38="pvp",MIN((Skills!T18*(1+((Inputs!$B$34+(ArtifactsInput!$M$7-ArtifactsInput!$M$7)*CHOOSE(ArtifactsInput!$N$7+1,6,7.2,8.4,9.6,10.8,12)))/100)),15)/15,MIN(1,(Skills!T18*(1+((Inputs!$B$34+(ArtifactsInput!$M$7-ArtifactsInput!$M$7)*CHOOSE(ArtifactsInput!$N$7+1,6,7.2,8.4,9.6,10.8,12)))/100))/(1/Q132))))</f>
        <v>6.4968749999999993</v>
      </c>
    </row>
    <row r="148" spans="1:26" x14ac:dyDescent="0.2">
      <c r="A148" t="s">
        <v>436</v>
      </c>
      <c r="B148">
        <f>1+MIN(150,150*(1-(1-(Inputs!$B$11+(ArtifactsInput!$M$15-ArtifactsInput!$M$15)*CHOOSE(ArtifactsInput!$N$15+1,8,9.6,11.2,12.8,14.4,16))/150)*(1-B147/150)))/100</f>
        <v>1.6982958749999999</v>
      </c>
    </row>
    <row r="149" spans="1:26" x14ac:dyDescent="0.2">
      <c r="A149" t="s">
        <v>437</v>
      </c>
      <c r="B149">
        <f>IF(AND(Inputs!$B$38&lt;&gt;"pvp",Inputs!$B$43&gt;0),SUMPRODUCT((Skills!F2:F28=TRUE)*(C116:C142=TRUE)*R116:R142)/Inputs!$B$43,SUMPRODUCT((Skills!F2:F28=TRUE)*(C116:C142=TRUE)*Q116:Q142))</f>
        <v>0.47499999999999998</v>
      </c>
    </row>
    <row r="150" spans="1:26" x14ac:dyDescent="0.2">
      <c r="A150" t="s">
        <v>362</v>
      </c>
      <c r="B150">
        <f>MAX(0,B148-B149)</f>
        <v>1.2232958749999998</v>
      </c>
    </row>
    <row r="151" spans="1:26" x14ac:dyDescent="0.2">
      <c r="A151" t="s">
        <v>438</v>
      </c>
      <c r="B151">
        <f>IF(AND(Inputs!$B$38&lt;&gt;"pvp",Inputs!$B$43&gt;0),SUMPRODUCT((Skills!V2:V28=TRUE)*(C116:C142=TRUE)*R116:R142*Skills!W2:W28)/Inputs!$B$43,SUMPRODUCT((Skills!V2:V28=TRUE)*(C116:C142=TRUE)*Q116:Q142*Skills!W2:W28))+B150</f>
        <v>1.5482958749999998</v>
      </c>
    </row>
    <row r="152" spans="1:26" x14ac:dyDescent="0.2">
      <c r="A152" t="s">
        <v>439</v>
      </c>
      <c r="B152">
        <f>IF(AND(Inputs!$B$38&lt;&gt;"pvp",Inputs!$B$43&gt;0),SUMPRODUCT((Skills!T2:T28&gt;0)*(Skills!F2:F28=TRUE)*(C116:C142=TRUE))/B148,0)</f>
        <v>2.3553021937358238</v>
      </c>
    </row>
    <row r="153" spans="1:26" x14ac:dyDescent="0.2">
      <c r="A153" t="s">
        <v>440</v>
      </c>
      <c r="B153">
        <f>SUM(S116:S142)</f>
        <v>9546877947275924</v>
      </c>
    </row>
    <row r="154" spans="1:26" x14ac:dyDescent="0.2">
      <c r="A154" t="s">
        <v>441</v>
      </c>
      <c r="B154">
        <f>SUM(U116:U142)</f>
        <v>5.6832726070350816E+16</v>
      </c>
    </row>
    <row r="155" spans="1:26" x14ac:dyDescent="0.2">
      <c r="A155" s="6" t="s">
        <v>348</v>
      </c>
      <c r="B155" s="6">
        <f>SUM(O116:O142)</f>
        <v>3.3189802008813376E+16</v>
      </c>
    </row>
    <row r="158" spans="1:26" x14ac:dyDescent="0.2">
      <c r="A158" s="6" t="s">
        <v>443</v>
      </c>
    </row>
    <row r="159" spans="1:26" x14ac:dyDescent="0.2">
      <c r="A159" s="5" t="s">
        <v>136</v>
      </c>
      <c r="B159" s="5" t="s">
        <v>137</v>
      </c>
      <c r="C159" s="5" t="s">
        <v>328</v>
      </c>
      <c r="D159" s="5" t="s">
        <v>329</v>
      </c>
      <c r="E159" s="5" t="s">
        <v>330</v>
      </c>
      <c r="F159" s="5" t="s">
        <v>331</v>
      </c>
      <c r="G159" s="5" t="s">
        <v>332</v>
      </c>
      <c r="H159" s="5" t="s">
        <v>333</v>
      </c>
      <c r="I159" s="5" t="s">
        <v>334</v>
      </c>
      <c r="J159" s="5" t="s">
        <v>335</v>
      </c>
      <c r="K159" s="5" t="s">
        <v>336</v>
      </c>
      <c r="L159" s="5" t="s">
        <v>337</v>
      </c>
      <c r="M159" s="5" t="s">
        <v>338</v>
      </c>
      <c r="N159" s="5" t="s">
        <v>339</v>
      </c>
      <c r="O159" s="5" t="s">
        <v>340</v>
      </c>
      <c r="P159" s="5" t="s">
        <v>341</v>
      </c>
      <c r="R159" t="s">
        <v>434</v>
      </c>
    </row>
    <row r="160" spans="1:26" x14ac:dyDescent="0.2">
      <c r="A160" t="str">
        <f>Skills!A2</f>
        <v>BASIC_ATTACK</v>
      </c>
      <c r="B160" t="str">
        <f>Skills!B2</f>
        <v>Basic Attack</v>
      </c>
      <c r="C160" t="b">
        <f>TRUE</f>
        <v>1</v>
      </c>
      <c r="F160">
        <f>T162+Skills!O2</f>
        <v>537.6</v>
      </c>
      <c r="G160">
        <f>Calc!G2</f>
        <v>5</v>
      </c>
      <c r="H160">
        <f>Calc!H2</f>
        <v>1</v>
      </c>
      <c r="I160">
        <f>IF(Skills!X2&lt;&gt;"",1+(Skills!X2/10)*(Z161/1000)/100,1)</f>
        <v>1</v>
      </c>
      <c r="J160">
        <f>((Inputs!$B$6*(1+Inputs!$B$7/100))+(((Inputs!$B$12*(1+Inputs!$B$13/100))-(Inputs!$B$12*(1+Inputs!$B$13/100)))+0.25*(Inputs!$B$14-Inputs!$B$14))*(1+Inputs!$B$7/100))*(F160/100)</f>
        <v>1941459186.9980164</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6626750792175.9688</v>
      </c>
      <c r="L160">
        <f>K160*(MIN(Inputs!$B$22+(F180-Calc!F22),(Inputs!$B$23+(IF(ArtifactsInput!$M$15,CHOOSE(ArtifactsInput!$N$15+1,25,30,35,40,45,50)/100*(Inputs!$B$11-Inputs!$B$11),0))))/100+(Inputs!$B$23+(IF(ArtifactsInput!$M$15,CHOOSE(ArtifactsInput!$N$15+1,25,30,35,40,45,50)/100*(Inputs!$B$11-Inputs!$B$11),0)))/100)/2</f>
        <v>22033946383985.098</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103978192986025.66</v>
      </c>
      <c r="N160">
        <f>L160*(1-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103978192986025.66</v>
      </c>
      <c r="O160">
        <f>(1-Summary!$B$11)*S160+Summary!$B$11*U160</f>
        <v>1.2525635412757026E+16</v>
      </c>
      <c r="P160">
        <f>IF(B199=0,0,O160/B199)</f>
        <v>0.37819938885449511</v>
      </c>
      <c r="Q160">
        <f>IFERROR(1/(IF(Inputs!$B$38="pvp",15,MAX(0.1,Skills!E2-IF(TRUE=TRUE,Inputs!$B$32,0)))*(1-IF(AND(ArtifactsInput!$M$27,Inputs!$B$4="Chapter Hunt"),CHOOSE(ArtifactsInput!$N$27+1,20,24,28,32,36,40),0)/100)),0)</f>
        <v>10</v>
      </c>
      <c r="R160">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2079656146215561.2</v>
      </c>
      <c r="T160">
        <f>MAX(0,(Inputs!$B$3-100)*3)+Inputs!$B$28+Inputs!$B$29</f>
        <v>185</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2.2971614679298492E+16</v>
      </c>
      <c r="Z160">
        <f>MAX(0,(Inputs!$B$3-100)*3)+Inputs!$B$28+Inputs!$B$29</f>
        <v>185</v>
      </c>
    </row>
    <row r="161" spans="1:26" x14ac:dyDescent="0.2">
      <c r="A161" t="str">
        <f>Skills!A3</f>
        <v>IGNITE</v>
      </c>
      <c r="B161" t="str">
        <f>Skills!B3</f>
        <v>Ignite</v>
      </c>
      <c r="C161" t="b">
        <f>TRUE</f>
        <v>1</v>
      </c>
      <c r="D161">
        <f>IF(Skills!C3=1,60+Inputs!$B$25+Inputs!$B$29,IF(Skills!C3=2,90+Inputs!$B$26+Inputs!$B$29,IF(Skills!C3=3,120+Inputs!$B$27+Inputs!$B$29,MAX(0,(Inputs!$B$3-100)*3)+Inputs!$B$28+Inputs!$B$29)))</f>
        <v>168</v>
      </c>
      <c r="E161">
        <f>INDEX(FactorTable!$B$2:$Y$301, MATCH(ROUND(MIN(300,MAX(1,D161)),0), FactorTable!$A$2:$A$301,0), Skills!M3+1)</f>
        <v>1672</v>
      </c>
      <c r="F161">
        <f>IF(Skills!N3=TRUE,(Skills!L3/10)*(E161/1000),Skills!L3/10)+Skills!O3</f>
        <v>121.736</v>
      </c>
      <c r="G161">
        <f>Calc!G3</f>
        <v>3</v>
      </c>
      <c r="H161">
        <f>Calc!H3</f>
        <v>1</v>
      </c>
      <c r="I161">
        <f>IF(Skills!X3&lt;&gt;"",1+(Skills!X3/10)*(Z161/1000)/100,1)</f>
        <v>4.8250000000000002</v>
      </c>
      <c r="J161">
        <f>((Inputs!$B$6*(1+Inputs!$B$7/100))+(((Inputs!$B$12*(1+Inputs!$B$13/100))-(Inputs!$B$12*(1+Inputs!$B$13/100)))+0.25*(Inputs!$B$14-Inputs!$B$14))*(1+Inputs!$B$7/100))*(F161/100)</f>
        <v>439630720.9605478</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10668955236481.551</v>
      </c>
      <c r="L161">
        <f>K161*(MIN(Inputs!$B$22+(F180-Calc!F22),(Inputs!$B$23+(IF(ArtifactsInput!$M$15,CHOOSE(ArtifactsInput!$N$15+1,25,30,35,40,45,50)/100*(Inputs!$B$11-Inputs!$B$11),0))))/100+(Inputs!$B$23+(IF(ArtifactsInput!$M$15,CHOOSE(ArtifactsInput!$N$15+1,25,30,35,40,45,50)/100*(Inputs!$B$11-Inputs!$B$11),0)))/100)/2</f>
        <v>35474276161301.156</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167403109205180.12</v>
      </c>
      <c r="N161">
        <f>L161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167403109205180.12</v>
      </c>
      <c r="O161">
        <f>(1-Summary!$B$11)*S161+Summary!$B$11*U161</f>
        <v>2910303053532056.5</v>
      </c>
      <c r="P161">
        <f>IF(B199=0,0,O161/B199)</f>
        <v>8.7873772463965119E-2</v>
      </c>
      <c r="Q161">
        <f>IFERROR(1/(IF(Inputs!$B$38="pvp",15,MAX(0.1,Skills!E3-IF(FALSE=TRUE,Inputs!$B$32,0)))*(1-IF(AND(ArtifactsInput!$M$27,Inputs!$B$4="Chapter Hunt"),CHOOSE(ArtifactsInput!$N$27+1,20,24,28,32,36,40),0)/100)),0)</f>
        <v>1</v>
      </c>
      <c r="R161">
        <f>IF(AND(Inputs!$B$38&lt;&gt;"pvp",Inputs!$B$43&gt;0),IF(MAX(0,Inputs!$B$43-B196)&lt;=0,0,(INT(MAX(0,Inputs!$B$43-B196)/(IF(Inputs!$B$38="pvp",15,MAX(0.1,Skills!E3-IF(FALSE=TRUE,Inputs!$B$32,0)))*(1-IF(AND(ArtifactsInput!$M$27,Inputs!$B$4="Chapter Hunt"),CHOOSE(ArtifactsInput!$N$27+1,20,24,28,32,36,40),0)/100)))+1)),0)</f>
        <v>38</v>
      </c>
      <c r="S161">
        <f>IF(C161,(H161*N161*IF(AND(Inputs!$B$38&lt;&gt;"pvp",Inputs!$B$43&gt;0),((Skills!G3*((R161-1)*IF(Skills!H3&gt;0,Skills!I3/Skills!H3,1)+IF(Skills!H3&gt;0,MIN(Skills!I3,MAX(0,MAX(0,Inputs!$B$43-B196)-((R161-1)*(IF(Inputs!$B$38="pvp",15,MAX(0.1,Skills!E3-IF(FALSE=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1512403390114199.8</v>
      </c>
      <c r="T161">
        <f>INDEX(FactorTable!$B$2:$Y$301, MATCH(ROUND(MIN(300,MAX(1,T160)),0), FactorTable!$A$2:$A$301,0), 22)</f>
        <v>1740</v>
      </c>
      <c r="U161">
        <f>IF(C161,(H161*N161*IF(AND(Inputs!$B$38&lt;&gt;"pvp",Inputs!$B$43&gt;0),((Skills!G3*((R161-1)*IF(Skills!H3&gt;0,Skills!I3/Skills!H3,1)+IF(Skills!H3&gt;0,MIN(Skills!I3,MAX(0,MAX(0,Inputs!$B$43-B196)-((R161-1)*(IF(Inputs!$B$38="pvp",15,MAX(0.1,Skills!E3-IF(FALSE=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4308202716949913</v>
      </c>
      <c r="Z161">
        <f>INDEX(FactorTable!$B$2:$Y$301, MATCH(ROUND(MIN(300,MAX(1,Z160)),0), FactorTable!$A$2:$A$301,0), 24)</f>
        <v>7650</v>
      </c>
    </row>
    <row r="162" spans="1:26" x14ac:dyDescent="0.2">
      <c r="A162" t="str">
        <f>Skills!A4</f>
        <v>POISON_BREATH</v>
      </c>
      <c r="B162" t="str">
        <f>Skills!B4</f>
        <v>Poison Breath</v>
      </c>
      <c r="C162" t="b">
        <f>TRUE</f>
        <v>1</v>
      </c>
      <c r="D162">
        <f>IF(Skills!C4=1,60+Inputs!$B$25+Inputs!$B$29,IF(Skills!C4=2,90+Inputs!$B$26+Inputs!$B$29,IF(Skills!C4=3,120+Inputs!$B$27+Inputs!$B$29,MAX(0,(Inputs!$B$3-100)*3)+Inputs!$B$28+Inputs!$B$29)))</f>
        <v>168</v>
      </c>
      <c r="E162">
        <f>INDEX(FactorTable!$B$2:$Y$301, MATCH(ROUND(MIN(300,MAX(1,D162)),0), FactorTable!$A$2:$A$301,0), Skills!M4+1)</f>
        <v>1840</v>
      </c>
      <c r="F162">
        <f>IF(Skills!N4=TRUE,(Skills!L4/10)*(E162/1000),Skills!L4/10)+Skills!O4</f>
        <v>438</v>
      </c>
      <c r="G162">
        <f>Calc!G4</f>
        <v>3</v>
      </c>
      <c r="H162">
        <f>Calc!H4</f>
        <v>1</v>
      </c>
      <c r="I162">
        <f>IF(Skills!X4&lt;&gt;"",1+(Skills!X4/10)*(Z161/1000)/100,1)</f>
        <v>7.12</v>
      </c>
      <c r="J162">
        <f>((Inputs!$B$6*(1+Inputs!$B$7/100))+(((Inputs!$B$12*(1+Inputs!$B$13/100))-(Inputs!$B$12*(1+Inputs!$B$13/100)))+0.25*(Inputs!$B$14-Inputs!$B$14))*(1+Inputs!$B$7/100))*(F162/100)</f>
        <v>1581769203.69258</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56644748361070.641</v>
      </c>
      <c r="L162">
        <f>K162*(MIN(Inputs!$B$22+(F180-Calc!F22),(Inputs!$B$23+(IF(ArtifactsInput!$M$15,CHOOSE(ArtifactsInput!$N$15+1,25,30,35,40,45,50)/100*(Inputs!$B$11-Inputs!$B$11),0))))/100+(Inputs!$B$23+(IF(ArtifactsInput!$M$15,CHOOSE(ArtifactsInput!$N$15+1,25,30,35,40,45,50)/100*(Inputs!$B$11-Inputs!$B$11),0)))/100)/2</f>
        <v>188343788300559.88</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888794336990342</v>
      </c>
      <c r="N162">
        <f>L162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888794336990342</v>
      </c>
      <c r="O162">
        <f>(1-Summary!$B$11)*S162+Summary!$B$11*U162</f>
        <v>2122774174609308.2</v>
      </c>
      <c r="P162">
        <f>IF(B199=0,0,O162/B199)</f>
        <v>6.4095103286790758E-2</v>
      </c>
      <c r="Q162">
        <f>IFERROR(1/(IF(Inputs!$B$38="pvp",15,MAX(0.1,Skills!E4-IF(TRUE=TRUE,Inputs!$B$32,0)))*(1-IF(AND(ArtifactsInput!$M$27,Inputs!$B$4="Chapter Hunt"),CHOOSE(ArtifactsInput!$N$27+1,20,24,28,32,36,40),0)/100)),0)</f>
        <v>5.5555555555555552E-2</v>
      </c>
      <c r="R162">
        <f>IF(AND(Inputs!$B$38&lt;&gt;"pvp",Inputs!$B$43&gt;0),IF(MAX(0,Inputs!$B$43-B196)&lt;=0,0,(INT(MAX(0,Inputs!$B$43-B196)/(IF(Inputs!$B$38="pvp",15,MAX(0.1,Skills!E4-IF(TRUE=TRUE,Inputs!$B$32,0)))*(1-IF(AND(ArtifactsInput!$M$27,Inputs!$B$4="Chapter Hunt"),CHOOSE(ArtifactsInput!$N$27+1,20,24,28,32,36,40),0)/100)))+1)),0)</f>
        <v>3</v>
      </c>
      <c r="S162">
        <f>IF(C162,(H162*N162*IF(AND(Inputs!$B$38&lt;&gt;"pvp",Inputs!$B$43&gt;0),((Skills!G4*((R162-1)*IF(Skills!H4&gt;0,Skills!I4/Skills!H4,1)+IF(Skills!H4&gt;0,MIN(Skills!I4,MAX(0,MAX(0,Inputs!$B$43-B196)-((R162-1)*(IF(Inputs!$B$38="pvp",15,MAX(0.1,Skills!E4-IF(TRUE=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633932560858361.5</v>
      </c>
      <c r="T162">
        <f>290*T161/1000</f>
        <v>504.6</v>
      </c>
      <c r="U162">
        <f>IF(C162,(H162*N162*IF(AND(Inputs!$B$38&lt;&gt;"pvp",Inputs!$B$43&gt;0),((Skills!G4*((R162-1)*IF(Skills!H4&gt;0,Skills!I4/Skills!H4,1)+IF(Skills!H4&gt;0,MIN(Skills!I4,MAX(0,MAX(0,Inputs!$B$43-B196)-((R162-1)*(IF(Inputs!$B$38="pvp",15,MAX(0.1,Skills!E4-IF(TRUE=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3611615788360255</v>
      </c>
    </row>
    <row r="163" spans="1:26" x14ac:dyDescent="0.2">
      <c r="A163" t="str">
        <f>Skills!A5</f>
        <v>ELEMENTAL_DRAIN</v>
      </c>
      <c r="B163" t="str">
        <f>Skills!B5</f>
        <v>Elemental Drain</v>
      </c>
      <c r="C163" t="b">
        <f>TRUE</f>
        <v>1</v>
      </c>
      <c r="D163">
        <f>IF(Skills!C5=1,60+Inputs!$B$25+Inputs!$B$29,IF(Skills!C5=2,90+Inputs!$B$26+Inputs!$B$29,IF(Skills!C5=3,120+Inputs!$B$27+Inputs!$B$29,MAX(0,(Inputs!$B$3-100)*3)+Inputs!$B$28+Inputs!$B$29)))</f>
        <v>168</v>
      </c>
      <c r="E163">
        <f>INDEX(FactorTable!$B$2:$Y$301, MATCH(ROUND(MIN(300,MAX(1,D163)),0), FactorTable!$A$2:$A$301,0), Skills!M5+1)</f>
        <v>1672</v>
      </c>
      <c r="F163">
        <f>IF(Skills!N5=TRUE,(Skills!L5/10)*(E163/1000),Skills!L5/10)+Skills!O5</f>
        <v>20.064</v>
      </c>
      <c r="G163">
        <f>Calc!G5</f>
        <v>5</v>
      </c>
      <c r="H163">
        <f>Calc!H5</f>
        <v>1</v>
      </c>
      <c r="I163">
        <f>IF(Skills!X5&lt;&gt;"",1+(Skills!X5/10)*(Z161/1000)/100,1)</f>
        <v>12.475</v>
      </c>
      <c r="J163">
        <f>((Inputs!$B$6*(1+Inputs!$B$7/100))+(((Inputs!$B$12*(1+Inputs!$B$13/100))-(Inputs!$B$12*(1+Inputs!$B$13/100)))+0.25*(Inputs!$B$14-Inputs!$B$14))*(1+Inputs!$B$7/100))*(F163/100)</f>
        <v>72458030.371890247</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4546357896971.2314</v>
      </c>
      <c r="L163">
        <f>K163*(MIN(Inputs!$B$22+(F180-Calc!F22),(Inputs!$B$23+(IF(ArtifactsInput!$M$15,CHOOSE(ArtifactsInput!$N$15+1,25,30,35,40,45,50)/100*(Inputs!$B$11-Inputs!$B$11),0))))/100+(Inputs!$B$23+(IF(ArtifactsInput!$M$15,CHOOSE(ArtifactsInput!$N$15+1,25,30,35,40,45,50)/100*(Inputs!$B$11-Inputs!$B$11),0)))/100)/2</f>
        <v>15116640007429.346</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71335424195059.078</v>
      </c>
      <c r="N163">
        <f>L163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71335424195059.078</v>
      </c>
      <c r="O163">
        <f>(1-Summary!$B$11)*S163+Summary!$B$11*U163</f>
        <v>1047025688622979.5</v>
      </c>
      <c r="P163">
        <f>IF(B199=0,0,O163/B199)</f>
        <v>3.1613923166633771E-2</v>
      </c>
      <c r="Q163">
        <f>IFERROR(1/(IF(Inputs!$B$38="pvp",15,MAX(0.1,Skills!E5-IF(FALSE=TRUE,Inputs!$B$32,0)))*(1-IF(AND(ArtifactsInput!$M$27,Inputs!$B$4="Chapter Hunt"),CHOOSE(ArtifactsInput!$N$27+1,20,24,28,32,36,40),0)/100)),0)</f>
        <v>1</v>
      </c>
      <c r="R163">
        <f>IF(AND(Inputs!$B$38&lt;&gt;"pvp",Inputs!$B$43&gt;0),IF(MAX(0,Inputs!$B$43-B196)&lt;=0,0,(INT(MAX(0,Inputs!$B$43-B196)/(IF(Inputs!$B$38="pvp",15,MAX(0.1,Skills!E5-IF(FALSE=TRUE,Inputs!$B$32,0)))*(1-IF(AND(ArtifactsInput!$M$27,Inputs!$B$4="Chapter Hunt"),CHOOSE(ArtifactsInput!$N$27+1,20,24,28,32,36,40),0)/100)))+1)),0)</f>
        <v>38</v>
      </c>
      <c r="S163">
        <f>IF(C163,(H163*N163*IF(AND(Inputs!$B$38&lt;&gt;"pvp",Inputs!$B$43&gt;0),((Skills!G5*((R163-1)*IF(Skills!H5&gt;0,Skills!I5/Skills!H5,1)+IF(Skills!H5&gt;0,MIN(Skills!I5,MAX(0,MAX(0,Inputs!$B$43-B196)-((R163-1)*(IF(Inputs!$B$38="pvp",15,MAX(0.1,Skills!E5-IF(FALSE=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1074133149817102</v>
      </c>
      <c r="U163">
        <f>IF(C163,(H163*N163*IF(AND(Inputs!$B$38&lt;&gt;"pvp",Inputs!$B$43&gt;0),((Skills!G5*((R163-1)*IF(Skills!H5&gt;0,Skills!I5/Skills!H5,1)+IF(Skills!H5&gt;0,MIN(Skills!I5,MAX(0,MAX(0,Inputs!$B$43-B196)-((R163-1)*(IF(Inputs!$B$38="pvp",15,MAX(0.1,Skills!E5-IF(FALSE=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1019918227428857.1</v>
      </c>
    </row>
    <row r="164" spans="1:26" x14ac:dyDescent="0.2">
      <c r="A164" t="str">
        <f>Skills!A6</f>
        <v>MEDITATION</v>
      </c>
      <c r="B164" t="str">
        <f>Skills!B6</f>
        <v>Meditation</v>
      </c>
      <c r="C164" t="b">
        <f>TRUE</f>
        <v>1</v>
      </c>
      <c r="D164">
        <f>IF(Skills!C6=1,60+Inputs!$B$25+Inputs!$B$29,IF(Skills!C6=2,90+Inputs!$B$26+Inputs!$B$29,IF(Skills!C6=3,120+Inputs!$B$27+Inputs!$B$29,MAX(0,(Inputs!$B$3-100)*3)+Inputs!$B$28+Inputs!$B$29)))</f>
        <v>168</v>
      </c>
      <c r="E164">
        <f>INDEX(FactorTable!$B$2:$Y$301, MATCH(ROUND(MIN(300,MAX(1,D164)),0), FactorTable!$A$2:$A$301,0), Skills!M6+1)</f>
        <v>1672</v>
      </c>
      <c r="F164">
        <f>IF(Skills!N6=TRUE,(Skills!L6/10)*(E164/1000),Skills!L6/10)+Skills!O6</f>
        <v>33.44</v>
      </c>
      <c r="G164">
        <f>Calc!G6</f>
        <v>1</v>
      </c>
      <c r="H164">
        <f>Calc!H6</f>
        <v>1</v>
      </c>
      <c r="I164">
        <f>IF(Skills!X6&lt;&gt;"",1+(Skills!X6/10)*(Z161/1000)/100,1)</f>
        <v>1</v>
      </c>
      <c r="O164">
        <f>(1-Summary!$B$11)*S164+Summary!$B$11*U164</f>
        <v>0</v>
      </c>
      <c r="P164">
        <f>IF(B199=0,0,O164/B199)</f>
        <v>0</v>
      </c>
      <c r="Q164">
        <f>IFERROR(1/(IF(Inputs!$B$38="pvp",15,MAX(0.1,Skills!E6-IF(TRUE=TRUE,Inputs!$B$32,0)))*(1-IF(AND(ArtifactsInput!$M$27,Inputs!$B$4="Chapter Hunt"),CHOOSE(ArtifactsInput!$N$27+1,20,24,28,32,36,40),0)/100)),0)</f>
        <v>3.3333333333333333E-2</v>
      </c>
      <c r="R164">
        <f>IF(AND(Inputs!$B$38&lt;&gt;"pvp",Inputs!$B$43&gt;0),IF(Inputs!$B$43&lt;=0,0,(INT(Inputs!$B$43/(IF(Inputs!$B$38="pvp",15,MAX(0.1,Skills!E6-IF(TRUE=TRUE,Inputs!$B$32,0)))*(1-IF(AND(ArtifactsInput!$M$27,Inputs!$B$4="Chapter Hunt"),CHOOSE(ArtifactsInput!$N$27+1,20,24,28,32,36,40),0)/100)))+1)),0)</f>
        <v>2</v>
      </c>
      <c r="S164">
        <v>0</v>
      </c>
      <c r="U164">
        <v>0</v>
      </c>
    </row>
    <row r="165" spans="1:26" x14ac:dyDescent="0.2">
      <c r="A165" t="str">
        <f>Skills!A7</f>
        <v>POISON_MIST_BURST</v>
      </c>
      <c r="B165" t="str">
        <f>Skills!B7</f>
        <v>Poison Mist (burst)</v>
      </c>
      <c r="C165" t="b">
        <f>TRUE</f>
        <v>1</v>
      </c>
      <c r="D165">
        <f>IF(Skills!C7=1,60+Inputs!$B$25+Inputs!$B$29,IF(Skills!C7=2,90+Inputs!$B$26+Inputs!$B$29,IF(Skills!C7=3,120+Inputs!$B$27+Inputs!$B$29,MAX(0,(Inputs!$B$3-100)*3)+Inputs!$B$28+Inputs!$B$29)))</f>
        <v>184</v>
      </c>
      <c r="E165">
        <f>INDEX(FactorTable!$B$2:$Y$301, MATCH(ROUND(MIN(300,MAX(1,D165)),0), FactorTable!$A$2:$A$301,0), Skills!M7+1)</f>
        <v>1920</v>
      </c>
      <c r="F165">
        <f>IF(Skills!N7=TRUE,(Skills!L7/10)*(E165/1000),Skills!L7/10)+Skills!O7</f>
        <v>357.2</v>
      </c>
      <c r="G165">
        <f>Calc!G7</f>
        <v>3</v>
      </c>
      <c r="H165">
        <f>Calc!H7</f>
        <v>1</v>
      </c>
      <c r="I165">
        <f>IF(Skills!X7&lt;&gt;"",1+(Skills!X7/10)*(Z161/1000)/100,1)</f>
        <v>1.7650000000000001</v>
      </c>
      <c r="J165">
        <f>((Inputs!$B$6*(1+Inputs!$B$7/100))+(((Inputs!$B$12*(1+Inputs!$B$13/100))-(Inputs!$B$12*(1+Inputs!$B$13/100)))+0.25*(Inputs!$B$14-Inputs!$B$14))*(1+Inputs!$B$7/100))*(F165/100)</f>
        <v>1289972510.4086521</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11451482338715.264</v>
      </c>
      <c r="L165">
        <f>K165*(MIN(Inputs!$B$22+(F180-Calc!F22),(Inputs!$B$23+(IF(ArtifactsInput!$M$15,CHOOSE(ArtifactsInput!$N$15+1,25,30,35,40,45,50)/100*(Inputs!$B$11-Inputs!$B$11),0))))/100+(Inputs!$B$23+(IF(ArtifactsInput!$M$15,CHOOSE(ArtifactsInput!$N$15+1,25,30,35,40,45,50)/100*(Inputs!$B$11-Inputs!$B$11),0)))/100)/2</f>
        <v>38076178776228.25</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179681487645021.09</v>
      </c>
      <c r="N165">
        <f>L165*(1-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179681487645021.09</v>
      </c>
      <c r="O165">
        <f>(1-Summary!$B$11)*S165+Summary!$B$11*U165</f>
        <v>448350232046238.81</v>
      </c>
      <c r="P165">
        <f>IF(B199=0,0,O165/B199)</f>
        <v>1.3537499549121503E-2</v>
      </c>
      <c r="Q165">
        <f>IFERROR(1/(IF(Inputs!$B$38="pvp",15,MAX(0.1,Skills!E7-IF(TRUE=TRUE,Inputs!$B$32,0)))*(1-IF(AND(ArtifactsInput!$M$27,Inputs!$B$4="Chapter Hunt"),CHOOSE(ArtifactsInput!$N$27+1,20,24,28,32,36,40),0)/100)),0)</f>
        <v>4.0816326530612242E-2</v>
      </c>
      <c r="R165">
        <f>IF(AND(Inputs!$B$38&lt;&gt;"pvp",Inputs!$B$43&gt;0),IF(MAX(0,Inputs!$B$43-B196)&lt;=0,0,(INT(MAX(0,Inputs!$B$43-B196)/(IF(Inputs!$B$38="pvp",15,MAX(0.1,Skills!E7-IF(TRUE=TRUE,Inputs!$B$32,0)))*(1-IF(AND(ArtifactsInput!$M$27,Inputs!$B$4="Chapter Hunt"),CHOOSE(ArtifactsInput!$N$27+1,20,24,28,32,36,40),0)/100)))+1)),0)</f>
        <v>2</v>
      </c>
      <c r="S165">
        <f>IF(C165,(H165*N165*IF(AND(Inputs!$B$38&lt;&gt;"pvp",Inputs!$B$43&gt;0),((Skills!G7*((R165-1)*IF(Skills!H7&gt;0,Skills!I7/Skills!H7,1)+IF(Skills!H7&gt;0,MIN(Skills!I7,MAX(0,MAX(0,Inputs!$B$43-B196)-((R165-1)*(IF(Inputs!$B$38="pvp",15,MAX(0.1,Skills!E7-IF(TRUE=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85438547375207.531</v>
      </c>
      <c r="U165">
        <f>IF(C165,(H165*N165*IF(AND(Inputs!$B$38&lt;&gt;"pvp",Inputs!$B$43&gt;0),((Skills!G7*((R165-1)*IF(Skills!H7&gt;0,Skills!I7/Skills!H7,1)+IF(Skills!H7&gt;0,MIN(Skills!I7,MAX(0,MAX(0,Inputs!$B$43-B196)-((R165-1)*(IF(Inputs!$B$38="pvp",15,MAX(0.1,Skills!E7-IF(TRUE=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811261916717270.12</v>
      </c>
    </row>
    <row r="166" spans="1:26" x14ac:dyDescent="0.2">
      <c r="A166" t="str">
        <f>Skills!A8</f>
        <v>POISON_MIST_DOT</v>
      </c>
      <c r="B166" t="str">
        <f>Skills!B8</f>
        <v>Poison Mist (fog DoT)</v>
      </c>
      <c r="C166" t="b">
        <f>TRUE</f>
        <v>1</v>
      </c>
      <c r="D166">
        <f>IF(Skills!C8=1,60+Inputs!$B$25+Inputs!$B$29,IF(Skills!C8=2,90+Inputs!$B$26+Inputs!$B$29,IF(Skills!C8=3,120+Inputs!$B$27+Inputs!$B$29,MAX(0,(Inputs!$B$3-100)*3)+Inputs!$B$28+Inputs!$B$29)))</f>
        <v>184</v>
      </c>
      <c r="E166">
        <f>INDEX(FactorTable!$B$2:$Y$301, MATCH(ROUND(MIN(300,MAX(1,D166)),0), FactorTable!$A$2:$A$301,0), Skills!M8+1)</f>
        <v>1920</v>
      </c>
      <c r="F166">
        <f>IF(Skills!N8=TRUE,(Skills!L8/10)*(E166/1000),Skills!L8/10)+Skills!O8</f>
        <v>134.4</v>
      </c>
      <c r="G166">
        <f>Calc!G8</f>
        <v>50</v>
      </c>
      <c r="H166">
        <f>Calc!H8</f>
        <v>1</v>
      </c>
      <c r="I166">
        <f>IF(Skills!X8&lt;&gt;"",1+(Skills!X8/10)*(Z161/1000)/100,1)</f>
        <v>1.7650000000000001</v>
      </c>
      <c r="J166">
        <f>((Inputs!$B$6*(1+Inputs!$B$7/100))+(((Inputs!$B$12*(1+Inputs!$B$13/100))-(Inputs!$B$12*(1+Inputs!$B$13/100)))+0.25*(Inputs!$B$14-Inputs!$B$14))*(1+Inputs!$B$7/100))*(F166/100)</f>
        <v>485364796.74950409</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4308732436515.4858</v>
      </c>
      <c r="L166">
        <f>K166*(MIN(Inputs!$B$22+(F180-Calc!F22),(Inputs!$B$23+(IF(ArtifactsInput!$M$15,CHOOSE(ArtifactsInput!$N$15+1,25,30,35,40,45,50)/100*(Inputs!$B$11-Inputs!$B$11),0))))/100+(Inputs!$B$23+(IF(ArtifactsInput!$M$15,CHOOSE(ArtifactsInput!$N$15+1,25,30,35,40,45,50)/100*(Inputs!$B$11-Inputs!$B$11),0)))/100)/2</f>
        <v>14326535351413.99</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67606920323322.609</v>
      </c>
      <c r="N166">
        <f>L166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67606920323322.609</v>
      </c>
      <c r="O166">
        <f>(1-Summary!$B$11)*S166+Summary!$B$11*U166</f>
        <v>2329743128057940.5</v>
      </c>
      <c r="P166">
        <f>IF(B199=0,0,O166/B199)</f>
        <v>7.0344329703392799E-2</v>
      </c>
      <c r="Q166">
        <f>IFERROR(1/(IF(Inputs!$B$38="pvp",15,MAX(0.1,Skills!E8-IF(TRUE=TRUE,Inputs!$B$32,0)))*(1-IF(AND(ArtifactsInput!$M$27,Inputs!$B$4="Chapter Hunt"),CHOOSE(ArtifactsInput!$N$27+1,20,24,28,32,36,40),0)/100)),0)</f>
        <v>4.0816326530612242E-2</v>
      </c>
      <c r="R166">
        <f>IF(AND(Inputs!$B$38&lt;&gt;"pvp",Inputs!$B$43&gt;0),IF(MAX(0,Inputs!$B$43-B196)&lt;=0,0,(INT(MAX(0,Inputs!$B$43-B196)/(IF(Inputs!$B$38="pvp",15,MAX(0.1,Skills!E8-IF(TRUE=TRUE,Inputs!$B$32,0)))*(1-IF(AND(ArtifactsInput!$M$27,Inputs!$B$4="Chapter Hunt"),CHOOSE(ArtifactsInput!$N$27+1,20,24,28,32,36,40),0)/100)))+1)),0)</f>
        <v>2</v>
      </c>
      <c r="S166">
        <f>IF(C166,(H166*N166*IF(AND(Inputs!$B$38&lt;&gt;"pvp",Inputs!$B$43&gt;0),((Skills!G8*((R166-1)*IF(Skills!H8&gt;0,Skills!I8/Skills!H8,1)+IF(Skills!H8&gt;0,MIN(Skills!I8,MAX(0,MAX(0,Inputs!$B$43-B196)-((R166-1)*(IF(Inputs!$B$38="pvp",15,MAX(0.1,Skills!E8-IF(TRUE=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443960668226250.19</v>
      </c>
      <c r="U166">
        <f>IF(C166,(H166*N166*IF(AND(Inputs!$B$38&lt;&gt;"pvp",Inputs!$B$43&gt;0),((Skills!G8*((R166-1)*IF(Skills!H8&gt;0,Skills!I8/Skills!H8,1)+IF(Skills!H8&gt;0,MIN(Skills!I8,MAX(0,MAX(0,Inputs!$B$43-B196)-((R166-1)*(IF(Inputs!$B$38="pvp",15,MAX(0.1,Skills!E8-IF(TRUE=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4215525587889631</v>
      </c>
    </row>
    <row r="167" spans="1:26" x14ac:dyDescent="0.2">
      <c r="A167" t="str">
        <f>Skills!A9</f>
        <v>MIST_ERUPTION</v>
      </c>
      <c r="B167" t="str">
        <f>Skills!B9</f>
        <v>Mist Eruption</v>
      </c>
      <c r="C167" t="b">
        <f>Inputs!$B$3&gt;=103</f>
        <v>1</v>
      </c>
      <c r="D167">
        <f>IF(Skills!C9=1,60+Inputs!$B$25+Inputs!$B$29,IF(Skills!C9=2,90+Inputs!$B$26+Inputs!$B$29,IF(Skills!C9=3,120+Inputs!$B$27+Inputs!$B$29,MAX(0,(Inputs!$B$3-100)*3)+Inputs!$B$28+Inputs!$B$29)))</f>
        <v>185</v>
      </c>
      <c r="E167">
        <f>INDEX(FactorTable!$B$2:$Y$301, MATCH(ROUND(MIN(300,MAX(1,D167)),0), FactorTable!$A$2:$A$301,0), Skills!M9+1)</f>
        <v>1925</v>
      </c>
      <c r="F167">
        <f>IF(Skills!N9=TRUE,(Skills!L9/10)*(E167/1000),Skills!L9/10)+Skills!O9</f>
        <v>5775</v>
      </c>
      <c r="G167">
        <f>Calc!G9</f>
        <v>2.5</v>
      </c>
      <c r="H167">
        <f>Calc!H9</f>
        <v>1</v>
      </c>
      <c r="I167">
        <f>IF(Skills!X9&lt;&gt;"",1+(Skills!X9/10)*(Z161/1000)/100,1)</f>
        <v>1</v>
      </c>
      <c r="J167">
        <f>((Inputs!$B$6*(1+Inputs!$B$7/100))+(((Inputs!$B$12*(1+Inputs!$B$13/100))-(Inputs!$B$12*(1+Inputs!$B$13/100)))+0.25*(Inputs!$B$14-Inputs!$B$14))*(1+Inputs!$B$7/100))*(F167/100)</f>
        <v>20855518610.330254</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104895663955538.09</v>
      </c>
      <c r="L167">
        <f>K167*(MIN(Inputs!$B$22+(F180-Calc!F22),(Inputs!$B$23+(IF(ArtifactsInput!$M$15,CHOOSE(ArtifactsInput!$N$15+1,25,30,35,40,45,50)/100*(Inputs!$B$11-Inputs!$B$11),0))))/100+(Inputs!$B$23+(IF(ArtifactsInput!$M$15,CHOOSE(ArtifactsInput!$N$15+1,25,30,35,40,45,50)/100*(Inputs!$B$11-Inputs!$B$11),0)))/100)/2</f>
        <v>348778082652164.19</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1645883772035562.5</v>
      </c>
      <c r="N167">
        <f>L167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1645883772035562.5</v>
      </c>
      <c r="O167">
        <f>(1-Summary!$B$11)*S167+Summary!$B$11*U167</f>
        <v>3422409568476447.5</v>
      </c>
      <c r="P167">
        <f>IF(B199=0,0,O167/B199)</f>
        <v>0.10333633101673265</v>
      </c>
      <c r="Q167">
        <f>IFERROR(1/(IF(Inputs!$B$38="pvp",15,MAX(0.1,Skills!E9-IF(TRUE=TRUE,Inputs!$B$32,0)))*(1-IF(AND(ArtifactsInput!$M$27,Inputs!$B$4="Chapter Hunt"),CHOOSE(ArtifactsInput!$N$27+1,20,24,28,32,36,40),0)/100)),0)</f>
        <v>4.0816326530612242E-2</v>
      </c>
      <c r="R167">
        <f>IF(AND(Inputs!$B$38&lt;&gt;"pvp",Inputs!$B$43&gt;0),IF(MAX(0,Inputs!$B$43-B196)&lt;=0,0,(INT(MAX(0,Inputs!$B$43-B196)/(IF(Inputs!$B$38="pvp",15,MAX(0.1,Skills!E9-IF(TRUE=TRUE,Inputs!$B$32,0)))*(1-IF(AND(ArtifactsInput!$M$27,Inputs!$B$4="Chapter Hunt"),CHOOSE(ArtifactsInput!$N$27+1,20,24,28,32,36,40),0)/100)))+1)),0)</f>
        <v>2</v>
      </c>
      <c r="S167">
        <f>IF(C167,(H167*N167*IF(AND(Inputs!$B$38&lt;&gt;"pvp",Inputs!$B$43&gt;0),((Skills!G9*((R167-1)*IF(Skills!H9&gt;0,Skills!I9/Skills!H9,1)+IF(Skills!H9&gt;0,MIN(Skills!I9,MAX(0,MAX(0,Inputs!$B$43-B196)-((R167-1)*(IF(Inputs!$B$38="pvp",15,MAX(0.1,Skills!E9-IF(TRUE=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652181444669091.62</v>
      </c>
      <c r="U167">
        <f>IF(C167,(H167*N167*IF(AND(Inputs!$B$38&lt;&gt;"pvp",Inputs!$B$43&gt;0),((Skills!G9*((R167-1)*IF(Skills!H9&gt;0,Skills!I9/Skills!H9,1)+IF(Skills!H9&gt;0,MIN(Skills!I9,MAX(0,MAX(0,Inputs!$B$43-B196)-((R167-1)*(IF(Inputs!$B$38="pvp",15,MAX(0.1,Skills!E9-IF(TRUE=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6192637692283803</v>
      </c>
    </row>
    <row r="168" spans="1:26" x14ac:dyDescent="0.2">
      <c r="A168" t="str">
        <f>Skills!A10</f>
        <v>CREEPING_TOXIN</v>
      </c>
      <c r="B168" t="str">
        <f>Skills!B10</f>
        <v>Creeping Toxin</v>
      </c>
      <c r="C168" t="b">
        <f>TRUE</f>
        <v>1</v>
      </c>
      <c r="D168">
        <f>IF(Skills!C10=1,60+Inputs!$B$25+Inputs!$B$29,IF(Skills!C10=2,90+Inputs!$B$26+Inputs!$B$29,IF(Skills!C10=3,120+Inputs!$B$27+Inputs!$B$29,MAX(0,(Inputs!$B$3-100)*3)+Inputs!$B$28+Inputs!$B$29)))</f>
        <v>184</v>
      </c>
      <c r="E168">
        <f>INDEX(FactorTable!$B$2:$Y$301, MATCH(ROUND(MIN(300,MAX(1,D168)),0), FactorTable!$A$2:$A$301,0), Skills!M10+1)</f>
        <v>1920</v>
      </c>
      <c r="F168">
        <f>IF(Skills!N10=TRUE,(Skills!L10/10)*(E168/1000),Skills!L10/10)+Skills!O10</f>
        <v>280.39999999999998</v>
      </c>
      <c r="G168">
        <f>Calc!G10</f>
        <v>15</v>
      </c>
      <c r="H168">
        <f>Calc!H10</f>
        <v>1</v>
      </c>
      <c r="I168">
        <f>IF(Skills!X10&lt;&gt;"",1+(Skills!X10/10)*(Z161/1000)/100,1)</f>
        <v>1.7650000000000001</v>
      </c>
      <c r="J168">
        <f>((Inputs!$B$6*(1+Inputs!$B$7/100))+(((Inputs!$B$12*(1+Inputs!$B$13/100))-(Inputs!$B$12*(1+Inputs!$B$13/100)))+0.25*(Inputs!$B$14-Inputs!$B$14))*(1+Inputs!$B$7/100))*(F168/100)</f>
        <v>1012621197.9803641</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8989349517849.2734</v>
      </c>
      <c r="L168">
        <f>K168*(MIN(Inputs!$B$22+(F180-Calc!F22),(Inputs!$B$23+(IF(ArtifactsInput!$M$15,CHOOSE(ArtifactsInput!$N$15+1,25,30,35,40,45,50)/100*(Inputs!$B$11-Inputs!$B$11),0))))/100+(Inputs!$B$23+(IF(ArtifactsInput!$M$15,CHOOSE(ArtifactsInput!$N$15+1,25,30,35,40,45,50)/100*(Inputs!$B$11-Inputs!$B$11),0)))/100)/2</f>
        <v>29889587146848.836</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141048961745979.62</v>
      </c>
      <c r="N168">
        <f>L168*(1-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141048961745979.62</v>
      </c>
      <c r="O168">
        <f>(1-Summary!$B$11)*S168+Summary!$B$11*U168</f>
        <v>324639930487700.94</v>
      </c>
      <c r="P168">
        <f>IF(B199=0,0,O168/B199)</f>
        <v>9.8021872154419806E-3</v>
      </c>
      <c r="Q168">
        <f>IFERROR(1/(IF(Inputs!$B$38="pvp",15,MAX(0.1,Skills!E10-IF(TRUE=TRUE,Inputs!$B$32,0)))*(1-IF(AND(ArtifactsInput!$M$27,Inputs!$B$4="Chapter Hunt"),CHOOSE(ArtifactsInput!$N$27+1,20,24,28,32,36,40),0)/100)),0)</f>
        <v>3.7037037037037035E-2</v>
      </c>
      <c r="R168">
        <f>IF(AND(Inputs!$B$38&lt;&gt;"pvp",Inputs!$B$43&gt;0),IF(MAX(0,Inputs!$B$43-B196)&lt;=0,0,(INT(MAX(0,Inputs!$B$43-B196)/(IF(Inputs!$B$38="pvp",15,MAX(0.1,Skills!E10-IF(TRUE=TRUE,Inputs!$B$32,0)))*(1-IF(AND(ArtifactsInput!$M$27,Inputs!$B$4="Chapter Hunt"),CHOOSE(ArtifactsInput!$N$27+1,20,24,28,32,36,40),0)/100)))+1)),0)</f>
        <v>2</v>
      </c>
      <c r="S168">
        <f>IF(C168,(H168*N168*IF(AND(Inputs!$B$38&lt;&gt;"pvp",Inputs!$B$43&gt;0),((Skills!G10*((R168-1)*IF(Skills!H10&gt;0,Skills!I10/Skills!H10,1)+IF(Skills!H10&gt;0,MIN(Skills!I10,MAX(0,MAX(0,Inputs!$B$43-B196)-((R168-1)*(IF(Inputs!$B$38="pvp",15,MAX(0.1,Skills!E10-IF(TRUE=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286659771489139.81</v>
      </c>
      <c r="U168">
        <f>IF(C168,(H168*N168*IF(AND(Inputs!$B$38&lt;&gt;"pvp",Inputs!$B$43&gt;0),((Skills!G10*((R168-1)*IF(Skills!H10&gt;0,Skills!I10/Skills!H10,1)+IF(Skills!H10&gt;0,MIN(Skills!I10,MAX(0,MAX(0,Inputs!$B$43-B196)-((R168-1)*(IF(Inputs!$B$38="pvp",15,MAX(0.1,Skills!E10-IF(TRUE=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362620089486262.06</v>
      </c>
    </row>
    <row r="169" spans="1:26" x14ac:dyDescent="0.2">
      <c r="A169" t="str">
        <f>Skills!A11</f>
        <v>BURNING_MAGIC</v>
      </c>
      <c r="B169" t="str">
        <f>Skills!B11</f>
        <v>Burning Magic</v>
      </c>
      <c r="C169" t="b">
        <f>TRUE</f>
        <v>1</v>
      </c>
      <c r="D169">
        <f>IF(Skills!C11=1,60+Inputs!$B$25+Inputs!$B$29,IF(Skills!C11=2,90+Inputs!$B$26+Inputs!$B$29,IF(Skills!C11=3,120+Inputs!$B$27+Inputs!$B$29,MAX(0,(Inputs!$B$3-100)*3)+Inputs!$B$28+Inputs!$B$29)))</f>
        <v>184</v>
      </c>
      <c r="E169">
        <f>INDEX(FactorTable!$B$2:$Y$301, MATCH(ROUND(MIN(300,MAX(1,D169)),0), FactorTable!$A$2:$A$301,0), Skills!M11+1)</f>
        <v>0</v>
      </c>
      <c r="F169">
        <f>IF(Skills!N11=TRUE,(Skills!L11/10)*(E169/1000),Skills!L11/10)+Skills!O11</f>
        <v>5</v>
      </c>
      <c r="G169">
        <f>Calc!G11</f>
        <v>1</v>
      </c>
      <c r="H169">
        <f>Calc!H11</f>
        <v>1</v>
      </c>
      <c r="I169">
        <f>IF(Skills!X11&lt;&gt;"",1+(Skills!X11/10)*(Z161/1000)/100,1)</f>
        <v>1</v>
      </c>
      <c r="O169">
        <f>(1-Summary!$B$11)*S169+Summary!$B$11*U169</f>
        <v>0</v>
      </c>
      <c r="P169">
        <f>IF(B199=0,0,O169/B199)</f>
        <v>0</v>
      </c>
      <c r="Q169">
        <f>IFERROR(1/(IF(Inputs!$B$38="pvp",15,MAX(0.1,Skills!E11-IF(TRUE=TRUE,Inputs!$B$32,0)))*(1-IF(AND(ArtifactsInput!$M$27,Inputs!$B$4="Chapter Hunt"),CHOOSE(ArtifactsInput!$N$27+1,20,24,28,32,36,40),0)/100)),0)</f>
        <v>10</v>
      </c>
      <c r="R169">
        <v>0</v>
      </c>
      <c r="S169">
        <v>0</v>
      </c>
      <c r="U169">
        <v>0</v>
      </c>
    </row>
    <row r="170" spans="1:26" x14ac:dyDescent="0.2">
      <c r="A170" t="str">
        <f>Skills!A12</f>
        <v>ELEMENTAL_DECREASE</v>
      </c>
      <c r="B170" t="str">
        <f>Skills!B12</f>
        <v>Elemental Decrease</v>
      </c>
      <c r="C170" t="b">
        <f>TRUE</f>
        <v>1</v>
      </c>
      <c r="D170">
        <f>IF(Skills!C12=1,60+Inputs!$B$25+Inputs!$B$29,IF(Skills!C12=2,90+Inputs!$B$26+Inputs!$B$29,IF(Skills!C12=3,120+Inputs!$B$27+Inputs!$B$29,MAX(0,(Inputs!$B$3-100)*3)+Inputs!$B$28+Inputs!$B$29)))</f>
        <v>184</v>
      </c>
      <c r="E170">
        <f>INDEX(FactorTable!$B$2:$Y$301, MATCH(ROUND(MIN(300,MAX(1,D170)),0), FactorTable!$A$2:$A$301,0), Skills!M12+1)</f>
        <v>1552</v>
      </c>
      <c r="F170">
        <f>IF(Skills!N12=TRUE,(Skills!L12/10)*(E170/1000),Skills!L12/10)+Skills!O12</f>
        <v>18.624000000000002</v>
      </c>
      <c r="G170">
        <f>Calc!G12</f>
        <v>1</v>
      </c>
      <c r="H170">
        <f>Calc!H12</f>
        <v>0.5</v>
      </c>
      <c r="I170">
        <f>IF(Skills!X12&lt;&gt;"",1+(Skills!X12/10)*(Z161/1000)/100,1)</f>
        <v>1</v>
      </c>
      <c r="O170">
        <f>(1-Summary!$B$11)*S170+Summary!$B$11*U170</f>
        <v>0</v>
      </c>
      <c r="P170">
        <f>IF(B199=0,0,O170/B199)</f>
        <v>0</v>
      </c>
      <c r="Q170">
        <f>IFERROR(1/(IF(Inputs!$B$38="pvp",15,MAX(0.1,Skills!E12-IF(TRUE=TRUE,Inputs!$B$32,0)))*(1-IF(AND(ArtifactsInput!$M$27,Inputs!$B$4="Chapter Hunt"),CHOOSE(ArtifactsInput!$N$27+1,20,24,28,32,36,40),0)/100)),0)</f>
        <v>10</v>
      </c>
      <c r="R170">
        <v>0</v>
      </c>
      <c r="S170">
        <v>0</v>
      </c>
      <c r="U170">
        <v>0</v>
      </c>
    </row>
    <row r="171" spans="1:26" x14ac:dyDescent="0.2">
      <c r="A171" t="str">
        <f>Skills!A13</f>
        <v>METEOR_SHOWER_BURST</v>
      </c>
      <c r="B171" t="str">
        <f>Skills!B13</f>
        <v>Meteor Shower (burst)</v>
      </c>
      <c r="C171" t="b">
        <f>Inputs!$B$3&gt;=105</f>
        <v>1</v>
      </c>
      <c r="D171">
        <f>IF(Skills!C13=1,60+Inputs!$B$25+Inputs!$B$29,IF(Skills!C13=2,90+Inputs!$B$26+Inputs!$B$29,IF(Skills!C13=3,120+Inputs!$B$27+Inputs!$B$29,MAX(0,(Inputs!$B$3-100)*3)+Inputs!$B$28+Inputs!$B$29)))</f>
        <v>185</v>
      </c>
      <c r="E171">
        <f>INDEX(FactorTable!$B$2:$Y$301, MATCH(ROUND(MIN(300,MAX(1,D171)),0), FactorTable!$A$2:$A$301,0), Skills!M13+1)</f>
        <v>1925</v>
      </c>
      <c r="F171">
        <f>IF(Skills!N13=TRUE,(Skills!L13/10)*(E171/1000),Skills!L13/10)+Skills!O13</f>
        <v>1155</v>
      </c>
      <c r="G171">
        <f>Calc!G13</f>
        <v>9</v>
      </c>
      <c r="H171">
        <f>Calc!H13</f>
        <v>1</v>
      </c>
      <c r="I171">
        <f>IF(Skills!X13&lt;&gt;"",1+(Skills!X13/10)*(Z161/1000)/100,1)</f>
        <v>1</v>
      </c>
      <c r="J171">
        <f>((Inputs!$B$6*(1+Inputs!$B$7/100))+(((Inputs!$B$12*(1+Inputs!$B$13/100))-(Inputs!$B$12*(1+Inputs!$B$13/100)))+0.25*(Inputs!$B$14-Inputs!$B$14))*(1+Inputs!$B$7/100))*(F171/100)</f>
        <v>4171103722.0660505</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20979132791107.625</v>
      </c>
      <c r="L171">
        <f>K171*(MIN(Inputs!$B$22+(F180-Calc!F22),(Inputs!$B$23+(IF(ArtifactsInput!$M$15,CHOOSE(ArtifactsInput!$N$15+1,25,30,35,40,45,50)/100*(Inputs!$B$11-Inputs!$B$11),0))))/100+(Inputs!$B$23+(IF(ArtifactsInput!$M$15,CHOOSE(ArtifactsInput!$N$15+1,25,30,35,40,45,50)/100*(Inputs!$B$11-Inputs!$B$11),0)))/100)/2</f>
        <v>69755616530432.859</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329176754407112.62</v>
      </c>
      <c r="N171">
        <f>L171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329176754407112.62</v>
      </c>
      <c r="O171">
        <f>(1-Summary!$B$11)*S171+Summary!$B$11*U171</f>
        <v>1795330018536392.2</v>
      </c>
      <c r="P171">
        <f>IF(B199=0,0,O171/B199)</f>
        <v>5.4208245204954389E-2</v>
      </c>
      <c r="Q171">
        <f>IFERROR(1/(IF(Inputs!$B$38="pvp",15,MAX(0.1,Skills!E13-IF(TRUE=TRUE,Inputs!$B$32,0)))*(1-IF(AND(ArtifactsInput!$M$27,Inputs!$B$4="Chapter Hunt"),CHOOSE(ArtifactsInput!$N$27+1,20,24,28,32,36,40),0)/100)),0)</f>
        <v>3.0303030303030304E-2</v>
      </c>
      <c r="R171">
        <f>IF(AND(Inputs!$B$38&lt;&gt;"pvp",Inputs!$B$43&gt;0),IF(MAX(0,Inputs!$B$43-B196)&lt;=0,0,(INT(MAX(0,Inputs!$B$43-B196)/(IF(Inputs!$B$38="pvp",15,MAX(0.1,Skills!E13-IF(TRUE=TRUE,Inputs!$B$32,0)))*(1-IF(AND(ArtifactsInput!$M$27,Inputs!$B$4="Chapter Hunt"),CHOOSE(ArtifactsInput!$N$27+1,20,24,28,32,36,40),0)/100)))+1)),0)</f>
        <v>2</v>
      </c>
      <c r="S171">
        <f>IF(C171,(H171*N171*IF(AND(Inputs!$B$38&lt;&gt;"pvp",Inputs!$B$43&gt;0),((Skills!G13*((R171-1)*IF(Skills!H13&gt;0,Skills!I13/Skills!H13,1)+IF(Skills!H13&gt;0,MIN(Skills!I13,MAX(0,MAX(0,Inputs!$B$43-B196)-((R171-1)*(IF(Inputs!$B$38="pvp",15,MAX(0.1,Skills!E13-IF(TRUE=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469570640161746.19</v>
      </c>
      <c r="U171">
        <f>IF(C171,(H171*N171*IF(AND(Inputs!$B$38&lt;&gt;"pvp",Inputs!$B$43&gt;0),((Skills!G13*((R171-1)*IF(Skills!H13&gt;0,Skills!I13/Skills!H13,1)+IF(Skills!H13&gt;0,MIN(Skills!I13,MAX(0,MAX(0,Inputs!$B$43-B196)-((R171-1)*(IF(Inputs!$B$38="pvp",15,MAX(0.1,Skills!E13-IF(TRUE=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3121089396911038.5</v>
      </c>
    </row>
    <row r="172" spans="1:26" x14ac:dyDescent="0.2">
      <c r="A172" t="str">
        <f>Skills!A14</f>
        <v>METEOR_PROC</v>
      </c>
      <c r="B172" t="str">
        <f>Skills!B14</f>
        <v>Meteor Proc (30% on-hit, 1s ICD)</v>
      </c>
      <c r="C172" t="b">
        <f>Inputs!$B$3&gt;=113</f>
        <v>1</v>
      </c>
      <c r="D172">
        <f>IF(Skills!C14=1,60+Inputs!$B$25+Inputs!$B$29,IF(Skills!C14=2,90+Inputs!$B$26+Inputs!$B$29,IF(Skills!C14=3,120+Inputs!$B$27+Inputs!$B$29,MAX(0,(Inputs!$B$3-100)*3)+Inputs!$B$28+Inputs!$B$29)))</f>
        <v>185</v>
      </c>
      <c r="E172">
        <f>INDEX(FactorTable!$B$2:$Y$301, MATCH(ROUND(MIN(300,MAX(1,D172)),0), FactorTable!$A$2:$A$301,0), Skills!M14+1)</f>
        <v>1740</v>
      </c>
      <c r="F172">
        <f>IF(Skills!N14=TRUE,(Skills!L14/10)*(E172/1000),Skills!L14/10)+Skills!O14</f>
        <v>1653</v>
      </c>
      <c r="G172">
        <f>Calc!G14</f>
        <v>0</v>
      </c>
      <c r="H172">
        <f>Calc!H14</f>
        <v>0.30000000000000004</v>
      </c>
      <c r="I172">
        <f>IF(Skills!X14&lt;&gt;"",1+(Skills!X14/10)*(Z161/1000)/100,1)</f>
        <v>1</v>
      </c>
      <c r="J172">
        <f>((Inputs!$B$6*(1+Inputs!$B$7/100))+(((Inputs!$B$12*(1+Inputs!$B$13/100))-(Inputs!$B$12*(1+Inputs!$B$13/100)))+0.25*(Inputs!$B$14-Inputs!$B$14))*(1+Inputs!$B$7/100))*(F172/100)</f>
        <v>5969553638.5932312</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30024680955585.191</v>
      </c>
      <c r="L172">
        <f>K172*(MIN(Inputs!$B$22+(F180-Calc!F22),(Inputs!$B$23+(IF(ArtifactsInput!$M$15,CHOOSE(ArtifactsInput!$N$15+1,25,30,35,40,45,50)/100*(Inputs!$B$11-Inputs!$B$11),0))))/100+(Inputs!$B$23+(IF(ArtifactsInput!$M$15,CHOOSE(ArtifactsInput!$N$15+1,25,30,35,40,45,50)/100*(Inputs!$B$11-Inputs!$B$11),0)))/100)/2</f>
        <v>99832064177320.766</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471107510852776.62</v>
      </c>
      <c r="N172">
        <f>L172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471107510852776.62</v>
      </c>
      <c r="O172">
        <f>(1-Summary!$B$11)*S172+Summary!$B$11*U172</f>
        <v>461708293365089</v>
      </c>
      <c r="P172">
        <f>IF(B199=0,0,O172/B199)</f>
        <v>1.3940833229257576E-2</v>
      </c>
      <c r="Q172">
        <f>IFERROR(1/(IF(Inputs!$B$38="pvp",15,MAX(0.1,Skills!E14-IF(TRUE=TRUE,Inputs!$B$32,0)))*(1-IF(AND(ArtifactsInput!$M$27,Inputs!$B$4="Chapter Hunt"),CHOOSE(ArtifactsInput!$N$27+1,20,24,28,32,36,40),0)/100)),0)</f>
        <v>10</v>
      </c>
      <c r="R172">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473661906138295.19</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449754680591882.75</v>
      </c>
    </row>
    <row r="173" spans="1:26" x14ac:dyDescent="0.2">
      <c r="A173" t="str">
        <f>Skills!A15</f>
        <v>FLAME_HAZE_BURST</v>
      </c>
      <c r="B173" t="str">
        <f>Skills!B15</f>
        <v>Flame Haze (burst)</v>
      </c>
      <c r="C173" t="b">
        <f>Inputs!$B$3&gt;=107</f>
        <v>1</v>
      </c>
      <c r="D173">
        <f>IF(Skills!C15=1,60+Inputs!$B$25+Inputs!$B$29,IF(Skills!C15=2,90+Inputs!$B$26+Inputs!$B$29,IF(Skills!C15=3,120+Inputs!$B$27+Inputs!$B$29,MAX(0,(Inputs!$B$3-100)*3)+Inputs!$B$28+Inputs!$B$29)))</f>
        <v>185</v>
      </c>
      <c r="E173">
        <f>INDEX(FactorTable!$B$2:$Y$301, MATCH(ROUND(MIN(300,MAX(1,D173)),0), FactorTable!$A$2:$A$301,0), Skills!M15+1)</f>
        <v>1925</v>
      </c>
      <c r="F173">
        <f>IF(Skills!N15=TRUE,(Skills!L15/10)*(E173/1000),Skills!L15/10)+Skills!O15</f>
        <v>2310</v>
      </c>
      <c r="G173">
        <f>Calc!G15</f>
        <v>3</v>
      </c>
      <c r="H173">
        <f>Calc!H15</f>
        <v>1</v>
      </c>
      <c r="I173">
        <f>IF(Skills!X15&lt;&gt;"",1+(Skills!X15/10)*(Z161/1000)/100,1)</f>
        <v>1</v>
      </c>
      <c r="J173">
        <f>((Inputs!$B$6*(1+Inputs!$B$7/100))+(((Inputs!$B$12*(1+Inputs!$B$13/100))-(Inputs!$B$12*(1+Inputs!$B$13/100)))+0.25*(Inputs!$B$14-Inputs!$B$14))*(1+Inputs!$B$7/100))*(F173/100)</f>
        <v>8342207444.1321011</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41958265582215.25</v>
      </c>
      <c r="L173">
        <f>K173*(MIN(Inputs!$B$22+(F180-Calc!F22),(Inputs!$B$23+(IF(ArtifactsInput!$M$15,CHOOSE(ArtifactsInput!$N$15+1,25,30,35,40,45,50)/100*(Inputs!$B$11-Inputs!$B$11),0))))/100+(Inputs!$B$23+(IF(ArtifactsInput!$M$15,CHOOSE(ArtifactsInput!$N$15+1,25,30,35,40,45,50)/100*(Inputs!$B$11-Inputs!$B$11),0)))/100)/2</f>
        <v>139511233060865.72</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658353508814225.25</v>
      </c>
      <c r="N173">
        <f>L173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658353508814225.25</v>
      </c>
      <c r="O173">
        <f>(1-Summary!$B$11)*S173+Summary!$B$11*U173</f>
        <v>1642756592868695.2</v>
      </c>
      <c r="P173">
        <f>IF(B199=0,0,O173/B199)</f>
        <v>4.9601438888031688E-2</v>
      </c>
      <c r="Q173">
        <f>IFERROR(1/(IF(Inputs!$B$38="pvp",15,MAX(0.1,Skills!E15-IF(TRUE=TRUE,Inputs!$B$32,0)))*(1-IF(AND(ArtifactsInput!$M$27,Inputs!$B$4="Chapter Hunt"),CHOOSE(ArtifactsInput!$N$27+1,20,24,28,32,36,40),0)/100)),0)</f>
        <v>0.04</v>
      </c>
      <c r="R173">
        <f>IF(AND(Inputs!$B$38&lt;&gt;"pvp",Inputs!$B$43&gt;0),IF(MAX(0,Inputs!$B$43-B196)&lt;=0,0,(INT(MAX(0,Inputs!$B$43-B196)/(IF(Inputs!$B$38="pvp",15,MAX(0.1,Skills!E15-IF(TRUE=TRUE,Inputs!$B$32,0)))*(1-IF(AND(ArtifactsInput!$M$27,Inputs!$B$4="Chapter Hunt"),CHOOSE(ArtifactsInput!$N$27+1,20,24,28,32,36,40),0)/100)))+1)),0)</f>
        <v>2</v>
      </c>
      <c r="S173">
        <f>IF(C173,(H173*N173*IF(AND(Inputs!$B$38&lt;&gt;"pvp",Inputs!$B$43&gt;0),((Skills!G15*((R173-1)*IF(Skills!H15&gt;0,Skills!I15/Skills!H15,1)+IF(Skills!H15&gt;0,MIN(Skills!I15,MAX(0,MAX(0,Inputs!$B$43-B196)-((R173-1)*(IF(Inputs!$B$38="pvp",15,MAX(0.1,Skills!E15-IF(TRUE=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313047093441164.06</v>
      </c>
      <c r="U173">
        <f>IF(C173,(H173*N173*IF(AND(Inputs!$B$38&lt;&gt;"pvp",Inputs!$B$43&gt;0),((Skills!G15*((R173-1)*IF(Skills!H15&gt;0,Skills!I15/Skills!H15,1)+IF(Skills!H15&gt;0,MIN(Skills!I15,MAX(0,MAX(0,Inputs!$B$43-B196)-((R173-1)*(IF(Inputs!$B$38="pvp",15,MAX(0.1,Skills!E15-IF(TRUE=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2972466092296226.5</v>
      </c>
    </row>
    <row r="174" spans="1:26" x14ac:dyDescent="0.2">
      <c r="A174" t="str">
        <f>Skills!A16</f>
        <v>FLAME_HAZE_DOT</v>
      </c>
      <c r="B174" t="str">
        <f>Skills!B16</f>
        <v>Flame Haze (burn DoT)</v>
      </c>
      <c r="C174" t="b">
        <f>Inputs!$B$3&gt;=107</f>
        <v>1</v>
      </c>
      <c r="D174">
        <f>IF(Skills!C16=1,60+Inputs!$B$25+Inputs!$B$29,IF(Skills!C16=2,90+Inputs!$B$26+Inputs!$B$29,IF(Skills!C16=3,120+Inputs!$B$27+Inputs!$B$29,MAX(0,(Inputs!$B$3-100)*3)+Inputs!$B$28+Inputs!$B$29)))</f>
        <v>185</v>
      </c>
      <c r="E174">
        <f>INDEX(FactorTable!$B$2:$Y$301, MATCH(ROUND(MIN(300,MAX(1,D174)),0), FactorTable!$A$2:$A$301,0), Skills!M16+1)</f>
        <v>1925</v>
      </c>
      <c r="F174">
        <f>IF(Skills!N16=TRUE,(Skills!L16/10)*(E174/1000),Skills!L16/10)+Skills!O16</f>
        <v>288.75</v>
      </c>
      <c r="G174">
        <f>Calc!G16</f>
        <v>30</v>
      </c>
      <c r="H174">
        <f>Calc!H16</f>
        <v>1</v>
      </c>
      <c r="I174">
        <f>IF(Skills!X16&lt;&gt;"",1+(Skills!X16/10)*(Z161/1000)/100,1)</f>
        <v>1</v>
      </c>
      <c r="J174">
        <f>((Inputs!$B$6*(1+Inputs!$B$7/100))+(((Inputs!$B$12*(1+Inputs!$B$13/100))-(Inputs!$B$12*(1+Inputs!$B$13/100)))+0.25*(Inputs!$B$14-Inputs!$B$14))*(1+Inputs!$B$7/100))*(F174/100)</f>
        <v>1042775930.5165126</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5244783197776.9062</v>
      </c>
      <c r="L174">
        <f>K174*(MIN(Inputs!$B$22+(F180-Calc!F22),(Inputs!$B$23+(IF(ArtifactsInput!$M$15,CHOOSE(ArtifactsInput!$N$15+1,25,30,35,40,45,50)/100*(Inputs!$B$11-Inputs!$B$11),0))))/100+(Inputs!$B$23+(IF(ArtifactsInput!$M$15,CHOOSE(ArtifactsInput!$N$15+1,25,30,35,40,45,50)/100*(Inputs!$B$11-Inputs!$B$11),0)))/100)/2</f>
        <v>17438904132608.215</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82294188601778.156</v>
      </c>
      <c r="N174">
        <f>L174*(1-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82294188601778.156</v>
      </c>
      <c r="O174">
        <f>(1-Summary!$B$11)*S174+Summary!$B$11*U174</f>
        <v>1892229565795968.5</v>
      </c>
      <c r="P174">
        <f>IF(B199=0,0,O174/B199)</f>
        <v>5.7134032867313188E-2</v>
      </c>
      <c r="Q174">
        <f>IFERROR(1/(IF(Inputs!$B$38="pvp",15,MAX(0.1,Skills!E16-IF(TRUE=TRUE,Inputs!$B$32,0)))*(1-IF(AND(ArtifactsInput!$M$27,Inputs!$B$4="Chapter Hunt"),CHOOSE(ArtifactsInput!$N$27+1,20,24,28,32,36,40),0)/100)),0)</f>
        <v>0.04</v>
      </c>
      <c r="R174">
        <f>IF(AND(Inputs!$B$38&lt;&gt;"pvp",Inputs!$B$43&gt;0),IF(MAX(0,Inputs!$B$43-B196)&lt;=0,0,(INT(MAX(0,Inputs!$B$43-B196)/(IF(Inputs!$B$38="pvp",15,MAX(0.1,Skills!E16-IF(TRUE=TRUE,Inputs!$B$32,0)))*(1-IF(AND(ArtifactsInput!$M$27,Inputs!$B$4="Chapter Hunt"),CHOOSE(ArtifactsInput!$N$27+1,20,24,28,32,36,40),0)/100)))+1)),0)</f>
        <v>2</v>
      </c>
      <c r="S174">
        <f>IF(C174,(H174*N174*IF(AND(Inputs!$B$38&lt;&gt;"pvp",Inputs!$B$43&gt;0),((Skills!G16*((R174-1)*IF(Skills!H16&gt;0,Skills!I16/Skills!H16,1)+IF(Skills!H16&gt;0,MIN(Skills!I16,MAX(0,MAX(0,Inputs!$B$43-B196)-((R174-1)*(IF(Inputs!$B$38="pvp",15,MAX(0.1,Skills!E16-IF(TRUE=TRUE,Inputs!$B$32,0)))*(1-IF(AND(ArtifactsInput!$M$27,Inputs!$B$4="Chapter Hunt"),CHOOSE(ArtifactsInput!$N$27+1,20,24,28,32,36,40),0)/100)))))/Skills!H16,1)))/Inputs!$B$43),G174*Q174)*(1+IF(Inputs!$B$3&gt;=126,0.05*(B194+Q171+(H172*B195)/(1+Skills!H14*H172*B195)+Q182),0)*(1/Q173)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360587179054596.94</v>
      </c>
      <c r="U174">
        <f>IF(C174,(H174*N174*IF(AND(Inputs!$B$38&lt;&gt;"pvp",Inputs!$B$43&gt;0),((Skills!G16*((R174-1)*IF(Skills!H16&gt;0,Skills!I16/Skills!H16,1)+IF(Skills!H16&gt;0,MIN(Skills!I16,MAX(0,MAX(0,Inputs!$B$43-B196)-((R174-1)*(IF(Inputs!$B$38="pvp",15,MAX(0.1,Skills!E16-IF(TRUE=TRUE,Inputs!$B$32,0)))*(1-IF(AND(ArtifactsInput!$M$27,Inputs!$B$4="Chapter Hunt"),CHOOSE(ArtifactsInput!$N$27+1,20,24,28,32,36,40),0)/100)))))/Skills!H16,1)))/Inputs!$B$43),G174*Q174)*(1+IF(Inputs!$B$3&gt;=126,0.05*(B194+Q171+(H172*B195)/(1+Skills!H14*H172*B195)+Q182),0)*(1/Q173)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3423871952537340</v>
      </c>
    </row>
    <row r="175" spans="1:26" x14ac:dyDescent="0.2">
      <c r="A175" t="str">
        <f>Skills!A17</f>
        <v>MAGIC_GUARD</v>
      </c>
      <c r="B175" t="str">
        <f>Skills!B17</f>
        <v>Magic Guard</v>
      </c>
      <c r="C175" t="b">
        <f>TRUE</f>
        <v>1</v>
      </c>
      <c r="D175">
        <f>IF(Skills!C17=1,60+Inputs!$B$25+Inputs!$B$29,IF(Skills!C17=2,90+Inputs!$B$26+Inputs!$B$29,IF(Skills!C17=3,120+Inputs!$B$27+Inputs!$B$29,MAX(0,(Inputs!$B$3-100)*3)+Inputs!$B$28+Inputs!$B$29)))</f>
        <v>127</v>
      </c>
      <c r="E175">
        <f>INDEX(FactorTable!$B$2:$Y$301, MATCH(ROUND(MIN(300,MAX(1,D175)),0), FactorTable!$A$2:$A$301,0), Skills!M17+1)</f>
        <v>1508</v>
      </c>
      <c r="F175">
        <f>IF(Skills!N17=TRUE,(Skills!L17/10)*(E175/1000),Skills!L17/10)+Skills!O17</f>
        <v>18.096</v>
      </c>
      <c r="G175">
        <f>Calc!G17</f>
        <v>1</v>
      </c>
      <c r="H175">
        <f>Calc!H17</f>
        <v>1</v>
      </c>
      <c r="I175">
        <f>IF(Skills!X17&lt;&gt;"",1+(Skills!X17/10)*(Z161/1000)/100,1)</f>
        <v>1</v>
      </c>
      <c r="O175">
        <f>(1-Summary!$B$11)*S175+Summary!$B$11*U175</f>
        <v>0</v>
      </c>
      <c r="P175">
        <f>IF(B199=0,0,O175/B199)</f>
        <v>0</v>
      </c>
      <c r="Q175">
        <f>IFERROR(1/(IF(Inputs!$B$38="pvp",15,MAX(0.1,Skills!E17-IF(TRUE=TRUE,Inputs!$B$32,0)))*(1-IF(AND(ArtifactsInput!$M$27,Inputs!$B$4="Chapter Hunt"),CHOOSE(ArtifactsInput!$N$27+1,20,24,28,32,36,40),0)/100)),0)</f>
        <v>4.7619047619047616E-2</v>
      </c>
      <c r="R175">
        <f>IF(AND(Inputs!$B$38&lt;&gt;"pvp",Inputs!$B$43&gt;0),IF(Inputs!$B$43&lt;=0,0,(INT(Inputs!$B$43/(IF(Inputs!$B$38="pvp",15,MAX(0.1,Skills!E17-IF(TRUE=TRUE,Inputs!$B$32,0)))*(1-IF(AND(ArtifactsInput!$M$27,Inputs!$B$4="Chapter Hunt"),CHOOSE(ArtifactsInput!$N$27+1,20,24,28,32,36,40),0)/100)))+1)),0)</f>
        <v>2</v>
      </c>
      <c r="S175">
        <v>0</v>
      </c>
      <c r="U175">
        <v>0</v>
      </c>
    </row>
    <row r="176" spans="1:26" x14ac:dyDescent="0.2">
      <c r="A176" t="str">
        <f>Skills!A18</f>
        <v>NIMBLE_FEET</v>
      </c>
      <c r="B176" t="str">
        <f>Skills!B18</f>
        <v>Nimble Feet</v>
      </c>
      <c r="C176" t="b">
        <f>TRUE</f>
        <v>1</v>
      </c>
      <c r="D176">
        <f>IF(Skills!C18=1,60+Inputs!$B$25+Inputs!$B$29,IF(Skills!C18=2,90+Inputs!$B$26+Inputs!$B$29,IF(Skills!C18=3,120+Inputs!$B$27+Inputs!$B$29,MAX(0,(Inputs!$B$3-100)*3)+Inputs!$B$28+Inputs!$B$29)))</f>
        <v>127</v>
      </c>
      <c r="E176">
        <f>INDEX(FactorTable!$B$2:$Y$301, MATCH(ROUND(MIN(300,MAX(1,D176)),0), FactorTable!$A$2:$A$301,0), Skills!M18+1)</f>
        <v>0</v>
      </c>
      <c r="F176">
        <f>IF(Skills!N18=TRUE,(Skills!L18/10)*(E176/1000),Skills!L18/10)+Skills!O18</f>
        <v>15</v>
      </c>
      <c r="G176">
        <f>Calc!G18</f>
        <v>1</v>
      </c>
      <c r="H176">
        <f>Calc!H18</f>
        <v>1</v>
      </c>
      <c r="I176">
        <f>IF(Skills!X18&lt;&gt;"",1+(Skills!X18/10)*(Z161/1000)/100,1)</f>
        <v>1</v>
      </c>
      <c r="O176">
        <f>(1-Summary!$B$11)*S176+Summary!$B$11*U176</f>
        <v>0</v>
      </c>
      <c r="P176">
        <f>IF(B199=0,0,O176/B199)</f>
        <v>0</v>
      </c>
      <c r="Q176">
        <f>IFERROR(1/(IF(Inputs!$B$38="pvp",15,MAX(0.1,Skills!E18-IF(TRUE=TRUE,Inputs!$B$32,0)))*(1-IF(AND(ArtifactsInput!$M$27,Inputs!$B$4="Chapter Hunt"),CHOOSE(ArtifactsInput!$N$27+1,20,24,28,32,36,40),0)/100)),0)</f>
        <v>1.6666666666666666E-2</v>
      </c>
      <c r="R176">
        <f>IF(AND(Inputs!$B$38&lt;&gt;"pvp",Inputs!$B$43&gt;0),IF(Inputs!$B$43&lt;=0,0,(INT(Inputs!$B$43/(IF(Inputs!$B$38="pvp",15,MAX(0.1,Skills!E18-IF(TRUE=TRUE,Inputs!$B$32,0)))*(1-IF(AND(ArtifactsInput!$M$27,Inputs!$B$4="Chapter Hunt"),CHOOSE(ArtifactsInput!$N$27+1,20,24,28,32,36,40),0)/100)))+1)),0)</f>
        <v>1</v>
      </c>
      <c r="S176">
        <v>0</v>
      </c>
      <c r="U176">
        <v>0</v>
      </c>
    </row>
    <row r="177" spans="1:21" x14ac:dyDescent="0.2">
      <c r="A177" t="str">
        <f>Skills!A19</f>
        <v>INFINITY</v>
      </c>
      <c r="B177" t="str">
        <f>Skills!B19</f>
        <v>Infinity</v>
      </c>
      <c r="C177" t="b">
        <f>Inputs!$B$3&gt;=110</f>
        <v>1</v>
      </c>
      <c r="D177">
        <f>IF(Skills!C19=1,60+Inputs!$B$25+Inputs!$B$29,IF(Skills!C19=2,90+Inputs!$B$26+Inputs!$B$29,IF(Skills!C19=3,120+Inputs!$B$27+Inputs!$B$29,MAX(0,(Inputs!$B$3-100)*3)+Inputs!$B$28+Inputs!$B$29)))</f>
        <v>185</v>
      </c>
      <c r="E177">
        <f>INDEX(FactorTable!$B$2:$Y$301, MATCH(ROUND(MIN(300,MAX(1,D177)),0), FactorTable!$A$2:$A$301,0), Skills!M19+1)</f>
        <v>1740</v>
      </c>
      <c r="F177">
        <f>IF(Skills!N19=TRUE,(Skills!L19/10)*(E177/1000),Skills!L19/10)+Skills!O19</f>
        <v>37.700579999999995</v>
      </c>
      <c r="G177">
        <f>Calc!G19</f>
        <v>1</v>
      </c>
      <c r="H177">
        <f>Calc!H19</f>
        <v>1</v>
      </c>
      <c r="I177">
        <f>IF(Skills!X19&lt;&gt;"",1+(Skills!X19/10)*(Z161/1000)/100,1)</f>
        <v>1</v>
      </c>
      <c r="O177">
        <f>(1-Summary!$B$11)*S177+Summary!$B$11*U177</f>
        <v>0</v>
      </c>
      <c r="P177">
        <f>IF(B199=0,0,O177/B199)</f>
        <v>0</v>
      </c>
      <c r="Q177">
        <f>IFERROR(1/(IF(Inputs!$B$38="pvp",15,MAX(0.1,Skills!E19-IF(TRUE=TRUE,Inputs!$B$32,0)))*(1-IF(AND(ArtifactsInput!$M$27,Inputs!$B$4="Chapter Hunt"),CHOOSE(ArtifactsInput!$N$27+1,20,24,28,32,36,40),0)/100)),0)</f>
        <v>3.3333333333333333E-2</v>
      </c>
      <c r="R177">
        <f>IF(AND(Inputs!$B$38&lt;&gt;"pvp",Inputs!$B$43&gt;0),IF(Inputs!$B$43&lt;=0,0,(INT(Inputs!$B$43/(IF(Inputs!$B$38="pvp",15,MAX(0.1,Skills!E19-IF(TRUE=TRUE,Inputs!$B$32,0)))*(1-IF(AND(ArtifactsInput!$M$27,Inputs!$B$4="Chapter Hunt"),CHOOSE(ArtifactsInput!$N$27+1,20,24,28,32,36,40),0)/100)))+1)),0)</f>
        <v>2</v>
      </c>
      <c r="S177">
        <v>0</v>
      </c>
      <c r="U177">
        <v>0</v>
      </c>
    </row>
    <row r="178" spans="1:21" x14ac:dyDescent="0.2">
      <c r="A178" t="str">
        <f>Skills!A20</f>
        <v>MAGIC_CRITICAL_RATE</v>
      </c>
      <c r="B178" t="str">
        <f>Skills!B20</f>
        <v>Magic Critical (Crit Rate)</v>
      </c>
      <c r="C178" t="b">
        <f>TRUE</f>
        <v>1</v>
      </c>
      <c r="D178">
        <f>IF(Skills!C20=1,60+Inputs!$B$25+Inputs!$B$29,IF(Skills!C20=2,90+Inputs!$B$26+Inputs!$B$29,IF(Skills!C20=3,120+Inputs!$B$27+Inputs!$B$29,MAX(0,(Inputs!$B$3-100)*3)+Inputs!$B$28+Inputs!$B$29)))</f>
        <v>184</v>
      </c>
      <c r="E178">
        <f>INDEX(FactorTable!$B$2:$Y$301, MATCH(ROUND(MIN(300,MAX(1,D178)),0), FactorTable!$A$2:$A$301,0), Skills!M20+1)</f>
        <v>1552</v>
      </c>
      <c r="F178">
        <f>IF(Skills!N20=TRUE,(Skills!L20/10)*(E178/1000),Skills!L20/10)+Skills!O20</f>
        <v>12.416</v>
      </c>
      <c r="G178">
        <f>Calc!G20</f>
        <v>1</v>
      </c>
      <c r="H178">
        <f>Calc!H20</f>
        <v>1</v>
      </c>
      <c r="I178">
        <f>IF(Skills!X20&lt;&gt;"",1+(Skills!X20/10)*(Z161/1000)/100,1)</f>
        <v>1</v>
      </c>
      <c r="O178">
        <f>(1-Summary!$B$11)*S178+Summary!$B$11*U178</f>
        <v>0</v>
      </c>
      <c r="P178">
        <f>IF(B199=0,0,O178/B199)</f>
        <v>0</v>
      </c>
      <c r="Q178">
        <f>IFERROR(1/(IF(Inputs!$B$38="pvp",15,MAX(0.1,Skills!E20-IF(TRUE=TRUE,Inputs!$B$32,0)))*(1-IF(AND(ArtifactsInput!$M$27,Inputs!$B$4="Chapter Hunt"),CHOOSE(ArtifactsInput!$N$27+1,20,24,28,32,36,40),0)/100)),0)</f>
        <v>10</v>
      </c>
      <c r="R178">
        <v>0</v>
      </c>
      <c r="S178">
        <v>0</v>
      </c>
      <c r="U178">
        <v>0</v>
      </c>
    </row>
    <row r="179" spans="1:21" x14ac:dyDescent="0.2">
      <c r="A179" t="str">
        <f>Skills!A21</f>
        <v>MAGIC_CRITICAL_DAMAGE</v>
      </c>
      <c r="B179" t="str">
        <f>Skills!B21</f>
        <v>Magic Critical (Crit Damage)</v>
      </c>
      <c r="C179" t="b">
        <f>TRUE</f>
        <v>1</v>
      </c>
      <c r="D179">
        <f>IF(Skills!C21=1,60+Inputs!$B$25+Inputs!$B$29,IF(Skills!C21=2,90+Inputs!$B$26+Inputs!$B$29,IF(Skills!C21=3,120+Inputs!$B$27+Inputs!$B$29,MAX(0,(Inputs!$B$3-100)*3)+Inputs!$B$28+Inputs!$B$29)))</f>
        <v>184</v>
      </c>
      <c r="E179">
        <f>INDEX(FactorTable!$B$2:$Y$301, MATCH(ROUND(MIN(300,MAX(1,D179)),0), FactorTable!$A$2:$A$301,0), Skills!M21+1)</f>
        <v>1552</v>
      </c>
      <c r="F179">
        <f>IF(Skills!N21=TRUE,(Skills!L21/10)*(E179/1000),Skills!L21/10)+Skills!O21</f>
        <v>18.624000000000002</v>
      </c>
      <c r="G179">
        <f>Calc!G21</f>
        <v>1</v>
      </c>
      <c r="H179">
        <f>Calc!H21</f>
        <v>1</v>
      </c>
      <c r="I179">
        <f>IF(Skills!X21&lt;&gt;"",1+(Skills!X21/10)*(Z161/1000)/100,1)</f>
        <v>1</v>
      </c>
      <c r="O179">
        <f>(1-Summary!$B$11)*S179+Summary!$B$11*U179</f>
        <v>0</v>
      </c>
      <c r="P179">
        <f>IF(B199=0,0,O179/B199)</f>
        <v>0</v>
      </c>
      <c r="Q179">
        <f>IFERROR(1/(IF(Inputs!$B$38="pvp",15,MAX(0.1,Skills!E21-IF(TRUE=TRUE,Inputs!$B$32,0)))*(1-IF(AND(ArtifactsInput!$M$27,Inputs!$B$4="Chapter Hunt"),CHOOSE(ArtifactsInput!$N$27+1,20,24,28,32,36,40),0)/100)),0)</f>
        <v>10</v>
      </c>
      <c r="R179">
        <v>0</v>
      </c>
      <c r="S179">
        <v>0</v>
      </c>
      <c r="U179">
        <v>0</v>
      </c>
    </row>
    <row r="180" spans="1:21" x14ac:dyDescent="0.2">
      <c r="A180" t="str">
        <f>Skills!A22</f>
        <v>SPELL_MASTERY</v>
      </c>
      <c r="B180" t="str">
        <f>Skills!B22</f>
        <v>Spell Mastery</v>
      </c>
      <c r="C180" t="b">
        <f>TRUE</f>
        <v>1</v>
      </c>
      <c r="D180">
        <f>IF(Skills!C22=1,60+Inputs!$B$25+Inputs!$B$29,IF(Skills!C22=2,90+Inputs!$B$26+Inputs!$B$29,IF(Skills!C22=3,120+Inputs!$B$27+Inputs!$B$29,MAX(0,(Inputs!$B$3-100)*3)+Inputs!$B$28+Inputs!$B$29)))</f>
        <v>168</v>
      </c>
      <c r="E180">
        <f>INDEX(FactorTable!$B$2:$Y$301, MATCH(ROUND(MIN(300,MAX(1,D180)),0), FactorTable!$A$2:$A$301,0), Skills!M22+1)</f>
        <v>1504</v>
      </c>
      <c r="F180">
        <f>IF(Skills!N22=TRUE,(Skills!L22/10)*(E180/1000),Skills!L22/10)+Skills!O22</f>
        <v>22.56</v>
      </c>
      <c r="G180">
        <f>Calc!G22</f>
        <v>1</v>
      </c>
      <c r="H180">
        <f>Calc!H22</f>
        <v>1</v>
      </c>
      <c r="I180">
        <f>IF(Skills!X22&lt;&gt;"",1+(Skills!X22/10)*(Z161/1000)/100,1)</f>
        <v>1</v>
      </c>
      <c r="O180">
        <f>(1-Summary!$B$11)*S180+Summary!$B$11*U180</f>
        <v>0</v>
      </c>
      <c r="P180">
        <f>IF(B199=0,0,O180/B199)</f>
        <v>0</v>
      </c>
      <c r="Q180">
        <f>IFERROR(1/(IF(Inputs!$B$38="pvp",15,MAX(0.1,Skills!E22-IF(TRUE=TRUE,Inputs!$B$32,0)))*(1-IF(AND(ArtifactsInput!$M$27,Inputs!$B$4="Chapter Hunt"),CHOOSE(ArtifactsInput!$N$27+1,20,24,28,32,36,40),0)/100)),0)</f>
        <v>10</v>
      </c>
      <c r="R180">
        <v>0</v>
      </c>
      <c r="S180">
        <v>0</v>
      </c>
      <c r="U180">
        <v>0</v>
      </c>
    </row>
    <row r="181" spans="1:21" x14ac:dyDescent="0.2">
      <c r="A181" t="str">
        <f>Skills!A23</f>
        <v>ELEMENT_AMPLIFICATION</v>
      </c>
      <c r="B181" t="str">
        <f>Skills!B23</f>
        <v>Element Amplification</v>
      </c>
      <c r="C181" t="b">
        <f>TRUE</f>
        <v>1</v>
      </c>
      <c r="D181">
        <f>IF(Skills!C23=1,60+Inputs!$B$25+Inputs!$B$29,IF(Skills!C23=2,90+Inputs!$B$26+Inputs!$B$29,IF(Skills!C23=3,120+Inputs!$B$27+Inputs!$B$29,MAX(0,(Inputs!$B$3-100)*3)+Inputs!$B$28+Inputs!$B$29)))</f>
        <v>185</v>
      </c>
      <c r="E181">
        <f>INDEX(FactorTable!$B$2:$Y$301, MATCH(ROUND(MIN(300,MAX(1,D181)),0), FactorTable!$A$2:$A$301,0), Skills!M23+1)</f>
        <v>1555</v>
      </c>
      <c r="F181">
        <f>IF(Skills!N23=TRUE,(Skills!L23/10)*(E181/1000),Skills!L23/10)+Skills!O23</f>
        <v>23.324999999999999</v>
      </c>
      <c r="G181">
        <f>Calc!G23</f>
        <v>1</v>
      </c>
      <c r="H181">
        <f>Calc!H23</f>
        <v>1</v>
      </c>
      <c r="I181">
        <f>IF(Skills!X23&lt;&gt;"",1+(Skills!X23/10)*(Z161/1000)/100,1)</f>
        <v>1</v>
      </c>
      <c r="O181">
        <f>(1-Summary!$B$11)*S181+Summary!$B$11*U181</f>
        <v>0</v>
      </c>
      <c r="P181">
        <f>IF(B199=0,0,O181/B199)</f>
        <v>0</v>
      </c>
      <c r="Q181">
        <f>IFERROR(1/(IF(Inputs!$B$38="pvp",15,MAX(0.1,Skills!E23-IF(TRUE=TRUE,Inputs!$B$32,0)))*(1-IF(AND(ArtifactsInput!$M$27,Inputs!$B$4="Chapter Hunt"),CHOOSE(ArtifactsInput!$N$27+1,20,24,28,32,36,40),0)/100)),0)</f>
        <v>10</v>
      </c>
      <c r="R181">
        <v>0</v>
      </c>
      <c r="S181">
        <v>0</v>
      </c>
      <c r="U181">
        <v>0</v>
      </c>
    </row>
    <row r="182" spans="1:21" x14ac:dyDescent="0.2">
      <c r="A182" t="str">
        <f>Skills!A24</f>
        <v>IFRIT</v>
      </c>
      <c r="B182" t="str">
        <f>Skills!B24</f>
        <v>Ifrit</v>
      </c>
      <c r="C182" t="b">
        <f>Inputs!$B$3&gt;=115</f>
        <v>1</v>
      </c>
      <c r="D182">
        <f>IF(Skills!C24=1,60+Inputs!$B$25+Inputs!$B$29,IF(Skills!C24=2,90+Inputs!$B$26+Inputs!$B$29,IF(Skills!C24=3,120+Inputs!$B$27+Inputs!$B$29,MAX(0,(Inputs!$B$3-100)*3)+Inputs!$B$28+Inputs!$B$29)))</f>
        <v>185</v>
      </c>
      <c r="E182">
        <f>INDEX(FactorTable!$B$2:$Y$301, MATCH(ROUND(MIN(300,MAX(1,D182)),0), FactorTable!$A$2:$A$301,0), Skills!M24+1)</f>
        <v>1925</v>
      </c>
      <c r="F182">
        <f>IF(Skills!N24=TRUE,(Skills!L24/10)*(E182/1000),Skills!L24/10)+Skills!O24</f>
        <v>6737.5</v>
      </c>
      <c r="G182">
        <f>Calc!G24</f>
        <v>7.5</v>
      </c>
      <c r="H182">
        <f>Calc!H24</f>
        <v>1</v>
      </c>
      <c r="I182">
        <f>IF(Skills!X24&lt;&gt;"",1+(Skills!X24/10)*(Z161/1000)/100,1)</f>
        <v>1</v>
      </c>
      <c r="J182">
        <f>((Inputs!$B$6*(1+Inputs!$B$7/100))+(((Inputs!$B$12*(1+Inputs!$B$13/100))-(Inputs!$B$12*(1+Inputs!$B$13/100)))+0.25*(Inputs!$B$14-Inputs!$B$14))*(1+Inputs!$B$7/100))*(F182/100)</f>
        <v>24331438378.718628</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122378274614794.47</v>
      </c>
      <c r="L182">
        <f>K182*(MIN(Inputs!$B$22+(F180-Calc!F22),(Inputs!$B$23+(IF(ArtifactsInput!$M$15,CHOOSE(ArtifactsInput!$N$15+1,25,30,35,40,45,50)/100*(Inputs!$B$11-Inputs!$B$11),0))))/100+(Inputs!$B$23+(IF(ArtifactsInput!$M$15,CHOOSE(ArtifactsInput!$N$15+1,25,30,35,40,45,50)/100*(Inputs!$B$11-Inputs!$B$11),0)))/100)/2</f>
        <v>406907763094191.62</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1920197734041490</v>
      </c>
      <c r="N182">
        <f>L182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1920197734041490</v>
      </c>
      <c r="O182">
        <f>(1-Summary!$B$11)*S182+Summary!$B$11*U182</f>
        <v>2196226158309954</v>
      </c>
      <c r="P182">
        <f>IF(B199=0,0,O182/B199)</f>
        <v>6.6312914553869631E-2</v>
      </c>
      <c r="Q182">
        <f>IFERROR(1/(IF(Inputs!$B$38="pvp",15,MAX(0.1,Skills!E24-IF(TRUE=TRUE,Inputs!$B$32,0)))*(1-IF(AND(ArtifactsInput!$M$27,Inputs!$B$4="Chapter Hunt"),CHOOSE(ArtifactsInput!$N$27+1,20,24,28,32,36,40),0)/100)),0)</f>
        <v>1.2500000000000001E-2</v>
      </c>
      <c r="R182">
        <f>IF(AND(Inputs!$B$38&lt;&gt;"pvp",Inputs!$B$43&gt;0),IF(MAX(0,Inputs!$B$43-B196)&lt;=0,0,(INT(MAX(0,Inputs!$B$43-B196)/(IF(Inputs!$B$38="pvp",15,MAX(0.1,Skills!E24-IF(TRUE=TRUE,Inputs!$B$32,0)))*(1-IF(AND(ArtifactsInput!$M$27,Inputs!$B$4="Chapter Hunt"),CHOOSE(ArtifactsInput!$N$27+1,20,24,28,32,36,40),0)/100)))+1)),0)</f>
        <v>1</v>
      </c>
      <c r="S182">
        <f>IF(C182,(H182*N182*IF(AND(Inputs!$B$38&lt;&gt;"pvp",Inputs!$B$43&gt;0),((Skills!G24*((R182-1)*IF(Skills!H24&gt;0,Skills!I24/Skills!H24,1)+IF(Skills!H24&gt;0,MIN(Skills!I24,MAX(0,MAX(0,Inputs!$B$43-B196)-((R182-1)*(IF(Inputs!$B$38="pvp",15,MAX(0.1,Skills!E24-IF(TRUE=TRUE,Inputs!$B$32,0)))*(1-IF(AND(ArtifactsInput!$M$27,Inputs!$B$4="Chapter Hunt"),CHOOSE(ArtifactsInput!$N$27+1,20,24,28,32,36,40),0)/100)))))/Skills!H24,1)))/Inputs!$B$43),G182*Q182)*(1+IF(Inputs!$B$3&gt;=130,0.2*(Skills!I16/(1/Q173)+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1141317528170910.5</v>
      </c>
      <c r="U182">
        <f>IF(C182,(H182*N182*IF(AND(Inputs!$B$38&lt;&gt;"pvp",Inputs!$B$43&gt;0),((Skills!G24*((R182-1)*IF(Skills!H24&gt;0,Skills!I24/Skills!H24,1)+IF(Skills!H24&gt;0,MIN(Skills!I24,MAX(0,MAX(0,Inputs!$B$43-B196)-((R182-1)*(IF(Inputs!$B$38="pvp",15,MAX(0.1,Skills!E24-IF(TRUE=TRUE,Inputs!$B$32,0)))*(1-IF(AND(ArtifactsInput!$M$27,Inputs!$B$4="Chapter Hunt"),CHOOSE(ArtifactsInput!$N$27+1,20,24,28,32,36,40),0)/100)))))/Skills!H24,1)))/Inputs!$B$43),G182*Q182)*(1+IF(Inputs!$B$3&gt;=130,0.2*(Skills!I16/(1/Q173)+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3251134788448997.5</v>
      </c>
    </row>
    <row r="183" spans="1:21" x14ac:dyDescent="0.2">
      <c r="A183" t="str">
        <f>Skills!A25</f>
        <v>BUFF_MASTERY</v>
      </c>
      <c r="B183" t="str">
        <f>Skills!B25</f>
        <v>Buff Mastery</v>
      </c>
      <c r="C183" t="b">
        <f>Inputs!$B$3&gt;=117</f>
        <v>1</v>
      </c>
      <c r="D183">
        <f>IF(Skills!C25=1,60+Inputs!$B$25+Inputs!$B$29,IF(Skills!C25=2,90+Inputs!$B$26+Inputs!$B$29,IF(Skills!C25=3,120+Inputs!$B$27+Inputs!$B$29,MAX(0,(Inputs!$B$3-100)*3)+Inputs!$B$28+Inputs!$B$29)))</f>
        <v>185</v>
      </c>
      <c r="E183">
        <f>INDEX(FactorTable!$B$2:$Y$301, MATCH(ROUND(MIN(300,MAX(1,D183)),0), FactorTable!$A$2:$A$301,0), Skills!M25+1)</f>
        <v>1555</v>
      </c>
      <c r="F183">
        <f>IF(Skills!N25=TRUE,(Skills!L25/10)*(E183/1000),Skills!L25/10)+Skills!O25</f>
        <v>15.549999999999999</v>
      </c>
      <c r="G183">
        <f>Calc!G25</f>
        <v>1</v>
      </c>
      <c r="H183">
        <f>Calc!H25</f>
        <v>1</v>
      </c>
      <c r="I183">
        <f>IF(Skills!X25&lt;&gt;"",1+(Skills!X25/10)*(Z161/1000)/100,1)</f>
        <v>1</v>
      </c>
      <c r="O183">
        <f>(1-Summary!$B$11)*S183+Summary!$B$11*U183</f>
        <v>0</v>
      </c>
      <c r="P183">
        <f>IF(B199=0,0,O183/B199)</f>
        <v>0</v>
      </c>
      <c r="Q183">
        <f>IFERROR(1/(IF(Inputs!$B$38="pvp",15,MAX(0.1,Skills!E25-IF(TRUE=TRUE,Inputs!$B$32,0)))*(1-IF(AND(ArtifactsInput!$M$27,Inputs!$B$4="Chapter Hunt"),CHOOSE(ArtifactsInput!$N$27+1,20,24,28,32,36,40),0)/100)),0)</f>
        <v>10</v>
      </c>
      <c r="R183">
        <v>0</v>
      </c>
      <c r="S183">
        <v>0</v>
      </c>
      <c r="U183">
        <v>0</v>
      </c>
    </row>
    <row r="184" spans="1:21" x14ac:dyDescent="0.2">
      <c r="A184" t="str">
        <f>Skills!A26</f>
        <v>ARCANE_AIM</v>
      </c>
      <c r="B184" t="str">
        <f>Skills!B26</f>
        <v>Arcane Aim</v>
      </c>
      <c r="C184" t="b">
        <f>Inputs!$B$3&gt;=120</f>
        <v>0</v>
      </c>
      <c r="D184">
        <f>IF(Skills!C26=1,60+Inputs!$B$25+Inputs!$B$29,IF(Skills!C26=2,90+Inputs!$B$26+Inputs!$B$29,IF(Skills!C26=3,120+Inputs!$B$27+Inputs!$B$29,MAX(0,(Inputs!$B$3-100)*3)+Inputs!$B$28+Inputs!$B$29)))</f>
        <v>185</v>
      </c>
      <c r="E184">
        <f>INDEX(FactorTable!$B$2:$Y$301, MATCH(ROUND(MIN(300,MAX(1,D184)),0), FactorTable!$A$2:$A$301,0), Skills!M26+1)</f>
        <v>1555</v>
      </c>
      <c r="F184">
        <f>IF(Skills!N26=TRUE,(Skills!L26/10)*(E184/1000),Skills!L26/10)+Skills!O26</f>
        <v>4.665</v>
      </c>
      <c r="G184">
        <f>Calc!G26</f>
        <v>1</v>
      </c>
      <c r="H184">
        <f>Calc!H26</f>
        <v>1</v>
      </c>
      <c r="I184">
        <f>IF(Skills!X26&lt;&gt;"",1+(Skills!X26/10)*(Z161/1000)/100,1)</f>
        <v>1</v>
      </c>
      <c r="O184">
        <f>(1-Summary!$B$11)*S184+Summary!$B$11*U184</f>
        <v>0</v>
      </c>
      <c r="P184">
        <f>IF(B199=0,0,O184/B199)</f>
        <v>0</v>
      </c>
      <c r="Q184">
        <f>IFERROR(1/(IF(Inputs!$B$38="pvp",15,MAX(0.1,Skills!E26-IF(TRUE=TRUE,Inputs!$B$32,0)))*(1-IF(AND(ArtifactsInput!$M$27,Inputs!$B$4="Chapter Hunt"),CHOOSE(ArtifactsInput!$N$27+1,20,24,28,32,36,40),0)/100)),0)</f>
        <v>10</v>
      </c>
      <c r="R184">
        <v>0</v>
      </c>
      <c r="S184">
        <v>0</v>
      </c>
      <c r="U184">
        <v>0</v>
      </c>
    </row>
    <row r="185" spans="1:21" x14ac:dyDescent="0.2">
      <c r="A185" t="str">
        <f>Skills!A27</f>
        <v>FERVENT_DRAIN</v>
      </c>
      <c r="B185" t="str">
        <f>Skills!B27</f>
        <v>Fervent Drain</v>
      </c>
      <c r="C185" t="b">
        <f>Inputs!$B$3&gt;=125</f>
        <v>0</v>
      </c>
      <c r="D185">
        <f>IF(Skills!C27=1,60+Inputs!$B$25+Inputs!$B$29,IF(Skills!C27=2,90+Inputs!$B$26+Inputs!$B$29,IF(Skills!C27=3,120+Inputs!$B$27+Inputs!$B$29,MAX(0,(Inputs!$B$3-100)*3)+Inputs!$B$28+Inputs!$B$29)))</f>
        <v>185</v>
      </c>
      <c r="E185">
        <f>INDEX(FactorTable!$B$2:$Y$301, MATCH(ROUND(MIN(300,MAX(1,D185)),0), FactorTable!$A$2:$A$301,0), Skills!M27+1)</f>
        <v>1555</v>
      </c>
      <c r="F185">
        <f>IF(Skills!N27=TRUE,(Skills!L27/10)*(E185/1000),Skills!L27/10)+Skills!O27</f>
        <v>6.22</v>
      </c>
      <c r="G185">
        <f>Calc!G27</f>
        <v>1</v>
      </c>
      <c r="H185">
        <f>Calc!H27</f>
        <v>1</v>
      </c>
      <c r="I185">
        <f>IF(Skills!X27&lt;&gt;"",1+(Skills!X27/10)*(Z161/1000)/100,1)</f>
        <v>1</v>
      </c>
      <c r="O185">
        <f>(1-Summary!$B$11)*S185+Summary!$B$11*U185</f>
        <v>0</v>
      </c>
      <c r="P185">
        <f>IF(B199=0,0,O185/B199)</f>
        <v>0</v>
      </c>
      <c r="Q185">
        <f>IFERROR(1/(IF(Inputs!$B$38="pvp",15,MAX(0.1,Skills!E27-IF(TRUE=TRUE,Inputs!$B$32,0)))*(1-IF(AND(ArtifactsInput!$M$27,Inputs!$B$4="Chapter Hunt"),CHOOSE(ArtifactsInput!$N$27+1,20,24,28,32,36,40),0)/100)),0)</f>
        <v>10</v>
      </c>
      <c r="R185">
        <v>0</v>
      </c>
      <c r="S185">
        <v>0</v>
      </c>
      <c r="U185">
        <v>0</v>
      </c>
    </row>
    <row r="186" spans="1:21" x14ac:dyDescent="0.2">
      <c r="A186" t="str">
        <f>Skills!A28</f>
        <v>FLAME_HAZE_FOG</v>
      </c>
      <c r="B186" t="str">
        <f>Skills!B28</f>
        <v>Flame Haze (poison fog DoT)</v>
      </c>
      <c r="C186" t="b">
        <f>Inputs!$B$3&gt;=118</f>
        <v>0</v>
      </c>
      <c r="D186">
        <f>IF(Skills!C28=1,60+Inputs!$B$25+Inputs!$B$29,IF(Skills!C28=2,90+Inputs!$B$26+Inputs!$B$29,IF(Skills!C28=3,120+Inputs!$B$27+Inputs!$B$29,MAX(0,(Inputs!$B$3-100)*3)+Inputs!$B$28+Inputs!$B$29)))</f>
        <v>185</v>
      </c>
      <c r="E186">
        <f>INDEX(FactorTable!$B$2:$Y$301, MATCH(ROUND(MIN(300,MAX(1,D186)),0), FactorTable!$A$2:$A$301,0), Skills!M28+1)</f>
        <v>1925</v>
      </c>
      <c r="F186">
        <f>IF(Skills!N28=TRUE,(Skills!L28/10)*(E186/1000),Skills!L28/10)+Skills!O28</f>
        <v>134.75</v>
      </c>
      <c r="G186">
        <f>Calc!G28</f>
        <v>50</v>
      </c>
      <c r="H186">
        <f>Calc!H28</f>
        <v>1</v>
      </c>
      <c r="I186">
        <f>IF(Skills!X28&lt;&gt;"",1+(Skills!X28/10)*(Z161/1000)/100,1)</f>
        <v>1</v>
      </c>
      <c r="J186">
        <f>((Inputs!$B$6*(1+Inputs!$B$7/100))+(((Inputs!$B$12*(1+Inputs!$B$13/100))-(Inputs!$B$12*(1+Inputs!$B$13/100)))+0.25*(Inputs!$B$14-Inputs!$B$14))*(1+Inputs!$B$7/100))*(F186/100)</f>
        <v>486628767.57437253</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2447565492295.8892</v>
      </c>
      <c r="L186">
        <f>K186*(MIN(Inputs!$B$22+(F180-Calc!F22),(Inputs!$B$23+(IF(ArtifactsInput!$M$15,CHOOSE(ArtifactsInput!$N$15+1,25,30,35,40,45,50)/100*(Inputs!$B$11-Inputs!$B$11),0))))/100+(Inputs!$B$23+(IF(ArtifactsInput!$M$15,CHOOSE(ArtifactsInput!$N$15+1,25,30,35,40,45,50)/100*(Inputs!$B$11-Inputs!$B$11),0)))/100)/2</f>
        <v>8138155261883.832</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38403954680829.797</v>
      </c>
      <c r="N186">
        <f>L186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38403954680829.797</v>
      </c>
      <c r="O186">
        <f>(1-Summary!$B$11)*S186+Summary!$B$11*U186</f>
        <v>0</v>
      </c>
      <c r="P186">
        <f>IF(B199=0,0,O186/B199)</f>
        <v>0</v>
      </c>
      <c r="Q186">
        <f>IFERROR(1/(IF(Inputs!$B$38="pvp",15,MAX(0.1,Skills!E28-IF(TRUE=TRUE,Inputs!$B$32,0)))*(1-IF(AND(ArtifactsInput!$M$27,Inputs!$B$4="Chapter Hunt"),CHOOSE(ArtifactsInput!$N$27+1,20,24,28,32,36,40),0)/100)),0)</f>
        <v>0.04</v>
      </c>
      <c r="R186">
        <f>IF(AND(Inputs!$B$38&lt;&gt;"pvp",Inputs!$B$43&gt;0),IF(MAX(0,Inputs!$B$43-B196)&lt;=0,0,(INT(MAX(0,Inputs!$B$43-B196)/(IF(Inputs!$B$38="pvp",15,MAX(0.1,Skills!E28-IF(TRUE=TRUE,Inputs!$B$32,0)))*(1-IF(AND(ArtifactsInput!$M$27,Inputs!$B$4="Chapter Hunt"),CHOOSE(ArtifactsInput!$N$27+1,20,24,28,32,36,40),0)/100)))+1)),0)</f>
        <v>2</v>
      </c>
      <c r="S186">
        <f>IF(C186,(H186*N186*IF(AND(Inputs!$B$38&lt;&gt;"pvp",Inputs!$B$43&gt;0),((Skills!G28*((R186-1)*IF(Skills!H28&gt;0,Skills!I28/Skills!H28,1)+IF(Skills!H28&gt;0,MIN(Skills!I28,MAX(0,MAX(0,Inputs!$B$43-B196)-((R186-1)*(IF(Inputs!$B$38="pvp",15,MAX(0.1,Skills!E28-IF(TRUE=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6">
        <f>IF(C186,(H186*N186*IF(AND(Inputs!$B$38&lt;&gt;"pvp",Inputs!$B$43&gt;0),((Skills!G28*((R186-1)*IF(Skills!H28&gt;0,Skills!I28/Skills!H28,1)+IF(Skills!H28&gt;0,MIN(Skills!I28,MAX(0,MAX(0,Inputs!$B$43-B196)-((R186-1)*(IF(Inputs!$B$38="pvp",15,MAX(0.1,Skills!E28-IF(TRUE=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8" spans="1:21" x14ac:dyDescent="0.2">
      <c r="A188" t="s">
        <v>356</v>
      </c>
      <c r="B188">
        <f>1+(F169*Skills!Z11)/100</f>
        <v>1.25</v>
      </c>
    </row>
    <row r="189" spans="1:21" x14ac:dyDescent="0.2">
      <c r="A189" t="s">
        <v>435</v>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1.18624</v>
      </c>
    </row>
    <row r="190" spans="1:21" x14ac:dyDescent="0.2">
      <c r="A190" t="s">
        <v>358</v>
      </c>
      <c r="B190">
        <f>(1+(F164*IF(AND(Inputs!$B$38&lt;&gt;"pvp",Inputs!$B$43&gt;0),(((R164-1)*MIN((Skills!T6*(1+((Inputs!$B$34+(ArtifactsInput!$M$7-ArtifactsInput!$M$7)*CHOOSE(ArtifactsInput!$N$7+1,6,7.2,8.4,9.6,10.8,12)))/100)),(1/Q164))+MIN((Skills!T6*(1+((Inputs!$B$34+(ArtifactsInput!$M$7-ArtifactsInput!$M$7)*CHOOSE(ArtifactsInput!$N$7+1,6,7.2,8.4,9.6,10.8,12)))/100)),MAX(0,Inputs!$B$43-((R164-1)*(1/Q164)))))/Inputs!$B$43),IF(Inputs!$B$38="pvp",MIN((Skills!T6*(1+((Inputs!$B$34+(ArtifactsInput!$M$7-ArtifactsInput!$M$7)*CHOOSE(ArtifactsInput!$N$7+1,6,7.2,8.4,9.6,10.8,12)))/100)),15)/15,MIN(1,(Skills!T6*(1+((Inputs!$B$34+(ArtifactsInput!$M$7-ArtifactsInput!$M$7)*CHOOSE(ArtifactsInput!$N$7+1,6,7.2,8.4,9.6,10.8,12)))/100))/(1/Q164))))+F175*IF(AND(Inputs!$B$38&lt;&gt;"pvp",Inputs!$B$43&gt;0),(((R175-1)*MIN((Skills!T17*(1+((Inputs!$B$34+(ArtifactsInput!$M$7-ArtifactsInput!$M$7)*CHOOSE(ArtifactsInput!$N$7+1,6,7.2,8.4,9.6,10.8,12)))/100)),(1/Q175))+MIN((Skills!T17*(1+((Inputs!$B$34+(ArtifactsInput!$M$7-ArtifactsInput!$M$7)*CHOOSE(ArtifactsInput!$N$7+1,6,7.2,8.4,9.6,10.8,12)))/100)),MAX(0,Inputs!$B$43-((R175-1)*(1/Q175)))))/Inputs!$B$43),IF(Inputs!$B$38="pvp",MIN((Skills!T17*(1+((Inputs!$B$34+(ArtifactsInput!$M$7-ArtifactsInput!$M$7)*CHOOSE(ArtifactsInput!$N$7+1,6,7.2,8.4,9.6,10.8,12)))/100)),15)/15,MIN(1,(Skills!T17*(1+((Inputs!$B$34+(ArtifactsInput!$M$7-ArtifactsInput!$M$7)*CHOOSE(ArtifactsInput!$N$7+1,6,7.2,8.4,9.6,10.8,12)))/100))/(1/Q175)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MIN((Skills!T19*(1+((Inputs!$B$34+(ArtifactsInput!$M$7-ArtifactsInput!$M$7)*CHOOSE(ArtifactsInput!$N$7+1,6,7.2,8.4,9.6,10.8,12)))/100)),(1/Q177))+MIN((Skills!T19*(1+((Inputs!$B$34+(ArtifactsInput!$M$7-ArtifactsInput!$M$7)*CHOOSE(ArtifactsInput!$N$7+1,6,7.2,8.4,9.6,10.8,12)))/100)),MAX(0,Inputs!$B$43-((R177-1)*(1/Q177)))))/Inputs!$B$43),IF(Inputs!$B$38="pvp",MIN((Skills!T19*(1+((Inputs!$B$34+(ArtifactsInput!$M$7-ArtifactsInput!$M$7)*CHOOSE(ArtifactsInput!$N$7+1,6,7.2,8.4,9.6,10.8,12)))/100)),15)/15,MIN(1,(Skills!T19*(1+((Inputs!$B$34+(ArtifactsInput!$M$7-ArtifactsInput!$M$7)*CHOOSE(ArtifactsInput!$N$7+1,6,7.2,8.4,9.6,10.8,12)))/100))/(1/Q177))))/100),1)</f>
        <v>1.7965808377980694</v>
      </c>
    </row>
    <row r="191" spans="1:21" x14ac:dyDescent="0.2">
      <c r="A191" t="s">
        <v>359</v>
      </c>
      <c r="B191">
        <f>F176*IF(AND(Inputs!$B$38&lt;&gt;"pvp",Inputs!$B$43&gt;0),(((R176-1)*MIN((Skills!T18*(1+((Inputs!$B$34+(ArtifactsInput!$M$7-ArtifactsInput!$M$7)*CHOOSE(ArtifactsInput!$N$7+1,6,7.2,8.4,9.6,10.8,12)))/100)),(1/Q176))+MIN((Skills!T18*(1+((Inputs!$B$34+(ArtifactsInput!$M$7-ArtifactsInput!$M$7)*CHOOSE(ArtifactsInput!$N$7+1,6,7.2,8.4,9.6,10.8,12)))/100)),MAX(0,Inputs!$B$43-((R176-1)*(1/Q176)))))/Inputs!$B$43),IF(Inputs!$B$38="pvp",MIN((Skills!T18*(1+((Inputs!$B$34+(ArtifactsInput!$M$7-ArtifactsInput!$M$7)*CHOOSE(ArtifactsInput!$N$7+1,6,7.2,8.4,9.6,10.8,12)))/100)),15)/15,MIN(1,(Skills!T18*(1+((Inputs!$B$34+(ArtifactsInput!$M$7-ArtifactsInput!$M$7)*CHOOSE(ArtifactsInput!$N$7+1,6,7.2,8.4,9.6,10.8,12)))/100))/(1/Q176))))</f>
        <v>6.4968749999999993</v>
      </c>
    </row>
    <row r="192" spans="1:21" x14ac:dyDescent="0.2">
      <c r="A192" t="s">
        <v>436</v>
      </c>
      <c r="B192">
        <f>1+MIN(150,150*(1-(1-(Inputs!$B$11+(ArtifactsInput!$M$15-ArtifactsInput!$M$15)*CHOOSE(ArtifactsInput!$N$15+1,8,9.6,11.2,12.8,14.4,16))/150)*(1-B191/150)))/100</f>
        <v>1.6982958749999999</v>
      </c>
    </row>
    <row r="193" spans="1:26" x14ac:dyDescent="0.2">
      <c r="A193" t="s">
        <v>437</v>
      </c>
      <c r="B193">
        <f>IF(AND(Inputs!$B$38&lt;&gt;"pvp",Inputs!$B$43&gt;0),SUMPRODUCT((Skills!F2:F28=TRUE)*(C160:C186=TRUE)*R160:R186)/Inputs!$B$43,SUMPRODUCT((Skills!F2:F28=TRUE)*(C160:C186=TRUE)*Q160:Q186))</f>
        <v>0.47499999999999998</v>
      </c>
    </row>
    <row r="194" spans="1:26" x14ac:dyDescent="0.2">
      <c r="A194" t="s">
        <v>362</v>
      </c>
      <c r="B194">
        <f>MAX(0,B192-B193)</f>
        <v>1.2232958749999998</v>
      </c>
    </row>
    <row r="195" spans="1:26" x14ac:dyDescent="0.2">
      <c r="A195" t="s">
        <v>438</v>
      </c>
      <c r="B195">
        <f>IF(AND(Inputs!$B$38&lt;&gt;"pvp",Inputs!$B$43&gt;0),SUMPRODUCT((Skills!V2:V28=TRUE)*(C160:C186=TRUE)*R160:R186*Skills!W2:W28)/Inputs!$B$43,SUMPRODUCT((Skills!V2:V28=TRUE)*(C160:C186=TRUE)*Q160:Q186*Skills!W2:W28))+B194</f>
        <v>1.5482958749999998</v>
      </c>
    </row>
    <row r="196" spans="1:26" x14ac:dyDescent="0.2">
      <c r="A196" t="s">
        <v>439</v>
      </c>
      <c r="B196">
        <f>IF(AND(Inputs!$B$38&lt;&gt;"pvp",Inputs!$B$43&gt;0),SUMPRODUCT((Skills!T2:T28&gt;0)*(Skills!F2:F28=TRUE)*(C160:C186=TRUE))/B192,0)</f>
        <v>2.3553021937358238</v>
      </c>
    </row>
    <row r="197" spans="1:26" x14ac:dyDescent="0.2">
      <c r="A197" t="s">
        <v>440</v>
      </c>
      <c r="B197">
        <f>SUM(S160:S186)</f>
        <v>9526550025731626</v>
      </c>
    </row>
    <row r="198" spans="1:26" x14ac:dyDescent="0.2">
      <c r="A198" t="s">
        <v>441</v>
      </c>
      <c r="B198">
        <f>SUM(U160:U186)</f>
        <v>5.671171360919996E+16</v>
      </c>
    </row>
    <row r="199" spans="1:26" x14ac:dyDescent="0.2">
      <c r="A199" s="6" t="s">
        <v>348</v>
      </c>
      <c r="B199" s="6">
        <f>SUM(O160:O186)</f>
        <v>3.3119131817465792E+16</v>
      </c>
    </row>
    <row r="202" spans="1:26" x14ac:dyDescent="0.2">
      <c r="A202" s="6" t="s">
        <v>444</v>
      </c>
    </row>
    <row r="203" spans="1:26" x14ac:dyDescent="0.2">
      <c r="A203" s="5" t="s">
        <v>136</v>
      </c>
      <c r="B203" s="5" t="s">
        <v>137</v>
      </c>
      <c r="C203" s="5" t="s">
        <v>328</v>
      </c>
      <c r="D203" s="5" t="s">
        <v>329</v>
      </c>
      <c r="E203" s="5" t="s">
        <v>330</v>
      </c>
      <c r="F203" s="5" t="s">
        <v>331</v>
      </c>
      <c r="G203" s="5" t="s">
        <v>332</v>
      </c>
      <c r="H203" s="5" t="s">
        <v>333</v>
      </c>
      <c r="I203" s="5" t="s">
        <v>334</v>
      </c>
      <c r="J203" s="5" t="s">
        <v>335</v>
      </c>
      <c r="K203" s="5" t="s">
        <v>336</v>
      </c>
      <c r="L203" s="5" t="s">
        <v>337</v>
      </c>
      <c r="M203" s="5" t="s">
        <v>338</v>
      </c>
      <c r="N203" s="5" t="s">
        <v>339</v>
      </c>
      <c r="O203" s="5" t="s">
        <v>340</v>
      </c>
      <c r="P203" s="5" t="s">
        <v>341</v>
      </c>
      <c r="R203" t="s">
        <v>434</v>
      </c>
    </row>
    <row r="204" spans="1:26" x14ac:dyDescent="0.2">
      <c r="A204" t="str">
        <f>Skills!A2</f>
        <v>BASIC_ATTACK</v>
      </c>
      <c r="B204" t="str">
        <f>Skills!B2</f>
        <v>Basic Attack</v>
      </c>
      <c r="C204" t="b">
        <f>TRUE</f>
        <v>1</v>
      </c>
      <c r="F204">
        <f>T206+Skills!O2</f>
        <v>537.6</v>
      </c>
      <c r="G204">
        <f>Calc!G2</f>
        <v>5</v>
      </c>
      <c r="H204">
        <f>Calc!H2</f>
        <v>1</v>
      </c>
      <c r="I204">
        <f>IF(Skills!X2&lt;&gt;"",1+(Skills!X2/10)*(Z205/1000)/100,1)</f>
        <v>1</v>
      </c>
      <c r="J204">
        <f>((Inputs!$B$6*(1+Inputs!$B$7/100))+(((Inputs!$B$12*(1+Inputs!$B$13/100))-(Inputs!$B$12*(1+Inputs!$B$13/100)))+0.25*(Inputs!$B$14-Inputs!$B$14))*(1+Inputs!$B$7/100))*(F204/100)</f>
        <v>1941459186.9980164</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6654771392254.9941</v>
      </c>
      <c r="L204">
        <f>K204*(MIN(Inputs!$B$22+(F224-Calc!F22),(Inputs!$B$23+(IF(ArtifactsInput!$M$15,CHOOSE(ArtifactsInput!$N$15+1,25,30,35,40,45,50)/100*(Inputs!$B$11-Inputs!$B$11),0))))/100+(Inputs!$B$23+(IF(ArtifactsInput!$M$15,CHOOSE(ArtifactsInput!$N$15+1,25,30,35,40,45,50)/100*(Inputs!$B$11-Inputs!$B$11),0)))/100)/2</f>
        <v>22127114879247.855</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104417855115170.61</v>
      </c>
      <c r="N204">
        <f>L204*(1-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104417855115170.61</v>
      </c>
      <c r="O204">
        <f>(1-Summary!$B$11)*S204+Summary!$B$11*U204</f>
        <v>1.2578598898429512E+16</v>
      </c>
      <c r="P204">
        <f>IF(B243=0,0,O204/B243)</f>
        <v>0.37819938885449511</v>
      </c>
      <c r="Q204">
        <f>IFERROR(1/(IF(Inputs!$B$38="pvp",15,MAX(0.1,Skills!E2-IF(TRUE=TRUE,Inputs!$B$32,0)))*(1-IF(AND(ArtifactsInput!$M$27,Inputs!$B$4="Chapter Hunt"),CHOOSE(ArtifactsInput!$N$27+1,20,24,28,32,36,40),0)/100)),0)</f>
        <v>10</v>
      </c>
      <c r="R204">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2088449779023331.2</v>
      </c>
      <c r="T204">
        <f>MAX(0,(Inputs!$B$3-100)*3)+Inputs!$B$28+Inputs!$B$29</f>
        <v>185</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2.3068748017835692E+16</v>
      </c>
      <c r="Z204">
        <f>MAX(0,(Inputs!$B$3-100)*3)+Inputs!$B$28+Inputs!$B$29</f>
        <v>185</v>
      </c>
    </row>
    <row r="205" spans="1:26" x14ac:dyDescent="0.2">
      <c r="A205" t="str">
        <f>Skills!A3</f>
        <v>IGNITE</v>
      </c>
      <c r="B205" t="str">
        <f>Skills!B3</f>
        <v>Ignite</v>
      </c>
      <c r="C205" t="b">
        <f>TRUE</f>
        <v>1</v>
      </c>
      <c r="D205">
        <f>IF(Skills!C3=1,60+Inputs!$B$25+Inputs!$B$29,IF(Skills!C3=2,90+Inputs!$B$26+Inputs!$B$29,IF(Skills!C3=3,120+Inputs!$B$27+Inputs!$B$29,MAX(0,(Inputs!$B$3-100)*3)+Inputs!$B$28+Inputs!$B$29)))</f>
        <v>168</v>
      </c>
      <c r="E205">
        <f>INDEX(FactorTable!$B$2:$Y$301, MATCH(ROUND(MIN(300,MAX(1,D205)),0), FactorTable!$A$2:$A$301,0), Skills!M3+1)</f>
        <v>1672</v>
      </c>
      <c r="F205">
        <f>IF(Skills!N3=TRUE,(Skills!L3/10)*(E205/1000),Skills!L3/10)+Skills!O3</f>
        <v>121.736</v>
      </c>
      <c r="G205">
        <f>Calc!G3</f>
        <v>3</v>
      </c>
      <c r="H205">
        <f>Calc!H3</f>
        <v>1</v>
      </c>
      <c r="I205">
        <f>IF(Skills!X3&lt;&gt;"",1+(Skills!X3/10)*(Z205/1000)/100,1)</f>
        <v>4.8250000000000002</v>
      </c>
      <c r="J205">
        <f>((Inputs!$B$6*(1+Inputs!$B$7/100))+(((Inputs!$B$12*(1+Inputs!$B$13/100))-(Inputs!$B$12*(1+Inputs!$B$13/100)))+0.25*(Inputs!$B$14-Inputs!$B$14))*(1+Inputs!$B$7/100))*(F205/100)</f>
        <v>439630720.9605478</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10714067922519.998</v>
      </c>
      <c r="L205">
        <f>K205*(MIN(Inputs!$B$22+(F224-Calc!F22),(Inputs!$B$23+(IF(ArtifactsInput!$M$15,CHOOSE(ArtifactsInput!$N$15+1,25,30,35,40,45,50)/100*(Inputs!$B$11-Inputs!$B$11),0))))/100+(Inputs!$B$23+(IF(ArtifactsInput!$M$15,CHOOSE(ArtifactsInput!$N$15+1,25,30,35,40,45,50)/100*(Inputs!$B$11-Inputs!$B$11),0)))/100)/2</f>
        <v>35624275842378.992</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168110957700186.44</v>
      </c>
      <c r="N205">
        <f>L205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168110957700186.44</v>
      </c>
      <c r="O205">
        <f>(1-Summary!$B$11)*S205+Summary!$B$11*U205</f>
        <v>2922608999617741</v>
      </c>
      <c r="P205">
        <f>IF(B243=0,0,O205/B243)</f>
        <v>8.7873772463965091E-2</v>
      </c>
      <c r="Q205">
        <f>IFERROR(1/(IF(Inputs!$B$38="pvp",15,MAX(0.1,Skills!E3-IF(FALSE=TRUE,Inputs!$B$32,0)))*(1-IF(AND(ArtifactsInput!$M$27,Inputs!$B$4="Chapter Hunt"),CHOOSE(ArtifactsInput!$N$27+1,20,24,28,32,36,40),0)/100)),0)</f>
        <v>1</v>
      </c>
      <c r="R205">
        <f>IF(AND(Inputs!$B$38&lt;&gt;"pvp",Inputs!$B$43&gt;0),IF(MAX(0,Inputs!$B$43-B240)&lt;=0,0,(INT(MAX(0,Inputs!$B$43-B240)/(IF(Inputs!$B$38="pvp",15,MAX(0.1,Skills!E3-IF(FALSE=TRUE,Inputs!$B$32,0)))*(1-IF(AND(ArtifactsInput!$M$27,Inputs!$B$4="Chapter Hunt"),CHOOSE(ArtifactsInput!$N$27+1,20,24,28,32,36,40),0)/100)))+1)),0)</f>
        <v>38</v>
      </c>
      <c r="S205">
        <f>IF(C205,(H205*N205*IF(AND(Inputs!$B$38&lt;&gt;"pvp",Inputs!$B$43&gt;0),((Skills!G3*((R205-1)*IF(Skills!H3&gt;0,Skills!I3/Skills!H3,1)+IF(Skills!H3&gt;0,MIN(Skills!I3,MAX(0,MAX(0,Inputs!$B$43-B240)-((R205-1)*(IF(Inputs!$B$38="pvp",15,MAX(0.1,Skills!E3-IF(FALSE=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1518798447342334.5</v>
      </c>
      <c r="T205">
        <f>INDEX(FactorTable!$B$2:$Y$301, MATCH(ROUND(MIN(300,MAX(1,T204)),0), FactorTable!$A$2:$A$301,0), 22)</f>
        <v>1740</v>
      </c>
      <c r="U205">
        <f>IF(C205,(H205*N205*IF(AND(Inputs!$B$38&lt;&gt;"pvp",Inputs!$B$43&gt;0),((Skills!G3*((R205-1)*IF(Skills!H3&gt;0,Skills!I3/Skills!H3,1)+IF(Skills!H3&gt;0,MIN(Skills!I3,MAX(0,MAX(0,Inputs!$B$43-B240)-((R205-1)*(IF(Inputs!$B$38="pvp",15,MAX(0.1,Skills!E3-IF(FALSE=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4326419551893148</v>
      </c>
      <c r="Z205">
        <f>INDEX(FactorTable!$B$2:$Y$301, MATCH(ROUND(MIN(300,MAX(1,Z204)),0), FactorTable!$A$2:$A$301,0), 24)</f>
        <v>7650</v>
      </c>
    </row>
    <row r="206" spans="1:26" x14ac:dyDescent="0.2">
      <c r="A206" t="str">
        <f>Skills!A4</f>
        <v>POISON_BREATH</v>
      </c>
      <c r="B206" t="str">
        <f>Skills!B4</f>
        <v>Poison Breath</v>
      </c>
      <c r="C206" t="b">
        <f>TRUE</f>
        <v>1</v>
      </c>
      <c r="D206">
        <f>IF(Skills!C4=1,60+Inputs!$B$25+Inputs!$B$29,IF(Skills!C4=2,90+Inputs!$B$26+Inputs!$B$29,IF(Skills!C4=3,120+Inputs!$B$27+Inputs!$B$29,MAX(0,(Inputs!$B$3-100)*3)+Inputs!$B$28+Inputs!$B$29)))</f>
        <v>168</v>
      </c>
      <c r="E206">
        <f>INDEX(FactorTable!$B$2:$Y$301, MATCH(ROUND(MIN(300,MAX(1,D206)),0), FactorTable!$A$2:$A$301,0), Skills!M4+1)</f>
        <v>1840</v>
      </c>
      <c r="F206">
        <f>IF(Skills!N4=TRUE,(Skills!L4/10)*(E206/1000),Skills!L4/10)+Skills!O4</f>
        <v>438</v>
      </c>
      <c r="G206">
        <f>Calc!G4</f>
        <v>3</v>
      </c>
      <c r="H206">
        <f>Calc!H4</f>
        <v>1</v>
      </c>
      <c r="I206">
        <f>IF(Skills!X4&lt;&gt;"",1+(Skills!X4/10)*(Z205/1000)/100,1)</f>
        <v>7.12</v>
      </c>
      <c r="J206">
        <f>((Inputs!$B$6*(1+Inputs!$B$7/100))+(((Inputs!$B$12*(1+Inputs!$B$13/100))-(Inputs!$B$12*(1+Inputs!$B$13/100)))+0.25*(Inputs!$B$14-Inputs!$B$14))*(1+Inputs!$B$7/100))*(F206/100)</f>
        <v>1581769203.69258</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56884265417042.711</v>
      </c>
      <c r="L206">
        <f>K206*(MIN(Inputs!$B$22+(F224-Calc!F22),(Inputs!$B$23+(IF(ArtifactsInput!$M$15,CHOOSE(ArtifactsInput!$N$15+1,25,30,35,40,45,50)/100*(Inputs!$B$11-Inputs!$B$11),0))))/100+(Inputs!$B$23+(IF(ArtifactsInput!$M$15,CHOOSE(ArtifactsInput!$N$15+1,25,30,35,40,45,50)/100*(Inputs!$B$11-Inputs!$B$11),0)))/100)/2</f>
        <v>189140182511667.03</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892552521272556.62</v>
      </c>
      <c r="N206">
        <f>L206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892552521272556.62</v>
      </c>
      <c r="O206">
        <f>(1-Summary!$B$11)*S206+Summary!$B$11*U206</f>
        <v>2131750127994342.5</v>
      </c>
      <c r="P206">
        <f>IF(B243=0,0,O206/B243)</f>
        <v>6.4095103286790758E-2</v>
      </c>
      <c r="Q206">
        <f>IFERROR(1/(IF(Inputs!$B$38="pvp",15,MAX(0.1,Skills!E4-IF(TRUE=TRUE,Inputs!$B$32,0)))*(1-IF(AND(ArtifactsInput!$M$27,Inputs!$B$4="Chapter Hunt"),CHOOSE(ArtifactsInput!$N$27+1,20,24,28,32,36,40),0)/100)),0)</f>
        <v>5.5555555555555552E-2</v>
      </c>
      <c r="R206">
        <f>IF(AND(Inputs!$B$38&lt;&gt;"pvp",Inputs!$B$43&gt;0),IF(MAX(0,Inputs!$B$43-B240)&lt;=0,0,(INT(MAX(0,Inputs!$B$43-B240)/(IF(Inputs!$B$38="pvp",15,MAX(0.1,Skills!E4-IF(TRUE=TRUE,Inputs!$B$32,0)))*(1-IF(AND(ArtifactsInput!$M$27,Inputs!$B$4="Chapter Hunt"),CHOOSE(ArtifactsInput!$N$27+1,20,24,28,32,36,40),0)/100)))+1)),0)</f>
        <v>3</v>
      </c>
      <c r="S206">
        <f>IF(C206,(H206*N206*IF(AND(Inputs!$B$38&lt;&gt;"pvp",Inputs!$B$43&gt;0),((Skills!G4*((R206-1)*IF(Skills!H4&gt;0,Skills!I4/Skills!H4,1)+IF(Skills!H4&gt;0,MIN(Skills!I4,MAX(0,MAX(0,Inputs!$B$43-B240)-((R206-1)*(IF(Inputs!$B$38="pvp",15,MAX(0.1,Skills!E4-IF(TRUE=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636613085797651</v>
      </c>
      <c r="T206">
        <f>290*T205/1000</f>
        <v>504.6</v>
      </c>
      <c r="U206">
        <f>IF(C206,(H206*N206*IF(AND(Inputs!$B$38&lt;&gt;"pvp",Inputs!$B$43&gt;0),((Skills!G4*((R206-1)*IF(Skills!H4&gt;0,Skills!I4/Skills!H4,1)+IF(Skills!H4&gt;0,MIN(Skills!I4,MAX(0,MAX(0,Inputs!$B$43-B240)-((R206-1)*(IF(Inputs!$B$38="pvp",15,MAX(0.1,Skills!E4-IF(TRUE=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3626887170191034</v>
      </c>
    </row>
    <row r="207" spans="1:26" x14ac:dyDescent="0.2">
      <c r="A207" t="str">
        <f>Skills!A5</f>
        <v>ELEMENTAL_DRAIN</v>
      </c>
      <c r="B207" t="str">
        <f>Skills!B5</f>
        <v>Elemental Drain</v>
      </c>
      <c r="C207" t="b">
        <f>TRUE</f>
        <v>1</v>
      </c>
      <c r="D207">
        <f>IF(Skills!C5=1,60+Inputs!$B$25+Inputs!$B$29,IF(Skills!C5=2,90+Inputs!$B$26+Inputs!$B$29,IF(Skills!C5=3,120+Inputs!$B$27+Inputs!$B$29,MAX(0,(Inputs!$B$3-100)*3)+Inputs!$B$28+Inputs!$B$29)))</f>
        <v>168</v>
      </c>
      <c r="E207">
        <f>INDEX(FactorTable!$B$2:$Y$301, MATCH(ROUND(MIN(300,MAX(1,D207)),0), FactorTable!$A$2:$A$301,0), Skills!M5+1)</f>
        <v>1672</v>
      </c>
      <c r="F207">
        <f>IF(Skills!N5=TRUE,(Skills!L5/10)*(E207/1000),Skills!L5/10)+Skills!O5</f>
        <v>20.064</v>
      </c>
      <c r="G207">
        <f>Calc!G5</f>
        <v>5</v>
      </c>
      <c r="H207">
        <f>Calc!H5</f>
        <v>1</v>
      </c>
      <c r="I207">
        <f>IF(Skills!X5&lt;&gt;"",1+(Skills!X5/10)*(Z205/1000)/100,1)</f>
        <v>12.475</v>
      </c>
      <c r="J207">
        <f>((Inputs!$B$6*(1+Inputs!$B$7/100))+(((Inputs!$B$12*(1+Inputs!$B$13/100))-(Inputs!$B$12*(1+Inputs!$B$13/100)))+0.25*(Inputs!$B$14-Inputs!$B$14))*(1+Inputs!$B$7/100))*(F207/100)</f>
        <v>72458030.371890247</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4565581748967.8311</v>
      </c>
      <c r="L207">
        <f>K207*(MIN(Inputs!$B$22+(F224-Calc!F22),(Inputs!$B$23+(IF(ArtifactsInput!$M$15,CHOOSE(ArtifactsInput!$N$15+1,25,30,35,40,45,50)/100*(Inputs!$B$11-Inputs!$B$11),0))))/100+(Inputs!$B$23+(IF(ArtifactsInput!$M$15,CHOOSE(ArtifactsInput!$N$15+1,25,30,35,40,45,50)/100*(Inputs!$B$11-Inputs!$B$11),0)))/100)/2</f>
        <v>15180559315318.039</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71637059408985.812</v>
      </c>
      <c r="N207">
        <f>L207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71637059408985.812</v>
      </c>
      <c r="O207">
        <f>(1-Summary!$B$11)*S207+Summary!$B$11*U207</f>
        <v>1051452939475389.2</v>
      </c>
      <c r="P207">
        <f>IF(B243=0,0,O207/B243)</f>
        <v>3.1613923166633758E-2</v>
      </c>
      <c r="Q207">
        <f>IFERROR(1/(IF(Inputs!$B$38="pvp",15,MAX(0.1,Skills!E5-IF(FALSE=TRUE,Inputs!$B$32,0)))*(1-IF(AND(ArtifactsInput!$M$27,Inputs!$B$4="Chapter Hunt"),CHOOSE(ArtifactsInput!$N$27+1,20,24,28,32,36,40),0)/100)),0)</f>
        <v>1</v>
      </c>
      <c r="R207">
        <f>IF(AND(Inputs!$B$38&lt;&gt;"pvp",Inputs!$B$43&gt;0),IF(MAX(0,Inputs!$B$43-B240)&lt;=0,0,(INT(MAX(0,Inputs!$B$43-B240)/(IF(Inputs!$B$38="pvp",15,MAX(0.1,Skills!E5-IF(FALSE=TRUE,Inputs!$B$32,0)))*(1-IF(AND(ArtifactsInput!$M$27,Inputs!$B$4="Chapter Hunt"),CHOOSE(ArtifactsInput!$N$27+1,20,24,28,32,36,40),0)/100)))+1)),0)</f>
        <v>38</v>
      </c>
      <c r="S207">
        <f>IF(C207,(H207*N207*IF(AND(Inputs!$B$38&lt;&gt;"pvp",Inputs!$B$43&gt;0),((Skills!G5*((R207-1)*IF(Skills!H5&gt;0,Skills!I5/Skills!H5,1)+IF(Skills!H5&gt;0,MIN(Skills!I5,MAX(0,MAX(0,Inputs!$B$43-B240)-((R207-1)*(IF(Inputs!$B$38="pvp",15,MAX(0.1,Skills!E5-IF(FALSE=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1078675022050803.9</v>
      </c>
      <c r="U207">
        <f>IF(C207,(H207*N207*IF(AND(Inputs!$B$38&lt;&gt;"pvp",Inputs!$B$43&gt;0),((Skills!G5*((R207-1)*IF(Skills!H5&gt;0,Skills!I5/Skills!H5,1)+IF(Skills!H5&gt;0,MIN(Skills!I5,MAX(0,MAX(0,Inputs!$B$43-B240)-((R207-1)*(IF(Inputs!$B$38="pvp",15,MAX(0.1,Skills!E5-IF(FALSE=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1024230856899974.6</v>
      </c>
    </row>
    <row r="208" spans="1:26" x14ac:dyDescent="0.2">
      <c r="A208" t="str">
        <f>Skills!A6</f>
        <v>MEDITATION</v>
      </c>
      <c r="B208" t="str">
        <f>Skills!B6</f>
        <v>Meditation</v>
      </c>
      <c r="C208" t="b">
        <f>TRUE</f>
        <v>1</v>
      </c>
      <c r="D208">
        <f>IF(Skills!C6=1,60+Inputs!$B$25+Inputs!$B$29,IF(Skills!C6=2,90+Inputs!$B$26+Inputs!$B$29,IF(Skills!C6=3,120+Inputs!$B$27+Inputs!$B$29,MAX(0,(Inputs!$B$3-100)*3)+Inputs!$B$28+Inputs!$B$29)))</f>
        <v>168</v>
      </c>
      <c r="E208">
        <f>INDEX(FactorTable!$B$2:$Y$301, MATCH(ROUND(MIN(300,MAX(1,D208)),0), FactorTable!$A$2:$A$301,0), Skills!M6+1)</f>
        <v>1672</v>
      </c>
      <c r="F208">
        <f>IF(Skills!N6=TRUE,(Skills!L6/10)*(E208/1000),Skills!L6/10)+Skills!O6</f>
        <v>33.44</v>
      </c>
      <c r="G208">
        <f>Calc!G6</f>
        <v>1</v>
      </c>
      <c r="H208">
        <f>Calc!H6</f>
        <v>1</v>
      </c>
      <c r="I208">
        <f>IF(Skills!X6&lt;&gt;"",1+(Skills!X6/10)*(Z205/1000)/100,1)</f>
        <v>1</v>
      </c>
      <c r="O208">
        <f>(1-Summary!$B$11)*S208+Summary!$B$11*U208</f>
        <v>0</v>
      </c>
      <c r="P208">
        <f>IF(B243=0,0,O208/B243)</f>
        <v>0</v>
      </c>
      <c r="Q208">
        <f>IFERROR(1/(IF(Inputs!$B$38="pvp",15,MAX(0.1,Skills!E6-IF(TRUE=TRUE,Inputs!$B$32,0)))*(1-IF(AND(ArtifactsInput!$M$27,Inputs!$B$4="Chapter Hunt"),CHOOSE(ArtifactsInput!$N$27+1,20,24,28,32,36,40),0)/100)),0)</f>
        <v>3.3333333333333333E-2</v>
      </c>
      <c r="R208">
        <f>IF(AND(Inputs!$B$38&lt;&gt;"pvp",Inputs!$B$43&gt;0),IF(Inputs!$B$43&lt;=0,0,(INT(Inputs!$B$43/(IF(Inputs!$B$38="pvp",15,MAX(0.1,Skills!E6-IF(TRUE=TRUE,Inputs!$B$32,0)))*(1-IF(AND(ArtifactsInput!$M$27,Inputs!$B$4="Chapter Hunt"),CHOOSE(ArtifactsInput!$N$27+1,20,24,28,32,36,40),0)/100)))+1)),0)</f>
        <v>2</v>
      </c>
      <c r="S208">
        <v>0</v>
      </c>
      <c r="U208">
        <v>0</v>
      </c>
    </row>
    <row r="209" spans="1:21" x14ac:dyDescent="0.2">
      <c r="A209" t="str">
        <f>Skills!A7</f>
        <v>POISON_MIST_BURST</v>
      </c>
      <c r="B209" t="str">
        <f>Skills!B7</f>
        <v>Poison Mist (burst)</v>
      </c>
      <c r="C209" t="b">
        <f>TRUE</f>
        <v>1</v>
      </c>
      <c r="D209">
        <f>IF(Skills!C7=1,60+Inputs!$B$25+Inputs!$B$29,IF(Skills!C7=2,90+Inputs!$B$26+Inputs!$B$29,IF(Skills!C7=3,120+Inputs!$B$27+Inputs!$B$29,MAX(0,(Inputs!$B$3-100)*3)+Inputs!$B$28+Inputs!$B$29)))</f>
        <v>184</v>
      </c>
      <c r="E209">
        <f>INDEX(FactorTable!$B$2:$Y$301, MATCH(ROUND(MIN(300,MAX(1,D209)),0), FactorTable!$A$2:$A$301,0), Skills!M7+1)</f>
        <v>1920</v>
      </c>
      <c r="F209">
        <f>IF(Skills!N7=TRUE,(Skills!L7/10)*(E209/1000),Skills!L7/10)+Skills!O7</f>
        <v>357.2</v>
      </c>
      <c r="G209">
        <f>Calc!G7</f>
        <v>3</v>
      </c>
      <c r="H209">
        <f>Calc!H7</f>
        <v>1</v>
      </c>
      <c r="I209">
        <f>IF(Skills!X7&lt;&gt;"",1+(Skills!X7/10)*(Z205/1000)/100,1)</f>
        <v>1.7650000000000001</v>
      </c>
      <c r="J209">
        <f>((Inputs!$B$6*(1+Inputs!$B$7/100))+(((Inputs!$B$12*(1+Inputs!$B$13/100))-(Inputs!$B$12*(1+Inputs!$B$13/100)))+0.25*(Inputs!$B$14-Inputs!$B$14))*(1+Inputs!$B$7/100))*(F209/100)</f>
        <v>1289972510.4086521</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11499903867906.312</v>
      </c>
      <c r="L209">
        <f>K209*(MIN(Inputs!$B$22+(F224-Calc!F22),(Inputs!$B$23+(IF(ArtifactsInput!$M$15,CHOOSE(ArtifactsInput!$N$15+1,25,30,35,40,45,50)/100*(Inputs!$B$11-Inputs!$B$11),0))))/100+(Inputs!$B$23+(IF(ArtifactsInput!$M$15,CHOOSE(ArtifactsInput!$N$15+1,25,30,35,40,45,50)/100*(Inputs!$B$11-Inputs!$B$11),0)))/100)/2</f>
        <v>38237180360788.492</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180441254122560.88</v>
      </c>
      <c r="N209">
        <f>L209*(1-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180441254122560.88</v>
      </c>
      <c r="O209">
        <f>(1-Summary!$B$11)*S209+Summary!$B$11*U209</f>
        <v>450246039349320</v>
      </c>
      <c r="P209">
        <f>IF(B243=0,0,O209/B243)</f>
        <v>1.3537499549121505E-2</v>
      </c>
      <c r="Q209">
        <f>IFERROR(1/(IF(Inputs!$B$38="pvp",15,MAX(0.1,Skills!E7-IF(TRUE=TRUE,Inputs!$B$32,0)))*(1-IF(AND(ArtifactsInput!$M$27,Inputs!$B$4="Chapter Hunt"),CHOOSE(ArtifactsInput!$N$27+1,20,24,28,32,36,40),0)/100)),0)</f>
        <v>4.0816326530612242E-2</v>
      </c>
      <c r="R209">
        <f>IF(AND(Inputs!$B$38&lt;&gt;"pvp",Inputs!$B$43&gt;0),IF(MAX(0,Inputs!$B$43-B240)&lt;=0,0,(INT(MAX(0,Inputs!$B$43-B240)/(IF(Inputs!$B$38="pvp",15,MAX(0.1,Skills!E7-IF(TRUE=TRUE,Inputs!$B$32,0)))*(1-IF(AND(ArtifactsInput!$M$27,Inputs!$B$4="Chapter Hunt"),CHOOSE(ArtifactsInput!$N$27+1,20,24,28,32,36,40),0)/100)))+1)),0)</f>
        <v>2</v>
      </c>
      <c r="S209">
        <f>IF(C209,(H209*N209*IF(AND(Inputs!$B$38&lt;&gt;"pvp",Inputs!$B$43&gt;0),((Skills!G7*((R209-1)*IF(Skills!H7&gt;0,Skills!I7/Skills!H7,1)+IF(Skills!H7&gt;0,MIN(Skills!I7,MAX(0,MAX(0,Inputs!$B$43-B240)-((R209-1)*(IF(Inputs!$B$38="pvp",15,MAX(0.1,Skills!E7-IF(TRUE=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85799816335277.688</v>
      </c>
      <c r="U209">
        <f>IF(C209,(H209*N209*IF(AND(Inputs!$B$38&lt;&gt;"pvp",Inputs!$B$43&gt;0),((Skills!G7*((R209-1)*IF(Skills!H7&gt;0,Skills!I7/Skills!H7,1)+IF(Skills!H7&gt;0,MIN(Skills!I7,MAX(0,MAX(0,Inputs!$B$43-B240)-((R209-1)*(IF(Inputs!$B$38="pvp",15,MAX(0.1,Skills!E7-IF(TRUE=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814692262363362.25</v>
      </c>
    </row>
    <row r="210" spans="1:21" x14ac:dyDescent="0.2">
      <c r="A210" t="str">
        <f>Skills!A8</f>
        <v>POISON_MIST_DOT</v>
      </c>
      <c r="B210" t="str">
        <f>Skills!B8</f>
        <v>Poison Mist (fog DoT)</v>
      </c>
      <c r="C210" t="b">
        <f>TRUE</f>
        <v>1</v>
      </c>
      <c r="D210">
        <f>IF(Skills!C8=1,60+Inputs!$B$25+Inputs!$B$29,IF(Skills!C8=2,90+Inputs!$B$26+Inputs!$B$29,IF(Skills!C8=3,120+Inputs!$B$27+Inputs!$B$29,MAX(0,(Inputs!$B$3-100)*3)+Inputs!$B$28+Inputs!$B$29)))</f>
        <v>184</v>
      </c>
      <c r="E210">
        <f>INDEX(FactorTable!$B$2:$Y$301, MATCH(ROUND(MIN(300,MAX(1,D210)),0), FactorTable!$A$2:$A$301,0), Skills!M8+1)</f>
        <v>1920</v>
      </c>
      <c r="F210">
        <f>IF(Skills!N8=TRUE,(Skills!L8/10)*(E210/1000),Skills!L8/10)+Skills!O8</f>
        <v>134.4</v>
      </c>
      <c r="G210">
        <f>Calc!G8</f>
        <v>50</v>
      </c>
      <c r="H210">
        <f>Calc!H8</f>
        <v>1</v>
      </c>
      <c r="I210">
        <f>IF(Skills!X8&lt;&gt;"",1+(Skills!X8/10)*(Z205/1000)/100,1)</f>
        <v>1.7650000000000001</v>
      </c>
      <c r="J210">
        <f>((Inputs!$B$6*(1+Inputs!$B$7/100))+(((Inputs!$B$12*(1+Inputs!$B$13/100))-(Inputs!$B$12*(1+Inputs!$B$13/100)))+0.25*(Inputs!$B$14-Inputs!$B$14))*(1+Inputs!$B$7/100))*(F210/100)</f>
        <v>485364796.74950409</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4326951511328.6919</v>
      </c>
      <c r="L210">
        <f>K210*(MIN(Inputs!$B$22+(F224-Calc!F22),(Inputs!$B$23+(IF(ArtifactsInput!$M$15,CHOOSE(ArtifactsInput!$N$15+1,25,30,35,40,45,50)/100*(Inputs!$B$11-Inputs!$B$11),0))))/100+(Inputs!$B$23+(IF(ArtifactsInput!$M$15,CHOOSE(ArtifactsInput!$N$15+1,25,30,35,40,45,50)/100*(Inputs!$B$11-Inputs!$B$11),0)))/100)/2</f>
        <v>14387113775167.9</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67892789905017.312</v>
      </c>
      <c r="N210">
        <f>L210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67892789905017.312</v>
      </c>
      <c r="O210">
        <f>(1-Summary!$B$11)*S210+Summary!$B$11*U210</f>
        <v>2339594230434575.5</v>
      </c>
      <c r="P210">
        <f>IF(B243=0,0,O210/B243)</f>
        <v>7.0344329703392813E-2</v>
      </c>
      <c r="Q210">
        <f>IFERROR(1/(IF(Inputs!$B$38="pvp",15,MAX(0.1,Skills!E8-IF(TRUE=TRUE,Inputs!$B$32,0)))*(1-IF(AND(ArtifactsInput!$M$27,Inputs!$B$4="Chapter Hunt"),CHOOSE(ArtifactsInput!$N$27+1,20,24,28,32,36,40),0)/100)),0)</f>
        <v>4.0816326530612242E-2</v>
      </c>
      <c r="R210">
        <f>IF(AND(Inputs!$B$38&lt;&gt;"pvp",Inputs!$B$43&gt;0),IF(MAX(0,Inputs!$B$43-B240)&lt;=0,0,(INT(MAX(0,Inputs!$B$43-B240)/(IF(Inputs!$B$38="pvp",15,MAX(0.1,Skills!E8-IF(TRUE=TRUE,Inputs!$B$32,0)))*(1-IF(AND(ArtifactsInput!$M$27,Inputs!$B$4="Chapter Hunt"),CHOOSE(ArtifactsInput!$N$27+1,20,24,28,32,36,40),0)/100)))+1)),0)</f>
        <v>2</v>
      </c>
      <c r="S210">
        <f>IF(C210,(H210*N210*IF(AND(Inputs!$B$38&lt;&gt;"pvp",Inputs!$B$43&gt;0),((Skills!G8*((R210-1)*IF(Skills!H8&gt;0,Skills!I8/Skills!H8,1)+IF(Skills!H8&gt;0,MIN(Skills!I8,MAX(0,MAX(0,Inputs!$B$43-B240)-((R210-1)*(IF(Inputs!$B$38="pvp",15,MAX(0.1,Skills!E8-IF(TRUE=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445837914666522.69</v>
      </c>
      <c r="U210">
        <f>IF(C210,(H210*N210*IF(AND(Inputs!$B$38&lt;&gt;"pvp",Inputs!$B$43&gt;0),((Skills!G8*((R210-1)*IF(Skills!H8&gt;0,Skills!I8/Skills!H8,1)+IF(Skills!H8&gt;0,MIN(Skills!I8,MAX(0,MAX(0,Inputs!$B$43-B240)-((R210-1)*(IF(Inputs!$B$38="pvp",15,MAX(0.1,Skills!E8-IF(TRUE=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4233350546202628.5</v>
      </c>
    </row>
    <row r="211" spans="1:21" x14ac:dyDescent="0.2">
      <c r="A211" t="str">
        <f>Skills!A9</f>
        <v>MIST_ERUPTION</v>
      </c>
      <c r="B211" t="str">
        <f>Skills!B9</f>
        <v>Mist Eruption</v>
      </c>
      <c r="C211" t="b">
        <f>Inputs!$B$3&gt;=103</f>
        <v>1</v>
      </c>
      <c r="D211">
        <f>IF(Skills!C9=1,60+Inputs!$B$25+Inputs!$B$29,IF(Skills!C9=2,90+Inputs!$B$26+Inputs!$B$29,IF(Skills!C9=3,120+Inputs!$B$27+Inputs!$B$29,MAX(0,(Inputs!$B$3-100)*3)+Inputs!$B$28+Inputs!$B$29)))</f>
        <v>185</v>
      </c>
      <c r="E211">
        <f>INDEX(FactorTable!$B$2:$Y$301, MATCH(ROUND(MIN(300,MAX(1,D211)),0), FactorTable!$A$2:$A$301,0), Skills!M9+1)</f>
        <v>1925</v>
      </c>
      <c r="F211">
        <f>IF(Skills!N9=TRUE,(Skills!L9/10)*(E211/1000),Skills!L9/10)+Skills!O9</f>
        <v>5775</v>
      </c>
      <c r="G211">
        <f>Calc!G9</f>
        <v>2.5</v>
      </c>
      <c r="H211">
        <f>Calc!H9</f>
        <v>1</v>
      </c>
      <c r="I211">
        <f>IF(Skills!X9&lt;&gt;"",1+(Skills!X9/10)*(Z205/1000)/100,1)</f>
        <v>1</v>
      </c>
      <c r="J211">
        <f>((Inputs!$B$6*(1+Inputs!$B$7/100))+(((Inputs!$B$12*(1+Inputs!$B$13/100))-(Inputs!$B$12*(1+Inputs!$B$13/100)))+0.25*(Inputs!$B$14-Inputs!$B$14))*(1+Inputs!$B$7/100))*(F211/100)</f>
        <v>20855518610.330254</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105339205525441.77</v>
      </c>
      <c r="L211">
        <f>K211*(MIN(Inputs!$B$22+(F224-Calc!F22),(Inputs!$B$23+(IF(ArtifactsInput!$M$15,CHOOSE(ArtifactsInput!$N$15+1,25,30,35,40,45,50)/100*(Inputs!$B$11-Inputs!$B$11),0))))/100+(Inputs!$B$23+(IF(ArtifactsInput!$M$15,CHOOSE(ArtifactsInput!$N$15+1,25,30,35,40,45,50)/100*(Inputs!$B$11-Inputs!$B$11),0)))/100)/2</f>
        <v>350252858372093.88</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1652843238657910.8</v>
      </c>
      <c r="N211">
        <f>L211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1652843238657910.8</v>
      </c>
      <c r="O211">
        <f>(1-Summary!$B$11)*S211+Summary!$B$11*U211</f>
        <v>3436880909384293</v>
      </c>
      <c r="P211">
        <f>IF(B243=0,0,O211/B243)</f>
        <v>0.10333633101673267</v>
      </c>
      <c r="Q211">
        <f>IFERROR(1/(IF(Inputs!$B$38="pvp",15,MAX(0.1,Skills!E9-IF(TRUE=TRUE,Inputs!$B$32,0)))*(1-IF(AND(ArtifactsInput!$M$27,Inputs!$B$4="Chapter Hunt"),CHOOSE(ArtifactsInput!$N$27+1,20,24,28,32,36,40),0)/100)),0)</f>
        <v>4.0816326530612242E-2</v>
      </c>
      <c r="R211">
        <f>IF(AND(Inputs!$B$38&lt;&gt;"pvp",Inputs!$B$43&gt;0),IF(MAX(0,Inputs!$B$43-B240)&lt;=0,0,(INT(MAX(0,Inputs!$B$43-B240)/(IF(Inputs!$B$38="pvp",15,MAX(0.1,Skills!E9-IF(TRUE=TRUE,Inputs!$B$32,0)))*(1-IF(AND(ArtifactsInput!$M$27,Inputs!$B$4="Chapter Hunt"),CHOOSE(ArtifactsInput!$N$27+1,20,24,28,32,36,40),0)/100)))+1)),0)</f>
        <v>2</v>
      </c>
      <c r="S211">
        <f>IF(C211,(H211*N211*IF(AND(Inputs!$B$38&lt;&gt;"pvp",Inputs!$B$43&gt;0),((Skills!G9*((R211-1)*IF(Skills!H9&gt;0,Skills!I9/Skills!H9,1)+IF(Skills!H9&gt;0,MIN(Skills!I9,MAX(0,MAX(0,Inputs!$B$43-B240)-((R211-1)*(IF(Inputs!$B$38="pvp",15,MAX(0.1,Skills!E9-IF(TRUE=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654939133318197.12</v>
      </c>
      <c r="U211">
        <f>IF(C211,(H211*N211*IF(AND(Inputs!$B$38&lt;&gt;"pvp",Inputs!$B$43&gt;0),((Skills!G9*((R211-1)*IF(Skills!H9&gt;0,Skills!I9/Skills!H9,1)+IF(Skills!H9&gt;0,MIN(Skills!I9,MAX(0,MAX(0,Inputs!$B$43-B240)-((R211-1)*(IF(Inputs!$B$38="pvp",15,MAX(0.1,Skills!E9-IF(TRUE=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6218822685450389</v>
      </c>
    </row>
    <row r="212" spans="1:21" x14ac:dyDescent="0.2">
      <c r="A212" t="str">
        <f>Skills!A10</f>
        <v>CREEPING_TOXIN</v>
      </c>
      <c r="B212" t="str">
        <f>Skills!B10</f>
        <v>Creeping Toxin</v>
      </c>
      <c r="C212" t="b">
        <f>TRUE</f>
        <v>1</v>
      </c>
      <c r="D212">
        <f>IF(Skills!C10=1,60+Inputs!$B$25+Inputs!$B$29,IF(Skills!C10=2,90+Inputs!$B$26+Inputs!$B$29,IF(Skills!C10=3,120+Inputs!$B$27+Inputs!$B$29,MAX(0,(Inputs!$B$3-100)*3)+Inputs!$B$28+Inputs!$B$29)))</f>
        <v>184</v>
      </c>
      <c r="E212">
        <f>INDEX(FactorTable!$B$2:$Y$301, MATCH(ROUND(MIN(300,MAX(1,D212)),0), FactorTable!$A$2:$A$301,0), Skills!M10+1)</f>
        <v>1920</v>
      </c>
      <c r="F212">
        <f>IF(Skills!N10=TRUE,(Skills!L10/10)*(E212/1000),Skills!L10/10)+Skills!O10</f>
        <v>280.39999999999998</v>
      </c>
      <c r="G212">
        <f>Calc!G10</f>
        <v>15</v>
      </c>
      <c r="H212">
        <f>Calc!H10</f>
        <v>1</v>
      </c>
      <c r="I212">
        <f>IF(Skills!X10&lt;&gt;"",1+(Skills!X10/10)*(Z205/1000)/100,1)</f>
        <v>1.7650000000000001</v>
      </c>
      <c r="J212">
        <f>((Inputs!$B$6*(1+Inputs!$B$7/100))+(((Inputs!$B$12*(1+Inputs!$B$13/100))-(Inputs!$B$12*(1+Inputs!$B$13/100)))+0.25*(Inputs!$B$14-Inputs!$B$14))*(1+Inputs!$B$7/100))*(F212/100)</f>
        <v>1012621197.9803641</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9027360147147.0605</v>
      </c>
      <c r="L212">
        <f>K212*(MIN(Inputs!$B$22+(F224-Calc!F22),(Inputs!$B$23+(IF(ArtifactsInput!$M$15,CHOOSE(ArtifactsInput!$N$15+1,25,30,35,40,45,50)/100*(Inputs!$B$11-Inputs!$B$11),0))))/100+(Inputs!$B$23+(IF(ArtifactsInput!$M$15,CHOOSE(ArtifactsInput!$N$15+1,25,30,35,40,45,50)/100*(Inputs!$B$11-Inputs!$B$11),0)))/100)/2</f>
        <v>30015972489263.977</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141645374176836.69</v>
      </c>
      <c r="N212">
        <f>L212*(1-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141645374176836.69</v>
      </c>
      <c r="O212">
        <f>(1-Summary!$B$11)*S212+Summary!$B$11*U212</f>
        <v>326012640273712.25</v>
      </c>
      <c r="P212">
        <f>IF(B243=0,0,O212/B243)</f>
        <v>9.8021872154419789E-3</v>
      </c>
      <c r="Q212">
        <f>IFERROR(1/(IF(Inputs!$B$38="pvp",15,MAX(0.1,Skills!E10-IF(TRUE=TRUE,Inputs!$B$32,0)))*(1-IF(AND(ArtifactsInput!$M$27,Inputs!$B$4="Chapter Hunt"),CHOOSE(ArtifactsInput!$N$27+1,20,24,28,32,36,40),0)/100)),0)</f>
        <v>3.7037037037037035E-2</v>
      </c>
      <c r="R212">
        <f>IF(AND(Inputs!$B$38&lt;&gt;"pvp",Inputs!$B$43&gt;0),IF(MAX(0,Inputs!$B$43-B240)&lt;=0,0,(INT(MAX(0,Inputs!$B$43-B240)/(IF(Inputs!$B$38="pvp",15,MAX(0.1,Skills!E10-IF(TRUE=TRUE,Inputs!$B$32,0)))*(1-IF(AND(ArtifactsInput!$M$27,Inputs!$B$4="Chapter Hunt"),CHOOSE(ArtifactsInput!$N$27+1,20,24,28,32,36,40),0)/100)))+1)),0)</f>
        <v>2</v>
      </c>
      <c r="S212">
        <f>IF(C212,(H212*N212*IF(AND(Inputs!$B$38&lt;&gt;"pvp",Inputs!$B$43&gt;0),((Skills!G10*((R212-1)*IF(Skills!H10&gt;0,Skills!I10/Skills!H10,1)+IF(Skills!H10&gt;0,MIN(Skills!I10,MAX(0,MAX(0,Inputs!$B$43-B240)-((R212-1)*(IF(Inputs!$B$38="pvp",15,MAX(0.1,Skills!E10-IF(TRUE=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287871885701300.25</v>
      </c>
      <c r="U212">
        <f>IF(C212,(H212*N212*IF(AND(Inputs!$B$38&lt;&gt;"pvp",Inputs!$B$43&gt;0),((Skills!G10*((R212-1)*IF(Skills!H10&gt;0,Skills!I10/Skills!H10,1)+IF(Skills!H10&gt;0,MIN(Skills!I10,MAX(0,MAX(0,Inputs!$B$43-B240)-((R212-1)*(IF(Inputs!$B$38="pvp",15,MAX(0.1,Skills!E10-IF(TRUE=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364153394846124.25</v>
      </c>
    </row>
    <row r="213" spans="1:21" x14ac:dyDescent="0.2">
      <c r="A213" t="str">
        <f>Skills!A11</f>
        <v>BURNING_MAGIC</v>
      </c>
      <c r="B213" t="str">
        <f>Skills!B11</f>
        <v>Burning Magic</v>
      </c>
      <c r="C213" t="b">
        <f>TRUE</f>
        <v>1</v>
      </c>
      <c r="D213">
        <f>IF(Skills!C11=1,60+Inputs!$B$25+Inputs!$B$29,IF(Skills!C11=2,90+Inputs!$B$26+Inputs!$B$29,IF(Skills!C11=3,120+Inputs!$B$27+Inputs!$B$29,MAX(0,(Inputs!$B$3-100)*3)+Inputs!$B$28+Inputs!$B$29)))</f>
        <v>184</v>
      </c>
      <c r="E213">
        <f>INDEX(FactorTable!$B$2:$Y$301, MATCH(ROUND(MIN(300,MAX(1,D213)),0), FactorTable!$A$2:$A$301,0), Skills!M11+1)</f>
        <v>0</v>
      </c>
      <c r="F213">
        <f>IF(Skills!N11=TRUE,(Skills!L11/10)*(E213/1000),Skills!L11/10)+Skills!O11</f>
        <v>5</v>
      </c>
      <c r="G213">
        <f>Calc!G11</f>
        <v>1</v>
      </c>
      <c r="H213">
        <f>Calc!H11</f>
        <v>1</v>
      </c>
      <c r="I213">
        <f>IF(Skills!X11&lt;&gt;"",1+(Skills!X11/10)*(Z205/1000)/100,1)</f>
        <v>1</v>
      </c>
      <c r="O213">
        <f>(1-Summary!$B$11)*S213+Summary!$B$11*U213</f>
        <v>0</v>
      </c>
      <c r="P213">
        <f>IF(B243=0,0,O213/B243)</f>
        <v>0</v>
      </c>
      <c r="Q213">
        <f>IFERROR(1/(IF(Inputs!$B$38="pvp",15,MAX(0.1,Skills!E11-IF(TRUE=TRUE,Inputs!$B$32,0)))*(1-IF(AND(ArtifactsInput!$M$27,Inputs!$B$4="Chapter Hunt"),CHOOSE(ArtifactsInput!$N$27+1,20,24,28,32,36,40),0)/100)),0)</f>
        <v>10</v>
      </c>
      <c r="R213">
        <v>0</v>
      </c>
      <c r="S213">
        <v>0</v>
      </c>
      <c r="U213">
        <v>0</v>
      </c>
    </row>
    <row r="214" spans="1:21" x14ac:dyDescent="0.2">
      <c r="A214" t="str">
        <f>Skills!A12</f>
        <v>ELEMENTAL_DECREASE</v>
      </c>
      <c r="B214" t="str">
        <f>Skills!B12</f>
        <v>Elemental Decrease</v>
      </c>
      <c r="C214" t="b">
        <f>TRUE</f>
        <v>1</v>
      </c>
      <c r="D214">
        <f>IF(Skills!C12=1,60+Inputs!$B$25+Inputs!$B$29,IF(Skills!C12=2,90+Inputs!$B$26+Inputs!$B$29,IF(Skills!C12=3,120+Inputs!$B$27+Inputs!$B$29,MAX(0,(Inputs!$B$3-100)*3)+Inputs!$B$28+Inputs!$B$29)))</f>
        <v>184</v>
      </c>
      <c r="E214">
        <f>INDEX(FactorTable!$B$2:$Y$301, MATCH(ROUND(MIN(300,MAX(1,D214)),0), FactorTable!$A$2:$A$301,0), Skills!M12+1)</f>
        <v>1552</v>
      </c>
      <c r="F214">
        <f>IF(Skills!N12=TRUE,(Skills!L12/10)*(E214/1000),Skills!L12/10)+Skills!O12</f>
        <v>18.624000000000002</v>
      </c>
      <c r="G214">
        <f>Calc!G12</f>
        <v>1</v>
      </c>
      <c r="H214">
        <f>Calc!H12</f>
        <v>0.5</v>
      </c>
      <c r="I214">
        <f>IF(Skills!X12&lt;&gt;"",1+(Skills!X12/10)*(Z205/1000)/100,1)</f>
        <v>1</v>
      </c>
      <c r="O214">
        <f>(1-Summary!$B$11)*S214+Summary!$B$11*U214</f>
        <v>0</v>
      </c>
      <c r="P214">
        <f>IF(B243=0,0,O214/B243)</f>
        <v>0</v>
      </c>
      <c r="Q214">
        <f>IFERROR(1/(IF(Inputs!$B$38="pvp",15,MAX(0.1,Skills!E12-IF(TRUE=TRUE,Inputs!$B$32,0)))*(1-IF(AND(ArtifactsInput!$M$27,Inputs!$B$4="Chapter Hunt"),CHOOSE(ArtifactsInput!$N$27+1,20,24,28,32,36,40),0)/100)),0)</f>
        <v>10</v>
      </c>
      <c r="R214">
        <v>0</v>
      </c>
      <c r="S214">
        <v>0</v>
      </c>
      <c r="U214">
        <v>0</v>
      </c>
    </row>
    <row r="215" spans="1:21" x14ac:dyDescent="0.2">
      <c r="A215" t="str">
        <f>Skills!A13</f>
        <v>METEOR_SHOWER_BURST</v>
      </c>
      <c r="B215" t="str">
        <f>Skills!B13</f>
        <v>Meteor Shower (burst)</v>
      </c>
      <c r="C215" t="b">
        <f>Inputs!$B$3&gt;=105</f>
        <v>1</v>
      </c>
      <c r="D215">
        <f>IF(Skills!C13=1,60+Inputs!$B$25+Inputs!$B$29,IF(Skills!C13=2,90+Inputs!$B$26+Inputs!$B$29,IF(Skills!C13=3,120+Inputs!$B$27+Inputs!$B$29,MAX(0,(Inputs!$B$3-100)*3)+Inputs!$B$28+Inputs!$B$29)))</f>
        <v>185</v>
      </c>
      <c r="E215">
        <f>INDEX(FactorTable!$B$2:$Y$301, MATCH(ROUND(MIN(300,MAX(1,D215)),0), FactorTable!$A$2:$A$301,0), Skills!M13+1)</f>
        <v>1925</v>
      </c>
      <c r="F215">
        <f>IF(Skills!N13=TRUE,(Skills!L13/10)*(E215/1000),Skills!L13/10)+Skills!O13</f>
        <v>1155</v>
      </c>
      <c r="G215">
        <f>Calc!G13</f>
        <v>9</v>
      </c>
      <c r="H215">
        <f>Calc!H13</f>
        <v>1</v>
      </c>
      <c r="I215">
        <f>IF(Skills!X13&lt;&gt;"",1+(Skills!X13/10)*(Z205/1000)/100,1)</f>
        <v>1</v>
      </c>
      <c r="J215">
        <f>((Inputs!$B$6*(1+Inputs!$B$7/100))+(((Inputs!$B$12*(1+Inputs!$B$13/100))-(Inputs!$B$12*(1+Inputs!$B$13/100)))+0.25*(Inputs!$B$14-Inputs!$B$14))*(1+Inputs!$B$7/100))*(F215/100)</f>
        <v>4171103722.0660505</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21067841105088.348</v>
      </c>
      <c r="L215">
        <f>K215*(MIN(Inputs!$B$22+(F224-Calc!F22),(Inputs!$B$23+(IF(ArtifactsInput!$M$15,CHOOSE(ArtifactsInput!$N$15+1,25,30,35,40,45,50)/100*(Inputs!$B$11-Inputs!$B$11),0))))/100+(Inputs!$B$23+(IF(ArtifactsInput!$M$15,CHOOSE(ArtifactsInput!$N$15+1,25,30,35,40,45,50)/100*(Inputs!$B$11-Inputs!$B$11),0)))/100)/2</f>
        <v>70050571674418.758</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330568647731582.06</v>
      </c>
      <c r="N215">
        <f>L215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330568647731582.06</v>
      </c>
      <c r="O215">
        <f>(1-Summary!$B$11)*S215+Summary!$B$11*U215</f>
        <v>1802921404728048.8</v>
      </c>
      <c r="P215">
        <f>IF(B243=0,0,O215/B243)</f>
        <v>5.4208245204954368E-2</v>
      </c>
      <c r="Q215">
        <f>IFERROR(1/(IF(Inputs!$B$38="pvp",15,MAX(0.1,Skills!E13-IF(TRUE=TRUE,Inputs!$B$32,0)))*(1-IF(AND(ArtifactsInput!$M$27,Inputs!$B$4="Chapter Hunt"),CHOOSE(ArtifactsInput!$N$27+1,20,24,28,32,36,40),0)/100)),0)</f>
        <v>3.0303030303030304E-2</v>
      </c>
      <c r="R215">
        <f>IF(AND(Inputs!$B$38&lt;&gt;"pvp",Inputs!$B$43&gt;0),IF(MAX(0,Inputs!$B$43-B240)&lt;=0,0,(INT(MAX(0,Inputs!$B$43-B240)/(IF(Inputs!$B$38="pvp",15,MAX(0.1,Skills!E13-IF(TRUE=TRUE,Inputs!$B$32,0)))*(1-IF(AND(ArtifactsInput!$M$27,Inputs!$B$4="Chapter Hunt"),CHOOSE(ArtifactsInput!$N$27+1,20,24,28,32,36,40),0)/100)))+1)),0)</f>
        <v>2</v>
      </c>
      <c r="S215">
        <f>IF(C215,(H215*N215*IF(AND(Inputs!$B$38&lt;&gt;"pvp",Inputs!$B$43&gt;0),((Skills!G13*((R215-1)*IF(Skills!H13&gt;0,Skills!I13/Skills!H13,1)+IF(Skills!H13&gt;0,MIN(Skills!I13,MAX(0,MAX(0,Inputs!$B$43-B240)-((R215-1)*(IF(Inputs!$B$38="pvp",15,MAX(0.1,Skills!E13-IF(TRUE=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471556175989101.81</v>
      </c>
      <c r="U215">
        <f>IF(C215,(H215*N215*IF(AND(Inputs!$B$38&lt;&gt;"pvp",Inputs!$B$43&gt;0),((Skills!G13*((R215-1)*IF(Skills!H13&gt;0,Skills!I13/Skills!H13,1)+IF(Skills!H13&gt;0,MIN(Skills!I13,MAX(0,MAX(0,Inputs!$B$43-B240)-((R215-1)*(IF(Inputs!$B$38="pvp",15,MAX(0.1,Skills!E13-IF(TRUE=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3134286633466995.5</v>
      </c>
    </row>
    <row r="216" spans="1:21" x14ac:dyDescent="0.2">
      <c r="A216" t="str">
        <f>Skills!A14</f>
        <v>METEOR_PROC</v>
      </c>
      <c r="B216" t="str">
        <f>Skills!B14</f>
        <v>Meteor Proc (30% on-hit, 1s ICD)</v>
      </c>
      <c r="C216" t="b">
        <f>Inputs!$B$3&gt;=113</f>
        <v>1</v>
      </c>
      <c r="D216">
        <f>IF(Skills!C14=1,60+Inputs!$B$25+Inputs!$B$29,IF(Skills!C14=2,90+Inputs!$B$26+Inputs!$B$29,IF(Skills!C14=3,120+Inputs!$B$27+Inputs!$B$29,MAX(0,(Inputs!$B$3-100)*3)+Inputs!$B$28+Inputs!$B$29)))</f>
        <v>185</v>
      </c>
      <c r="E216">
        <f>INDEX(FactorTable!$B$2:$Y$301, MATCH(ROUND(MIN(300,MAX(1,D216)),0), FactorTable!$A$2:$A$301,0), Skills!M14+1)</f>
        <v>1740</v>
      </c>
      <c r="F216">
        <f>IF(Skills!N14=TRUE,(Skills!L14/10)*(E216/1000),Skills!L14/10)+Skills!O14</f>
        <v>1653</v>
      </c>
      <c r="G216">
        <f>Calc!G14</f>
        <v>0</v>
      </c>
      <c r="H216">
        <f>Calc!H14</f>
        <v>0.30000000000000004</v>
      </c>
      <c r="I216">
        <f>IF(Skills!X14&lt;&gt;"",1+(Skills!X14/10)*(Z205/1000)/100,1)</f>
        <v>1</v>
      </c>
      <c r="J216">
        <f>((Inputs!$B$6*(1+Inputs!$B$7/100))+(((Inputs!$B$12*(1+Inputs!$B$13/100))-(Inputs!$B$12*(1+Inputs!$B$13/100)))+0.25*(Inputs!$B$14-Inputs!$B$14))*(1+Inputs!$B$7/100))*(F216/100)</f>
        <v>5969553638.5932312</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30151637529619.949</v>
      </c>
      <c r="L216">
        <f>K216*(MIN(Inputs!$B$22+(F224-Calc!F22),(Inputs!$B$23+(IF(ArtifactsInput!$M$15,CHOOSE(ArtifactsInput!$N$15+1,25,30,35,40,45,50)/100*(Inputs!$B$11-Inputs!$B$11),0))))/100+(Inputs!$B$23+(IF(ArtifactsInput!$M$15,CHOOSE(ArtifactsInput!$N$15+1,25,30,35,40,45,50)/100*(Inputs!$B$11-Inputs!$B$11),0)))/100)/2</f>
        <v>100254194785986.34</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473099545195069.5</v>
      </c>
      <c r="N216">
        <f>L216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473099545195069.5</v>
      </c>
      <c r="O216">
        <f>(1-Summary!$B$11)*S216+Summary!$B$11*U216</f>
        <v>463660583989451.62</v>
      </c>
      <c r="P216">
        <f>IF(B243=0,0,O216/B243)</f>
        <v>1.3940833229257578E-2</v>
      </c>
      <c r="Q216">
        <f>IFERROR(1/(IF(Inputs!$B$38="pvp",15,MAX(0.1,Skills!E14-IF(TRUE=TRUE,Inputs!$B$32,0)))*(1-IF(AND(ArtifactsInput!$M$27,Inputs!$B$4="Chapter Hunt"),CHOOSE(ArtifactsInput!$N$27+1,20,24,28,32,36,40),0)/100)),0)</f>
        <v>10</v>
      </c>
      <c r="R216">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475664741503741.62</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451656426475161.62</v>
      </c>
    </row>
    <row r="217" spans="1:21" x14ac:dyDescent="0.2">
      <c r="A217" t="str">
        <f>Skills!A15</f>
        <v>FLAME_HAZE_BURST</v>
      </c>
      <c r="B217" t="str">
        <f>Skills!B15</f>
        <v>Flame Haze (burst)</v>
      </c>
      <c r="C217" t="b">
        <f>Inputs!$B$3&gt;=107</f>
        <v>1</v>
      </c>
      <c r="D217">
        <f>IF(Skills!C15=1,60+Inputs!$B$25+Inputs!$B$29,IF(Skills!C15=2,90+Inputs!$B$26+Inputs!$B$29,IF(Skills!C15=3,120+Inputs!$B$27+Inputs!$B$29,MAX(0,(Inputs!$B$3-100)*3)+Inputs!$B$28+Inputs!$B$29)))</f>
        <v>185</v>
      </c>
      <c r="E217">
        <f>INDEX(FactorTable!$B$2:$Y$301, MATCH(ROUND(MIN(300,MAX(1,D217)),0), FactorTable!$A$2:$A$301,0), Skills!M15+1)</f>
        <v>1925</v>
      </c>
      <c r="F217">
        <f>IF(Skills!N15=TRUE,(Skills!L15/10)*(E217/1000),Skills!L15/10)+Skills!O15</f>
        <v>2310</v>
      </c>
      <c r="G217">
        <f>Calc!G15</f>
        <v>3</v>
      </c>
      <c r="H217">
        <f>Calc!H15</f>
        <v>1</v>
      </c>
      <c r="I217">
        <f>IF(Skills!X15&lt;&gt;"",1+(Skills!X15/10)*(Z205/1000)/100,1)</f>
        <v>1</v>
      </c>
      <c r="J217">
        <f>((Inputs!$B$6*(1+Inputs!$B$7/100))+(((Inputs!$B$12*(1+Inputs!$B$13/100))-(Inputs!$B$12*(1+Inputs!$B$13/100)))+0.25*(Inputs!$B$14-Inputs!$B$14))*(1+Inputs!$B$7/100))*(F217/100)</f>
        <v>8342207444.1321011</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42135682210176.695</v>
      </c>
      <c r="L217">
        <f>K217*(MIN(Inputs!$B$22+(F224-Calc!F22),(Inputs!$B$23+(IF(ArtifactsInput!$M$15,CHOOSE(ArtifactsInput!$N$15+1,25,30,35,40,45,50)/100*(Inputs!$B$11-Inputs!$B$11),0))))/100+(Inputs!$B$23+(IF(ArtifactsInput!$M$15,CHOOSE(ArtifactsInput!$N$15+1,25,30,35,40,45,50)/100*(Inputs!$B$11-Inputs!$B$11),0)))/100)/2</f>
        <v>140101143348837.52</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661137295463164.12</v>
      </c>
      <c r="N217">
        <f>L217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661137295463164.12</v>
      </c>
      <c r="O217">
        <f>(1-Summary!$B$11)*S217+Summary!$B$11*U217</f>
        <v>1649702836504460</v>
      </c>
      <c r="P217">
        <f>IF(B243=0,0,O217/B243)</f>
        <v>4.960143888803166E-2</v>
      </c>
      <c r="Q217">
        <f>IFERROR(1/(IF(Inputs!$B$38="pvp",15,MAX(0.1,Skills!E15-IF(TRUE=TRUE,Inputs!$B$32,0)))*(1-IF(AND(ArtifactsInput!$M$27,Inputs!$B$4="Chapter Hunt"),CHOOSE(ArtifactsInput!$N$27+1,20,24,28,32,36,40),0)/100)),0)</f>
        <v>0.04</v>
      </c>
      <c r="R217">
        <f>IF(AND(Inputs!$B$38&lt;&gt;"pvp",Inputs!$B$43&gt;0),IF(MAX(0,Inputs!$B$43-B240)&lt;=0,0,(INT(MAX(0,Inputs!$B$43-B240)/(IF(Inputs!$B$38="pvp",15,MAX(0.1,Skills!E15-IF(TRUE=TRUE,Inputs!$B$32,0)))*(1-IF(AND(ArtifactsInput!$M$27,Inputs!$B$4="Chapter Hunt"),CHOOSE(ArtifactsInput!$N$27+1,20,24,28,32,36,40),0)/100)))+1)),0)</f>
        <v>2</v>
      </c>
      <c r="S217">
        <f>IF(C217,(H217*N217*IF(AND(Inputs!$B$38&lt;&gt;"pvp",Inputs!$B$43&gt;0),((Skills!G15*((R217-1)*IF(Skills!H15&gt;0,Skills!I15/Skills!H15,1)+IF(Skills!H15&gt;0,MIN(Skills!I15,MAX(0,MAX(0,Inputs!$B$43-B240)-((R217-1)*(IF(Inputs!$B$38="pvp",15,MAX(0.1,Skills!E15-IF(TRUE=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314370783992734.5</v>
      </c>
      <c r="U217">
        <f>IF(C217,(H217*N217*IF(AND(Inputs!$B$38&lt;&gt;"pvp",Inputs!$B$43&gt;0),((Skills!G15*((R217-1)*IF(Skills!H15&gt;0,Skills!I15/Skills!H15,1)+IF(Skills!H15&gt;0,MIN(Skills!I15,MAX(0,MAX(0,Inputs!$B$43-B240)-((R217-1)*(IF(Inputs!$B$38="pvp",15,MAX(0.1,Skills!E15-IF(TRUE=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2985034889016185.5</v>
      </c>
    </row>
    <row r="218" spans="1:21" x14ac:dyDescent="0.2">
      <c r="A218" t="str">
        <f>Skills!A16</f>
        <v>FLAME_HAZE_DOT</v>
      </c>
      <c r="B218" t="str">
        <f>Skills!B16</f>
        <v>Flame Haze (burn DoT)</v>
      </c>
      <c r="C218" t="b">
        <f>Inputs!$B$3&gt;=107</f>
        <v>1</v>
      </c>
      <c r="D218">
        <f>IF(Skills!C16=1,60+Inputs!$B$25+Inputs!$B$29,IF(Skills!C16=2,90+Inputs!$B$26+Inputs!$B$29,IF(Skills!C16=3,120+Inputs!$B$27+Inputs!$B$29,MAX(0,(Inputs!$B$3-100)*3)+Inputs!$B$28+Inputs!$B$29)))</f>
        <v>185</v>
      </c>
      <c r="E218">
        <f>INDEX(FactorTable!$B$2:$Y$301, MATCH(ROUND(MIN(300,MAX(1,D218)),0), FactorTable!$A$2:$A$301,0), Skills!M16+1)</f>
        <v>1925</v>
      </c>
      <c r="F218">
        <f>IF(Skills!N16=TRUE,(Skills!L16/10)*(E218/1000),Skills!L16/10)+Skills!O16</f>
        <v>288.75</v>
      </c>
      <c r="G218">
        <f>Calc!G16</f>
        <v>30</v>
      </c>
      <c r="H218">
        <f>Calc!H16</f>
        <v>1</v>
      </c>
      <c r="I218">
        <f>IF(Skills!X16&lt;&gt;"",1+(Skills!X16/10)*(Z205/1000)/100,1)</f>
        <v>1</v>
      </c>
      <c r="J218">
        <f>((Inputs!$B$6*(1+Inputs!$B$7/100))+(((Inputs!$B$12*(1+Inputs!$B$13/100))-(Inputs!$B$12*(1+Inputs!$B$13/100)))+0.25*(Inputs!$B$14-Inputs!$B$14))*(1+Inputs!$B$7/100))*(F218/100)</f>
        <v>1042775930.5165126</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5266960276272.0869</v>
      </c>
      <c r="L218">
        <f>K218*(MIN(Inputs!$B$22+(F224-Calc!F22),(Inputs!$B$23+(IF(ArtifactsInput!$M$15,CHOOSE(ArtifactsInput!$N$15+1,25,30,35,40,45,50)/100*(Inputs!$B$11-Inputs!$B$11),0))))/100+(Inputs!$B$23+(IF(ArtifactsInput!$M$15,CHOOSE(ArtifactsInput!$N$15+1,25,30,35,40,45,50)/100*(Inputs!$B$11-Inputs!$B$11),0)))/100)/2</f>
        <v>17512642918604.689</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82642161932895.516</v>
      </c>
      <c r="N218">
        <f>L218*(1-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82642161932895.516</v>
      </c>
      <c r="O218">
        <f>(1-Summary!$B$11)*S218+Summary!$B$11*U218</f>
        <v>1900230682720943.5</v>
      </c>
      <c r="P218">
        <f>IF(B243=0,0,O218/B243)</f>
        <v>5.713403286731316E-2</v>
      </c>
      <c r="Q218">
        <f>IFERROR(1/(IF(Inputs!$B$38="pvp",15,MAX(0.1,Skills!E16-IF(TRUE=TRUE,Inputs!$B$32,0)))*(1-IF(AND(ArtifactsInput!$M$27,Inputs!$B$4="Chapter Hunt"),CHOOSE(ArtifactsInput!$N$27+1,20,24,28,32,36,40),0)/100)),0)</f>
        <v>0.04</v>
      </c>
      <c r="R218">
        <f>IF(AND(Inputs!$B$38&lt;&gt;"pvp",Inputs!$B$43&gt;0),IF(MAX(0,Inputs!$B$43-B240)&lt;=0,0,(INT(MAX(0,Inputs!$B$43-B240)/(IF(Inputs!$B$38="pvp",15,MAX(0.1,Skills!E16-IF(TRUE=TRUE,Inputs!$B$32,0)))*(1-IF(AND(ArtifactsInput!$M$27,Inputs!$B$4="Chapter Hunt"),CHOOSE(ArtifactsInput!$N$27+1,20,24,28,32,36,40),0)/100)))+1)),0)</f>
        <v>2</v>
      </c>
      <c r="S218">
        <f>IF(C218,(H218*N218*IF(AND(Inputs!$B$38&lt;&gt;"pvp",Inputs!$B$43&gt;0),((Skills!G16*((R218-1)*IF(Skills!H16&gt;0,Skills!I16/Skills!H16,1)+IF(Skills!H16&gt;0,MIN(Skills!I16,MAX(0,MAX(0,Inputs!$B$43-B240)-((R218-1)*(IF(Inputs!$B$38="pvp",15,MAX(0.1,Skills!E16-IF(TRUE=TRUE,Inputs!$B$32,0)))*(1-IF(AND(ArtifactsInput!$M$27,Inputs!$B$4="Chapter Hunt"),CHOOSE(ArtifactsInput!$N$27+1,20,24,28,32,36,40),0)/100)))))/Skills!H16,1)))/Inputs!$B$43),G218*Q218)*(1+IF(Inputs!$B$3&gt;=126,0.05*(B238+Q215+(H216*B239)/(1+Skills!H14*H216*B239)+Q226),0)*(1/Q217)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362111888441562.44</v>
      </c>
      <c r="U218">
        <f>IF(C218,(H218*N218*IF(AND(Inputs!$B$38&lt;&gt;"pvp",Inputs!$B$43&gt;0),((Skills!G16*((R218-1)*IF(Skills!H16&gt;0,Skills!I16/Skills!H16,1)+IF(Skills!H16&gt;0,MIN(Skills!I16,MAX(0,MAX(0,Inputs!$B$43-B240)-((R218-1)*(IF(Inputs!$B$38="pvp",15,MAX(0.1,Skills!E16-IF(TRUE=TRUE,Inputs!$B$32,0)))*(1-IF(AND(ArtifactsInput!$M$27,Inputs!$B$4="Chapter Hunt"),CHOOSE(ArtifactsInput!$N$27+1,20,24,28,32,36,40),0)/100)))))/Skills!H16,1)))/Inputs!$B$43),G218*Q218)*(1+IF(Inputs!$B$3&gt;=126,0.05*(B238+Q215+(H216*B239)/(1+Skills!H14*H216*B239)+Q226),0)*(1/Q217)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3438349477000324.5</v>
      </c>
    </row>
    <row r="219" spans="1:21" x14ac:dyDescent="0.2">
      <c r="A219" t="str">
        <f>Skills!A17</f>
        <v>MAGIC_GUARD</v>
      </c>
      <c r="B219" t="str">
        <f>Skills!B17</f>
        <v>Magic Guard</v>
      </c>
      <c r="C219" t="b">
        <f>TRUE</f>
        <v>1</v>
      </c>
      <c r="D219">
        <f>IF(Skills!C17=1,60+Inputs!$B$25+Inputs!$B$29,IF(Skills!C17=2,90+Inputs!$B$26+Inputs!$B$29,IF(Skills!C17=3,120+Inputs!$B$27+Inputs!$B$29,MAX(0,(Inputs!$B$3-100)*3)+Inputs!$B$28+Inputs!$B$29)))</f>
        <v>127</v>
      </c>
      <c r="E219">
        <f>INDEX(FactorTable!$B$2:$Y$301, MATCH(ROUND(MIN(300,MAX(1,D219)),0), FactorTable!$A$2:$A$301,0), Skills!M17+1)</f>
        <v>1508</v>
      </c>
      <c r="F219">
        <f>IF(Skills!N17=TRUE,(Skills!L17/10)*(E219/1000),Skills!L17/10)+Skills!O17</f>
        <v>18.096</v>
      </c>
      <c r="G219">
        <f>Calc!G17</f>
        <v>1</v>
      </c>
      <c r="H219">
        <f>Calc!H17</f>
        <v>1</v>
      </c>
      <c r="I219">
        <f>IF(Skills!X17&lt;&gt;"",1+(Skills!X17/10)*(Z205/1000)/100,1)</f>
        <v>1</v>
      </c>
      <c r="O219">
        <f>(1-Summary!$B$11)*S219+Summary!$B$11*U219</f>
        <v>0</v>
      </c>
      <c r="P219">
        <f>IF(B243=0,0,O219/B243)</f>
        <v>0</v>
      </c>
      <c r="Q219">
        <f>IFERROR(1/(IF(Inputs!$B$38="pvp",15,MAX(0.1,Skills!E17-IF(TRUE=TRUE,Inputs!$B$32,0)))*(1-IF(AND(ArtifactsInput!$M$27,Inputs!$B$4="Chapter Hunt"),CHOOSE(ArtifactsInput!$N$27+1,20,24,28,32,36,40),0)/100)),0)</f>
        <v>4.7619047619047616E-2</v>
      </c>
      <c r="R219">
        <f>IF(AND(Inputs!$B$38&lt;&gt;"pvp",Inputs!$B$43&gt;0),IF(Inputs!$B$43&lt;=0,0,(INT(Inputs!$B$43/(IF(Inputs!$B$38="pvp",15,MAX(0.1,Skills!E17-IF(TRUE=TRUE,Inputs!$B$32,0)))*(1-IF(AND(ArtifactsInput!$M$27,Inputs!$B$4="Chapter Hunt"),CHOOSE(ArtifactsInput!$N$27+1,20,24,28,32,36,40),0)/100)))+1)),0)</f>
        <v>2</v>
      </c>
      <c r="S219">
        <v>0</v>
      </c>
      <c r="U219">
        <v>0</v>
      </c>
    </row>
    <row r="220" spans="1:21" x14ac:dyDescent="0.2">
      <c r="A220" t="str">
        <f>Skills!A18</f>
        <v>NIMBLE_FEET</v>
      </c>
      <c r="B220" t="str">
        <f>Skills!B18</f>
        <v>Nimble Feet</v>
      </c>
      <c r="C220" t="b">
        <f>TRUE</f>
        <v>1</v>
      </c>
      <c r="D220">
        <f>IF(Skills!C18=1,60+Inputs!$B$25+Inputs!$B$29,IF(Skills!C18=2,90+Inputs!$B$26+Inputs!$B$29,IF(Skills!C18=3,120+Inputs!$B$27+Inputs!$B$29,MAX(0,(Inputs!$B$3-100)*3)+Inputs!$B$28+Inputs!$B$29)))</f>
        <v>127</v>
      </c>
      <c r="E220">
        <f>INDEX(FactorTable!$B$2:$Y$301, MATCH(ROUND(MIN(300,MAX(1,D220)),0), FactorTable!$A$2:$A$301,0), Skills!M18+1)</f>
        <v>0</v>
      </c>
      <c r="F220">
        <f>IF(Skills!N18=TRUE,(Skills!L18/10)*(E220/1000),Skills!L18/10)+Skills!O18</f>
        <v>15</v>
      </c>
      <c r="G220">
        <f>Calc!G18</f>
        <v>1</v>
      </c>
      <c r="H220">
        <f>Calc!H18</f>
        <v>1</v>
      </c>
      <c r="I220">
        <f>IF(Skills!X18&lt;&gt;"",1+(Skills!X18/10)*(Z205/1000)/100,1)</f>
        <v>1</v>
      </c>
      <c r="O220">
        <f>(1-Summary!$B$11)*S220+Summary!$B$11*U220</f>
        <v>0</v>
      </c>
      <c r="P220">
        <f>IF(B243=0,0,O220/B243)</f>
        <v>0</v>
      </c>
      <c r="Q220">
        <f>IFERROR(1/(IF(Inputs!$B$38="pvp",15,MAX(0.1,Skills!E18-IF(TRUE=TRUE,Inputs!$B$32,0)))*(1-IF(AND(ArtifactsInput!$M$27,Inputs!$B$4="Chapter Hunt"),CHOOSE(ArtifactsInput!$N$27+1,20,24,28,32,36,40),0)/100)),0)</f>
        <v>1.6666666666666666E-2</v>
      </c>
      <c r="R220">
        <f>IF(AND(Inputs!$B$38&lt;&gt;"pvp",Inputs!$B$43&gt;0),IF(Inputs!$B$43&lt;=0,0,(INT(Inputs!$B$43/(IF(Inputs!$B$38="pvp",15,MAX(0.1,Skills!E18-IF(TRUE=TRUE,Inputs!$B$32,0)))*(1-IF(AND(ArtifactsInput!$M$27,Inputs!$B$4="Chapter Hunt"),CHOOSE(ArtifactsInput!$N$27+1,20,24,28,32,36,40),0)/100)))+1)),0)</f>
        <v>1</v>
      </c>
      <c r="S220">
        <v>0</v>
      </c>
      <c r="U220">
        <v>0</v>
      </c>
    </row>
    <row r="221" spans="1:21" x14ac:dyDescent="0.2">
      <c r="A221" t="str">
        <f>Skills!A19</f>
        <v>INFINITY</v>
      </c>
      <c r="B221" t="str">
        <f>Skills!B19</f>
        <v>Infinity</v>
      </c>
      <c r="C221" t="b">
        <f>Inputs!$B$3&gt;=110</f>
        <v>1</v>
      </c>
      <c r="D221">
        <f>IF(Skills!C19=1,60+Inputs!$B$25+Inputs!$B$29,IF(Skills!C19=2,90+Inputs!$B$26+Inputs!$B$29,IF(Skills!C19=3,120+Inputs!$B$27+Inputs!$B$29,MAX(0,(Inputs!$B$3-100)*3)+Inputs!$B$28+Inputs!$B$29)))</f>
        <v>185</v>
      </c>
      <c r="E221">
        <f>INDEX(FactorTable!$B$2:$Y$301, MATCH(ROUND(MIN(300,MAX(1,D221)),0), FactorTable!$A$2:$A$301,0), Skills!M19+1)</f>
        <v>1740</v>
      </c>
      <c r="F221">
        <f>IF(Skills!N19=TRUE,(Skills!L19/10)*(E221/1000),Skills!L19/10)+Skills!O19</f>
        <v>37.700579999999995</v>
      </c>
      <c r="G221">
        <f>Calc!G19</f>
        <v>1</v>
      </c>
      <c r="H221">
        <f>Calc!H19</f>
        <v>1</v>
      </c>
      <c r="I221">
        <f>IF(Skills!X19&lt;&gt;"",1+(Skills!X19/10)*(Z205/1000)/100,1)</f>
        <v>1</v>
      </c>
      <c r="O221">
        <f>(1-Summary!$B$11)*S221+Summary!$B$11*U221</f>
        <v>0</v>
      </c>
      <c r="P221">
        <f>IF(B243=0,0,O221/B243)</f>
        <v>0</v>
      </c>
      <c r="Q221">
        <f>IFERROR(1/(IF(Inputs!$B$38="pvp",15,MAX(0.1,Skills!E19-IF(TRUE=TRUE,Inputs!$B$32,0)))*(1-IF(AND(ArtifactsInput!$M$27,Inputs!$B$4="Chapter Hunt"),CHOOSE(ArtifactsInput!$N$27+1,20,24,28,32,36,40),0)/100)),0)</f>
        <v>3.3333333333333333E-2</v>
      </c>
      <c r="R221">
        <f>IF(AND(Inputs!$B$38&lt;&gt;"pvp",Inputs!$B$43&gt;0),IF(Inputs!$B$43&lt;=0,0,(INT(Inputs!$B$43/(IF(Inputs!$B$38="pvp",15,MAX(0.1,Skills!E19-IF(TRUE=TRUE,Inputs!$B$32,0)))*(1-IF(AND(ArtifactsInput!$M$27,Inputs!$B$4="Chapter Hunt"),CHOOSE(ArtifactsInput!$N$27+1,20,24,28,32,36,40),0)/100)))+1)),0)</f>
        <v>2</v>
      </c>
      <c r="S221">
        <v>0</v>
      </c>
      <c r="U221">
        <v>0</v>
      </c>
    </row>
    <row r="222" spans="1:21" x14ac:dyDescent="0.2">
      <c r="A222" t="str">
        <f>Skills!A20</f>
        <v>MAGIC_CRITICAL_RATE</v>
      </c>
      <c r="B222" t="str">
        <f>Skills!B20</f>
        <v>Magic Critical (Crit Rate)</v>
      </c>
      <c r="C222" t="b">
        <f>TRUE</f>
        <v>1</v>
      </c>
      <c r="D222">
        <f>IF(Skills!C20=1,60+Inputs!$B$25+Inputs!$B$29,IF(Skills!C20=2,90+Inputs!$B$26+Inputs!$B$29,IF(Skills!C20=3,120+Inputs!$B$27+Inputs!$B$29,MAX(0,(Inputs!$B$3-100)*3)+Inputs!$B$28+Inputs!$B$29)))</f>
        <v>184</v>
      </c>
      <c r="E222">
        <f>INDEX(FactorTable!$B$2:$Y$301, MATCH(ROUND(MIN(300,MAX(1,D222)),0), FactorTable!$A$2:$A$301,0), Skills!M20+1)</f>
        <v>1552</v>
      </c>
      <c r="F222">
        <f>IF(Skills!N20=TRUE,(Skills!L20/10)*(E222/1000),Skills!L20/10)+Skills!O20</f>
        <v>12.416</v>
      </c>
      <c r="G222">
        <f>Calc!G20</f>
        <v>1</v>
      </c>
      <c r="H222">
        <f>Calc!H20</f>
        <v>1</v>
      </c>
      <c r="I222">
        <f>IF(Skills!X20&lt;&gt;"",1+(Skills!X20/10)*(Z205/1000)/100,1)</f>
        <v>1</v>
      </c>
      <c r="O222">
        <f>(1-Summary!$B$11)*S222+Summary!$B$11*U222</f>
        <v>0</v>
      </c>
      <c r="P222">
        <f>IF(B243=0,0,O222/B243)</f>
        <v>0</v>
      </c>
      <c r="Q222">
        <f>IFERROR(1/(IF(Inputs!$B$38="pvp",15,MAX(0.1,Skills!E20-IF(TRUE=TRUE,Inputs!$B$32,0)))*(1-IF(AND(ArtifactsInput!$M$27,Inputs!$B$4="Chapter Hunt"),CHOOSE(ArtifactsInput!$N$27+1,20,24,28,32,36,40),0)/100)),0)</f>
        <v>10</v>
      </c>
      <c r="R222">
        <v>0</v>
      </c>
      <c r="S222">
        <v>0</v>
      </c>
      <c r="U222">
        <v>0</v>
      </c>
    </row>
    <row r="223" spans="1:21" x14ac:dyDescent="0.2">
      <c r="A223" t="str">
        <f>Skills!A21</f>
        <v>MAGIC_CRITICAL_DAMAGE</v>
      </c>
      <c r="B223" t="str">
        <f>Skills!B21</f>
        <v>Magic Critical (Crit Damage)</v>
      </c>
      <c r="C223" t="b">
        <f>TRUE</f>
        <v>1</v>
      </c>
      <c r="D223">
        <f>IF(Skills!C21=1,60+Inputs!$B$25+Inputs!$B$29,IF(Skills!C21=2,90+Inputs!$B$26+Inputs!$B$29,IF(Skills!C21=3,120+Inputs!$B$27+Inputs!$B$29,MAX(0,(Inputs!$B$3-100)*3)+Inputs!$B$28+Inputs!$B$29)))</f>
        <v>184</v>
      </c>
      <c r="E223">
        <f>INDEX(FactorTable!$B$2:$Y$301, MATCH(ROUND(MIN(300,MAX(1,D223)),0), FactorTable!$A$2:$A$301,0), Skills!M21+1)</f>
        <v>1552</v>
      </c>
      <c r="F223">
        <f>IF(Skills!N21=TRUE,(Skills!L21/10)*(E223/1000),Skills!L21/10)+Skills!O21</f>
        <v>18.624000000000002</v>
      </c>
      <c r="G223">
        <f>Calc!G21</f>
        <v>1</v>
      </c>
      <c r="H223">
        <f>Calc!H21</f>
        <v>1</v>
      </c>
      <c r="I223">
        <f>IF(Skills!X21&lt;&gt;"",1+(Skills!X21/10)*(Z205/1000)/100,1)</f>
        <v>1</v>
      </c>
      <c r="O223">
        <f>(1-Summary!$B$11)*S223+Summary!$B$11*U223</f>
        <v>0</v>
      </c>
      <c r="P223">
        <f>IF(B243=0,0,O223/B243)</f>
        <v>0</v>
      </c>
      <c r="Q223">
        <f>IFERROR(1/(IF(Inputs!$B$38="pvp",15,MAX(0.1,Skills!E21-IF(TRUE=TRUE,Inputs!$B$32,0)))*(1-IF(AND(ArtifactsInput!$M$27,Inputs!$B$4="Chapter Hunt"),CHOOSE(ArtifactsInput!$N$27+1,20,24,28,32,36,40),0)/100)),0)</f>
        <v>10</v>
      </c>
      <c r="R223">
        <v>0</v>
      </c>
      <c r="S223">
        <v>0</v>
      </c>
      <c r="U223">
        <v>0</v>
      </c>
    </row>
    <row r="224" spans="1:21" x14ac:dyDescent="0.2">
      <c r="A224" t="str">
        <f>Skills!A22</f>
        <v>SPELL_MASTERY</v>
      </c>
      <c r="B224" t="str">
        <f>Skills!B22</f>
        <v>Spell Mastery</v>
      </c>
      <c r="C224" t="b">
        <f>TRUE</f>
        <v>1</v>
      </c>
      <c r="D224">
        <f>IF(Skills!C22=1,60+Inputs!$B$25+Inputs!$B$29,IF(Skills!C22=2,90+Inputs!$B$26+Inputs!$B$29,IF(Skills!C22=3,120+Inputs!$B$27+Inputs!$B$29,MAX(0,(Inputs!$B$3-100)*3)+Inputs!$B$28+Inputs!$B$29)))</f>
        <v>168</v>
      </c>
      <c r="E224">
        <f>INDEX(FactorTable!$B$2:$Y$301, MATCH(ROUND(MIN(300,MAX(1,D224)),0), FactorTable!$A$2:$A$301,0), Skills!M22+1)</f>
        <v>1504</v>
      </c>
      <c r="F224">
        <f>IF(Skills!N22=TRUE,(Skills!L22/10)*(E224/1000),Skills!L22/10)+Skills!O22</f>
        <v>22.56</v>
      </c>
      <c r="G224">
        <f>Calc!G22</f>
        <v>1</v>
      </c>
      <c r="H224">
        <f>Calc!H22</f>
        <v>1</v>
      </c>
      <c r="I224">
        <f>IF(Skills!X22&lt;&gt;"",1+(Skills!X22/10)*(Z205/1000)/100,1)</f>
        <v>1</v>
      </c>
      <c r="O224">
        <f>(1-Summary!$B$11)*S224+Summary!$B$11*U224</f>
        <v>0</v>
      </c>
      <c r="P224">
        <f>IF(B243=0,0,O224/B243)</f>
        <v>0</v>
      </c>
      <c r="Q224">
        <f>IFERROR(1/(IF(Inputs!$B$38="pvp",15,MAX(0.1,Skills!E22-IF(TRUE=TRUE,Inputs!$B$32,0)))*(1-IF(AND(ArtifactsInput!$M$27,Inputs!$B$4="Chapter Hunt"),CHOOSE(ArtifactsInput!$N$27+1,20,24,28,32,36,40),0)/100)),0)</f>
        <v>10</v>
      </c>
      <c r="R224">
        <v>0</v>
      </c>
      <c r="S224">
        <v>0</v>
      </c>
      <c r="U224">
        <v>0</v>
      </c>
    </row>
    <row r="225" spans="1:21" x14ac:dyDescent="0.2">
      <c r="A225" t="str">
        <f>Skills!A23</f>
        <v>ELEMENT_AMPLIFICATION</v>
      </c>
      <c r="B225" t="str">
        <f>Skills!B23</f>
        <v>Element Amplification</v>
      </c>
      <c r="C225" t="b">
        <f>TRUE</f>
        <v>1</v>
      </c>
      <c r="D225">
        <f>IF(Skills!C23=1,60+Inputs!$B$25+Inputs!$B$29,IF(Skills!C23=2,90+Inputs!$B$26+Inputs!$B$29,IF(Skills!C23=3,120+Inputs!$B$27+Inputs!$B$29,MAX(0,(Inputs!$B$3-100)*3)+Inputs!$B$28+Inputs!$B$29)))</f>
        <v>185</v>
      </c>
      <c r="E225">
        <f>INDEX(FactorTable!$B$2:$Y$301, MATCH(ROUND(MIN(300,MAX(1,D225)),0), FactorTable!$A$2:$A$301,0), Skills!M23+1)</f>
        <v>1555</v>
      </c>
      <c r="F225">
        <f>IF(Skills!N23=TRUE,(Skills!L23/10)*(E225/1000),Skills!L23/10)+Skills!O23</f>
        <v>23.324999999999999</v>
      </c>
      <c r="G225">
        <f>Calc!G23</f>
        <v>1</v>
      </c>
      <c r="H225">
        <f>Calc!H23</f>
        <v>1</v>
      </c>
      <c r="I225">
        <f>IF(Skills!X23&lt;&gt;"",1+(Skills!X23/10)*(Z205/1000)/100,1)</f>
        <v>1</v>
      </c>
      <c r="O225">
        <f>(1-Summary!$B$11)*S225+Summary!$B$11*U225</f>
        <v>0</v>
      </c>
      <c r="P225">
        <f>IF(B243=0,0,O225/B243)</f>
        <v>0</v>
      </c>
      <c r="Q225">
        <f>IFERROR(1/(IF(Inputs!$B$38="pvp",15,MAX(0.1,Skills!E23-IF(TRUE=TRUE,Inputs!$B$32,0)))*(1-IF(AND(ArtifactsInput!$M$27,Inputs!$B$4="Chapter Hunt"),CHOOSE(ArtifactsInput!$N$27+1,20,24,28,32,36,40),0)/100)),0)</f>
        <v>10</v>
      </c>
      <c r="R225">
        <v>0</v>
      </c>
      <c r="S225">
        <v>0</v>
      </c>
      <c r="U225">
        <v>0</v>
      </c>
    </row>
    <row r="226" spans="1:21" x14ac:dyDescent="0.2">
      <c r="A226" t="str">
        <f>Skills!A24</f>
        <v>IFRIT</v>
      </c>
      <c r="B226" t="str">
        <f>Skills!B24</f>
        <v>Ifrit</v>
      </c>
      <c r="C226" t="b">
        <f>Inputs!$B$3&gt;=115</f>
        <v>1</v>
      </c>
      <c r="D226">
        <f>IF(Skills!C24=1,60+Inputs!$B$25+Inputs!$B$29,IF(Skills!C24=2,90+Inputs!$B$26+Inputs!$B$29,IF(Skills!C24=3,120+Inputs!$B$27+Inputs!$B$29,MAX(0,(Inputs!$B$3-100)*3)+Inputs!$B$28+Inputs!$B$29)))</f>
        <v>185</v>
      </c>
      <c r="E226">
        <f>INDEX(FactorTable!$B$2:$Y$301, MATCH(ROUND(MIN(300,MAX(1,D226)),0), FactorTable!$A$2:$A$301,0), Skills!M24+1)</f>
        <v>1925</v>
      </c>
      <c r="F226">
        <f>IF(Skills!N24=TRUE,(Skills!L24/10)*(E226/1000),Skills!L24/10)+Skills!O24</f>
        <v>6737.5</v>
      </c>
      <c r="G226">
        <f>Calc!G24</f>
        <v>7.5</v>
      </c>
      <c r="H226">
        <f>Calc!H24</f>
        <v>1</v>
      </c>
      <c r="I226">
        <f>IF(Skills!X24&lt;&gt;"",1+(Skills!X24/10)*(Z205/1000)/100,1)</f>
        <v>1</v>
      </c>
      <c r="J226">
        <f>((Inputs!$B$6*(1+Inputs!$B$7/100))+(((Inputs!$B$12*(1+Inputs!$B$13/100))-(Inputs!$B$12*(1+Inputs!$B$13/100)))+0.25*(Inputs!$B$14-Inputs!$B$14))*(1+Inputs!$B$7/100))*(F226/100)</f>
        <v>24331438378.718628</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122895739779682.05</v>
      </c>
      <c r="L226">
        <f>K226*(MIN(Inputs!$B$22+(F224-Calc!F22),(Inputs!$B$23+(IF(ArtifactsInput!$M$15,CHOOSE(ArtifactsInput!$N$15+1,25,30,35,40,45,50)/100*(Inputs!$B$11-Inputs!$B$11),0))))/100+(Inputs!$B$23+(IF(ArtifactsInput!$M$15,CHOOSE(ArtifactsInput!$N$15+1,25,30,35,40,45,50)/100*(Inputs!$B$11-Inputs!$B$11),0)))/100)/2</f>
        <v>408628334767442.81</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1928317111767562.5</v>
      </c>
      <c r="N226">
        <f>L226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1928317111767562.5</v>
      </c>
      <c r="O226">
        <f>(1-Summary!$B$11)*S226+Summary!$B$11*U226</f>
        <v>2205512696584149.8</v>
      </c>
      <c r="P226">
        <f>IF(B243=0,0,O226/B243)</f>
        <v>6.6312914553869631E-2</v>
      </c>
      <c r="Q226">
        <f>IFERROR(1/(IF(Inputs!$B$38="pvp",15,MAX(0.1,Skills!E24-IF(TRUE=TRUE,Inputs!$B$32,0)))*(1-IF(AND(ArtifactsInput!$M$27,Inputs!$B$4="Chapter Hunt"),CHOOSE(ArtifactsInput!$N$27+1,20,24,28,32,36,40),0)/100)),0)</f>
        <v>1.2500000000000001E-2</v>
      </c>
      <c r="R226">
        <f>IF(AND(Inputs!$B$38&lt;&gt;"pvp",Inputs!$B$43&gt;0),IF(MAX(0,Inputs!$B$43-B240)&lt;=0,0,(INT(MAX(0,Inputs!$B$43-B240)/(IF(Inputs!$B$38="pvp",15,MAX(0.1,Skills!E24-IF(TRUE=TRUE,Inputs!$B$32,0)))*(1-IF(AND(ArtifactsInput!$M$27,Inputs!$B$4="Chapter Hunt"),CHOOSE(ArtifactsInput!$N$27+1,20,24,28,32,36,40),0)/100)))+1)),0)</f>
        <v>1</v>
      </c>
      <c r="S226">
        <f>IF(C226,(H226*N226*IF(AND(Inputs!$B$38&lt;&gt;"pvp",Inputs!$B$43&gt;0),((Skills!G24*((R226-1)*IF(Skills!H24&gt;0,Skills!I24/Skills!H24,1)+IF(Skills!H24&gt;0,MIN(Skills!I24,MAX(0,MAX(0,Inputs!$B$43-B240)-((R226-1)*(IF(Inputs!$B$38="pvp",15,MAX(0.1,Skills!E24-IF(TRUE=TRUE,Inputs!$B$32,0)))*(1-IF(AND(ArtifactsInput!$M$27,Inputs!$B$4="Chapter Hunt"),CHOOSE(ArtifactsInput!$N$27+1,20,24,28,32,36,40),0)/100)))))/Skills!H24,1)))/Inputs!$B$43),G226*Q226)*(1+IF(Inputs!$B$3&gt;=130,0.2*(Skills!I16/(1/Q217)+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1146143483306845</v>
      </c>
      <c r="U226">
        <f>IF(C226,(H226*N226*IF(AND(Inputs!$B$38&lt;&gt;"pvp",Inputs!$B$43&gt;0),((Skills!G24*((R226-1)*IF(Skills!H24&gt;0,Skills!I24/Skills!H24,1)+IF(Skills!H24&gt;0,MIN(Skills!I24,MAX(0,MAX(0,Inputs!$B$43-B240)-((R226-1)*(IF(Inputs!$B$38="pvp",15,MAX(0.1,Skills!E24-IF(TRUE=TRUE,Inputs!$B$32,0)))*(1-IF(AND(ArtifactsInput!$M$27,Inputs!$B$4="Chapter Hunt"),CHOOSE(ArtifactsInput!$N$27+1,20,24,28,32,36,40),0)/100)))))/Skills!H24,1)))/Inputs!$B$43),G226*Q226)*(1+IF(Inputs!$B$3&gt;=130,0.2*(Skills!I16/(1/Q217)+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3264881909861454.5</v>
      </c>
    </row>
    <row r="227" spans="1:21" x14ac:dyDescent="0.2">
      <c r="A227" t="str">
        <f>Skills!A25</f>
        <v>BUFF_MASTERY</v>
      </c>
      <c r="B227" t="str">
        <f>Skills!B25</f>
        <v>Buff Mastery</v>
      </c>
      <c r="C227" t="b">
        <f>Inputs!$B$3&gt;=117</f>
        <v>1</v>
      </c>
      <c r="D227">
        <f>IF(Skills!C25=1,60+Inputs!$B$25+Inputs!$B$29,IF(Skills!C25=2,90+Inputs!$B$26+Inputs!$B$29,IF(Skills!C25=3,120+Inputs!$B$27+Inputs!$B$29,MAX(0,(Inputs!$B$3-100)*3)+Inputs!$B$28+Inputs!$B$29)))</f>
        <v>185</v>
      </c>
      <c r="E227">
        <f>INDEX(FactorTable!$B$2:$Y$301, MATCH(ROUND(MIN(300,MAX(1,D227)),0), FactorTable!$A$2:$A$301,0), Skills!M25+1)</f>
        <v>1555</v>
      </c>
      <c r="F227">
        <f>IF(Skills!N25=TRUE,(Skills!L25/10)*(E227/1000),Skills!L25/10)+Skills!O25</f>
        <v>15.549999999999999</v>
      </c>
      <c r="G227">
        <f>Calc!G25</f>
        <v>1</v>
      </c>
      <c r="H227">
        <f>Calc!H25</f>
        <v>1</v>
      </c>
      <c r="I227">
        <f>IF(Skills!X25&lt;&gt;"",1+(Skills!X25/10)*(Z205/1000)/100,1)</f>
        <v>1</v>
      </c>
      <c r="O227">
        <f>(1-Summary!$B$11)*S227+Summary!$B$11*U227</f>
        <v>0</v>
      </c>
      <c r="P227">
        <f>IF(B243=0,0,O227/B243)</f>
        <v>0</v>
      </c>
      <c r="Q227">
        <f>IFERROR(1/(IF(Inputs!$B$38="pvp",15,MAX(0.1,Skills!E25-IF(TRUE=TRUE,Inputs!$B$32,0)))*(1-IF(AND(ArtifactsInput!$M$27,Inputs!$B$4="Chapter Hunt"),CHOOSE(ArtifactsInput!$N$27+1,20,24,28,32,36,40),0)/100)),0)</f>
        <v>10</v>
      </c>
      <c r="R227">
        <v>0</v>
      </c>
      <c r="S227">
        <v>0</v>
      </c>
      <c r="U227">
        <v>0</v>
      </c>
    </row>
    <row r="228" spans="1:21" x14ac:dyDescent="0.2">
      <c r="A228" t="str">
        <f>Skills!A26</f>
        <v>ARCANE_AIM</v>
      </c>
      <c r="B228" t="str">
        <f>Skills!B26</f>
        <v>Arcane Aim</v>
      </c>
      <c r="C228" t="b">
        <f>Inputs!$B$3&gt;=120</f>
        <v>0</v>
      </c>
      <c r="D228">
        <f>IF(Skills!C26=1,60+Inputs!$B$25+Inputs!$B$29,IF(Skills!C26=2,90+Inputs!$B$26+Inputs!$B$29,IF(Skills!C26=3,120+Inputs!$B$27+Inputs!$B$29,MAX(0,(Inputs!$B$3-100)*3)+Inputs!$B$28+Inputs!$B$29)))</f>
        <v>185</v>
      </c>
      <c r="E228">
        <f>INDEX(FactorTable!$B$2:$Y$301, MATCH(ROUND(MIN(300,MAX(1,D228)),0), FactorTable!$A$2:$A$301,0), Skills!M26+1)</f>
        <v>1555</v>
      </c>
      <c r="F228">
        <f>IF(Skills!N26=TRUE,(Skills!L26/10)*(E228/1000),Skills!L26/10)+Skills!O26</f>
        <v>4.665</v>
      </c>
      <c r="G228">
        <f>Calc!G26</f>
        <v>1</v>
      </c>
      <c r="H228">
        <f>Calc!H26</f>
        <v>1</v>
      </c>
      <c r="I228">
        <f>IF(Skills!X26&lt;&gt;"",1+(Skills!X26/10)*(Z205/1000)/100,1)</f>
        <v>1</v>
      </c>
      <c r="O228">
        <f>(1-Summary!$B$11)*S228+Summary!$B$11*U228</f>
        <v>0</v>
      </c>
      <c r="P228">
        <f>IF(B243=0,0,O228/B243)</f>
        <v>0</v>
      </c>
      <c r="Q228">
        <f>IFERROR(1/(IF(Inputs!$B$38="pvp",15,MAX(0.1,Skills!E26-IF(TRUE=TRUE,Inputs!$B$32,0)))*(1-IF(AND(ArtifactsInput!$M$27,Inputs!$B$4="Chapter Hunt"),CHOOSE(ArtifactsInput!$N$27+1,20,24,28,32,36,40),0)/100)),0)</f>
        <v>10</v>
      </c>
      <c r="R228">
        <v>0</v>
      </c>
      <c r="S228">
        <v>0</v>
      </c>
      <c r="U228">
        <v>0</v>
      </c>
    </row>
    <row r="229" spans="1:21" x14ac:dyDescent="0.2">
      <c r="A229" t="str">
        <f>Skills!A27</f>
        <v>FERVENT_DRAIN</v>
      </c>
      <c r="B229" t="str">
        <f>Skills!B27</f>
        <v>Fervent Drain</v>
      </c>
      <c r="C229" t="b">
        <f>Inputs!$B$3&gt;=125</f>
        <v>0</v>
      </c>
      <c r="D229">
        <f>IF(Skills!C27=1,60+Inputs!$B$25+Inputs!$B$29,IF(Skills!C27=2,90+Inputs!$B$26+Inputs!$B$29,IF(Skills!C27=3,120+Inputs!$B$27+Inputs!$B$29,MAX(0,(Inputs!$B$3-100)*3)+Inputs!$B$28+Inputs!$B$29)))</f>
        <v>185</v>
      </c>
      <c r="E229">
        <f>INDEX(FactorTable!$B$2:$Y$301, MATCH(ROUND(MIN(300,MAX(1,D229)),0), FactorTable!$A$2:$A$301,0), Skills!M27+1)</f>
        <v>1555</v>
      </c>
      <c r="F229">
        <f>IF(Skills!N27=TRUE,(Skills!L27/10)*(E229/1000),Skills!L27/10)+Skills!O27</f>
        <v>6.22</v>
      </c>
      <c r="G229">
        <f>Calc!G27</f>
        <v>1</v>
      </c>
      <c r="H229">
        <f>Calc!H27</f>
        <v>1</v>
      </c>
      <c r="I229">
        <f>IF(Skills!X27&lt;&gt;"",1+(Skills!X27/10)*(Z205/1000)/100,1)</f>
        <v>1</v>
      </c>
      <c r="O229">
        <f>(1-Summary!$B$11)*S229+Summary!$B$11*U229</f>
        <v>0</v>
      </c>
      <c r="P229">
        <f>IF(B243=0,0,O229/B243)</f>
        <v>0</v>
      </c>
      <c r="Q229">
        <f>IFERROR(1/(IF(Inputs!$B$38="pvp",15,MAX(0.1,Skills!E27-IF(TRUE=TRUE,Inputs!$B$32,0)))*(1-IF(AND(ArtifactsInput!$M$27,Inputs!$B$4="Chapter Hunt"),CHOOSE(ArtifactsInput!$N$27+1,20,24,28,32,36,40),0)/100)),0)</f>
        <v>10</v>
      </c>
      <c r="R229">
        <v>0</v>
      </c>
      <c r="S229">
        <v>0</v>
      </c>
      <c r="U229">
        <v>0</v>
      </c>
    </row>
    <row r="230" spans="1:21" x14ac:dyDescent="0.2">
      <c r="A230" t="str">
        <f>Skills!A28</f>
        <v>FLAME_HAZE_FOG</v>
      </c>
      <c r="B230" t="str">
        <f>Skills!B28</f>
        <v>Flame Haze (poison fog DoT)</v>
      </c>
      <c r="C230" t="b">
        <f>Inputs!$B$3&gt;=118</f>
        <v>0</v>
      </c>
      <c r="D230">
        <f>IF(Skills!C28=1,60+Inputs!$B$25+Inputs!$B$29,IF(Skills!C28=2,90+Inputs!$B$26+Inputs!$B$29,IF(Skills!C28=3,120+Inputs!$B$27+Inputs!$B$29,MAX(0,(Inputs!$B$3-100)*3)+Inputs!$B$28+Inputs!$B$29)))</f>
        <v>185</v>
      </c>
      <c r="E230">
        <f>INDEX(FactorTable!$B$2:$Y$301, MATCH(ROUND(MIN(300,MAX(1,D230)),0), FactorTable!$A$2:$A$301,0), Skills!M28+1)</f>
        <v>1925</v>
      </c>
      <c r="F230">
        <f>IF(Skills!N28=TRUE,(Skills!L28/10)*(E230/1000),Skills!L28/10)+Skills!O28</f>
        <v>134.75</v>
      </c>
      <c r="G230">
        <f>Calc!G28</f>
        <v>50</v>
      </c>
      <c r="H230">
        <f>Calc!H28</f>
        <v>1</v>
      </c>
      <c r="I230">
        <f>IF(Skills!X28&lt;&gt;"",1+(Skills!X28/10)*(Z205/1000)/100,1)</f>
        <v>1</v>
      </c>
      <c r="J230">
        <f>((Inputs!$B$6*(1+Inputs!$B$7/100))+(((Inputs!$B$12*(1+Inputs!$B$13/100))-(Inputs!$B$12*(1+Inputs!$B$13/100)))+0.25*(Inputs!$B$14-Inputs!$B$14))*(1+Inputs!$B$7/100))*(F230/100)</f>
        <v>486628767.57437253</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2457914795593.6406</v>
      </c>
      <c r="L230">
        <f>K230*(MIN(Inputs!$B$22+(F224-Calc!F22),(Inputs!$B$23+(IF(ArtifactsInput!$M$15,CHOOSE(ArtifactsInput!$N$15+1,25,30,35,40,45,50)/100*(Inputs!$B$11-Inputs!$B$11),0))))/100+(Inputs!$B$23+(IF(ArtifactsInput!$M$15,CHOOSE(ArtifactsInput!$N$15+1,25,30,35,40,45,50)/100*(Inputs!$B$11-Inputs!$B$11),0)))/100)/2</f>
        <v>8172566695348.8555</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38566342235351.242</v>
      </c>
      <c r="N230">
        <f>L230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38566342235351.242</v>
      </c>
      <c r="O230">
        <f>(1-Summary!$B$11)*S230+Summary!$B$11*U230</f>
        <v>0</v>
      </c>
      <c r="P230">
        <f>IF(B243=0,0,O230/B243)</f>
        <v>0</v>
      </c>
      <c r="Q230">
        <f>IFERROR(1/(IF(Inputs!$B$38="pvp",15,MAX(0.1,Skills!E28-IF(TRUE=TRUE,Inputs!$B$32,0)))*(1-IF(AND(ArtifactsInput!$M$27,Inputs!$B$4="Chapter Hunt"),CHOOSE(ArtifactsInput!$N$27+1,20,24,28,32,36,40),0)/100)),0)</f>
        <v>0.04</v>
      </c>
      <c r="R230">
        <f>IF(AND(Inputs!$B$38&lt;&gt;"pvp",Inputs!$B$43&gt;0),IF(MAX(0,Inputs!$B$43-B240)&lt;=0,0,(INT(MAX(0,Inputs!$B$43-B240)/(IF(Inputs!$B$38="pvp",15,MAX(0.1,Skills!E28-IF(TRUE=TRUE,Inputs!$B$32,0)))*(1-IF(AND(ArtifactsInput!$M$27,Inputs!$B$4="Chapter Hunt"),CHOOSE(ArtifactsInput!$N$27+1,20,24,28,32,36,40),0)/100)))+1)),0)</f>
        <v>2</v>
      </c>
      <c r="S230">
        <f>IF(C230,(H230*N230*IF(AND(Inputs!$B$38&lt;&gt;"pvp",Inputs!$B$43&gt;0),((Skills!G28*((R230-1)*IF(Skills!H28&gt;0,Skills!I28/Skills!H28,1)+IF(Skills!H28&gt;0,MIN(Skills!I28,MAX(0,MAX(0,Inputs!$B$43-B240)-((R230-1)*(IF(Inputs!$B$38="pvp",15,MAX(0.1,Skills!E28-IF(TRUE=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0">
        <f>IF(C230,(H230*N230*IF(AND(Inputs!$B$38&lt;&gt;"pvp",Inputs!$B$43&gt;0),((Skills!G28*((R230-1)*IF(Skills!H28&gt;0,Skills!I28/Skills!H28,1)+IF(Skills!H28&gt;0,MIN(Skills!I28,MAX(0,MAX(0,Inputs!$B$43-B240)-((R230-1)*(IF(Inputs!$B$38="pvp",15,MAX(0.1,Skills!E28-IF(TRUE=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2" spans="1:21" x14ac:dyDescent="0.2">
      <c r="A232" t="s">
        <v>356</v>
      </c>
      <c r="B232">
        <f>1+(F213*Skills!Z11)/100</f>
        <v>1.25</v>
      </c>
    </row>
    <row r="233" spans="1:21" x14ac:dyDescent="0.2">
      <c r="A233" t="s">
        <v>435</v>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1.18624</v>
      </c>
    </row>
    <row r="234" spans="1:21" x14ac:dyDescent="0.2">
      <c r="A234" t="s">
        <v>358</v>
      </c>
      <c r="B234">
        <f>(1+(F208*IF(AND(Inputs!$B$38&lt;&gt;"pvp",Inputs!$B$43&gt;0),(((R208-1)*MIN((Skills!T6*(1+((Inputs!$B$34+(ArtifactsInput!$M$7-ArtifactsInput!$M$7)*CHOOSE(ArtifactsInput!$N$7+1,6,7.2,8.4,9.6,10.8,12)))/100)),(1/Q208))+MIN((Skills!T6*(1+((Inputs!$B$34+(ArtifactsInput!$M$7-ArtifactsInput!$M$7)*CHOOSE(ArtifactsInput!$N$7+1,6,7.2,8.4,9.6,10.8,12)))/100)),MAX(0,Inputs!$B$43-((R208-1)*(1/Q208)))))/Inputs!$B$43),IF(Inputs!$B$38="pvp",MIN((Skills!T6*(1+((Inputs!$B$34+(ArtifactsInput!$M$7-ArtifactsInput!$M$7)*CHOOSE(ArtifactsInput!$N$7+1,6,7.2,8.4,9.6,10.8,12)))/100)),15)/15,MIN(1,(Skills!T6*(1+((Inputs!$B$34+(ArtifactsInput!$M$7-ArtifactsInput!$M$7)*CHOOSE(ArtifactsInput!$N$7+1,6,7.2,8.4,9.6,10.8,12)))/100))/(1/Q208))))+F219*IF(AND(Inputs!$B$38&lt;&gt;"pvp",Inputs!$B$43&gt;0),(((R219-1)*MIN((Skills!T17*(1+((Inputs!$B$34+(ArtifactsInput!$M$7-ArtifactsInput!$M$7)*CHOOSE(ArtifactsInput!$N$7+1,6,7.2,8.4,9.6,10.8,12)))/100)),(1/Q219))+MIN((Skills!T17*(1+((Inputs!$B$34+(ArtifactsInput!$M$7-ArtifactsInput!$M$7)*CHOOSE(ArtifactsInput!$N$7+1,6,7.2,8.4,9.6,10.8,12)))/100)),MAX(0,Inputs!$B$43-((R219-1)*(1/Q219)))))/Inputs!$B$43),IF(Inputs!$B$38="pvp",MIN((Skills!T17*(1+((Inputs!$B$34+(ArtifactsInput!$M$7-ArtifactsInput!$M$7)*CHOOSE(ArtifactsInput!$N$7+1,6,7.2,8.4,9.6,10.8,12)))/100)),15)/15,MIN(1,(Skills!T17*(1+((Inputs!$B$34+(ArtifactsInput!$M$7-ArtifactsInput!$M$7)*CHOOSE(ArtifactsInput!$N$7+1,6,7.2,8.4,9.6,10.8,12)))/100))/(1/Q219)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MIN((Skills!T19*(1+((Inputs!$B$34+(ArtifactsInput!$M$7-ArtifactsInput!$M$7)*CHOOSE(ArtifactsInput!$N$7+1,6,7.2,8.4,9.6,10.8,12)))/100)),(1/Q221))+MIN((Skills!T19*(1+((Inputs!$B$34+(ArtifactsInput!$M$7-ArtifactsInput!$M$7)*CHOOSE(ArtifactsInput!$N$7+1,6,7.2,8.4,9.6,10.8,12)))/100)),MAX(0,Inputs!$B$43-((R221-1)*(1/Q221)))))/Inputs!$B$43),IF(Inputs!$B$38="pvp",MIN((Skills!T19*(1+((Inputs!$B$34+(ArtifactsInput!$M$7-ArtifactsInput!$M$7)*CHOOSE(ArtifactsInput!$N$7+1,6,7.2,8.4,9.6,10.8,12)))/100)),15)/15,MIN(1,(Skills!T19*(1+((Inputs!$B$34+(ArtifactsInput!$M$7-ArtifactsInput!$M$7)*CHOOSE(ArtifactsInput!$N$7+1,6,7.2,8.4,9.6,10.8,12)))/100))/(1/Q221))))/100),1)</f>
        <v>1.7965808377980694</v>
      </c>
    </row>
    <row r="235" spans="1:21" x14ac:dyDescent="0.2">
      <c r="A235" t="s">
        <v>359</v>
      </c>
      <c r="B235">
        <f>F220*IF(AND(Inputs!$B$38&lt;&gt;"pvp",Inputs!$B$43&gt;0),(((R220-1)*MIN((Skills!T18*(1+((Inputs!$B$34+(ArtifactsInput!$M$7-ArtifactsInput!$M$7)*CHOOSE(ArtifactsInput!$N$7+1,6,7.2,8.4,9.6,10.8,12)))/100)),(1/Q220))+MIN((Skills!T18*(1+((Inputs!$B$34+(ArtifactsInput!$M$7-ArtifactsInput!$M$7)*CHOOSE(ArtifactsInput!$N$7+1,6,7.2,8.4,9.6,10.8,12)))/100)),MAX(0,Inputs!$B$43-((R220-1)*(1/Q220)))))/Inputs!$B$43),IF(Inputs!$B$38="pvp",MIN((Skills!T18*(1+((Inputs!$B$34+(ArtifactsInput!$M$7-ArtifactsInput!$M$7)*CHOOSE(ArtifactsInput!$N$7+1,6,7.2,8.4,9.6,10.8,12)))/100)),15)/15,MIN(1,(Skills!T18*(1+((Inputs!$B$34+(ArtifactsInput!$M$7-ArtifactsInput!$M$7)*CHOOSE(ArtifactsInput!$N$7+1,6,7.2,8.4,9.6,10.8,12)))/100))/(1/Q220))))</f>
        <v>6.4968749999999993</v>
      </c>
    </row>
    <row r="236" spans="1:21" x14ac:dyDescent="0.2">
      <c r="A236" t="s">
        <v>436</v>
      </c>
      <c r="B236">
        <f>1+MIN(150,150*(1-(1-(Inputs!$B$11+(ArtifactsInput!$M$15-ArtifactsInput!$M$15)*CHOOSE(ArtifactsInput!$N$15+1,8,9.6,11.2,12.8,14.4,16))/150)*(1-B235/150)))/100</f>
        <v>1.6982958749999999</v>
      </c>
    </row>
    <row r="237" spans="1:21" x14ac:dyDescent="0.2">
      <c r="A237" t="s">
        <v>437</v>
      </c>
      <c r="B237">
        <f>IF(AND(Inputs!$B$38&lt;&gt;"pvp",Inputs!$B$43&gt;0),SUMPRODUCT((Skills!F2:F28=TRUE)*(C204:C230=TRUE)*R204:R230)/Inputs!$B$43,SUMPRODUCT((Skills!F2:F28=TRUE)*(C204:C230=TRUE)*Q204:Q230))</f>
        <v>0.47499999999999998</v>
      </c>
    </row>
    <row r="238" spans="1:21" x14ac:dyDescent="0.2">
      <c r="A238" t="s">
        <v>362</v>
      </c>
      <c r="B238">
        <f>MAX(0,B236-B237)</f>
        <v>1.2232958749999998</v>
      </c>
    </row>
    <row r="239" spans="1:21" x14ac:dyDescent="0.2">
      <c r="A239" t="s">
        <v>438</v>
      </c>
      <c r="B239">
        <f>IF(AND(Inputs!$B$38&lt;&gt;"pvp",Inputs!$B$43&gt;0),SUMPRODUCT((Skills!V2:V28=TRUE)*(C204:C230=TRUE)*R204:R230*Skills!W2:W28)/Inputs!$B$43,SUMPRODUCT((Skills!V2:V28=TRUE)*(C204:C230=TRUE)*Q204:Q230*Skills!W2:W28))+B238</f>
        <v>1.5482958749999998</v>
      </c>
    </row>
    <row r="240" spans="1:21" x14ac:dyDescent="0.2">
      <c r="A240" t="s">
        <v>439</v>
      </c>
      <c r="B240">
        <f>IF(AND(Inputs!$B$38&lt;&gt;"pvp",Inputs!$B$43&gt;0),SUMPRODUCT((Skills!T2:T28&gt;0)*(Skills!F2:F28=TRUE)*(C204:C230=TRUE))/B236,0)</f>
        <v>2.3553021937358238</v>
      </c>
    </row>
    <row r="241" spans="1:26" x14ac:dyDescent="0.2">
      <c r="A241" t="s">
        <v>440</v>
      </c>
      <c r="B241">
        <f>SUM(S204:S230)</f>
        <v>9566832157469404</v>
      </c>
    </row>
    <row r="242" spans="1:26" x14ac:dyDescent="0.2">
      <c r="A242" t="s">
        <v>441</v>
      </c>
      <c r="B242">
        <f>SUM(U204:U230)</f>
        <v>5.695151382150248E+16</v>
      </c>
    </row>
    <row r="243" spans="1:26" x14ac:dyDescent="0.2">
      <c r="A243" s="6" t="s">
        <v>348</v>
      </c>
      <c r="B243" s="6">
        <f>SUM(O204:O230)</f>
        <v>3.3259172989485936E+16</v>
      </c>
    </row>
    <row r="246" spans="1:26" x14ac:dyDescent="0.2">
      <c r="A246" s="6" t="s">
        <v>445</v>
      </c>
    </row>
    <row r="247" spans="1:26" x14ac:dyDescent="0.2">
      <c r="A247" s="5" t="s">
        <v>136</v>
      </c>
      <c r="B247" s="5" t="s">
        <v>137</v>
      </c>
      <c r="C247" s="5" t="s">
        <v>328</v>
      </c>
      <c r="D247" s="5" t="s">
        <v>329</v>
      </c>
      <c r="E247" s="5" t="s">
        <v>330</v>
      </c>
      <c r="F247" s="5" t="s">
        <v>331</v>
      </c>
      <c r="G247" s="5" t="s">
        <v>332</v>
      </c>
      <c r="H247" s="5" t="s">
        <v>333</v>
      </c>
      <c r="I247" s="5" t="s">
        <v>334</v>
      </c>
      <c r="J247" s="5" t="s">
        <v>335</v>
      </c>
      <c r="K247" s="5" t="s">
        <v>336</v>
      </c>
      <c r="L247" s="5" t="s">
        <v>337</v>
      </c>
      <c r="M247" s="5" t="s">
        <v>338</v>
      </c>
      <c r="N247" s="5" t="s">
        <v>339</v>
      </c>
      <c r="O247" s="5" t="s">
        <v>340</v>
      </c>
      <c r="P247" s="5" t="s">
        <v>341</v>
      </c>
      <c r="R247" t="s">
        <v>434</v>
      </c>
    </row>
    <row r="248" spans="1:26" x14ac:dyDescent="0.2">
      <c r="A248" t="str">
        <f>Skills!A2</f>
        <v>BASIC_ATTACK</v>
      </c>
      <c r="B248" t="str">
        <f>Skills!B2</f>
        <v>Basic Attack</v>
      </c>
      <c r="C248" t="b">
        <f>TRUE</f>
        <v>1</v>
      </c>
      <c r="F248">
        <f>T250+Skills!O2</f>
        <v>537.6</v>
      </c>
      <c r="G248">
        <f>Calc!G2</f>
        <v>5</v>
      </c>
      <c r="H248">
        <f>Calc!H2</f>
        <v>1</v>
      </c>
      <c r="I248">
        <f>IF(Skills!X2&lt;&gt;"",1+(Skills!X2/10)*(Z249/1000)/100,1)</f>
        <v>1</v>
      </c>
      <c r="J248">
        <f>((Inputs!$B$6*(1+Inputs!$B$7/100))+(((Inputs!$B$12*(1+Inputs!$B$13/100))-(Inputs!$B$12*(1+Inputs!$B$13/100)))+0.25*(Inputs!$B$14-Inputs!$B$14))*(1+Inputs!$B$7/100))*(F248/100)</f>
        <v>1941459186.9980164</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6620290711466.1074</v>
      </c>
      <c r="L248">
        <f>K248*(MIN(Inputs!$B$22+(F268-Calc!F22),(Inputs!$B$23+(IF(ArtifactsInput!$M$15,CHOOSE(ArtifactsInput!$N$15+1,25,30,35,40,45,50)/100*(Inputs!$B$11-Inputs!$B$11),0))))/100+(Inputs!$B$23+(IF(ArtifactsInput!$M$15,CHOOSE(ArtifactsInput!$N$15+1,25,30,35,40,45,50)/100*(Inputs!$B$11-Inputs!$B$11),0)))/100)/2</f>
        <v>22012466615624.809</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248">
        <f>L248*(1-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248">
        <f>(1-Summary!$B$11)*S248+Summary!$B$11*U248</f>
        <v>1.2516601613312808E+16</v>
      </c>
      <c r="P248">
        <f>IF(B287=0,0,O248/B287)</f>
        <v>0.37812499340953676</v>
      </c>
      <c r="Q248">
        <f>IFERROR(1/(IF(Inputs!$B$38="pvp",15,MAX(0.1,Skills!E2-IF(TRUE=TRUE,Inputs!$B$32,0)))*(1-IF(AND(ArtifactsInput!$M$27,Inputs!$B$4="Chapter Hunt"),CHOOSE(ArtifactsInput!$N$27+1,20,24,28,32,36,40),0)/100)),0)</f>
        <v>10</v>
      </c>
      <c r="R248">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2083982400592183.2</v>
      </c>
      <c r="T248">
        <f>MAX(0,(Inputs!$B$3-100)*3)+Inputs!$B$28+Inputs!$B$29</f>
        <v>185</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248">
        <f>MAX(0,(Inputs!$B$3-100)*3)+Inputs!$B$28+Inputs!$B$29</f>
        <v>185</v>
      </c>
    </row>
    <row r="249" spans="1:26" x14ac:dyDescent="0.2">
      <c r="A249" t="str">
        <f>Skills!A3</f>
        <v>IGNITE</v>
      </c>
      <c r="B249" t="str">
        <f>Skills!B3</f>
        <v>Ignite</v>
      </c>
      <c r="C249" t="b">
        <f>TRUE</f>
        <v>1</v>
      </c>
      <c r="D249">
        <f>IF(Skills!C3=1,60+Inputs!$B$25+Inputs!$B$29,IF(Skills!C3=2,90+Inputs!$B$26+Inputs!$B$29,IF(Skills!C3=3,120+Inputs!$B$27+Inputs!$B$29,MAX(0,(Inputs!$B$3-100)*3)+Inputs!$B$28+Inputs!$B$29)))</f>
        <v>168</v>
      </c>
      <c r="E249">
        <f>INDEX(FactorTable!$B$2:$Y$301, MATCH(ROUND(MIN(300,MAX(1,D249)),0), FactorTable!$A$2:$A$301,0), Skills!M3+1)</f>
        <v>1672</v>
      </c>
      <c r="F249">
        <f>IF(Skills!N3=TRUE,(Skills!L3/10)*(E249/1000),Skills!L3/10)+Skills!O3</f>
        <v>121.736</v>
      </c>
      <c r="G249">
        <f>Calc!G3</f>
        <v>3</v>
      </c>
      <c r="H249">
        <f>Calc!H3</f>
        <v>1</v>
      </c>
      <c r="I249">
        <f>IF(Skills!X3&lt;&gt;"",1+(Skills!X3/10)*(Z249/1000)/100,1)</f>
        <v>4.8250000000000002</v>
      </c>
      <c r="J249">
        <f>((Inputs!$B$6*(1+Inputs!$B$7/100))+(((Inputs!$B$12*(1+Inputs!$B$13/100))-(Inputs!$B$12*(1+Inputs!$B$13/100)))+0.25*(Inputs!$B$14-Inputs!$B$14))*(1+Inputs!$B$7/100))*(F249/100)</f>
        <v>439630720.9605478</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10658554617221.965</v>
      </c>
      <c r="L249">
        <f>K249*(MIN(Inputs!$B$22+(F268-Calc!F22),(Inputs!$B$23+(IF(ArtifactsInput!$M$15,CHOOSE(ArtifactsInput!$N$15+1,25,30,35,40,45,50)/100*(Inputs!$B$11-Inputs!$B$11),0))))/100+(Inputs!$B$23+(IF(ArtifactsInput!$M$15,CHOOSE(ArtifactsInput!$N$15+1,25,30,35,40,45,50)/100*(Inputs!$B$11-Inputs!$B$11),0)))/100)/2</f>
        <v>35439694102263.031</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249">
        <f>L249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249">
        <f>(1-Summary!$B$11)*S249+Summary!$B$11*U249</f>
        <v>2909849116615927</v>
      </c>
      <c r="P249">
        <f>IF(B287=0,0,O249/B287)</f>
        <v>8.7906183486168132E-2</v>
      </c>
      <c r="Q249">
        <f>IFERROR(1/(IF(Inputs!$B$38="pvp",15,MAX(0.1,Skills!E3-IF(FALSE=TRUE,Inputs!$B$32,0)))*(1-IF(AND(ArtifactsInput!$M$27,Inputs!$B$4="Chapter Hunt"),CHOOSE(ArtifactsInput!$N$27+1,20,24,28,32,36,40),0)/100)),0)</f>
        <v>1</v>
      </c>
      <c r="R249">
        <f>IF(AND(Inputs!$B$38&lt;&gt;"pvp",Inputs!$B$43&gt;0),IF(MAX(0,Inputs!$B$43-B284)&lt;=0,0,(INT(MAX(0,Inputs!$B$43-B284)/(IF(Inputs!$B$38="pvp",15,MAX(0.1,Skills!E3-IF(FALSE=TRUE,Inputs!$B$32,0)))*(1-IF(AND(ArtifactsInput!$M$27,Inputs!$B$4="Chapter Hunt"),CHOOSE(ArtifactsInput!$N$27+1,20,24,28,32,36,40),0)/100)))+1)),0)</f>
        <v>38</v>
      </c>
      <c r="S249">
        <f>IF(C249,(H249*N249*IF(AND(Inputs!$B$38&lt;&gt;"pvp",Inputs!$B$43&gt;0),((Skills!G3*((R249-1)*IF(Skills!H3&gt;0,Skills!I3/Skills!H3,1)+IF(Skills!H3&gt;0,MIN(Skills!I3,MAX(0,MAX(0,Inputs!$B$43-B284)-((R249-1)*(IF(Inputs!$B$38="pvp",15,MAX(0.1,Skills!E3-IF(FALSE=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1515695362954733.8</v>
      </c>
      <c r="T249">
        <f>INDEX(FactorTable!$B$2:$Y$301, MATCH(ROUND(MIN(300,MAX(1,T248)),0), FactorTable!$A$2:$A$301,0), 22)</f>
        <v>1740</v>
      </c>
      <c r="U249">
        <f>IF(C249,(H249*N249*IF(AND(Inputs!$B$38&lt;&gt;"pvp",Inputs!$B$43&gt;0),((Skills!G3*((R249-1)*IF(Skills!H3&gt;0,Skills!I3/Skills!H3,1)+IF(Skills!H3&gt;0,MIN(Skills!I3,MAX(0,MAX(0,Inputs!$B$43-B284)-((R249-1)*(IF(Inputs!$B$38="pvp",15,MAX(0.1,Skills!E3-IF(FALSE=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249">
        <f>INDEX(FactorTable!$B$2:$Y$301, MATCH(ROUND(MIN(300,MAX(1,Z248)),0), FactorTable!$A$2:$A$301,0), 24)</f>
        <v>7650</v>
      </c>
    </row>
    <row r="250" spans="1:26" x14ac:dyDescent="0.2">
      <c r="A250" t="str">
        <f>Skills!A4</f>
        <v>POISON_BREATH</v>
      </c>
      <c r="B250" t="str">
        <f>Skills!B4</f>
        <v>Poison Breath</v>
      </c>
      <c r="C250" t="b">
        <f>TRUE</f>
        <v>1</v>
      </c>
      <c r="D250">
        <f>IF(Skills!C4=1,60+Inputs!$B$25+Inputs!$B$29,IF(Skills!C4=2,90+Inputs!$B$26+Inputs!$B$29,IF(Skills!C4=3,120+Inputs!$B$27+Inputs!$B$29,MAX(0,(Inputs!$B$3-100)*3)+Inputs!$B$28+Inputs!$B$29)))</f>
        <v>168</v>
      </c>
      <c r="E250">
        <f>INDEX(FactorTable!$B$2:$Y$301, MATCH(ROUND(MIN(300,MAX(1,D250)),0), FactorTable!$A$2:$A$301,0), Skills!M4+1)</f>
        <v>1840</v>
      </c>
      <c r="F250">
        <f>IF(Skills!N4=TRUE,(Skills!L4/10)*(E250/1000),Skills!L4/10)+Skills!O4</f>
        <v>438</v>
      </c>
      <c r="G250">
        <f>Calc!G4</f>
        <v>3</v>
      </c>
      <c r="H250">
        <f>Calc!H4</f>
        <v>1</v>
      </c>
      <c r="I250">
        <f>IF(Skills!X4&lt;&gt;"",1+(Skills!X4/10)*(Z249/1000)/100,1)</f>
        <v>7.12</v>
      </c>
      <c r="J250">
        <f>((Inputs!$B$6*(1+Inputs!$B$7/100))+(((Inputs!$B$12*(1+Inputs!$B$13/100))-(Inputs!$B$12*(1+Inputs!$B$13/100)))+0.25*(Inputs!$B$14-Inputs!$B$14))*(1+Inputs!$B$7/100))*(F250/100)</f>
        <v>1581769203.69258</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56589528290529.523</v>
      </c>
      <c r="L250">
        <f>K250*(MIN(Inputs!$B$22+(F268-Calc!F22),(Inputs!$B$23+(IF(ArtifactsInput!$M$15,CHOOSE(ArtifactsInput!$N$15+1,25,30,35,40,45,50)/100*(Inputs!$B$11-Inputs!$B$11),0))))/100+(Inputs!$B$23+(IF(ArtifactsInput!$M$15,CHOOSE(ArtifactsInput!$N$15+1,25,30,35,40,45,50)/100*(Inputs!$B$11-Inputs!$B$11),0)))/100)/2</f>
        <v>188160181566010.69</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250">
        <f>L250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250">
        <f>(1-Summary!$B$11)*S250+Summary!$B$11*U250</f>
        <v>2121703709427505.5</v>
      </c>
      <c r="P250">
        <f>IF(B287=0,0,O250/B287)</f>
        <v>6.4096407789392448E-2</v>
      </c>
      <c r="Q250">
        <f>IFERROR(1/(IF(Inputs!$B$38="pvp",15,MAX(0.1,Skills!E4-IF(TRUE=TRUE,Inputs!$B$32,0)))*(1-IF(AND(ArtifactsInput!$M$27,Inputs!$B$4="Chapter Hunt"),CHOOSE(ArtifactsInput!$N$27+1,20,24,28,32,36,40),0)/100)),0)</f>
        <v>5.5555555555555552E-2</v>
      </c>
      <c r="R250">
        <f>IF(AND(Inputs!$B$38&lt;&gt;"pvp",Inputs!$B$43&gt;0),IF(MAX(0,Inputs!$B$43-B284)&lt;=0,0,(INT(MAX(0,Inputs!$B$43-B284)/(IF(Inputs!$B$38="pvp",15,MAX(0.1,Skills!E4-IF(TRUE=TRUE,Inputs!$B$32,0)))*(1-IF(AND(ArtifactsInput!$M$27,Inputs!$B$4="Chapter Hunt"),CHOOSE(ArtifactsInput!$N$27+1,20,24,28,32,36,40),0)/100)))+1)),0)</f>
        <v>3</v>
      </c>
      <c r="S250">
        <f>IF(C250,(H250*N250*IF(AND(Inputs!$B$38&lt;&gt;"pvp",Inputs!$B$43&gt;0),((Skills!G4*((R250-1)*IF(Skills!H4&gt;0,Skills!I4/Skills!H4,1)+IF(Skills!H4&gt;0,MIN(Skills!I4,MAX(0,MAX(0,Inputs!$B$43-B284)-((R250-1)*(IF(Inputs!$B$38="pvp",15,MAX(0.1,Skills!E4-IF(TRUE=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635312410167558.25</v>
      </c>
      <c r="T250">
        <f>290*T249/1000</f>
        <v>504.6</v>
      </c>
      <c r="U250">
        <f>IF(C250,(H250*N250*IF(AND(Inputs!$B$38&lt;&gt;"pvp",Inputs!$B$43&gt;0),((Skills!G4*((R250-1)*IF(Skills!H4&gt;0,Skills!I4/Skills!H4,1)+IF(Skills!H4&gt;0,MIN(Skills!I4,MAX(0,MAX(0,Inputs!$B$43-B284)-((R250-1)*(IF(Inputs!$B$38="pvp",15,MAX(0.1,Skills!E4-IF(TRUE=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251" spans="1:26" x14ac:dyDescent="0.2">
      <c r="A251" t="str">
        <f>Skills!A5</f>
        <v>ELEMENTAL_DRAIN</v>
      </c>
      <c r="B251" t="str">
        <f>Skills!B5</f>
        <v>Elemental Drain</v>
      </c>
      <c r="C251" t="b">
        <f>TRUE</f>
        <v>1</v>
      </c>
      <c r="D251">
        <f>IF(Skills!C5=1,60+Inputs!$B$25+Inputs!$B$29,IF(Skills!C5=2,90+Inputs!$B$26+Inputs!$B$29,IF(Skills!C5=3,120+Inputs!$B$27+Inputs!$B$29,MAX(0,(Inputs!$B$3-100)*3)+Inputs!$B$28+Inputs!$B$29)))</f>
        <v>168</v>
      </c>
      <c r="E251">
        <f>INDEX(FactorTable!$B$2:$Y$301, MATCH(ROUND(MIN(300,MAX(1,D251)),0), FactorTable!$A$2:$A$301,0), Skills!M5+1)</f>
        <v>1672</v>
      </c>
      <c r="F251">
        <f>IF(Skills!N5=TRUE,(Skills!L5/10)*(E251/1000),Skills!L5/10)+Skills!O5</f>
        <v>20.064</v>
      </c>
      <c r="G251">
        <f>Calc!G5</f>
        <v>5</v>
      </c>
      <c r="H251">
        <f>Calc!H5</f>
        <v>1</v>
      </c>
      <c r="I251">
        <f>IF(Skills!X5&lt;&gt;"",1+(Skills!X5/10)*(Z249/1000)/100,1)</f>
        <v>12.475</v>
      </c>
      <c r="J251">
        <f>((Inputs!$B$6*(1+Inputs!$B$7/100))+(((Inputs!$B$12*(1+Inputs!$B$13/100))-(Inputs!$B$12*(1+Inputs!$B$13/100)))+0.25*(Inputs!$B$14-Inputs!$B$14))*(1+Inputs!$B$7/100))*(F251/100)</f>
        <v>72458030.371890247</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4541925884983.542</v>
      </c>
      <c r="L251">
        <f>K251*(MIN(Inputs!$B$22+(F268-Calc!F22),(Inputs!$B$23+(IF(ArtifactsInput!$M$15,CHOOSE(ArtifactsInput!$N$15+1,25,30,35,40,45,50)/100*(Inputs!$B$11-Inputs!$B$11),0))))/100+(Inputs!$B$23+(IF(ArtifactsInput!$M$15,CHOOSE(ArtifactsInput!$N$15+1,25,30,35,40,45,50)/100*(Inputs!$B$11-Inputs!$B$11),0)))/100)/2</f>
        <v>15101903567570.277</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251">
        <f>L251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251">
        <f>(1-Summary!$B$11)*S251+Summary!$B$11*U251</f>
        <v>1047697561503522</v>
      </c>
      <c r="P251">
        <f>IF(B287=0,0,O251/B287)</f>
        <v>3.165081431667089E-2</v>
      </c>
      <c r="Q251">
        <f>IFERROR(1/(IF(Inputs!$B$38="pvp",15,MAX(0.1,Skills!E5-IF(FALSE=TRUE,Inputs!$B$32,0)))*(1-IF(AND(ArtifactsInput!$M$27,Inputs!$B$4="Chapter Hunt"),CHOOSE(ArtifactsInput!$N$27+1,20,24,28,32,36,40),0)/100)),0)</f>
        <v>1</v>
      </c>
      <c r="R251">
        <f>IF(AND(Inputs!$B$38&lt;&gt;"pvp",Inputs!$B$43&gt;0),IF(MAX(0,Inputs!$B$43-B284)&lt;=0,0,(INT(MAX(0,Inputs!$B$43-B284)/(IF(Inputs!$B$38="pvp",15,MAX(0.1,Skills!E5-IF(FALSE=TRUE,Inputs!$B$32,0)))*(1-IF(AND(ArtifactsInput!$M$27,Inputs!$B$4="Chapter Hunt"),CHOOSE(ArtifactsInput!$N$27+1,20,24,28,32,36,40),0)/100)))+1)),0)</f>
        <v>38</v>
      </c>
      <c r="S251">
        <f>IF(C251,(H251*N251*IF(AND(Inputs!$B$38&lt;&gt;"pvp",Inputs!$B$43&gt;0),((Skills!G5*((R251-1)*IF(Skills!H5&gt;0,Skills!I5/Skills!H5,1)+IF(Skills!H5&gt;0,MIN(Skills!I5,MAX(0,MAX(0,Inputs!$B$43-B284)-((R251-1)*(IF(Inputs!$B$38="pvp",15,MAX(0.1,Skills!E5-IF(FALSE=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1076471161738675.2</v>
      </c>
      <c r="U251">
        <f>IF(C251,(H251*N251*IF(AND(Inputs!$B$38&lt;&gt;"pvp",Inputs!$B$43&gt;0),((Skills!G5*((R251-1)*IF(Skills!H5&gt;0,Skills!I5/Skills!H5,1)+IF(Skills!H5&gt;0,MIN(Skills!I5,MAX(0,MAX(0,Inputs!$B$43-B284)-((R251-1)*(IF(Inputs!$B$38="pvp",15,MAX(0.1,Skills!E5-IF(FALSE=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252" spans="1:26" x14ac:dyDescent="0.2">
      <c r="A252" t="str">
        <f>Skills!A6</f>
        <v>MEDITATION</v>
      </c>
      <c r="B252" t="str">
        <f>Skills!B6</f>
        <v>Meditation</v>
      </c>
      <c r="C252" t="b">
        <f>TRUE</f>
        <v>1</v>
      </c>
      <c r="D252">
        <f>IF(Skills!C6=1,60+Inputs!$B$25+Inputs!$B$29,IF(Skills!C6=2,90+Inputs!$B$26+Inputs!$B$29,IF(Skills!C6=3,120+Inputs!$B$27+Inputs!$B$29,MAX(0,(Inputs!$B$3-100)*3)+Inputs!$B$28+Inputs!$B$29)))</f>
        <v>168</v>
      </c>
      <c r="E252">
        <f>INDEX(FactorTable!$B$2:$Y$301, MATCH(ROUND(MIN(300,MAX(1,D252)),0), FactorTable!$A$2:$A$301,0), Skills!M6+1)</f>
        <v>1672</v>
      </c>
      <c r="F252">
        <f>IF(Skills!N6=TRUE,(Skills!L6/10)*(E252/1000),Skills!L6/10)+Skills!O6</f>
        <v>33.44</v>
      </c>
      <c r="G252">
        <f>Calc!G6</f>
        <v>1</v>
      </c>
      <c r="H252">
        <f>Calc!H6</f>
        <v>1</v>
      </c>
      <c r="I252">
        <f>IF(Skills!X6&lt;&gt;"",1+(Skills!X6/10)*(Z249/1000)/100,1)</f>
        <v>1</v>
      </c>
      <c r="O252">
        <f>(1-Summary!$B$11)*S252+Summary!$B$11*U252</f>
        <v>0</v>
      </c>
      <c r="P252">
        <f>IF(B287=0,0,O252/B287)</f>
        <v>0</v>
      </c>
      <c r="Q252">
        <f>IFERROR(1/(IF(Inputs!$B$38="pvp",15,MAX(0.1,Skills!E6-IF(TRUE=TRUE,Inputs!$B$32,0)))*(1-IF(AND(ArtifactsInput!$M$27,Inputs!$B$4="Chapter Hunt"),CHOOSE(ArtifactsInput!$N$27+1,20,24,28,32,36,40),0)/100)),0)</f>
        <v>3.3333333333333333E-2</v>
      </c>
      <c r="R252">
        <f>IF(AND(Inputs!$B$38&lt;&gt;"pvp",Inputs!$B$43&gt;0),IF(Inputs!$B$43&lt;=0,0,(INT(Inputs!$B$43/(IF(Inputs!$B$38="pvp",15,MAX(0.1,Skills!E6-IF(TRUE=TRUE,Inputs!$B$32,0)))*(1-IF(AND(ArtifactsInput!$M$27,Inputs!$B$4="Chapter Hunt"),CHOOSE(ArtifactsInput!$N$27+1,20,24,28,32,36,40),0)/100)))+1)),0)</f>
        <v>2</v>
      </c>
      <c r="S252">
        <v>0</v>
      </c>
      <c r="U252">
        <v>0</v>
      </c>
    </row>
    <row r="253" spans="1:26" x14ac:dyDescent="0.2">
      <c r="A253" t="str">
        <f>Skills!A7</f>
        <v>POISON_MIST_BURST</v>
      </c>
      <c r="B253" t="str">
        <f>Skills!B7</f>
        <v>Poison Mist (burst)</v>
      </c>
      <c r="C253" t="b">
        <f>TRUE</f>
        <v>1</v>
      </c>
      <c r="D253">
        <f>IF(Skills!C7=1,60+Inputs!$B$25+Inputs!$B$29,IF(Skills!C7=2,90+Inputs!$B$26+Inputs!$B$29,IF(Skills!C7=3,120+Inputs!$B$27+Inputs!$B$29,MAX(0,(Inputs!$B$3-100)*3)+Inputs!$B$28+Inputs!$B$29)))</f>
        <v>184</v>
      </c>
      <c r="E253">
        <f>INDEX(FactorTable!$B$2:$Y$301, MATCH(ROUND(MIN(300,MAX(1,D253)),0), FactorTable!$A$2:$A$301,0), Skills!M7+1)</f>
        <v>1920</v>
      </c>
      <c r="F253">
        <f>IF(Skills!N7=TRUE,(Skills!L7/10)*(E253/1000),Skills!L7/10)+Skills!O7</f>
        <v>357.2</v>
      </c>
      <c r="G253">
        <f>Calc!G7</f>
        <v>3</v>
      </c>
      <c r="H253">
        <f>Calc!H7</f>
        <v>1</v>
      </c>
      <c r="I253">
        <f>IF(Skills!X7&lt;&gt;"",1+(Skills!X7/10)*(Z249/1000)/100,1)</f>
        <v>1.7650000000000001</v>
      </c>
      <c r="J253">
        <f>((Inputs!$B$6*(1+Inputs!$B$7/100))+(((Inputs!$B$12*(1+Inputs!$B$13/100))-(Inputs!$B$12*(1+Inputs!$B$13/100)))+0.25*(Inputs!$B$14-Inputs!$B$14))*(1+Inputs!$B$7/100))*(F253/100)</f>
        <v>1289972510.4086521</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11440318873772.086</v>
      </c>
      <c r="L253">
        <f>K253*(MIN(Inputs!$B$22+(F268-Calc!F22),(Inputs!$B$23+(IF(ArtifactsInput!$M$15,CHOOSE(ArtifactsInput!$N$15+1,25,30,35,40,45,50)/100*(Inputs!$B$11-Inputs!$B$11),0))))/100+(Inputs!$B$23+(IF(ArtifactsInput!$M$15,CHOOSE(ArtifactsInput!$N$15+1,25,30,35,40,45,50)/100*(Inputs!$B$11-Inputs!$B$11),0)))/100)/2</f>
        <v>38039060255292.188</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253">
        <f>L253*(1-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253">
        <f>(1-Summary!$B$11)*S253+Summary!$B$11*U253</f>
        <v>448047788060430.56</v>
      </c>
      <c r="P253">
        <f>IF(B287=0,0,O253/B287)</f>
        <v>1.3535468503472439E-2</v>
      </c>
      <c r="Q253">
        <f>IFERROR(1/(IF(Inputs!$B$38="pvp",15,MAX(0.1,Skills!E7-IF(TRUE=TRUE,Inputs!$B$32,0)))*(1-IF(AND(ArtifactsInput!$M$27,Inputs!$B$4="Chapter Hunt"),CHOOSE(ArtifactsInput!$N$27+1,20,24,28,32,36,40),0)/100)),0)</f>
        <v>4.0816326530612242E-2</v>
      </c>
      <c r="R253">
        <f>IF(AND(Inputs!$B$38&lt;&gt;"pvp",Inputs!$B$43&gt;0),IF(MAX(0,Inputs!$B$43-B284)&lt;=0,0,(INT(MAX(0,Inputs!$B$43-B284)/(IF(Inputs!$B$38="pvp",15,MAX(0.1,Skills!E7-IF(TRUE=TRUE,Inputs!$B$32,0)))*(1-IF(AND(ArtifactsInput!$M$27,Inputs!$B$4="Chapter Hunt"),CHOOSE(ArtifactsInput!$N$27+1,20,24,28,32,36,40),0)/100)))+1)),0)</f>
        <v>2</v>
      </c>
      <c r="S253">
        <f>IF(C253,(H253*N253*IF(AND(Inputs!$B$38&lt;&gt;"pvp",Inputs!$B$43&gt;0),((Skills!G7*((R253-1)*IF(Skills!H7&gt;0,Skills!I7/Skills!H7,1)+IF(Skills!H7&gt;0,MIN(Skills!I7,MAX(0,MAX(0,Inputs!$B$43-B284)-((R253-1)*(IF(Inputs!$B$38="pvp",15,MAX(0.1,Skills!E7-IF(TRUE=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85624517189433.266</v>
      </c>
      <c r="U253">
        <f>IF(C253,(H253*N253*IF(AND(Inputs!$B$38&lt;&gt;"pvp",Inputs!$B$43&gt;0),((Skills!G7*((R253-1)*IF(Skills!H7&gt;0,Skills!I7/Skills!H7,1)+IF(Skills!H7&gt;0,MIN(Skills!I7,MAX(0,MAX(0,Inputs!$B$43-B284)-((R253-1)*(IF(Inputs!$B$38="pvp",15,MAX(0.1,Skills!E7-IF(TRUE=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254" spans="1:26" x14ac:dyDescent="0.2">
      <c r="A254" t="str">
        <f>Skills!A8</f>
        <v>POISON_MIST_DOT</v>
      </c>
      <c r="B254" t="str">
        <f>Skills!B8</f>
        <v>Poison Mist (fog DoT)</v>
      </c>
      <c r="C254" t="b">
        <f>TRUE</f>
        <v>1</v>
      </c>
      <c r="D254">
        <f>IF(Skills!C8=1,60+Inputs!$B$25+Inputs!$B$29,IF(Skills!C8=2,90+Inputs!$B$26+Inputs!$B$29,IF(Skills!C8=3,120+Inputs!$B$27+Inputs!$B$29,MAX(0,(Inputs!$B$3-100)*3)+Inputs!$B$28+Inputs!$B$29)))</f>
        <v>184</v>
      </c>
      <c r="E254">
        <f>INDEX(FactorTable!$B$2:$Y$301, MATCH(ROUND(MIN(300,MAX(1,D254)),0), FactorTable!$A$2:$A$301,0), Skills!M8+1)</f>
        <v>1920</v>
      </c>
      <c r="F254">
        <f>IF(Skills!N8=TRUE,(Skills!L8/10)*(E254/1000),Skills!L8/10)+Skills!O8</f>
        <v>134.4</v>
      </c>
      <c r="G254">
        <f>Calc!G8</f>
        <v>50</v>
      </c>
      <c r="H254">
        <f>Calc!H8</f>
        <v>1</v>
      </c>
      <c r="I254">
        <f>IF(Skills!X8&lt;&gt;"",1+(Skills!X8/10)*(Z249/1000)/100,1)</f>
        <v>1.7650000000000001</v>
      </c>
      <c r="J254">
        <f>((Inputs!$B$6*(1+Inputs!$B$7/100))+(((Inputs!$B$12*(1+Inputs!$B$13/100))-(Inputs!$B$12*(1+Inputs!$B$13/100)))+0.25*(Inputs!$B$14-Inputs!$B$14))*(1+Inputs!$B$7/100))*(F254/100)</f>
        <v>485364796.74950409</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4304532073446.1597</v>
      </c>
      <c r="L254">
        <f>K254*(MIN(Inputs!$B$22+(F268-Calc!F22),(Inputs!$B$23+(IF(ArtifactsInput!$M$15,CHOOSE(ArtifactsInput!$N$15+1,25,30,35,40,45,50)/100*(Inputs!$B$11-Inputs!$B$11),0))))/100+(Inputs!$B$23+(IF(ArtifactsInput!$M$15,CHOOSE(ArtifactsInput!$N$15+1,25,30,35,40,45,50)/100*(Inputs!$B$11-Inputs!$B$11),0)))/100)/2</f>
        <v>14312569144208.482</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254">
        <f>L254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254">
        <f>(1-Summary!$B$11)*S254+Summary!$B$11*U254</f>
        <v>2328171551314591</v>
      </c>
      <c r="P254">
        <f>IF(B287=0,0,O254/B287)</f>
        <v>7.0333775867785123E-2</v>
      </c>
      <c r="Q254">
        <f>IFERROR(1/(IF(Inputs!$B$38="pvp",15,MAX(0.1,Skills!E8-IF(TRUE=TRUE,Inputs!$B$32,0)))*(1-IF(AND(ArtifactsInput!$M$27,Inputs!$B$4="Chapter Hunt"),CHOOSE(ArtifactsInput!$N$27+1,20,24,28,32,36,40),0)/100)),0)</f>
        <v>4.0816326530612242E-2</v>
      </c>
      <c r="R254">
        <f>IF(AND(Inputs!$B$38&lt;&gt;"pvp",Inputs!$B$43&gt;0),IF(MAX(0,Inputs!$B$43-B284)&lt;=0,0,(INT(MAX(0,Inputs!$B$43-B284)/(IF(Inputs!$B$38="pvp",15,MAX(0.1,Skills!E8-IF(TRUE=TRUE,Inputs!$B$32,0)))*(1-IF(AND(ArtifactsInput!$M$27,Inputs!$B$4="Chapter Hunt"),CHOOSE(ArtifactsInput!$N$27+1,20,24,28,32,36,40),0)/100)))+1)),0)</f>
        <v>2</v>
      </c>
      <c r="S254">
        <f>IF(C254,(H254*N254*IF(AND(Inputs!$B$38&lt;&gt;"pvp",Inputs!$B$43&gt;0),((Skills!G8*((R254-1)*IF(Skills!H8&gt;0,Skills!I8/Skills!H8,1)+IF(Skills!H8&gt;0,MIN(Skills!I8,MAX(0,MAX(0,Inputs!$B$43-B284)-((R254-1)*(IF(Inputs!$B$38="pvp",15,MAX(0.1,Skills!E8-IF(TRUE=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444927015215168.31</v>
      </c>
      <c r="U254">
        <f>IF(C254,(H254*N254*IF(AND(Inputs!$B$38&lt;&gt;"pvp",Inputs!$B$43&gt;0),((Skills!G8*((R254-1)*IF(Skills!H8&gt;0,Skills!I8/Skills!H8,1)+IF(Skills!H8&gt;0,MIN(Skills!I8,MAX(0,MAX(0,Inputs!$B$43-B284)-((R254-1)*(IF(Inputs!$B$38="pvp",15,MAX(0.1,Skills!E8-IF(TRUE=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255" spans="1:26" x14ac:dyDescent="0.2">
      <c r="A255" t="str">
        <f>Skills!A9</f>
        <v>MIST_ERUPTION</v>
      </c>
      <c r="B255" t="str">
        <f>Skills!B9</f>
        <v>Mist Eruption</v>
      </c>
      <c r="C255" t="b">
        <f>Inputs!$B$3&gt;=103</f>
        <v>1</v>
      </c>
      <c r="D255">
        <f>IF(Skills!C9=1,60+Inputs!$B$25+Inputs!$B$29,IF(Skills!C9=2,90+Inputs!$B$26+Inputs!$B$29,IF(Skills!C9=3,120+Inputs!$B$27+Inputs!$B$29,MAX(0,(Inputs!$B$3-100)*3)+Inputs!$B$28+Inputs!$B$29)))</f>
        <v>185</v>
      </c>
      <c r="E255">
        <f>INDEX(FactorTable!$B$2:$Y$301, MATCH(ROUND(MIN(300,MAX(1,D255)),0), FactorTable!$A$2:$A$301,0), Skills!M9+1)</f>
        <v>1925</v>
      </c>
      <c r="F255">
        <f>IF(Skills!N9=TRUE,(Skills!L9/10)*(E255/1000),Skills!L9/10)+Skills!O9</f>
        <v>5775</v>
      </c>
      <c r="G255">
        <f>Calc!G9</f>
        <v>2.5</v>
      </c>
      <c r="H255">
        <f>Calc!H9</f>
        <v>1</v>
      </c>
      <c r="I255">
        <f>IF(Skills!X9&lt;&gt;"",1+(Skills!X9/10)*(Z249/1000)/100,1)</f>
        <v>1</v>
      </c>
      <c r="J255">
        <f>((Inputs!$B$6*(1+Inputs!$B$7/100))+(((Inputs!$B$12*(1+Inputs!$B$13/100))-(Inputs!$B$12*(1+Inputs!$B$13/100)))+0.25*(Inputs!$B$14-Inputs!$B$14))*(1+Inputs!$B$7/100))*(F255/100)</f>
        <v>20855518610.330254</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104793406533081.95</v>
      </c>
      <c r="L255">
        <f>K255*(MIN(Inputs!$B$22+(F268-Calc!F22),(Inputs!$B$23+(IF(ArtifactsInput!$M$15,CHOOSE(ArtifactsInput!$N$15+1,25,30,35,40,45,50)/100*(Inputs!$B$11-Inputs!$B$11),0))))/100+(Inputs!$B$23+(IF(ArtifactsInput!$M$15,CHOOSE(ArtifactsInput!$N$15+1,25,30,35,40,45,50)/100*(Inputs!$B$11-Inputs!$B$11),0)))/100)/2</f>
        <v>348438076722497.5</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255">
        <f>L255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255">
        <f>(1-Summary!$B$11)*S255+Summary!$B$11*U255</f>
        <v>3420100910831208.5</v>
      </c>
      <c r="P255">
        <f>IF(B287=0,0,O255/B287)</f>
        <v>0.10332082735560673</v>
      </c>
      <c r="Q255">
        <f>IFERROR(1/(IF(Inputs!$B$38="pvp",15,MAX(0.1,Skills!E9-IF(TRUE=TRUE,Inputs!$B$32,0)))*(1-IF(AND(ArtifactsInput!$M$27,Inputs!$B$4="Chapter Hunt"),CHOOSE(ArtifactsInput!$N$27+1,20,24,28,32,36,40),0)/100)),0)</f>
        <v>4.0816326530612242E-2</v>
      </c>
      <c r="R255">
        <f>IF(AND(Inputs!$B$38&lt;&gt;"pvp",Inputs!$B$43&gt;0),IF(MAX(0,Inputs!$B$43-B284)&lt;=0,0,(INT(MAX(0,Inputs!$B$43-B284)/(IF(Inputs!$B$38="pvp",15,MAX(0.1,Skills!E9-IF(TRUE=TRUE,Inputs!$B$32,0)))*(1-IF(AND(ArtifactsInput!$M$27,Inputs!$B$4="Chapter Hunt"),CHOOSE(ArtifactsInput!$N$27+1,20,24,28,32,36,40),0)/100)))+1)),0)</f>
        <v>2</v>
      </c>
      <c r="S255">
        <f>IF(C255,(H255*N255*IF(AND(Inputs!$B$38&lt;&gt;"pvp",Inputs!$B$43&gt;0),((Skills!G9*((R255-1)*IF(Skills!H9&gt;0,Skills!I9/Skills!H9,1)+IF(Skills!H9&gt;0,MIN(Skills!I9,MAX(0,MAX(0,Inputs!$B$43-B284)-((R255-1)*(IF(Inputs!$B$38="pvp",15,MAX(0.1,Skills!E9-IF(TRUE=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653601015411252.62</v>
      </c>
      <c r="U255">
        <f>IF(C255,(H255*N255*IF(AND(Inputs!$B$38&lt;&gt;"pvp",Inputs!$B$43&gt;0),((Skills!G9*((R255-1)*IF(Skills!H9&gt;0,Skills!I9/Skills!H9,1)+IF(Skills!H9&gt;0,MIN(Skills!I9,MAX(0,MAX(0,Inputs!$B$43-B284)-((R255-1)*(IF(Inputs!$B$38="pvp",15,MAX(0.1,Skills!E9-IF(TRUE=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256" spans="1:26" x14ac:dyDescent="0.2">
      <c r="A256" t="str">
        <f>Skills!A10</f>
        <v>CREEPING_TOXIN</v>
      </c>
      <c r="B256" t="str">
        <f>Skills!B10</f>
        <v>Creeping Toxin</v>
      </c>
      <c r="C256" t="b">
        <f>TRUE</f>
        <v>1</v>
      </c>
      <c r="D256">
        <f>IF(Skills!C10=1,60+Inputs!$B$25+Inputs!$B$29,IF(Skills!C10=2,90+Inputs!$B$26+Inputs!$B$29,IF(Skills!C10=3,120+Inputs!$B$27+Inputs!$B$29,MAX(0,(Inputs!$B$3-100)*3)+Inputs!$B$28+Inputs!$B$29)))</f>
        <v>184</v>
      </c>
      <c r="E256">
        <f>INDEX(FactorTable!$B$2:$Y$301, MATCH(ROUND(MIN(300,MAX(1,D256)),0), FactorTable!$A$2:$A$301,0), Skills!M10+1)</f>
        <v>1920</v>
      </c>
      <c r="F256">
        <f>IF(Skills!N10=TRUE,(Skills!L10/10)*(E256/1000),Skills!L10/10)+Skills!O10</f>
        <v>280.39999999999998</v>
      </c>
      <c r="G256">
        <f>Calc!G10</f>
        <v>15</v>
      </c>
      <c r="H256">
        <f>Calc!H10</f>
        <v>1</v>
      </c>
      <c r="I256">
        <f>IF(Skills!X10&lt;&gt;"",1+(Skills!X10/10)*(Z249/1000)/100,1)</f>
        <v>1.7650000000000001</v>
      </c>
      <c r="J256">
        <f>((Inputs!$B$6*(1+Inputs!$B$7/100))+(((Inputs!$B$12*(1+Inputs!$B$13/100))-(Inputs!$B$12*(1+Inputs!$B$13/100)))+0.25*(Inputs!$B$14-Inputs!$B$14))*(1+Inputs!$B$7/100))*(F256/100)</f>
        <v>1012621197.9803641</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8980586260374.2793</v>
      </c>
      <c r="L256">
        <f>K256*(MIN(Inputs!$B$22+(F268-Calc!F22),(Inputs!$B$23+(IF(ArtifactsInput!$M$15,CHOOSE(ArtifactsInput!$N$15+1,25,30,35,40,45,50)/100*(Inputs!$B$11-Inputs!$B$11),0))))/100+(Inputs!$B$23+(IF(ArtifactsInput!$M$15,CHOOSE(ArtifactsInput!$N$15+1,25,30,35,40,45,50)/100*(Inputs!$B$11-Inputs!$B$11),0)))/100)/2</f>
        <v>29860449315744.48</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256">
        <f>L256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256">
        <f>(1-Summary!$B$11)*S256+Summary!$B$11*U256</f>
        <v>324775159586253.12</v>
      </c>
      <c r="P256">
        <f>IF(B287=0,0,O256/B287)</f>
        <v>9.8114175773970219E-3</v>
      </c>
      <c r="Q256">
        <f>IFERROR(1/(IF(Inputs!$B$38="pvp",15,MAX(0.1,Skills!E10-IF(TRUE=TRUE,Inputs!$B$32,0)))*(1-IF(AND(ArtifactsInput!$M$27,Inputs!$B$4="Chapter Hunt"),CHOOSE(ArtifactsInput!$N$27+1,20,24,28,32,36,40),0)/100)),0)</f>
        <v>3.7037037037037035E-2</v>
      </c>
      <c r="R256">
        <f>IF(AND(Inputs!$B$38&lt;&gt;"pvp",Inputs!$B$43&gt;0),IF(MAX(0,Inputs!$B$43-B284)&lt;=0,0,(INT(MAX(0,Inputs!$B$43-B284)/(IF(Inputs!$B$38="pvp",15,MAX(0.1,Skills!E10-IF(TRUE=TRUE,Inputs!$B$32,0)))*(1-IF(AND(ArtifactsInput!$M$27,Inputs!$B$4="Chapter Hunt"),CHOOSE(ArtifactsInput!$N$27+1,20,24,28,32,36,40),0)/100)))+1)),0)</f>
        <v>2</v>
      </c>
      <c r="S256">
        <f>IF(C256,(H256*N256*IF(AND(Inputs!$B$38&lt;&gt;"pvp",Inputs!$B$43&gt;0),((Skills!G10*((R256-1)*IF(Skills!H10&gt;0,Skills!I10/Skills!H10,1)+IF(Skills!H10&gt;0,MIN(Skills!I10,MAX(0,MAX(0,Inputs!$B$43-B284)-((R256-1)*(IF(Inputs!$B$38="pvp",15,MAX(0.1,Skills!E10-IF(TRUE=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287283729481025</v>
      </c>
      <c r="U256">
        <f>IF(C256,(H256*N256*IF(AND(Inputs!$B$38&lt;&gt;"pvp",Inputs!$B$43&gt;0),((Skills!G10*((R256-1)*IF(Skills!H10&gt;0,Skills!I10/Skills!H10,1)+IF(Skills!H10&gt;0,MIN(Skills!I10,MAX(0,MAX(0,Inputs!$B$43-B284)-((R256-1)*(IF(Inputs!$B$38="pvp",15,MAX(0.1,Skills!E10-IF(TRUE=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257" spans="1:21" x14ac:dyDescent="0.2">
      <c r="A257" t="str">
        <f>Skills!A11</f>
        <v>BURNING_MAGIC</v>
      </c>
      <c r="B257" t="str">
        <f>Skills!B11</f>
        <v>Burning Magic</v>
      </c>
      <c r="C257" t="b">
        <f>TRUE</f>
        <v>1</v>
      </c>
      <c r="D257">
        <f>IF(Skills!C11=1,60+Inputs!$B$25+Inputs!$B$29,IF(Skills!C11=2,90+Inputs!$B$26+Inputs!$B$29,IF(Skills!C11=3,120+Inputs!$B$27+Inputs!$B$29,MAX(0,(Inputs!$B$3-100)*3)+Inputs!$B$28+Inputs!$B$29)))</f>
        <v>184</v>
      </c>
      <c r="E257">
        <f>INDEX(FactorTable!$B$2:$Y$301, MATCH(ROUND(MIN(300,MAX(1,D257)),0), FactorTable!$A$2:$A$301,0), Skills!M11+1)</f>
        <v>0</v>
      </c>
      <c r="F257">
        <f>IF(Skills!N11=TRUE,(Skills!L11/10)*(E257/1000),Skills!L11/10)+Skills!O11</f>
        <v>5</v>
      </c>
      <c r="G257">
        <f>Calc!G11</f>
        <v>1</v>
      </c>
      <c r="H257">
        <f>Calc!H11</f>
        <v>1</v>
      </c>
      <c r="I257">
        <f>IF(Skills!X11&lt;&gt;"",1+(Skills!X11/10)*(Z249/1000)/100,1)</f>
        <v>1</v>
      </c>
      <c r="O257">
        <f>(1-Summary!$B$11)*S257+Summary!$B$11*U257</f>
        <v>0</v>
      </c>
      <c r="P257">
        <f>IF(B287=0,0,O257/B287)</f>
        <v>0</v>
      </c>
      <c r="Q257">
        <f>IFERROR(1/(IF(Inputs!$B$38="pvp",15,MAX(0.1,Skills!E11-IF(TRUE=TRUE,Inputs!$B$32,0)))*(1-IF(AND(ArtifactsInput!$M$27,Inputs!$B$4="Chapter Hunt"),CHOOSE(ArtifactsInput!$N$27+1,20,24,28,32,36,40),0)/100)),0)</f>
        <v>10</v>
      </c>
      <c r="R257">
        <v>0</v>
      </c>
      <c r="S257">
        <v>0</v>
      </c>
      <c r="U257">
        <v>0</v>
      </c>
    </row>
    <row r="258" spans="1:21" x14ac:dyDescent="0.2">
      <c r="A258" t="str">
        <f>Skills!A12</f>
        <v>ELEMENTAL_DECREASE</v>
      </c>
      <c r="B258" t="str">
        <f>Skills!B12</f>
        <v>Elemental Decrease</v>
      </c>
      <c r="C258" t="b">
        <f>TRUE</f>
        <v>1</v>
      </c>
      <c r="D258">
        <f>IF(Skills!C12=1,60+Inputs!$B$25+Inputs!$B$29,IF(Skills!C12=2,90+Inputs!$B$26+Inputs!$B$29,IF(Skills!C12=3,120+Inputs!$B$27+Inputs!$B$29,MAX(0,(Inputs!$B$3-100)*3)+Inputs!$B$28+Inputs!$B$29)))</f>
        <v>184</v>
      </c>
      <c r="E258">
        <f>INDEX(FactorTable!$B$2:$Y$301, MATCH(ROUND(MIN(300,MAX(1,D258)),0), FactorTable!$A$2:$A$301,0), Skills!M12+1)</f>
        <v>1552</v>
      </c>
      <c r="F258">
        <f>IF(Skills!N12=TRUE,(Skills!L12/10)*(E258/1000),Skills!L12/10)+Skills!O12</f>
        <v>18.624000000000002</v>
      </c>
      <c r="G258">
        <f>Calc!G12</f>
        <v>1</v>
      </c>
      <c r="H258">
        <f>Calc!H12</f>
        <v>0.5</v>
      </c>
      <c r="I258">
        <f>IF(Skills!X12&lt;&gt;"",1+(Skills!X12/10)*(Z249/1000)/100,1)</f>
        <v>1</v>
      </c>
      <c r="O258">
        <f>(1-Summary!$B$11)*S258+Summary!$B$11*U258</f>
        <v>0</v>
      </c>
      <c r="P258">
        <f>IF(B287=0,0,O258/B287)</f>
        <v>0</v>
      </c>
      <c r="Q258">
        <f>IFERROR(1/(IF(Inputs!$B$38="pvp",15,MAX(0.1,Skills!E12-IF(TRUE=TRUE,Inputs!$B$32,0)))*(1-IF(AND(ArtifactsInput!$M$27,Inputs!$B$4="Chapter Hunt"),CHOOSE(ArtifactsInput!$N$27+1,20,24,28,32,36,40),0)/100)),0)</f>
        <v>10</v>
      </c>
      <c r="R258">
        <v>0</v>
      </c>
      <c r="S258">
        <v>0</v>
      </c>
      <c r="U258">
        <v>0</v>
      </c>
    </row>
    <row r="259" spans="1:21" x14ac:dyDescent="0.2">
      <c r="A259" t="str">
        <f>Skills!A13</f>
        <v>METEOR_SHOWER_BURST</v>
      </c>
      <c r="B259" t="str">
        <f>Skills!B13</f>
        <v>Meteor Shower (burst)</v>
      </c>
      <c r="C259" t="b">
        <f>Inputs!$B$3&gt;=105</f>
        <v>1</v>
      </c>
      <c r="D259">
        <f>IF(Skills!C13=1,60+Inputs!$B$25+Inputs!$B$29,IF(Skills!C13=2,90+Inputs!$B$26+Inputs!$B$29,IF(Skills!C13=3,120+Inputs!$B$27+Inputs!$B$29,MAX(0,(Inputs!$B$3-100)*3)+Inputs!$B$28+Inputs!$B$29)))</f>
        <v>185</v>
      </c>
      <c r="E259">
        <f>INDEX(FactorTable!$B$2:$Y$301, MATCH(ROUND(MIN(300,MAX(1,D259)),0), FactorTable!$A$2:$A$301,0), Skills!M13+1)</f>
        <v>1925</v>
      </c>
      <c r="F259">
        <f>IF(Skills!N13=TRUE,(Skills!L13/10)*(E259/1000),Skills!L13/10)+Skills!O13</f>
        <v>1155</v>
      </c>
      <c r="G259">
        <f>Calc!G13</f>
        <v>9</v>
      </c>
      <c r="H259">
        <f>Calc!H13</f>
        <v>1</v>
      </c>
      <c r="I259">
        <f>IF(Skills!X13&lt;&gt;"",1+(Skills!X13/10)*(Z249/1000)/100,1)</f>
        <v>1</v>
      </c>
      <c r="J259">
        <f>((Inputs!$B$6*(1+Inputs!$B$7/100))+(((Inputs!$B$12*(1+Inputs!$B$13/100))-(Inputs!$B$12*(1+Inputs!$B$13/100)))+0.25*(Inputs!$B$14-Inputs!$B$14))*(1+Inputs!$B$7/100))*(F259/100)</f>
        <v>4171103722.0660505</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20958681306616.391</v>
      </c>
      <c r="L259">
        <f>K259*(MIN(Inputs!$B$22+(F268-Calc!F22),(Inputs!$B$23+(IF(ArtifactsInput!$M$15,CHOOSE(ArtifactsInput!$N$15+1,25,30,35,40,45,50)/100*(Inputs!$B$11-Inputs!$B$11),0))))/100+(Inputs!$B$23+(IF(ArtifactsInput!$M$15,CHOOSE(ArtifactsInput!$N$15+1,25,30,35,40,45,50)/100*(Inputs!$B$11-Inputs!$B$11),0)))/100)/2</f>
        <v>69687615344499.5</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259">
        <f>L259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259">
        <f>(1-Summary!$B$11)*S259+Summary!$B$11*U259</f>
        <v>1794319768723344.5</v>
      </c>
      <c r="P259">
        <f>IF(B287=0,0,O259/B287)</f>
        <v>5.420617925567589E-2</v>
      </c>
      <c r="Q259">
        <f>IFERROR(1/(IF(Inputs!$B$38="pvp",15,MAX(0.1,Skills!E13-IF(TRUE=TRUE,Inputs!$B$32,0)))*(1-IF(AND(ArtifactsInput!$M$27,Inputs!$B$4="Chapter Hunt"),CHOOSE(ArtifactsInput!$N$27+1,20,24,28,32,36,40),0)/100)),0)</f>
        <v>3.0303030303030304E-2</v>
      </c>
      <c r="R259">
        <f>IF(AND(Inputs!$B$38&lt;&gt;"pvp",Inputs!$B$43&gt;0),IF(MAX(0,Inputs!$B$43-B284)&lt;=0,0,(INT(MAX(0,Inputs!$B$43-B284)/(IF(Inputs!$B$38="pvp",15,MAX(0.1,Skills!E13-IF(TRUE=TRUE,Inputs!$B$32,0)))*(1-IF(AND(ArtifactsInput!$M$27,Inputs!$B$4="Chapter Hunt"),CHOOSE(ArtifactsInput!$N$27+1,20,24,28,32,36,40),0)/100)))+1)),0)</f>
        <v>2</v>
      </c>
      <c r="S259">
        <f>IF(C259,(H259*N259*IF(AND(Inputs!$B$38&lt;&gt;"pvp",Inputs!$B$43&gt;0),((Skills!G13*((R259-1)*IF(Skills!H13&gt;0,Skills!I13/Skills!H13,1)+IF(Skills!H13&gt;0,MIN(Skills!I13,MAX(0,MAX(0,Inputs!$B$43-B284)-((R259-1)*(IF(Inputs!$B$38="pvp",15,MAX(0.1,Skills!E13-IF(TRUE=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470592731096101.88</v>
      </c>
      <c r="U259">
        <f>IF(C259,(H259*N259*IF(AND(Inputs!$B$38&lt;&gt;"pvp",Inputs!$B$43&gt;0),((Skills!G13*((R259-1)*IF(Skills!H13&gt;0,Skills!I13/Skills!H13,1)+IF(Skills!H13&gt;0,MIN(Skills!I13,MAX(0,MAX(0,Inputs!$B$43-B284)-((R259-1)*(IF(Inputs!$B$38="pvp",15,MAX(0.1,Skills!E13-IF(TRUE=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260" spans="1:21" x14ac:dyDescent="0.2">
      <c r="A260" t="str">
        <f>Skills!A14</f>
        <v>METEOR_PROC</v>
      </c>
      <c r="B260" t="str">
        <f>Skills!B14</f>
        <v>Meteor Proc (30% on-hit, 1s ICD)</v>
      </c>
      <c r="C260" t="b">
        <f>Inputs!$B$3&gt;=113</f>
        <v>1</v>
      </c>
      <c r="D260">
        <f>IF(Skills!C14=1,60+Inputs!$B$25+Inputs!$B$29,IF(Skills!C14=2,90+Inputs!$B$26+Inputs!$B$29,IF(Skills!C14=3,120+Inputs!$B$27+Inputs!$B$29,MAX(0,(Inputs!$B$3-100)*3)+Inputs!$B$28+Inputs!$B$29)))</f>
        <v>185</v>
      </c>
      <c r="E260">
        <f>INDEX(FactorTable!$B$2:$Y$301, MATCH(ROUND(MIN(300,MAX(1,D260)),0), FactorTable!$A$2:$A$301,0), Skills!M14+1)</f>
        <v>1740</v>
      </c>
      <c r="F260">
        <f>IF(Skills!N14=TRUE,(Skills!L14/10)*(E260/1000),Skills!L14/10)+Skills!O14</f>
        <v>1653</v>
      </c>
      <c r="G260">
        <f>Calc!G14</f>
        <v>0</v>
      </c>
      <c r="H260">
        <f>Calc!H14</f>
        <v>0.30000000000000004</v>
      </c>
      <c r="I260">
        <f>IF(Skills!X14&lt;&gt;"",1+(Skills!X14/10)*(Z249/1000)/100,1)</f>
        <v>1</v>
      </c>
      <c r="J260">
        <f>((Inputs!$B$6*(1+Inputs!$B$7/100))+(((Inputs!$B$12*(1+Inputs!$B$13/100))-(Inputs!$B$12*(1+Inputs!$B$13/100)))+0.25*(Inputs!$B$14-Inputs!$B$14))*(1+Inputs!$B$7/100))*(F260/100)</f>
        <v>5969553638.5932312</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29995411428430.203</v>
      </c>
      <c r="L260">
        <f>K260*(MIN(Inputs!$B$22+(F268-Calc!F22),(Inputs!$B$23+(IF(ArtifactsInput!$M$15,CHOOSE(ArtifactsInput!$N$15+1,25,30,35,40,45,50)/100*(Inputs!$B$11-Inputs!$B$11),0))))/100+(Inputs!$B$23+(IF(ArtifactsInput!$M$15,CHOOSE(ArtifactsInput!$N$15+1,25,30,35,40,45,50)/100*(Inputs!$B$11-Inputs!$B$11),0)))/100)/2</f>
        <v>99734742999530.438</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260">
        <f>L260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260">
        <f>(1-Summary!$B$11)*S260+Summary!$B$11*U260</f>
        <v>462004570031845.5</v>
      </c>
      <c r="P260">
        <f>IF(B287=0,0,O260/B287)</f>
        <v>1.3957101168152483E-2</v>
      </c>
      <c r="Q260">
        <f>IFERROR(1/(IF(Inputs!$B$38="pvp",15,MAX(0.1,Skills!E14-IF(TRUE=TRUE,Inputs!$B$32,0)))*(1-IF(AND(ArtifactsInput!$M$27,Inputs!$B$4="Chapter Hunt"),CHOOSE(ArtifactsInput!$N$27+1,20,24,28,32,36,40),0)/100)),0)</f>
        <v>10</v>
      </c>
      <c r="R260">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474692902326742.69</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261" spans="1:21" x14ac:dyDescent="0.2">
      <c r="A261" t="str">
        <f>Skills!A15</f>
        <v>FLAME_HAZE_BURST</v>
      </c>
      <c r="B261" t="str">
        <f>Skills!B15</f>
        <v>Flame Haze (burst)</v>
      </c>
      <c r="C261" t="b">
        <f>Inputs!$B$3&gt;=107</f>
        <v>1</v>
      </c>
      <c r="D261">
        <f>IF(Skills!C15=1,60+Inputs!$B$25+Inputs!$B$29,IF(Skills!C15=2,90+Inputs!$B$26+Inputs!$B$29,IF(Skills!C15=3,120+Inputs!$B$27+Inputs!$B$29,MAX(0,(Inputs!$B$3-100)*3)+Inputs!$B$28+Inputs!$B$29)))</f>
        <v>185</v>
      </c>
      <c r="E261">
        <f>INDEX(FactorTable!$B$2:$Y$301, MATCH(ROUND(MIN(300,MAX(1,D261)),0), FactorTable!$A$2:$A$301,0), Skills!M15+1)</f>
        <v>1925</v>
      </c>
      <c r="F261">
        <f>IF(Skills!N15=TRUE,(Skills!L15/10)*(E261/1000),Skills!L15/10)+Skills!O15</f>
        <v>2310</v>
      </c>
      <c r="G261">
        <f>Calc!G15</f>
        <v>3</v>
      </c>
      <c r="H261">
        <f>Calc!H15</f>
        <v>1</v>
      </c>
      <c r="I261">
        <f>IF(Skills!X15&lt;&gt;"",1+(Skills!X15/10)*(Z249/1000)/100,1)</f>
        <v>1</v>
      </c>
      <c r="J261">
        <f>((Inputs!$B$6*(1+Inputs!$B$7/100))+(((Inputs!$B$12*(1+Inputs!$B$13/100))-(Inputs!$B$12*(1+Inputs!$B$13/100)))+0.25*(Inputs!$B$14-Inputs!$B$14))*(1+Inputs!$B$7/100))*(F261/100)</f>
        <v>8342207444.1321011</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41917362613232.781</v>
      </c>
      <c r="L261">
        <f>K261*(MIN(Inputs!$B$22+(F268-Calc!F22),(Inputs!$B$23+(IF(ArtifactsInput!$M$15,CHOOSE(ArtifactsInput!$N$15+1,25,30,35,40,45,50)/100*(Inputs!$B$11-Inputs!$B$11),0))))/100+(Inputs!$B$23+(IF(ArtifactsInput!$M$15,CHOOSE(ArtifactsInput!$N$15+1,25,30,35,40,45,50)/100*(Inputs!$B$11-Inputs!$B$11),0)))/100)/2</f>
        <v>139375230688999</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261">
        <f>L261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261">
        <f>(1-Summary!$B$11)*S261+Summary!$B$11*U261</f>
        <v>1641648437198980</v>
      </c>
      <c r="P261">
        <f>IF(B287=0,0,O261/B287)</f>
        <v>4.9593997130691229E-2</v>
      </c>
      <c r="Q261">
        <f>IFERROR(1/(IF(Inputs!$B$38="pvp",15,MAX(0.1,Skills!E15-IF(TRUE=TRUE,Inputs!$B$32,0)))*(1-IF(AND(ArtifactsInput!$M$27,Inputs!$B$4="Chapter Hunt"),CHOOSE(ArtifactsInput!$N$27+1,20,24,28,32,36,40),0)/100)),0)</f>
        <v>0.04</v>
      </c>
      <c r="R261">
        <f>IF(AND(Inputs!$B$38&lt;&gt;"pvp",Inputs!$B$43&gt;0),IF(MAX(0,Inputs!$B$43-B284)&lt;=0,0,(INT(MAX(0,Inputs!$B$43-B284)/(IF(Inputs!$B$38="pvp",15,MAX(0.1,Skills!E15-IF(TRUE=TRUE,Inputs!$B$32,0)))*(1-IF(AND(ArtifactsInput!$M$27,Inputs!$B$4="Chapter Hunt"),CHOOSE(ArtifactsInput!$N$27+1,20,24,28,32,36,40),0)/100)))+1)),0)</f>
        <v>2</v>
      </c>
      <c r="S261">
        <f>IF(C261,(H261*N261*IF(AND(Inputs!$B$38&lt;&gt;"pvp",Inputs!$B$43&gt;0),((Skills!G15*((R261-1)*IF(Skills!H15&gt;0,Skills!I15/Skills!H15,1)+IF(Skills!H15&gt;0,MIN(Skills!I15,MAX(0,MAX(0,Inputs!$B$43-B284)-((R261-1)*(IF(Inputs!$B$38="pvp",15,MAX(0.1,Skills!E15-IF(TRUE=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313728487397401.25</v>
      </c>
      <c r="U261">
        <f>IF(C261,(H261*N261*IF(AND(Inputs!$B$38&lt;&gt;"pvp",Inputs!$B$43&gt;0),((Skills!G15*((R261-1)*IF(Skills!H15&gt;0,Skills!I15/Skills!H15,1)+IF(Skills!H15&gt;0,MIN(Skills!I15,MAX(0,MAX(0,Inputs!$B$43-B284)-((R261-1)*(IF(Inputs!$B$38="pvp",15,MAX(0.1,Skills!E15-IF(TRUE=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262" spans="1:21" x14ac:dyDescent="0.2">
      <c r="A262" t="str">
        <f>Skills!A16</f>
        <v>FLAME_HAZE_DOT</v>
      </c>
      <c r="B262" t="str">
        <f>Skills!B16</f>
        <v>Flame Haze (burn DoT)</v>
      </c>
      <c r="C262" t="b">
        <f>Inputs!$B$3&gt;=107</f>
        <v>1</v>
      </c>
      <c r="D262">
        <f>IF(Skills!C16=1,60+Inputs!$B$25+Inputs!$B$29,IF(Skills!C16=2,90+Inputs!$B$26+Inputs!$B$29,IF(Skills!C16=3,120+Inputs!$B$27+Inputs!$B$29,MAX(0,(Inputs!$B$3-100)*3)+Inputs!$B$28+Inputs!$B$29)))</f>
        <v>185</v>
      </c>
      <c r="E262">
        <f>INDEX(FactorTable!$B$2:$Y$301, MATCH(ROUND(MIN(300,MAX(1,D262)),0), FactorTable!$A$2:$A$301,0), Skills!M16+1)</f>
        <v>1925</v>
      </c>
      <c r="F262">
        <f>IF(Skills!N16=TRUE,(Skills!L16/10)*(E262/1000),Skills!L16/10)+Skills!O16</f>
        <v>288.75</v>
      </c>
      <c r="G262">
        <f>Calc!G16</f>
        <v>30</v>
      </c>
      <c r="H262">
        <f>Calc!H16</f>
        <v>1</v>
      </c>
      <c r="I262">
        <f>IF(Skills!X16&lt;&gt;"",1+(Skills!X16/10)*(Z249/1000)/100,1)</f>
        <v>1</v>
      </c>
      <c r="J262">
        <f>((Inputs!$B$6*(1+Inputs!$B$7/100))+(((Inputs!$B$12*(1+Inputs!$B$13/100))-(Inputs!$B$12*(1+Inputs!$B$13/100)))+0.25*(Inputs!$B$14-Inputs!$B$14))*(1+Inputs!$B$7/100))*(F262/100)</f>
        <v>1042775930.5165126</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5239670326654.0977</v>
      </c>
      <c r="L262">
        <f>K262*(MIN(Inputs!$B$22+(F268-Calc!F22),(Inputs!$B$23+(IF(ArtifactsInput!$M$15,CHOOSE(ArtifactsInput!$N$15+1,25,30,35,40,45,50)/100*(Inputs!$B$11-Inputs!$B$11),0))))/100+(Inputs!$B$23+(IF(ArtifactsInput!$M$15,CHOOSE(ArtifactsInput!$N$15+1,25,30,35,40,45,50)/100*(Inputs!$B$11-Inputs!$B$11),0)))/100)/2</f>
        <v>17421903836124.875</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262">
        <f>L262*(1-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262">
        <f>(1-Summary!$B$11)*S262+Summary!$B$11*U262</f>
        <v>1890953122937152.5</v>
      </c>
      <c r="P262">
        <f>IF(B287=0,0,O262/B287)</f>
        <v>5.7125460986778821E-2</v>
      </c>
      <c r="Q262">
        <f>IFERROR(1/(IF(Inputs!$B$38="pvp",15,MAX(0.1,Skills!E16-IF(TRUE=TRUE,Inputs!$B$32,0)))*(1-IF(AND(ArtifactsInput!$M$27,Inputs!$B$4="Chapter Hunt"),CHOOSE(ArtifactsInput!$N$27+1,20,24,28,32,36,40),0)/100)),0)</f>
        <v>0.04</v>
      </c>
      <c r="R262">
        <f>IF(AND(Inputs!$B$38&lt;&gt;"pvp",Inputs!$B$43&gt;0),IF(MAX(0,Inputs!$B$43-B284)&lt;=0,0,(INT(MAX(0,Inputs!$B$43-B284)/(IF(Inputs!$B$38="pvp",15,MAX(0.1,Skills!E16-IF(TRUE=TRUE,Inputs!$B$32,0)))*(1-IF(AND(ArtifactsInput!$M$27,Inputs!$B$4="Chapter Hunt"),CHOOSE(ArtifactsInput!$N$27+1,20,24,28,32,36,40),0)/100)))+1)),0)</f>
        <v>2</v>
      </c>
      <c r="S262">
        <f>IF(C262,(H262*N262*IF(AND(Inputs!$B$38&lt;&gt;"pvp",Inputs!$B$43&gt;0),((Skills!G16*((R262-1)*IF(Skills!H16&gt;0,Skills!I16/Skills!H16,1)+IF(Skills!H16&gt;0,MIN(Skills!I16,MAX(0,MAX(0,Inputs!$B$43-B284)-((R262-1)*(IF(Inputs!$B$38="pvp",15,MAX(0.1,Skills!E16-IF(TRUE=TRUE,Inputs!$B$32,0)))*(1-IF(AND(ArtifactsInput!$M$27,Inputs!$B$4="Chapter Hunt"),CHOOSE(ArtifactsInput!$N$27+1,20,24,28,32,36,40),0)/100)))))/Skills!H16,1)))/Inputs!$B$43),G262*Q262)*(1+IF(Inputs!$B$3&gt;=126,0.05*(B282+Q259+(H260*B283)/(1+Skills!H14*H260*B283)+Q270),0)*(1/Q261)))*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361372051138229.88</v>
      </c>
      <c r="U262">
        <f>IF(C262,(H262*N262*IF(AND(Inputs!$B$38&lt;&gt;"pvp",Inputs!$B$43&gt;0),((Skills!G16*((R262-1)*IF(Skills!H16&gt;0,Skills!I16/Skills!H16,1)+IF(Skills!H16&gt;0,MIN(Skills!I16,MAX(0,MAX(0,Inputs!$B$43-B284)-((R262-1)*(IF(Inputs!$B$38="pvp",15,MAX(0.1,Skills!E16-IF(TRUE=TRUE,Inputs!$B$32,0)))*(1-IF(AND(ArtifactsInput!$M$27,Inputs!$B$4="Chapter Hunt"),CHOOSE(ArtifactsInput!$N$27+1,20,24,28,32,36,40),0)/100)))))/Skills!H16,1)))/Inputs!$B$43),G262*Q262)*(1+IF(Inputs!$B$3&gt;=126,0.05*(B282+Q259+(H260*B283)/(1+Skills!H14*H260*B283)+Q270),0)*(1/Q261)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263" spans="1:21" x14ac:dyDescent="0.2">
      <c r="A263" t="str">
        <f>Skills!A17</f>
        <v>MAGIC_GUARD</v>
      </c>
      <c r="B263" t="str">
        <f>Skills!B17</f>
        <v>Magic Guard</v>
      </c>
      <c r="C263" t="b">
        <f>TRUE</f>
        <v>1</v>
      </c>
      <c r="D263">
        <f>IF(Skills!C17=1,60+Inputs!$B$25+Inputs!$B$29,IF(Skills!C17=2,90+Inputs!$B$26+Inputs!$B$29,IF(Skills!C17=3,120+Inputs!$B$27+Inputs!$B$29,MAX(0,(Inputs!$B$3-100)*3)+Inputs!$B$28+Inputs!$B$29)))</f>
        <v>127</v>
      </c>
      <c r="E263">
        <f>INDEX(FactorTable!$B$2:$Y$301, MATCH(ROUND(MIN(300,MAX(1,D263)),0), FactorTable!$A$2:$A$301,0), Skills!M17+1)</f>
        <v>1508</v>
      </c>
      <c r="F263">
        <f>IF(Skills!N17=TRUE,(Skills!L17/10)*(E263/1000),Skills!L17/10)+Skills!O17</f>
        <v>18.096</v>
      </c>
      <c r="G263">
        <f>Calc!G17</f>
        <v>1</v>
      </c>
      <c r="H263">
        <f>Calc!H17</f>
        <v>1</v>
      </c>
      <c r="I263">
        <f>IF(Skills!X17&lt;&gt;"",1+(Skills!X17/10)*(Z249/1000)/100,1)</f>
        <v>1</v>
      </c>
      <c r="O263">
        <f>(1-Summary!$B$11)*S263+Summary!$B$11*U263</f>
        <v>0</v>
      </c>
      <c r="P263">
        <f>IF(B287=0,0,O263/B287)</f>
        <v>0</v>
      </c>
      <c r="Q263">
        <f>IFERROR(1/(IF(Inputs!$B$38="pvp",15,MAX(0.1,Skills!E17-IF(TRUE=TRUE,Inputs!$B$32,0)))*(1-IF(AND(ArtifactsInput!$M$27,Inputs!$B$4="Chapter Hunt"),CHOOSE(ArtifactsInput!$N$27+1,20,24,28,32,36,40),0)/100)),0)</f>
        <v>4.7619047619047616E-2</v>
      </c>
      <c r="R263">
        <f>IF(AND(Inputs!$B$38&lt;&gt;"pvp",Inputs!$B$43&gt;0),IF(Inputs!$B$43&lt;=0,0,(INT(Inputs!$B$43/(IF(Inputs!$B$38="pvp",15,MAX(0.1,Skills!E17-IF(TRUE=TRUE,Inputs!$B$32,0)))*(1-IF(AND(ArtifactsInput!$M$27,Inputs!$B$4="Chapter Hunt"),CHOOSE(ArtifactsInput!$N$27+1,20,24,28,32,36,40),0)/100)))+1)),0)</f>
        <v>2</v>
      </c>
      <c r="S263">
        <v>0</v>
      </c>
      <c r="U263">
        <v>0</v>
      </c>
    </row>
    <row r="264" spans="1:21" x14ac:dyDescent="0.2">
      <c r="A264" t="str">
        <f>Skills!A18</f>
        <v>NIMBLE_FEET</v>
      </c>
      <c r="B264" t="str">
        <f>Skills!B18</f>
        <v>Nimble Feet</v>
      </c>
      <c r="C264" t="b">
        <f>TRUE</f>
        <v>1</v>
      </c>
      <c r="D264">
        <f>IF(Skills!C18=1,60+Inputs!$B$25+Inputs!$B$29,IF(Skills!C18=2,90+Inputs!$B$26+Inputs!$B$29,IF(Skills!C18=3,120+Inputs!$B$27+Inputs!$B$29,MAX(0,(Inputs!$B$3-100)*3)+Inputs!$B$28+Inputs!$B$29)))</f>
        <v>127</v>
      </c>
      <c r="E264">
        <f>INDEX(FactorTable!$B$2:$Y$301, MATCH(ROUND(MIN(300,MAX(1,D264)),0), FactorTable!$A$2:$A$301,0), Skills!M18+1)</f>
        <v>0</v>
      </c>
      <c r="F264">
        <f>IF(Skills!N18=TRUE,(Skills!L18/10)*(E264/1000),Skills!L18/10)+Skills!O18</f>
        <v>15</v>
      </c>
      <c r="G264">
        <f>Calc!G18</f>
        <v>1</v>
      </c>
      <c r="H264">
        <f>Calc!H18</f>
        <v>1</v>
      </c>
      <c r="I264">
        <f>IF(Skills!X18&lt;&gt;"",1+(Skills!X18/10)*(Z249/1000)/100,1)</f>
        <v>1</v>
      </c>
      <c r="O264">
        <f>(1-Summary!$B$11)*S264+Summary!$B$11*U264</f>
        <v>0</v>
      </c>
      <c r="P264">
        <f>IF(B287=0,0,O264/B287)</f>
        <v>0</v>
      </c>
      <c r="Q264">
        <f>IFERROR(1/(IF(Inputs!$B$38="pvp",15,MAX(0.1,Skills!E18-IF(TRUE=TRUE,Inputs!$B$32,0)))*(1-IF(AND(ArtifactsInput!$M$27,Inputs!$B$4="Chapter Hunt"),CHOOSE(ArtifactsInput!$N$27+1,20,24,28,32,36,40),0)/100)),0)</f>
        <v>1.6666666666666666E-2</v>
      </c>
      <c r="R264">
        <f>IF(AND(Inputs!$B$38&lt;&gt;"pvp",Inputs!$B$43&gt;0),IF(Inputs!$B$43&lt;=0,0,(INT(Inputs!$B$43/(IF(Inputs!$B$38="pvp",15,MAX(0.1,Skills!E18-IF(TRUE=TRUE,Inputs!$B$32,0)))*(1-IF(AND(ArtifactsInput!$M$27,Inputs!$B$4="Chapter Hunt"),CHOOSE(ArtifactsInput!$N$27+1,20,24,28,32,36,40),0)/100)))+1)),0)</f>
        <v>1</v>
      </c>
      <c r="S264">
        <v>0</v>
      </c>
      <c r="U264">
        <v>0</v>
      </c>
    </row>
    <row r="265" spans="1:21" x14ac:dyDescent="0.2">
      <c r="A265" t="str">
        <f>Skills!A19</f>
        <v>INFINITY</v>
      </c>
      <c r="B265" t="str">
        <f>Skills!B19</f>
        <v>Infinity</v>
      </c>
      <c r="C265" t="b">
        <f>Inputs!$B$3&gt;=110</f>
        <v>1</v>
      </c>
      <c r="D265">
        <f>IF(Skills!C19=1,60+Inputs!$B$25+Inputs!$B$29,IF(Skills!C19=2,90+Inputs!$B$26+Inputs!$B$29,IF(Skills!C19=3,120+Inputs!$B$27+Inputs!$B$29,MAX(0,(Inputs!$B$3-100)*3)+Inputs!$B$28+Inputs!$B$29)))</f>
        <v>185</v>
      </c>
      <c r="E265">
        <f>INDEX(FactorTable!$B$2:$Y$301, MATCH(ROUND(MIN(300,MAX(1,D265)),0), FactorTable!$A$2:$A$301,0), Skills!M19+1)</f>
        <v>1740</v>
      </c>
      <c r="F265">
        <f>IF(Skills!N19=TRUE,(Skills!L19/10)*(E265/1000),Skills!L19/10)+Skills!O19</f>
        <v>37.700579999999995</v>
      </c>
      <c r="G265">
        <f>Calc!G19</f>
        <v>1</v>
      </c>
      <c r="H265">
        <f>Calc!H19</f>
        <v>1</v>
      </c>
      <c r="I265">
        <f>IF(Skills!X19&lt;&gt;"",1+(Skills!X19/10)*(Z249/1000)/100,1)</f>
        <v>1</v>
      </c>
      <c r="O265">
        <f>(1-Summary!$B$11)*S265+Summary!$B$11*U265</f>
        <v>0</v>
      </c>
      <c r="P265">
        <f>IF(B287=0,0,O265/B287)</f>
        <v>0</v>
      </c>
      <c r="Q265">
        <f>IFERROR(1/(IF(Inputs!$B$38="pvp",15,MAX(0.1,Skills!E19-IF(TRUE=TRUE,Inputs!$B$32,0)))*(1-IF(AND(ArtifactsInput!$M$27,Inputs!$B$4="Chapter Hunt"),CHOOSE(ArtifactsInput!$N$27+1,20,24,28,32,36,40),0)/100)),0)</f>
        <v>3.3333333333333333E-2</v>
      </c>
      <c r="R265">
        <f>IF(AND(Inputs!$B$38&lt;&gt;"pvp",Inputs!$B$43&gt;0),IF(Inputs!$B$43&lt;=0,0,(INT(Inputs!$B$43/(IF(Inputs!$B$38="pvp",15,MAX(0.1,Skills!E19-IF(TRUE=TRUE,Inputs!$B$32,0)))*(1-IF(AND(ArtifactsInput!$M$27,Inputs!$B$4="Chapter Hunt"),CHOOSE(ArtifactsInput!$N$27+1,20,24,28,32,36,40),0)/100)))+1)),0)</f>
        <v>2</v>
      </c>
      <c r="S265">
        <v>0</v>
      </c>
      <c r="U265">
        <v>0</v>
      </c>
    </row>
    <row r="266" spans="1:21" x14ac:dyDescent="0.2">
      <c r="A266" t="str">
        <f>Skills!A20</f>
        <v>MAGIC_CRITICAL_RATE</v>
      </c>
      <c r="B266" t="str">
        <f>Skills!B20</f>
        <v>Magic Critical (Crit Rate)</v>
      </c>
      <c r="C266" t="b">
        <f>TRUE</f>
        <v>1</v>
      </c>
      <c r="D266">
        <f>IF(Skills!C20=1,60+Inputs!$B$25+Inputs!$B$29,IF(Skills!C20=2,90+Inputs!$B$26+Inputs!$B$29,IF(Skills!C20=3,120+Inputs!$B$27+Inputs!$B$29,MAX(0,(Inputs!$B$3-100)*3)+Inputs!$B$28+Inputs!$B$29)))</f>
        <v>184</v>
      </c>
      <c r="E266">
        <f>INDEX(FactorTable!$B$2:$Y$301, MATCH(ROUND(MIN(300,MAX(1,D266)),0), FactorTable!$A$2:$A$301,0), Skills!M20+1)</f>
        <v>1552</v>
      </c>
      <c r="F266">
        <f>IF(Skills!N20=TRUE,(Skills!L20/10)*(E266/1000),Skills!L20/10)+Skills!O20</f>
        <v>12.416</v>
      </c>
      <c r="G266">
        <f>Calc!G20</f>
        <v>1</v>
      </c>
      <c r="H266">
        <f>Calc!H20</f>
        <v>1</v>
      </c>
      <c r="I266">
        <f>IF(Skills!X20&lt;&gt;"",1+(Skills!X20/10)*(Z249/1000)/100,1)</f>
        <v>1</v>
      </c>
      <c r="O266">
        <f>(1-Summary!$B$11)*S266+Summary!$B$11*U266</f>
        <v>0</v>
      </c>
      <c r="P266">
        <f>IF(B287=0,0,O266/B287)</f>
        <v>0</v>
      </c>
      <c r="Q266">
        <f>IFERROR(1/(IF(Inputs!$B$38="pvp",15,MAX(0.1,Skills!E20-IF(TRUE=TRUE,Inputs!$B$32,0)))*(1-IF(AND(ArtifactsInput!$M$27,Inputs!$B$4="Chapter Hunt"),CHOOSE(ArtifactsInput!$N$27+1,20,24,28,32,36,40),0)/100)),0)</f>
        <v>10</v>
      </c>
      <c r="R266">
        <v>0</v>
      </c>
      <c r="S266">
        <v>0</v>
      </c>
      <c r="U266">
        <v>0</v>
      </c>
    </row>
    <row r="267" spans="1:21" x14ac:dyDescent="0.2">
      <c r="A267" t="str">
        <f>Skills!A21</f>
        <v>MAGIC_CRITICAL_DAMAGE</v>
      </c>
      <c r="B267" t="str">
        <f>Skills!B21</f>
        <v>Magic Critical (Crit Damage)</v>
      </c>
      <c r="C267" t="b">
        <f>TRUE</f>
        <v>1</v>
      </c>
      <c r="D267">
        <f>IF(Skills!C21=1,60+Inputs!$B$25+Inputs!$B$29,IF(Skills!C21=2,90+Inputs!$B$26+Inputs!$B$29,IF(Skills!C21=3,120+Inputs!$B$27+Inputs!$B$29,MAX(0,(Inputs!$B$3-100)*3)+Inputs!$B$28+Inputs!$B$29)))</f>
        <v>184</v>
      </c>
      <c r="E267">
        <f>INDEX(FactorTable!$B$2:$Y$301, MATCH(ROUND(MIN(300,MAX(1,D267)),0), FactorTable!$A$2:$A$301,0), Skills!M21+1)</f>
        <v>1552</v>
      </c>
      <c r="F267">
        <f>IF(Skills!N21=TRUE,(Skills!L21/10)*(E267/1000),Skills!L21/10)+Skills!O21</f>
        <v>18.624000000000002</v>
      </c>
      <c r="G267">
        <f>Calc!G21</f>
        <v>1</v>
      </c>
      <c r="H267">
        <f>Calc!H21</f>
        <v>1</v>
      </c>
      <c r="I267">
        <f>IF(Skills!X21&lt;&gt;"",1+(Skills!X21/10)*(Z249/1000)/100,1)</f>
        <v>1</v>
      </c>
      <c r="O267">
        <f>(1-Summary!$B$11)*S267+Summary!$B$11*U267</f>
        <v>0</v>
      </c>
      <c r="P267">
        <f>IF(B287=0,0,O267/B287)</f>
        <v>0</v>
      </c>
      <c r="Q267">
        <f>IFERROR(1/(IF(Inputs!$B$38="pvp",15,MAX(0.1,Skills!E21-IF(TRUE=TRUE,Inputs!$B$32,0)))*(1-IF(AND(ArtifactsInput!$M$27,Inputs!$B$4="Chapter Hunt"),CHOOSE(ArtifactsInput!$N$27+1,20,24,28,32,36,40),0)/100)),0)</f>
        <v>10</v>
      </c>
      <c r="R267">
        <v>0</v>
      </c>
      <c r="S267">
        <v>0</v>
      </c>
      <c r="U267">
        <v>0</v>
      </c>
    </row>
    <row r="268" spans="1:21" x14ac:dyDescent="0.2">
      <c r="A268" t="str">
        <f>Skills!A22</f>
        <v>SPELL_MASTERY</v>
      </c>
      <c r="B268" t="str">
        <f>Skills!B22</f>
        <v>Spell Mastery</v>
      </c>
      <c r="C268" t="b">
        <f>TRUE</f>
        <v>1</v>
      </c>
      <c r="D268">
        <f>IF(Skills!C22=1,60+Inputs!$B$25+Inputs!$B$29,IF(Skills!C22=2,90+Inputs!$B$26+Inputs!$B$29,IF(Skills!C22=3,120+Inputs!$B$27+Inputs!$B$29,MAX(0,(Inputs!$B$3-100)*3)+Inputs!$B$28+Inputs!$B$29)))</f>
        <v>168</v>
      </c>
      <c r="E268">
        <f>INDEX(FactorTable!$B$2:$Y$301, MATCH(ROUND(MIN(300,MAX(1,D268)),0), FactorTable!$A$2:$A$301,0), Skills!M22+1)</f>
        <v>1504</v>
      </c>
      <c r="F268">
        <f>IF(Skills!N22=TRUE,(Skills!L22/10)*(E268/1000),Skills!L22/10)+Skills!O22</f>
        <v>22.56</v>
      </c>
      <c r="G268">
        <f>Calc!G22</f>
        <v>1</v>
      </c>
      <c r="H268">
        <f>Calc!H22</f>
        <v>1</v>
      </c>
      <c r="I268">
        <f>IF(Skills!X22&lt;&gt;"",1+(Skills!X22/10)*(Z249/1000)/100,1)</f>
        <v>1</v>
      </c>
      <c r="O268">
        <f>(1-Summary!$B$11)*S268+Summary!$B$11*U268</f>
        <v>0</v>
      </c>
      <c r="P268">
        <f>IF(B287=0,0,O268/B287)</f>
        <v>0</v>
      </c>
      <c r="Q268">
        <f>IFERROR(1/(IF(Inputs!$B$38="pvp",15,MAX(0.1,Skills!E22-IF(TRUE=TRUE,Inputs!$B$32,0)))*(1-IF(AND(ArtifactsInput!$M$27,Inputs!$B$4="Chapter Hunt"),CHOOSE(ArtifactsInput!$N$27+1,20,24,28,32,36,40),0)/100)),0)</f>
        <v>10</v>
      </c>
      <c r="R268">
        <v>0</v>
      </c>
      <c r="S268">
        <v>0</v>
      </c>
      <c r="U268">
        <v>0</v>
      </c>
    </row>
    <row r="269" spans="1:21" x14ac:dyDescent="0.2">
      <c r="A269" t="str">
        <f>Skills!A23</f>
        <v>ELEMENT_AMPLIFICATION</v>
      </c>
      <c r="B269" t="str">
        <f>Skills!B23</f>
        <v>Element Amplification</v>
      </c>
      <c r="C269" t="b">
        <f>TRUE</f>
        <v>1</v>
      </c>
      <c r="D269">
        <f>IF(Skills!C23=1,60+Inputs!$B$25+Inputs!$B$29,IF(Skills!C23=2,90+Inputs!$B$26+Inputs!$B$29,IF(Skills!C23=3,120+Inputs!$B$27+Inputs!$B$29,MAX(0,(Inputs!$B$3-100)*3)+Inputs!$B$28+Inputs!$B$29)))</f>
        <v>185</v>
      </c>
      <c r="E269">
        <f>INDEX(FactorTable!$B$2:$Y$301, MATCH(ROUND(MIN(300,MAX(1,D269)),0), FactorTable!$A$2:$A$301,0), Skills!M23+1)</f>
        <v>1555</v>
      </c>
      <c r="F269">
        <f>IF(Skills!N23=TRUE,(Skills!L23/10)*(E269/1000),Skills!L23/10)+Skills!O23</f>
        <v>23.324999999999999</v>
      </c>
      <c r="G269">
        <f>Calc!G23</f>
        <v>1</v>
      </c>
      <c r="H269">
        <f>Calc!H23</f>
        <v>1</v>
      </c>
      <c r="I269">
        <f>IF(Skills!X23&lt;&gt;"",1+(Skills!X23/10)*(Z249/1000)/100,1)</f>
        <v>1</v>
      </c>
      <c r="O269">
        <f>(1-Summary!$B$11)*S269+Summary!$B$11*U269</f>
        <v>0</v>
      </c>
      <c r="P269">
        <f>IF(B287=0,0,O269/B287)</f>
        <v>0</v>
      </c>
      <c r="Q269">
        <f>IFERROR(1/(IF(Inputs!$B$38="pvp",15,MAX(0.1,Skills!E23-IF(TRUE=TRUE,Inputs!$B$32,0)))*(1-IF(AND(ArtifactsInput!$M$27,Inputs!$B$4="Chapter Hunt"),CHOOSE(ArtifactsInput!$N$27+1,20,24,28,32,36,40),0)/100)),0)</f>
        <v>10</v>
      </c>
      <c r="R269">
        <v>0</v>
      </c>
      <c r="S269">
        <v>0</v>
      </c>
      <c r="U269">
        <v>0</v>
      </c>
    </row>
    <row r="270" spans="1:21" x14ac:dyDescent="0.2">
      <c r="A270" t="str">
        <f>Skills!A24</f>
        <v>IFRIT</v>
      </c>
      <c r="B270" t="str">
        <f>Skills!B24</f>
        <v>Ifrit</v>
      </c>
      <c r="C270" t="b">
        <f>Inputs!$B$3&gt;=115</f>
        <v>1</v>
      </c>
      <c r="D270">
        <f>IF(Skills!C24=1,60+Inputs!$B$25+Inputs!$B$29,IF(Skills!C24=2,90+Inputs!$B$26+Inputs!$B$29,IF(Skills!C24=3,120+Inputs!$B$27+Inputs!$B$29,MAX(0,(Inputs!$B$3-100)*3)+Inputs!$B$28+Inputs!$B$29)))</f>
        <v>185</v>
      </c>
      <c r="E270">
        <f>INDEX(FactorTable!$B$2:$Y$301, MATCH(ROUND(MIN(300,MAX(1,D270)),0), FactorTable!$A$2:$A$301,0), Skills!M24+1)</f>
        <v>1925</v>
      </c>
      <c r="F270">
        <f>IF(Skills!N24=TRUE,(Skills!L24/10)*(E270/1000),Skills!L24/10)+Skills!O24</f>
        <v>6737.5</v>
      </c>
      <c r="G270">
        <f>Calc!G24</f>
        <v>7.5</v>
      </c>
      <c r="H270">
        <f>Calc!H24</f>
        <v>1</v>
      </c>
      <c r="I270">
        <f>IF(Skills!X24&lt;&gt;"",1+(Skills!X24/10)*(Z249/1000)/100,1)</f>
        <v>1</v>
      </c>
      <c r="J270">
        <f>((Inputs!$B$6*(1+Inputs!$B$7/100))+(((Inputs!$B$12*(1+Inputs!$B$13/100))-(Inputs!$B$12*(1+Inputs!$B$13/100)))+0.25*(Inputs!$B$14-Inputs!$B$14))*(1+Inputs!$B$7/100))*(F270/100)</f>
        <v>24331438378.718628</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122258974288595.61</v>
      </c>
      <c r="L270">
        <f>K270*(MIN(Inputs!$B$22+(F268-Calc!F22),(Inputs!$B$23+(IF(ArtifactsInput!$M$15,CHOOSE(ArtifactsInput!$N$15+1,25,30,35,40,45,50)/100*(Inputs!$B$11-Inputs!$B$11),0))))/100+(Inputs!$B$23+(IF(ArtifactsInput!$M$15,CHOOSE(ArtifactsInput!$N$15+1,25,30,35,40,45,50)/100*(Inputs!$B$11-Inputs!$B$11),0)))/100)/2</f>
        <v>406511089509580.44</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270">
        <f>L270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270">
        <f>(1-Summary!$B$11)*S270+Summary!$B$11*U270</f>
        <v>2195883600125776.2</v>
      </c>
      <c r="P270">
        <f>IF(B287=0,0,O270/B287)</f>
        <v>6.6337373152672074E-2</v>
      </c>
      <c r="Q270">
        <f>IFERROR(1/(IF(Inputs!$B$38="pvp",15,MAX(0.1,Skills!E24-IF(TRUE=TRUE,Inputs!$B$32,0)))*(1-IF(AND(ArtifactsInput!$M$27,Inputs!$B$4="Chapter Hunt"),CHOOSE(ArtifactsInput!$N$27+1,20,24,28,32,36,40),0)/100)),0)</f>
        <v>1.2500000000000001E-2</v>
      </c>
      <c r="R270">
        <f>IF(AND(Inputs!$B$38&lt;&gt;"pvp",Inputs!$B$43&gt;0),IF(MAX(0,Inputs!$B$43-B284)&lt;=0,0,(INT(MAX(0,Inputs!$B$43-B284)/(IF(Inputs!$B$38="pvp",15,MAX(0.1,Skills!E24-IF(TRUE=TRUE,Inputs!$B$32,0)))*(1-IF(AND(ArtifactsInput!$M$27,Inputs!$B$4="Chapter Hunt"),CHOOSE(ArtifactsInput!$N$27+1,20,24,28,32,36,40),0)/100)))+1)),0)</f>
        <v>1</v>
      </c>
      <c r="S270">
        <f>IF(C270,(H270*N270*IF(AND(Inputs!$B$38&lt;&gt;"pvp",Inputs!$B$43&gt;0),((Skills!G24*((R270-1)*IF(Skills!H24&gt;0,Skills!I24/Skills!H24,1)+IF(Skills!H24&gt;0,MIN(Skills!I24,MAX(0,MAX(0,Inputs!$B$43-B284)-((R270-1)*(IF(Inputs!$B$38="pvp",15,MAX(0.1,Skills!E24-IF(TRUE=TRUE,Inputs!$B$32,0)))*(1-IF(AND(ArtifactsInput!$M$27,Inputs!$B$4="Chapter Hunt"),CHOOSE(ArtifactsInput!$N$27+1,20,24,28,32,36,40),0)/100)))))/Skills!H24,1)))/Inputs!$B$43),G270*Q270)*(1+IF(Inputs!$B$3&gt;=130,0.2*(Skills!I16/(1/Q261)+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1143801776969692</v>
      </c>
      <c r="U270">
        <f>IF(C270,(H270*N270*IF(AND(Inputs!$B$38&lt;&gt;"pvp",Inputs!$B$43&gt;0),((Skills!G24*((R270-1)*IF(Skills!H24&gt;0,Skills!I24/Skills!H24,1)+IF(Skills!H24&gt;0,MIN(Skills!I24,MAX(0,MAX(0,Inputs!$B$43-B284)-((R270-1)*(IF(Inputs!$B$38="pvp",15,MAX(0.1,Skills!E24-IF(TRUE=TRUE,Inputs!$B$32,0)))*(1-IF(AND(ArtifactsInput!$M$27,Inputs!$B$4="Chapter Hunt"),CHOOSE(ArtifactsInput!$N$27+1,20,24,28,32,36,40),0)/100)))))/Skills!H24,1)))/Inputs!$B$43),G270*Q270)*(1+IF(Inputs!$B$3&gt;=130,0.2*(Skills!I16/(1/Q261)+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271" spans="1:21" x14ac:dyDescent="0.2">
      <c r="A271" t="str">
        <f>Skills!A25</f>
        <v>BUFF_MASTERY</v>
      </c>
      <c r="B271" t="str">
        <f>Skills!B25</f>
        <v>Buff Mastery</v>
      </c>
      <c r="C271" t="b">
        <f>Inputs!$B$3&gt;=117</f>
        <v>1</v>
      </c>
      <c r="D271">
        <f>IF(Skills!C25=1,60+Inputs!$B$25+Inputs!$B$29,IF(Skills!C25=2,90+Inputs!$B$26+Inputs!$B$29,IF(Skills!C25=3,120+Inputs!$B$27+Inputs!$B$29,MAX(0,(Inputs!$B$3-100)*3)+Inputs!$B$28+Inputs!$B$29)))</f>
        <v>185</v>
      </c>
      <c r="E271">
        <f>INDEX(FactorTable!$B$2:$Y$301, MATCH(ROUND(MIN(300,MAX(1,D271)),0), FactorTable!$A$2:$A$301,0), Skills!M25+1)</f>
        <v>1555</v>
      </c>
      <c r="F271">
        <f>IF(Skills!N25=TRUE,(Skills!L25/10)*(E271/1000),Skills!L25/10)+Skills!O25</f>
        <v>15.549999999999999</v>
      </c>
      <c r="G271">
        <f>Calc!G25</f>
        <v>1</v>
      </c>
      <c r="H271">
        <f>Calc!H25</f>
        <v>1</v>
      </c>
      <c r="I271">
        <f>IF(Skills!X25&lt;&gt;"",1+(Skills!X25/10)*(Z249/1000)/100,1)</f>
        <v>1</v>
      </c>
      <c r="O271">
        <f>(1-Summary!$B$11)*S271+Summary!$B$11*U271</f>
        <v>0</v>
      </c>
      <c r="P271">
        <f>IF(B287=0,0,O271/B287)</f>
        <v>0</v>
      </c>
      <c r="Q271">
        <f>IFERROR(1/(IF(Inputs!$B$38="pvp",15,MAX(0.1,Skills!E25-IF(TRUE=TRUE,Inputs!$B$32,0)))*(1-IF(AND(ArtifactsInput!$M$27,Inputs!$B$4="Chapter Hunt"),CHOOSE(ArtifactsInput!$N$27+1,20,24,28,32,36,40),0)/100)),0)</f>
        <v>10</v>
      </c>
      <c r="R271">
        <v>0</v>
      </c>
      <c r="S271">
        <v>0</v>
      </c>
      <c r="U271">
        <v>0</v>
      </c>
    </row>
    <row r="272" spans="1:21" x14ac:dyDescent="0.2">
      <c r="A272" t="str">
        <f>Skills!A26</f>
        <v>ARCANE_AIM</v>
      </c>
      <c r="B272" t="str">
        <f>Skills!B26</f>
        <v>Arcane Aim</v>
      </c>
      <c r="C272" t="b">
        <f>Inputs!$B$3&gt;=120</f>
        <v>0</v>
      </c>
      <c r="D272">
        <f>IF(Skills!C26=1,60+Inputs!$B$25+Inputs!$B$29,IF(Skills!C26=2,90+Inputs!$B$26+Inputs!$B$29,IF(Skills!C26=3,120+Inputs!$B$27+Inputs!$B$29,MAX(0,(Inputs!$B$3-100)*3)+Inputs!$B$28+Inputs!$B$29)))</f>
        <v>185</v>
      </c>
      <c r="E272">
        <f>INDEX(FactorTable!$B$2:$Y$301, MATCH(ROUND(MIN(300,MAX(1,D272)),0), FactorTable!$A$2:$A$301,0), Skills!M26+1)</f>
        <v>1555</v>
      </c>
      <c r="F272">
        <f>IF(Skills!N26=TRUE,(Skills!L26/10)*(E272/1000),Skills!L26/10)+Skills!O26</f>
        <v>4.665</v>
      </c>
      <c r="G272">
        <f>Calc!G26</f>
        <v>1</v>
      </c>
      <c r="H272">
        <f>Calc!H26</f>
        <v>1</v>
      </c>
      <c r="I272">
        <f>IF(Skills!X26&lt;&gt;"",1+(Skills!X26/10)*(Z249/1000)/100,1)</f>
        <v>1</v>
      </c>
      <c r="O272">
        <f>(1-Summary!$B$11)*S272+Summary!$B$11*U272</f>
        <v>0</v>
      </c>
      <c r="P272">
        <f>IF(B287=0,0,O272/B287)</f>
        <v>0</v>
      </c>
      <c r="Q272">
        <f>IFERROR(1/(IF(Inputs!$B$38="pvp",15,MAX(0.1,Skills!E26-IF(TRUE=TRUE,Inputs!$B$32,0)))*(1-IF(AND(ArtifactsInput!$M$27,Inputs!$B$4="Chapter Hunt"),CHOOSE(ArtifactsInput!$N$27+1,20,24,28,32,36,40),0)/100)),0)</f>
        <v>10</v>
      </c>
      <c r="R272">
        <v>0</v>
      </c>
      <c r="S272">
        <v>0</v>
      </c>
      <c r="U272">
        <v>0</v>
      </c>
    </row>
    <row r="273" spans="1:21" x14ac:dyDescent="0.2">
      <c r="A273" t="str">
        <f>Skills!A27</f>
        <v>FERVENT_DRAIN</v>
      </c>
      <c r="B273" t="str">
        <f>Skills!B27</f>
        <v>Fervent Drain</v>
      </c>
      <c r="C273" t="b">
        <f>Inputs!$B$3&gt;=125</f>
        <v>0</v>
      </c>
      <c r="D273">
        <f>IF(Skills!C27=1,60+Inputs!$B$25+Inputs!$B$29,IF(Skills!C27=2,90+Inputs!$B$26+Inputs!$B$29,IF(Skills!C27=3,120+Inputs!$B$27+Inputs!$B$29,MAX(0,(Inputs!$B$3-100)*3)+Inputs!$B$28+Inputs!$B$29)))</f>
        <v>185</v>
      </c>
      <c r="E273">
        <f>INDEX(FactorTable!$B$2:$Y$301, MATCH(ROUND(MIN(300,MAX(1,D273)),0), FactorTable!$A$2:$A$301,0), Skills!M27+1)</f>
        <v>1555</v>
      </c>
      <c r="F273">
        <f>IF(Skills!N27=TRUE,(Skills!L27/10)*(E273/1000),Skills!L27/10)+Skills!O27</f>
        <v>6.22</v>
      </c>
      <c r="G273">
        <f>Calc!G27</f>
        <v>1</v>
      </c>
      <c r="H273">
        <f>Calc!H27</f>
        <v>1</v>
      </c>
      <c r="I273">
        <f>IF(Skills!X27&lt;&gt;"",1+(Skills!X27/10)*(Z249/1000)/100,1)</f>
        <v>1</v>
      </c>
      <c r="O273">
        <f>(1-Summary!$B$11)*S273+Summary!$B$11*U273</f>
        <v>0</v>
      </c>
      <c r="P273">
        <f>IF(B287=0,0,O273/B287)</f>
        <v>0</v>
      </c>
      <c r="Q273">
        <f>IFERROR(1/(IF(Inputs!$B$38="pvp",15,MAX(0.1,Skills!E27-IF(TRUE=TRUE,Inputs!$B$32,0)))*(1-IF(AND(ArtifactsInput!$M$27,Inputs!$B$4="Chapter Hunt"),CHOOSE(ArtifactsInput!$N$27+1,20,24,28,32,36,40),0)/100)),0)</f>
        <v>10</v>
      </c>
      <c r="R273">
        <v>0</v>
      </c>
      <c r="S273">
        <v>0</v>
      </c>
      <c r="U273">
        <v>0</v>
      </c>
    </row>
    <row r="274" spans="1:21" x14ac:dyDescent="0.2">
      <c r="A274" t="str">
        <f>Skills!A28</f>
        <v>FLAME_HAZE_FOG</v>
      </c>
      <c r="B274" t="str">
        <f>Skills!B28</f>
        <v>Flame Haze (poison fog DoT)</v>
      </c>
      <c r="C274" t="b">
        <f>Inputs!$B$3&gt;=118</f>
        <v>0</v>
      </c>
      <c r="D274">
        <f>IF(Skills!C28=1,60+Inputs!$B$25+Inputs!$B$29,IF(Skills!C28=2,90+Inputs!$B$26+Inputs!$B$29,IF(Skills!C28=3,120+Inputs!$B$27+Inputs!$B$29,MAX(0,(Inputs!$B$3-100)*3)+Inputs!$B$28+Inputs!$B$29)))</f>
        <v>185</v>
      </c>
      <c r="E274">
        <f>INDEX(FactorTable!$B$2:$Y$301, MATCH(ROUND(MIN(300,MAX(1,D274)),0), FactorTable!$A$2:$A$301,0), Skills!M28+1)</f>
        <v>1925</v>
      </c>
      <c r="F274">
        <f>IF(Skills!N28=TRUE,(Skills!L28/10)*(E274/1000),Skills!L28/10)+Skills!O28</f>
        <v>134.75</v>
      </c>
      <c r="G274">
        <f>Calc!G28</f>
        <v>50</v>
      </c>
      <c r="H274">
        <f>Calc!H28</f>
        <v>1</v>
      </c>
      <c r="I274">
        <f>IF(Skills!X28&lt;&gt;"",1+(Skills!X28/10)*(Z249/1000)/100,1)</f>
        <v>1</v>
      </c>
      <c r="J274">
        <f>((Inputs!$B$6*(1+Inputs!$B$7/100))+(((Inputs!$B$12*(1+Inputs!$B$13/100))-(Inputs!$B$12*(1+Inputs!$B$13/100)))+0.25*(Inputs!$B$14-Inputs!$B$14))*(1+Inputs!$B$7/100))*(F274/100)</f>
        <v>486628767.57437253</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2445179485771.9116</v>
      </c>
      <c r="L274">
        <f>K274*(MIN(Inputs!$B$22+(F268-Calc!F22),(Inputs!$B$23+(IF(ArtifactsInput!$M$15,CHOOSE(ArtifactsInput!$N$15+1,25,30,35,40,45,50)/100*(Inputs!$B$11-Inputs!$B$11),0))))/100+(Inputs!$B$23+(IF(ArtifactsInput!$M$15,CHOOSE(ArtifactsInput!$N$15+1,25,30,35,40,45,50)/100*(Inputs!$B$11-Inputs!$B$11),0)))/100)/2</f>
        <v>8130221790191.6064</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274">
        <f>L274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274">
        <f>(1-Summary!$B$11)*S274+Summary!$B$11*U274</f>
        <v>0</v>
      </c>
      <c r="P274">
        <f>IF(B287=0,0,O274/B287)</f>
        <v>0</v>
      </c>
      <c r="Q274">
        <f>IFERROR(1/(IF(Inputs!$B$38="pvp",15,MAX(0.1,Skills!E28-IF(TRUE=TRUE,Inputs!$B$32,0)))*(1-IF(AND(ArtifactsInput!$M$27,Inputs!$B$4="Chapter Hunt"),CHOOSE(ArtifactsInput!$N$27+1,20,24,28,32,36,40),0)/100)),0)</f>
        <v>0.04</v>
      </c>
      <c r="R274">
        <f>IF(AND(Inputs!$B$38&lt;&gt;"pvp",Inputs!$B$43&gt;0),IF(MAX(0,Inputs!$B$43-B284)&lt;=0,0,(INT(MAX(0,Inputs!$B$43-B284)/(IF(Inputs!$B$38="pvp",15,MAX(0.1,Skills!E28-IF(TRUE=TRUE,Inputs!$B$32,0)))*(1-IF(AND(ArtifactsInput!$M$27,Inputs!$B$4="Chapter Hunt"),CHOOSE(ArtifactsInput!$N$27+1,20,24,28,32,36,40),0)/100)))+1)),0)</f>
        <v>2</v>
      </c>
      <c r="S274">
        <f>IF(C274,(H274*N274*IF(AND(Inputs!$B$38&lt;&gt;"pvp",Inputs!$B$43&gt;0),((Skills!G28*((R274-1)*IF(Skills!H28&gt;0,Skills!I28/Skills!H28,1)+IF(Skills!H28&gt;0,MIN(Skills!I28,MAX(0,MAX(0,Inputs!$B$43-B284)-((R274-1)*(IF(Inputs!$B$38="pvp",15,MAX(0.1,Skills!E28-IF(TRUE=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4">
        <f>IF(C274,(H274*N274*IF(AND(Inputs!$B$38&lt;&gt;"pvp",Inputs!$B$43&gt;0),((Skills!G28*((R274-1)*IF(Skills!H28&gt;0,Skills!I28/Skills!H28,1)+IF(Skills!H28&gt;0,MIN(Skills!I28,MAX(0,MAX(0,Inputs!$B$43-B284)-((R274-1)*(IF(Inputs!$B$38="pvp",15,MAX(0.1,Skills!E28-IF(TRUE=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6" spans="1:21" x14ac:dyDescent="0.2">
      <c r="A276" t="s">
        <v>356</v>
      </c>
      <c r="B276">
        <f>1+(F257*Skills!Z11)/100</f>
        <v>1.25</v>
      </c>
    </row>
    <row r="277" spans="1:21" x14ac:dyDescent="0.2">
      <c r="A277" t="s">
        <v>435</v>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1.18624</v>
      </c>
    </row>
    <row r="278" spans="1:21" x14ac:dyDescent="0.2">
      <c r="A278" t="s">
        <v>358</v>
      </c>
      <c r="B278">
        <f>(1+(F252*IF(AND(Inputs!$B$38&lt;&gt;"pvp",Inputs!$B$43&gt;0),(((R252-1)*MIN((Skills!T6*(1+((Inputs!$B$34+(ArtifactsInput!$M$7-ArtifactsInput!$M$7)*CHOOSE(ArtifactsInput!$N$7+1,6,7.2,8.4,9.6,10.8,12)))/100)),(1/Q252))+MIN((Skills!T6*(1+((Inputs!$B$34+(ArtifactsInput!$M$7-ArtifactsInput!$M$7)*CHOOSE(ArtifactsInput!$N$7+1,6,7.2,8.4,9.6,10.8,12)))/100)),MAX(0,Inputs!$B$43-((R252-1)*(1/Q252)))))/Inputs!$B$43),IF(Inputs!$B$38="pvp",MIN((Skills!T6*(1+((Inputs!$B$34+(ArtifactsInput!$M$7-ArtifactsInput!$M$7)*CHOOSE(ArtifactsInput!$N$7+1,6,7.2,8.4,9.6,10.8,12)))/100)),15)/15,MIN(1,(Skills!T6*(1+((Inputs!$B$34+(ArtifactsInput!$M$7-ArtifactsInput!$M$7)*CHOOSE(ArtifactsInput!$N$7+1,6,7.2,8.4,9.6,10.8,12)))/100))/(1/Q252))))+F263*IF(AND(Inputs!$B$38&lt;&gt;"pvp",Inputs!$B$43&gt;0),(((R263-1)*MIN((Skills!T17*(1+((Inputs!$B$34+(ArtifactsInput!$M$7-ArtifactsInput!$M$7)*CHOOSE(ArtifactsInput!$N$7+1,6,7.2,8.4,9.6,10.8,12)))/100)),(1/Q263))+MIN((Skills!T17*(1+((Inputs!$B$34+(ArtifactsInput!$M$7-ArtifactsInput!$M$7)*CHOOSE(ArtifactsInput!$N$7+1,6,7.2,8.4,9.6,10.8,12)))/100)),MAX(0,Inputs!$B$43-((R263-1)*(1/Q263)))))/Inputs!$B$43),IF(Inputs!$B$38="pvp",MIN((Skills!T17*(1+((Inputs!$B$34+(ArtifactsInput!$M$7-ArtifactsInput!$M$7)*CHOOSE(ArtifactsInput!$N$7+1,6,7.2,8.4,9.6,10.8,12)))/100)),15)/15,MIN(1,(Skills!T17*(1+((Inputs!$B$34+(ArtifactsInput!$M$7-ArtifactsInput!$M$7)*CHOOSE(ArtifactsInput!$N$7+1,6,7.2,8.4,9.6,10.8,12)))/100))/(1/Q263)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MIN((Skills!T19*(1+((Inputs!$B$34+(ArtifactsInput!$M$7-ArtifactsInput!$M$7)*CHOOSE(ArtifactsInput!$N$7+1,6,7.2,8.4,9.6,10.8,12)))/100)),(1/Q265))+MIN((Skills!T19*(1+((Inputs!$B$34+(ArtifactsInput!$M$7-ArtifactsInput!$M$7)*CHOOSE(ArtifactsInput!$N$7+1,6,7.2,8.4,9.6,10.8,12)))/100)),MAX(0,Inputs!$B$43-((R265-1)*(1/Q265)))))/Inputs!$B$43),IF(Inputs!$B$38="pvp",MIN((Skills!T19*(1+((Inputs!$B$34+(ArtifactsInput!$M$7-ArtifactsInput!$M$7)*CHOOSE(ArtifactsInput!$N$7+1,6,7.2,8.4,9.6,10.8,12)))/100)),15)/15,MIN(1,(Skills!T19*(1+((Inputs!$B$34+(ArtifactsInput!$M$7-ArtifactsInput!$M$7)*CHOOSE(ArtifactsInput!$N$7+1,6,7.2,8.4,9.6,10.8,12)))/100))/(1/Q265))))/100),1)</f>
        <v>1.7965808377980694</v>
      </c>
    </row>
    <row r="279" spans="1:21" x14ac:dyDescent="0.2">
      <c r="A279" t="s">
        <v>359</v>
      </c>
      <c r="B279">
        <f>F264*IF(AND(Inputs!$B$38&lt;&gt;"pvp",Inputs!$B$43&gt;0),(((R264-1)*MIN((Skills!T18*(1+((Inputs!$B$34+(ArtifactsInput!$M$7-ArtifactsInput!$M$7)*CHOOSE(ArtifactsInput!$N$7+1,6,7.2,8.4,9.6,10.8,12)))/100)),(1/Q264))+MIN((Skills!T18*(1+((Inputs!$B$34+(ArtifactsInput!$M$7-ArtifactsInput!$M$7)*CHOOSE(ArtifactsInput!$N$7+1,6,7.2,8.4,9.6,10.8,12)))/100)),MAX(0,Inputs!$B$43-((R264-1)*(1/Q264)))))/Inputs!$B$43),IF(Inputs!$B$38="pvp",MIN((Skills!T18*(1+((Inputs!$B$34+(ArtifactsInput!$M$7-ArtifactsInput!$M$7)*CHOOSE(ArtifactsInput!$N$7+1,6,7.2,8.4,9.6,10.8,12)))/100)),15)/15,MIN(1,(Skills!T18*(1+((Inputs!$B$34+(ArtifactsInput!$M$7-ArtifactsInput!$M$7)*CHOOSE(ArtifactsInput!$N$7+1,6,7.2,8.4,9.6,10.8,12)))/100))/(1/Q264))))</f>
        <v>6.4968749999999993</v>
      </c>
    </row>
    <row r="280" spans="1:21" x14ac:dyDescent="0.2">
      <c r="A280" t="s">
        <v>436</v>
      </c>
      <c r="B280">
        <f>1+MIN(150,150*(1-(1-(Inputs!$B$11+(ArtifactsInput!$M$15-ArtifactsInput!$M$15)*CHOOSE(ArtifactsInput!$N$15+1,8,9.6,11.2,12.8,14.4,16))/150)*(1-B279/150)))/100</f>
        <v>1.6982958749999999</v>
      </c>
    </row>
    <row r="281" spans="1:21" x14ac:dyDescent="0.2">
      <c r="A281" t="s">
        <v>437</v>
      </c>
      <c r="B281">
        <f>IF(AND(Inputs!$B$38&lt;&gt;"pvp",Inputs!$B$43&gt;0),SUMPRODUCT((Skills!F2:F28=TRUE)*(C248:C274=TRUE)*R248:R274)/Inputs!$B$43,SUMPRODUCT((Skills!F2:F28=TRUE)*(C248:C274=TRUE)*Q248:Q274))</f>
        <v>0.47499999999999998</v>
      </c>
    </row>
    <row r="282" spans="1:21" x14ac:dyDescent="0.2">
      <c r="A282" t="s">
        <v>362</v>
      </c>
      <c r="B282">
        <f>MAX(0,B280-B281)</f>
        <v>1.2232958749999998</v>
      </c>
    </row>
    <row r="283" spans="1:21" x14ac:dyDescent="0.2">
      <c r="A283" t="s">
        <v>438</v>
      </c>
      <c r="B283">
        <f>IF(AND(Inputs!$B$38&lt;&gt;"pvp",Inputs!$B$43&gt;0),SUMPRODUCT((Skills!V2:V28=TRUE)*(C248:C274=TRUE)*R248:R274*Skills!W2:W28)/Inputs!$B$43,SUMPRODUCT((Skills!V2:V28=TRUE)*(C248:C274=TRUE)*Q248:Q274*Skills!W2:W28))+B282</f>
        <v>1.5482958749999998</v>
      </c>
    </row>
    <row r="284" spans="1:21" x14ac:dyDescent="0.2">
      <c r="A284" t="s">
        <v>439</v>
      </c>
      <c r="B284">
        <f>IF(AND(Inputs!$B$38&lt;&gt;"pvp",Inputs!$B$43&gt;0),SUMPRODUCT((Skills!T2:T28&gt;0)*(Skills!F2:F28=TRUE)*(C248:C274=TRUE))/B280,0)</f>
        <v>2.3553021937358238</v>
      </c>
    </row>
    <row r="285" spans="1:21" x14ac:dyDescent="0.2">
      <c r="A285" t="s">
        <v>440</v>
      </c>
      <c r="B285">
        <f>SUM(S248:S274)</f>
        <v>9547085561678196</v>
      </c>
    </row>
    <row r="286" spans="1:21" x14ac:dyDescent="0.2">
      <c r="A286" t="s">
        <v>441</v>
      </c>
      <c r="B286">
        <f>SUM(U248:U274)</f>
        <v>5.6656428257660488E+16</v>
      </c>
    </row>
    <row r="287" spans="1:21" x14ac:dyDescent="0.2">
      <c r="A287" s="6" t="s">
        <v>348</v>
      </c>
      <c r="B287" s="6">
        <f>SUM(O248:O274)</f>
        <v>3.3101756909669344E+16</v>
      </c>
    </row>
    <row r="290" spans="1:26" x14ac:dyDescent="0.2">
      <c r="A290" s="6" t="s">
        <v>446</v>
      </c>
    </row>
    <row r="291" spans="1:26" x14ac:dyDescent="0.2">
      <c r="A291" s="5" t="s">
        <v>136</v>
      </c>
      <c r="B291" s="5" t="s">
        <v>137</v>
      </c>
      <c r="C291" s="5" t="s">
        <v>328</v>
      </c>
      <c r="D291" s="5" t="s">
        <v>329</v>
      </c>
      <c r="E291" s="5" t="s">
        <v>330</v>
      </c>
      <c r="F291" s="5" t="s">
        <v>331</v>
      </c>
      <c r="G291" s="5" t="s">
        <v>332</v>
      </c>
      <c r="H291" s="5" t="s">
        <v>333</v>
      </c>
      <c r="I291" s="5" t="s">
        <v>334</v>
      </c>
      <c r="J291" s="5" t="s">
        <v>335</v>
      </c>
      <c r="K291" s="5" t="s">
        <v>336</v>
      </c>
      <c r="L291" s="5" t="s">
        <v>337</v>
      </c>
      <c r="M291" s="5" t="s">
        <v>338</v>
      </c>
      <c r="N291" s="5" t="s">
        <v>339</v>
      </c>
      <c r="O291" s="5" t="s">
        <v>340</v>
      </c>
      <c r="P291" s="5" t="s">
        <v>341</v>
      </c>
      <c r="R291" t="s">
        <v>434</v>
      </c>
    </row>
    <row r="292" spans="1:26" x14ac:dyDescent="0.2">
      <c r="A292" t="str">
        <f>Skills!A2</f>
        <v>BASIC_ATTACK</v>
      </c>
      <c r="B292" t="str">
        <f>Skills!B2</f>
        <v>Basic Attack</v>
      </c>
      <c r="C292" t="b">
        <f>TRUE</f>
        <v>1</v>
      </c>
      <c r="F292">
        <f>T294+Skills!O2</f>
        <v>537.6</v>
      </c>
      <c r="G292">
        <f>Calc!G2</f>
        <v>5</v>
      </c>
      <c r="H292">
        <f>Calc!H2</f>
        <v>1</v>
      </c>
      <c r="I292">
        <f>IF(Skills!X2&lt;&gt;"",1+(Skills!X2/10)*(Z293/1000)/100,1)</f>
        <v>1</v>
      </c>
      <c r="J292">
        <f>((Inputs!$B$6*(1+Inputs!$B$7/100))+(((Inputs!$B$12*(1+Inputs!$B$13/100))-(Inputs!$B$12*(1+Inputs!$B$13/100)))+0.25*(Inputs!$B$14-Inputs!$B$14))*(1+Inputs!$B$7/100))*(F292/100)</f>
        <v>1941459186.9980164</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6620290711466.1074</v>
      </c>
      <c r="L292">
        <f>K292*(MIN(Inputs!$B$22+(F312-Calc!F22),(Inputs!$B$23+(IF(ArtifactsInput!$M$15,CHOOSE(ArtifactsInput!$N$15+1,25,30,35,40,45,50)/100*(Inputs!$B$11-Inputs!$B$11),0))))/100+(Inputs!$B$23+(IF(ArtifactsInput!$M$15,CHOOSE(ArtifactsInput!$N$15+1,25,30,35,40,45,50)/100*(Inputs!$B$11-Inputs!$B$11),0)))/100)/2</f>
        <v>22012466615624.809</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292">
        <f>L292*(1-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292">
        <f>(1-Summary!$B$11)*S292+Summary!$B$11*U292</f>
        <v>1.2551546440152006E+16</v>
      </c>
      <c r="P292">
        <f>IF(B331=0,0,O292/B331)</f>
        <v>0.37827728487562234</v>
      </c>
      <c r="Q292">
        <f>IFERROR(1/(IF(Inputs!$B$38="pvp",15,MAX(0.1,Skills!E2-IF(TRUE=TRUE,Inputs!$B$32,0)))*(1-IF(AND(ArtifactsInput!$M$27,Inputs!$B$4="Chapter Hunt"),CHOOSE(ArtifactsInput!$N$27+1,20,24,28,32,36,40),0)/100)),0)</f>
        <v>10</v>
      </c>
      <c r="R292">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292">
        <f>MAX(0,(Inputs!$B$3-100)*3)+Inputs!$B$28+Inputs!$B$29</f>
        <v>185</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2.3025464084591684E+16</v>
      </c>
      <c r="Z292">
        <f>MAX(0,(Inputs!$B$3-100)*3)+Inputs!$B$28+Inputs!$B$29</f>
        <v>185</v>
      </c>
    </row>
    <row r="293" spans="1:26" x14ac:dyDescent="0.2">
      <c r="A293" t="str">
        <f>Skills!A3</f>
        <v>IGNITE</v>
      </c>
      <c r="B293" t="str">
        <f>Skills!B3</f>
        <v>Ignite</v>
      </c>
      <c r="C293" t="b">
        <f>TRUE</f>
        <v>1</v>
      </c>
      <c r="D293">
        <f>IF(Skills!C3=1,60+Inputs!$B$25+Inputs!$B$29,IF(Skills!C3=2,90+Inputs!$B$26+Inputs!$B$29,IF(Skills!C3=3,120+Inputs!$B$27+Inputs!$B$29,MAX(0,(Inputs!$B$3-100)*3)+Inputs!$B$28+Inputs!$B$29)))</f>
        <v>168</v>
      </c>
      <c r="E293">
        <f>INDEX(FactorTable!$B$2:$Y$301, MATCH(ROUND(MIN(300,MAX(1,D293)),0), FactorTable!$A$2:$A$301,0), Skills!M3+1)</f>
        <v>1672</v>
      </c>
      <c r="F293">
        <f>IF(Skills!N3=TRUE,(Skills!L3/10)*(E293/1000),Skills!L3/10)+Skills!O3</f>
        <v>121.736</v>
      </c>
      <c r="G293">
        <f>Calc!G3</f>
        <v>3</v>
      </c>
      <c r="H293">
        <f>Calc!H3</f>
        <v>1</v>
      </c>
      <c r="I293">
        <f>IF(Skills!X3&lt;&gt;"",1+(Skills!X3/10)*(Z293/1000)/100,1)</f>
        <v>4.8250000000000002</v>
      </c>
      <c r="J293">
        <f>((Inputs!$B$6*(1+Inputs!$B$7/100))+(((Inputs!$B$12*(1+Inputs!$B$13/100))-(Inputs!$B$12*(1+Inputs!$B$13/100)))+0.25*(Inputs!$B$14-Inputs!$B$14))*(1+Inputs!$B$7/100))*(F293/100)</f>
        <v>439630720.9605478</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10658554617221.965</v>
      </c>
      <c r="L293">
        <f>K293*(MIN(Inputs!$B$22+(F312-Calc!F22),(Inputs!$B$23+(IF(ArtifactsInput!$M$15,CHOOSE(ArtifactsInput!$N$15+1,25,30,35,40,45,50)/100*(Inputs!$B$11-Inputs!$B$11),0))))/100+(Inputs!$B$23+(IF(ArtifactsInput!$M$15,CHOOSE(ArtifactsInput!$N$15+1,25,30,35,40,45,50)/100*(Inputs!$B$11-Inputs!$B$11),0)))/100)/2</f>
        <v>35439694102263.031</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293">
        <f>L293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293">
        <f>(1-Summary!$B$11)*S293+Summary!$B$11*U293</f>
        <v>2914615454235282</v>
      </c>
      <c r="P293">
        <f>IF(B331=0,0,O293/B331)</f>
        <v>8.7840396858006514E-2</v>
      </c>
      <c r="Q293">
        <f>IFERROR(1/(IF(Inputs!$B$38="pvp",15,MAX(0.1,Skills!E3-IF(FALSE=TRUE,Inputs!$B$32,0)))*(1-IF(AND(ArtifactsInput!$M$27,Inputs!$B$4="Chapter Hunt"),CHOOSE(ArtifactsInput!$N$27+1,20,24,28,32,36,40),0)/100)),0)</f>
        <v>1</v>
      </c>
      <c r="R293">
        <f>IF(AND(Inputs!$B$38&lt;&gt;"pvp",Inputs!$B$43&gt;0),IF(MAX(0,Inputs!$B$43-B328)&lt;=0,0,(INT(MAX(0,Inputs!$B$43-B328)/(IF(Inputs!$B$38="pvp",15,MAX(0.1,Skills!E3-IF(FALSE=TRUE,Inputs!$B$32,0)))*(1-IF(AND(ArtifactsInput!$M$27,Inputs!$B$4="Chapter Hunt"),CHOOSE(ArtifactsInput!$N$27+1,20,24,28,32,36,40),0)/100)))+1)),0)</f>
        <v>38</v>
      </c>
      <c r="S293">
        <f>IF(C293,(H293*N293*IF(AND(Inputs!$B$38&lt;&gt;"pvp",Inputs!$B$43&gt;0),((Skills!G3*((R293-1)*IF(Skills!H3&gt;0,Skills!I3/Skills!H3,1)+IF(Skills!H3&gt;0,MIN(Skills!I3,MAX(0,MAX(0,Inputs!$B$43-B328)-((R293-1)*(IF(Inputs!$B$38="pvp",15,MAX(0.1,Skills!E3-IF(FALSE=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293">
        <f>INDEX(FactorTable!$B$2:$Y$301, MATCH(ROUND(MIN(300,MAX(1,T292)),0), FactorTable!$A$2:$A$301,0), 22)</f>
        <v>1740</v>
      </c>
      <c r="U293">
        <f>IF(C293,(H293*N293*IF(AND(Inputs!$B$38&lt;&gt;"pvp",Inputs!$B$43&gt;0),((Skills!G3*((R293-1)*IF(Skills!H3&gt;0,Skills!I3/Skills!H3,1)+IF(Skills!H3&gt;0,MIN(Skills!I3,MAX(0,MAX(0,Inputs!$B$43-B328)-((R293-1)*(IF(Inputs!$B$38="pvp",15,MAX(0.1,Skills!E3-IF(FALSE=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4318301883135184.5</v>
      </c>
      <c r="Z293">
        <f>INDEX(FactorTable!$B$2:$Y$301, MATCH(ROUND(MIN(300,MAX(1,Z292)),0), FactorTable!$A$2:$A$301,0), 24)</f>
        <v>7650</v>
      </c>
    </row>
    <row r="294" spans="1:26" x14ac:dyDescent="0.2">
      <c r="A294" t="str">
        <f>Skills!A4</f>
        <v>POISON_BREATH</v>
      </c>
      <c r="B294" t="str">
        <f>Skills!B4</f>
        <v>Poison Breath</v>
      </c>
      <c r="C294" t="b">
        <f>TRUE</f>
        <v>1</v>
      </c>
      <c r="D294">
        <f>IF(Skills!C4=1,60+Inputs!$B$25+Inputs!$B$29,IF(Skills!C4=2,90+Inputs!$B$26+Inputs!$B$29,IF(Skills!C4=3,120+Inputs!$B$27+Inputs!$B$29,MAX(0,(Inputs!$B$3-100)*3)+Inputs!$B$28+Inputs!$B$29)))</f>
        <v>168</v>
      </c>
      <c r="E294">
        <f>INDEX(FactorTable!$B$2:$Y$301, MATCH(ROUND(MIN(300,MAX(1,D294)),0), FactorTable!$A$2:$A$301,0), Skills!M4+1)</f>
        <v>1840</v>
      </c>
      <c r="F294">
        <f>IF(Skills!N4=TRUE,(Skills!L4/10)*(E294/1000),Skills!L4/10)+Skills!O4</f>
        <v>438</v>
      </c>
      <c r="G294">
        <f>Calc!G4</f>
        <v>3</v>
      </c>
      <c r="H294">
        <f>Calc!H4</f>
        <v>1</v>
      </c>
      <c r="I294">
        <f>IF(Skills!X4&lt;&gt;"",1+(Skills!X4/10)*(Z293/1000)/100,1)</f>
        <v>7.12</v>
      </c>
      <c r="J294">
        <f>((Inputs!$B$6*(1+Inputs!$B$7/100))+(((Inputs!$B$12*(1+Inputs!$B$13/100))-(Inputs!$B$12*(1+Inputs!$B$13/100)))+0.25*(Inputs!$B$14-Inputs!$B$14))*(1+Inputs!$B$7/100))*(F294/100)</f>
        <v>1581769203.69258</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56589528290529.523</v>
      </c>
      <c r="L294">
        <f>K294*(MIN(Inputs!$B$22+(F312-Calc!F22),(Inputs!$B$23+(IF(ArtifactsInput!$M$15,CHOOSE(ArtifactsInput!$N$15+1,25,30,35,40,45,50)/100*(Inputs!$B$11-Inputs!$B$11),0))))/100+(Inputs!$B$23+(IF(ArtifactsInput!$M$15,CHOOSE(ArtifactsInput!$N$15+1,25,30,35,40,45,50)/100*(Inputs!$B$11-Inputs!$B$11),0)))/100)/2</f>
        <v>188160181566010.69</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294">
        <f>L294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294">
        <f>(1-Summary!$B$11)*S294+Summary!$B$11*U294</f>
        <v>2126698303847062</v>
      </c>
      <c r="P294">
        <f>IF(B331=0,0,O294/B331)</f>
        <v>6.409422647358784E-2</v>
      </c>
      <c r="Q294">
        <f>IFERROR(1/(IF(Inputs!$B$38="pvp",15,MAX(0.1,Skills!E4-IF(TRUE=TRUE,Inputs!$B$32,0)))*(1-IF(AND(ArtifactsInput!$M$27,Inputs!$B$4="Chapter Hunt"),CHOOSE(ArtifactsInput!$N$27+1,20,24,28,32,36,40),0)/100)),0)</f>
        <v>5.5555555555555552E-2</v>
      </c>
      <c r="R294">
        <f>IF(AND(Inputs!$B$38&lt;&gt;"pvp",Inputs!$B$43&gt;0),IF(MAX(0,Inputs!$B$43-B328)&lt;=0,0,(INT(MAX(0,Inputs!$B$43-B328)/(IF(Inputs!$B$38="pvp",15,MAX(0.1,Skills!E4-IF(TRUE=TRUE,Inputs!$B$32,0)))*(1-IF(AND(ArtifactsInput!$M$27,Inputs!$B$4="Chapter Hunt"),CHOOSE(ArtifactsInput!$N$27+1,20,24,28,32,36,40),0)/100)))+1)),0)</f>
        <v>3</v>
      </c>
      <c r="S294">
        <f>IF(C294,(H294*N294*IF(AND(Inputs!$B$38&lt;&gt;"pvp",Inputs!$B$43&gt;0),((Skills!G4*((R294-1)*IF(Skills!H4&gt;0,Skills!I4/Skills!H4,1)+IF(Skills!H4&gt;0,MIN(Skills!I4,MAX(0,MAX(0,Inputs!$B$43-B328)-((R294-1)*(IF(Inputs!$B$38="pvp",15,MAX(0.1,Skills!E4-IF(TRUE=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294">
        <f>290*T293/1000</f>
        <v>504.6</v>
      </c>
      <c r="U294">
        <f>IF(C294,(H294*N294*IF(AND(Inputs!$B$38&lt;&gt;"pvp",Inputs!$B$43&gt;0),((Skills!G4*((R294-1)*IF(Skills!H4&gt;0,Skills!I4/Skills!H4,1)+IF(Skills!H4&gt;0,MIN(Skills!I4,MAX(0,MAX(0,Inputs!$B$43-B328)-((R294-1)*(IF(Inputs!$B$38="pvp",15,MAX(0.1,Skills!E4-IF(TRUE=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3620082035294388.5</v>
      </c>
    </row>
    <row r="295" spans="1:26" x14ac:dyDescent="0.2">
      <c r="A295" t="str">
        <f>Skills!A5</f>
        <v>ELEMENTAL_DRAIN</v>
      </c>
      <c r="B295" t="str">
        <f>Skills!B5</f>
        <v>Elemental Drain</v>
      </c>
      <c r="C295" t="b">
        <f>TRUE</f>
        <v>1</v>
      </c>
      <c r="D295">
        <f>IF(Skills!C5=1,60+Inputs!$B$25+Inputs!$B$29,IF(Skills!C5=2,90+Inputs!$B$26+Inputs!$B$29,IF(Skills!C5=3,120+Inputs!$B$27+Inputs!$B$29,MAX(0,(Inputs!$B$3-100)*3)+Inputs!$B$28+Inputs!$B$29)))</f>
        <v>168</v>
      </c>
      <c r="E295">
        <f>INDEX(FactorTable!$B$2:$Y$301, MATCH(ROUND(MIN(300,MAX(1,D295)),0), FactorTable!$A$2:$A$301,0), Skills!M5+1)</f>
        <v>1672</v>
      </c>
      <c r="F295">
        <f>IF(Skills!N5=TRUE,(Skills!L5/10)*(E295/1000),Skills!L5/10)+Skills!O5</f>
        <v>20.064</v>
      </c>
      <c r="G295">
        <f>Calc!G5</f>
        <v>5</v>
      </c>
      <c r="H295">
        <f>Calc!H5</f>
        <v>1</v>
      </c>
      <c r="I295">
        <f>IF(Skills!X5&lt;&gt;"",1+(Skills!X5/10)*(Z293/1000)/100,1)</f>
        <v>12.475</v>
      </c>
      <c r="J295">
        <f>((Inputs!$B$6*(1+Inputs!$B$7/100))+(((Inputs!$B$12*(1+Inputs!$B$13/100))-(Inputs!$B$12*(1+Inputs!$B$13/100)))+0.25*(Inputs!$B$14-Inputs!$B$14))*(1+Inputs!$B$7/100))*(F295/100)</f>
        <v>72458030.371890247</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4541925884983.542</v>
      </c>
      <c r="L295">
        <f>K295*(MIN(Inputs!$B$22+(F312-Calc!F22),(Inputs!$B$23+(IF(ArtifactsInput!$M$15,CHOOSE(ArtifactsInput!$N$15+1,25,30,35,40,45,50)/100*(Inputs!$B$11-Inputs!$B$11),0))))/100+(Inputs!$B$23+(IF(ArtifactsInput!$M$15,CHOOSE(ArtifactsInput!$N$15+1,25,30,35,40,45,50)/100*(Inputs!$B$11-Inputs!$B$11),0)))/100)/2</f>
        <v>15101903567570.277</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295">
        <f>L295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295">
        <f>(1-Summary!$B$11)*S295+Summary!$B$11*U295</f>
        <v>1047697561503522</v>
      </c>
      <c r="P295">
        <f>IF(B331=0,0,O295/B331)</f>
        <v>3.1575407128204273E-2</v>
      </c>
      <c r="Q295">
        <f>IFERROR(1/(IF(Inputs!$B$38="pvp",15,MAX(0.1,Skills!E5-IF(FALSE=TRUE,Inputs!$B$32,0)))*(1-IF(AND(ArtifactsInput!$M$27,Inputs!$B$4="Chapter Hunt"),CHOOSE(ArtifactsInput!$N$27+1,20,24,28,32,36,40),0)/100)),0)</f>
        <v>1</v>
      </c>
      <c r="R295">
        <f>IF(AND(Inputs!$B$38&lt;&gt;"pvp",Inputs!$B$43&gt;0),IF(MAX(0,Inputs!$B$43-B328)&lt;=0,0,(INT(MAX(0,Inputs!$B$43-B328)/(IF(Inputs!$B$38="pvp",15,MAX(0.1,Skills!E5-IF(FALSE=TRUE,Inputs!$B$32,0)))*(1-IF(AND(ArtifactsInput!$M$27,Inputs!$B$4="Chapter Hunt"),CHOOSE(ArtifactsInput!$N$27+1,20,24,28,32,36,40),0)/100)))+1)),0)</f>
        <v>38</v>
      </c>
      <c r="S295">
        <f>IF(C295,(H295*N295*IF(AND(Inputs!$B$38&lt;&gt;"pvp",Inputs!$B$43&gt;0),((Skills!G5*((R295-1)*IF(Skills!H5&gt;0,Skills!I5/Skills!H5,1)+IF(Skills!H5&gt;0,MIN(Skills!I5,MAX(0,MAX(0,Inputs!$B$43-B328)-((R295-1)*(IF(Inputs!$B$38="pvp",15,MAX(0.1,Skills!E5-IF(FALSE=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295">
        <f>IF(C295,(H295*N295*IF(AND(Inputs!$B$38&lt;&gt;"pvp",Inputs!$B$43&gt;0),((Skills!G5*((R295-1)*IF(Skills!H5&gt;0,Skills!I5/Skills!H5,1)+IF(Skills!H5&gt;0,MIN(Skills!I5,MAX(0,MAX(0,Inputs!$B$43-B328)-((R295-1)*(IF(Inputs!$B$38="pvp",15,MAX(0.1,Skills!E5-IF(FALSE=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1022309090707798.5</v>
      </c>
    </row>
    <row r="296" spans="1:26" x14ac:dyDescent="0.2">
      <c r="A296" t="str">
        <f>Skills!A6</f>
        <v>MEDITATION</v>
      </c>
      <c r="B296" t="str">
        <f>Skills!B6</f>
        <v>Meditation</v>
      </c>
      <c r="C296" t="b">
        <f>TRUE</f>
        <v>1</v>
      </c>
      <c r="D296">
        <f>IF(Skills!C6=1,60+Inputs!$B$25+Inputs!$B$29,IF(Skills!C6=2,90+Inputs!$B$26+Inputs!$B$29,IF(Skills!C6=3,120+Inputs!$B$27+Inputs!$B$29,MAX(0,(Inputs!$B$3-100)*3)+Inputs!$B$28+Inputs!$B$29)))</f>
        <v>168</v>
      </c>
      <c r="E296">
        <f>INDEX(FactorTable!$B$2:$Y$301, MATCH(ROUND(MIN(300,MAX(1,D296)),0), FactorTable!$A$2:$A$301,0), Skills!M6+1)</f>
        <v>1672</v>
      </c>
      <c r="F296">
        <f>IF(Skills!N6=TRUE,(Skills!L6/10)*(E296/1000),Skills!L6/10)+Skills!O6</f>
        <v>33.44</v>
      </c>
      <c r="G296">
        <f>Calc!G6</f>
        <v>1</v>
      </c>
      <c r="H296">
        <f>Calc!H6</f>
        <v>1</v>
      </c>
      <c r="I296">
        <f>IF(Skills!X6&lt;&gt;"",1+(Skills!X6/10)*(Z293/1000)/100,1)</f>
        <v>1</v>
      </c>
      <c r="O296">
        <f>(1-Summary!$B$11)*S296+Summary!$B$11*U296</f>
        <v>0</v>
      </c>
      <c r="P296">
        <f>IF(B331=0,0,O296/B331)</f>
        <v>0</v>
      </c>
      <c r="Q296">
        <f>IFERROR(1/(IF(Inputs!$B$38="pvp",15,MAX(0.1,Skills!E6-IF(TRUE=TRUE,Inputs!$B$32,0)))*(1-IF(AND(ArtifactsInput!$M$27,Inputs!$B$4="Chapter Hunt"),CHOOSE(ArtifactsInput!$N$27+1,20,24,28,32,36,40),0)/100)),0)</f>
        <v>3.3333333333333333E-2</v>
      </c>
      <c r="R296">
        <f>IF(AND(Inputs!$B$38&lt;&gt;"pvp",Inputs!$B$43&gt;0),IF(Inputs!$B$43&lt;=0,0,(INT(Inputs!$B$43/(IF(Inputs!$B$38="pvp",15,MAX(0.1,Skills!E6-IF(TRUE=TRUE,Inputs!$B$32,0)))*(1-IF(AND(ArtifactsInput!$M$27,Inputs!$B$4="Chapter Hunt"),CHOOSE(ArtifactsInput!$N$27+1,20,24,28,32,36,40),0)/100)))+1)),0)</f>
        <v>2</v>
      </c>
      <c r="S296">
        <v>0</v>
      </c>
      <c r="U296">
        <v>0</v>
      </c>
    </row>
    <row r="297" spans="1:26" x14ac:dyDescent="0.2">
      <c r="A297" t="str">
        <f>Skills!A7</f>
        <v>POISON_MIST_BURST</v>
      </c>
      <c r="B297" t="str">
        <f>Skills!B7</f>
        <v>Poison Mist (burst)</v>
      </c>
      <c r="C297" t="b">
        <f>TRUE</f>
        <v>1</v>
      </c>
      <c r="D297">
        <f>IF(Skills!C7=1,60+Inputs!$B$25+Inputs!$B$29,IF(Skills!C7=2,90+Inputs!$B$26+Inputs!$B$29,IF(Skills!C7=3,120+Inputs!$B$27+Inputs!$B$29,MAX(0,(Inputs!$B$3-100)*3)+Inputs!$B$28+Inputs!$B$29)))</f>
        <v>184</v>
      </c>
      <c r="E297">
        <f>INDEX(FactorTable!$B$2:$Y$301, MATCH(ROUND(MIN(300,MAX(1,D297)),0), FactorTable!$A$2:$A$301,0), Skills!M7+1)</f>
        <v>1920</v>
      </c>
      <c r="F297">
        <f>IF(Skills!N7=TRUE,(Skills!L7/10)*(E297/1000),Skills!L7/10)+Skills!O7</f>
        <v>357.2</v>
      </c>
      <c r="G297">
        <f>Calc!G7</f>
        <v>3</v>
      </c>
      <c r="H297">
        <f>Calc!H7</f>
        <v>1</v>
      </c>
      <c r="I297">
        <f>IF(Skills!X7&lt;&gt;"",1+(Skills!X7/10)*(Z293/1000)/100,1)</f>
        <v>1.7650000000000001</v>
      </c>
      <c r="J297">
        <f>((Inputs!$B$6*(1+Inputs!$B$7/100))+(((Inputs!$B$12*(1+Inputs!$B$13/100))-(Inputs!$B$12*(1+Inputs!$B$13/100)))+0.25*(Inputs!$B$14-Inputs!$B$14))*(1+Inputs!$B$7/100))*(F297/100)</f>
        <v>1289972510.4086521</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11440318873772.086</v>
      </c>
      <c r="L297">
        <f>K297*(MIN(Inputs!$B$22+(F312-Calc!F22),(Inputs!$B$23+(IF(ArtifactsInput!$M$15,CHOOSE(ArtifactsInput!$N$15+1,25,30,35,40,45,50)/100*(Inputs!$B$11-Inputs!$B$11),0))))/100+(Inputs!$B$23+(IF(ArtifactsInput!$M$15,CHOOSE(ArtifactsInput!$N$15+1,25,30,35,40,45,50)/100*(Inputs!$B$11-Inputs!$B$11),0)))/100)/2</f>
        <v>38039060255292.188</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297">
        <f>L297*(1-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297">
        <f>(1-Summary!$B$11)*S297+Summary!$B$11*U297</f>
        <v>449259455756507.44</v>
      </c>
      <c r="P297">
        <f>IF(B331=0,0,O297/B331)</f>
        <v>1.3539737747742683E-2</v>
      </c>
      <c r="Q297">
        <f>IFERROR(1/(IF(Inputs!$B$38="pvp",15,MAX(0.1,Skills!E7-IF(TRUE=TRUE,Inputs!$B$32,0)))*(1-IF(AND(ArtifactsInput!$M$27,Inputs!$B$4="Chapter Hunt"),CHOOSE(ArtifactsInput!$N$27+1,20,24,28,32,36,40),0)/100)),0)</f>
        <v>4.0816326530612242E-2</v>
      </c>
      <c r="R297">
        <f>IF(AND(Inputs!$B$38&lt;&gt;"pvp",Inputs!$B$43&gt;0),IF(MAX(0,Inputs!$B$43-B328)&lt;=0,0,(INT(MAX(0,Inputs!$B$43-B328)/(IF(Inputs!$B$38="pvp",15,MAX(0.1,Skills!E7-IF(TRUE=TRUE,Inputs!$B$32,0)))*(1-IF(AND(ArtifactsInput!$M$27,Inputs!$B$4="Chapter Hunt"),CHOOSE(ArtifactsInput!$N$27+1,20,24,28,32,36,40),0)/100)))+1)),0)</f>
        <v>2</v>
      </c>
      <c r="S297">
        <f>IF(C297,(H297*N297*IF(AND(Inputs!$B$38&lt;&gt;"pvp",Inputs!$B$43&gt;0),((Skills!G7*((R297-1)*IF(Skills!H7&gt;0,Skills!I7/Skills!H7,1)+IF(Skills!H7&gt;0,MIN(Skills!I7,MAX(0,MAX(0,Inputs!$B$43-B328)-((R297-1)*(IF(Inputs!$B$38="pvp",15,MAX(0.1,Skills!E7-IF(TRUE=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297">
        <f>IF(C297,(H297*N297*IF(AND(Inputs!$B$38&lt;&gt;"pvp",Inputs!$B$43&gt;0),((Skills!G7*((R297-1)*IF(Skills!H7&gt;0,Skills!I7/Skills!H7,1)+IF(Skills!H7&gt;0,MIN(Skills!I7,MAX(0,MAX(0,Inputs!$B$43-B328)-((R297-1)*(IF(Inputs!$B$38="pvp",15,MAX(0.1,Skills!E7-IF(TRUE=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813163653811598.75</v>
      </c>
    </row>
    <row r="298" spans="1:26" x14ac:dyDescent="0.2">
      <c r="A298" t="str">
        <f>Skills!A8</f>
        <v>POISON_MIST_DOT</v>
      </c>
      <c r="B298" t="str">
        <f>Skills!B8</f>
        <v>Poison Mist (fog DoT)</v>
      </c>
      <c r="C298" t="b">
        <f>TRUE</f>
        <v>1</v>
      </c>
      <c r="D298">
        <f>IF(Skills!C8=1,60+Inputs!$B$25+Inputs!$B$29,IF(Skills!C8=2,90+Inputs!$B$26+Inputs!$B$29,IF(Skills!C8=3,120+Inputs!$B$27+Inputs!$B$29,MAX(0,(Inputs!$B$3-100)*3)+Inputs!$B$28+Inputs!$B$29)))</f>
        <v>184</v>
      </c>
      <c r="E298">
        <f>INDEX(FactorTable!$B$2:$Y$301, MATCH(ROUND(MIN(300,MAX(1,D298)),0), FactorTable!$A$2:$A$301,0), Skills!M8+1)</f>
        <v>1920</v>
      </c>
      <c r="F298">
        <f>IF(Skills!N8=TRUE,(Skills!L8/10)*(E298/1000),Skills!L8/10)+Skills!O8</f>
        <v>134.4</v>
      </c>
      <c r="G298">
        <f>Calc!G8</f>
        <v>50</v>
      </c>
      <c r="H298">
        <f>Calc!H8</f>
        <v>1</v>
      </c>
      <c r="I298">
        <f>IF(Skills!X8&lt;&gt;"",1+(Skills!X8/10)*(Z293/1000)/100,1)</f>
        <v>1.7650000000000001</v>
      </c>
      <c r="J298">
        <f>((Inputs!$B$6*(1+Inputs!$B$7/100))+(((Inputs!$B$12*(1+Inputs!$B$13/100))-(Inputs!$B$12*(1+Inputs!$B$13/100)))+0.25*(Inputs!$B$14-Inputs!$B$14))*(1+Inputs!$B$7/100))*(F298/100)</f>
        <v>485364796.74950409</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4304532073446.1597</v>
      </c>
      <c r="L298">
        <f>K298*(MIN(Inputs!$B$22+(F312-Calc!F22),(Inputs!$B$23+(IF(ArtifactsInput!$M$15,CHOOSE(ArtifactsInput!$N$15+1,25,30,35,40,45,50)/100*(Inputs!$B$11-Inputs!$B$11),0))))/100+(Inputs!$B$23+(IF(ArtifactsInput!$M$15,CHOOSE(ArtifactsInput!$N$15+1,25,30,35,40,45,50)/100*(Inputs!$B$11-Inputs!$B$11),0)))/100)/2</f>
        <v>14312569144208.482</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298">
        <f>L298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298">
        <f>(1-Summary!$B$11)*S298+Summary!$B$11*U298</f>
        <v>2334467688322353</v>
      </c>
      <c r="P298">
        <f>IF(B331=0,0,O298/B331)</f>
        <v>7.0355959959126413E-2</v>
      </c>
      <c r="Q298">
        <f>IFERROR(1/(IF(Inputs!$B$38="pvp",15,MAX(0.1,Skills!E8-IF(TRUE=TRUE,Inputs!$B$32,0)))*(1-IF(AND(ArtifactsInput!$M$27,Inputs!$B$4="Chapter Hunt"),CHOOSE(ArtifactsInput!$N$27+1,20,24,28,32,36,40),0)/100)),0)</f>
        <v>4.0816326530612242E-2</v>
      </c>
      <c r="R298">
        <f>IF(AND(Inputs!$B$38&lt;&gt;"pvp",Inputs!$B$43&gt;0),IF(MAX(0,Inputs!$B$43-B328)&lt;=0,0,(INT(MAX(0,Inputs!$B$43-B328)/(IF(Inputs!$B$38="pvp",15,MAX(0.1,Skills!E8-IF(TRUE=TRUE,Inputs!$B$32,0)))*(1-IF(AND(ArtifactsInput!$M$27,Inputs!$B$4="Chapter Hunt"),CHOOSE(ArtifactsInput!$N$27+1,20,24,28,32,36,40),0)/100)))+1)),0)</f>
        <v>2</v>
      </c>
      <c r="S298">
        <f>IF(C298,(H298*N298*IF(AND(Inputs!$B$38&lt;&gt;"pvp",Inputs!$B$43&gt;0),((Skills!G8*((R298-1)*IF(Skills!H8&gt;0,Skills!I8/Skills!H8,1)+IF(Skills!H8&gt;0,MIN(Skills!I8,MAX(0,MAX(0,Inputs!$B$43-B328)-((R298-1)*(IF(Inputs!$B$38="pvp",15,MAX(0.1,Skills!E8-IF(TRUE=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298">
        <f>IF(C298,(H298*N298*IF(AND(Inputs!$B$38&lt;&gt;"pvp",Inputs!$B$43&gt;0),((Skills!G8*((R298-1)*IF(Skills!H8&gt;0,Skills!I8/Skills!H8,1)+IF(Skills!H8&gt;0,MIN(Skills!I8,MAX(0,MAX(0,Inputs!$B$43-B328)-((R298-1)*(IF(Inputs!$B$38="pvp",15,MAX(0.1,Skills!E8-IF(TRUE=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4225407502986818.5</v>
      </c>
    </row>
    <row r="299" spans="1:26" x14ac:dyDescent="0.2">
      <c r="A299" t="str">
        <f>Skills!A9</f>
        <v>MIST_ERUPTION</v>
      </c>
      <c r="B299" t="str">
        <f>Skills!B9</f>
        <v>Mist Eruption</v>
      </c>
      <c r="C299" t="b">
        <f>Inputs!$B$3&gt;=103</f>
        <v>1</v>
      </c>
      <c r="D299">
        <f>IF(Skills!C9=1,60+Inputs!$B$25+Inputs!$B$29,IF(Skills!C9=2,90+Inputs!$B$26+Inputs!$B$29,IF(Skills!C9=3,120+Inputs!$B$27+Inputs!$B$29,MAX(0,(Inputs!$B$3-100)*3)+Inputs!$B$28+Inputs!$B$29)))</f>
        <v>185</v>
      </c>
      <c r="E299">
        <f>INDEX(FactorTable!$B$2:$Y$301, MATCH(ROUND(MIN(300,MAX(1,D299)),0), FactorTable!$A$2:$A$301,0), Skills!M9+1)</f>
        <v>1925</v>
      </c>
      <c r="F299">
        <f>IF(Skills!N9=TRUE,(Skills!L9/10)*(E299/1000),Skills!L9/10)+Skills!O9</f>
        <v>5775</v>
      </c>
      <c r="G299">
        <f>Calc!G9</f>
        <v>2.5</v>
      </c>
      <c r="H299">
        <f>Calc!H9</f>
        <v>1</v>
      </c>
      <c r="I299">
        <f>IF(Skills!X9&lt;&gt;"",1+(Skills!X9/10)*(Z293/1000)/100,1)</f>
        <v>1</v>
      </c>
      <c r="J299">
        <f>((Inputs!$B$6*(1+Inputs!$B$7/100))+(((Inputs!$B$12*(1+Inputs!$B$13/100))-(Inputs!$B$12*(1+Inputs!$B$13/100)))+0.25*(Inputs!$B$14-Inputs!$B$14))*(1+Inputs!$B$7/100))*(F299/100)</f>
        <v>20855518610.330254</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104793406533081.95</v>
      </c>
      <c r="L299">
        <f>K299*(MIN(Inputs!$B$22+(F312-Calc!F22),(Inputs!$B$23+(IF(ArtifactsInput!$M$15,CHOOSE(ArtifactsInput!$N$15+1,25,30,35,40,45,50)/100*(Inputs!$B$11-Inputs!$B$11),0))))/100+(Inputs!$B$23+(IF(ArtifactsInput!$M$15,CHOOSE(ArtifactsInput!$N$15+1,25,30,35,40,45,50)/100*(Inputs!$B$11-Inputs!$B$11),0)))/100)/2</f>
        <v>348438076722497.5</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299">
        <f>L299*(1-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299">
        <f>(1-Summary!$B$11)*S299+Summary!$B$11*U299</f>
        <v>3429349981804009</v>
      </c>
      <c r="P299">
        <f>IF(B331=0,0,O299/B331)</f>
        <v>0.1033534159468381</v>
      </c>
      <c r="Q299">
        <f>IFERROR(1/(IF(Inputs!$B$38="pvp",15,MAX(0.1,Skills!E9-IF(TRUE=TRUE,Inputs!$B$32,0)))*(1-IF(AND(ArtifactsInput!$M$27,Inputs!$B$4="Chapter Hunt"),CHOOSE(ArtifactsInput!$N$27+1,20,24,28,32,36,40),0)/100)),0)</f>
        <v>4.0816326530612242E-2</v>
      </c>
      <c r="R299">
        <f>IF(AND(Inputs!$B$38&lt;&gt;"pvp",Inputs!$B$43&gt;0),IF(MAX(0,Inputs!$B$43-B328)&lt;=0,0,(INT(MAX(0,Inputs!$B$43-B328)/(IF(Inputs!$B$38="pvp",15,MAX(0.1,Skills!E9-IF(TRUE=TRUE,Inputs!$B$32,0)))*(1-IF(AND(ArtifactsInput!$M$27,Inputs!$B$4="Chapter Hunt"),CHOOSE(ArtifactsInput!$N$27+1,20,24,28,32,36,40),0)/100)))+1)),0)</f>
        <v>2</v>
      </c>
      <c r="S299">
        <f>IF(C299,(H299*N299*IF(AND(Inputs!$B$38&lt;&gt;"pvp",Inputs!$B$43&gt;0),((Skills!G9*((R299-1)*IF(Skills!H9&gt;0,Skills!I9/Skills!H9,1)+IF(Skills!H9&gt;0,MIN(Skills!I9,MAX(0,MAX(0,Inputs!$B$43-B328)-((R299-1)*(IF(Inputs!$B$38="pvp",15,MAX(0.1,Skills!E9-IF(TRUE=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299">
        <f>IF(C299,(H299*N299*IF(AND(Inputs!$B$38&lt;&gt;"pvp",Inputs!$B$43&gt;0),((Skills!G9*((R299-1)*IF(Skills!H9&gt;0,Skills!I9/Skills!H9,1)+IF(Skills!H9&gt;0,MIN(Skills!I9,MAX(0,MAX(0,Inputs!$B$43-B328)-((R299-1)*(IF(Inputs!$B$38="pvp",15,MAX(0.1,Skills!E9-IF(TRUE=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6207154297301832</v>
      </c>
    </row>
    <row r="300" spans="1:26" x14ac:dyDescent="0.2">
      <c r="A300" t="str">
        <f>Skills!A10</f>
        <v>CREEPING_TOXIN</v>
      </c>
      <c r="B300" t="str">
        <f>Skills!B10</f>
        <v>Creeping Toxin</v>
      </c>
      <c r="C300" t="b">
        <f>TRUE</f>
        <v>1</v>
      </c>
      <c r="D300">
        <f>IF(Skills!C10=1,60+Inputs!$B$25+Inputs!$B$29,IF(Skills!C10=2,90+Inputs!$B$26+Inputs!$B$29,IF(Skills!C10=3,120+Inputs!$B$27+Inputs!$B$29,MAX(0,(Inputs!$B$3-100)*3)+Inputs!$B$28+Inputs!$B$29)))</f>
        <v>184</v>
      </c>
      <c r="E300">
        <f>INDEX(FactorTable!$B$2:$Y$301, MATCH(ROUND(MIN(300,MAX(1,D300)),0), FactorTable!$A$2:$A$301,0), Skills!M10+1)</f>
        <v>1920</v>
      </c>
      <c r="F300">
        <f>IF(Skills!N10=TRUE,(Skills!L10/10)*(E300/1000),Skills!L10/10)+Skills!O10</f>
        <v>280.39999999999998</v>
      </c>
      <c r="G300">
        <f>Calc!G10</f>
        <v>15</v>
      </c>
      <c r="H300">
        <f>Calc!H10</f>
        <v>1</v>
      </c>
      <c r="I300">
        <f>IF(Skills!X10&lt;&gt;"",1+(Skills!X10/10)*(Z293/1000)/100,1)</f>
        <v>1.7650000000000001</v>
      </c>
      <c r="J300">
        <f>((Inputs!$B$6*(1+Inputs!$B$7/100))+(((Inputs!$B$12*(1+Inputs!$B$13/100))-(Inputs!$B$12*(1+Inputs!$B$13/100)))+0.25*(Inputs!$B$14-Inputs!$B$14))*(1+Inputs!$B$7/100))*(F300/100)</f>
        <v>1012621197.9803641</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8980586260374.2793</v>
      </c>
      <c r="L300">
        <f>K300*(MIN(Inputs!$B$22+(F312-Calc!F22),(Inputs!$B$23+(IF(ArtifactsInput!$M$15,CHOOSE(ArtifactsInput!$N$15+1,25,30,35,40,45,50)/100*(Inputs!$B$11-Inputs!$B$11),0))))/100+(Inputs!$B$23+(IF(ArtifactsInput!$M$15,CHOOSE(ArtifactsInput!$N$15+1,25,30,35,40,45,50)/100*(Inputs!$B$11-Inputs!$B$11),0)))/100)/2</f>
        <v>29860449315744.48</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300">
        <f>L300*(1-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300">
        <f>(1-Summary!$B$11)*S300+Summary!$B$11*U300</f>
        <v>324775159586253.06</v>
      </c>
      <c r="P300">
        <f>IF(B331=0,0,O300/B331)</f>
        <v>9.788042146768882E-3</v>
      </c>
      <c r="Q300">
        <f>IFERROR(1/(IF(Inputs!$B$38="pvp",15,MAX(0.1,Skills!E10-IF(TRUE=TRUE,Inputs!$B$32,0)))*(1-IF(AND(ArtifactsInput!$M$27,Inputs!$B$4="Chapter Hunt"),CHOOSE(ArtifactsInput!$N$27+1,20,24,28,32,36,40),0)/100)),0)</f>
        <v>3.7037037037037035E-2</v>
      </c>
      <c r="R300">
        <f>IF(AND(Inputs!$B$38&lt;&gt;"pvp",Inputs!$B$43&gt;0),IF(MAX(0,Inputs!$B$43-B328)&lt;=0,0,(INT(MAX(0,Inputs!$B$43-B328)/(IF(Inputs!$B$38="pvp",15,MAX(0.1,Skills!E10-IF(TRUE=TRUE,Inputs!$B$32,0)))*(1-IF(AND(ArtifactsInput!$M$27,Inputs!$B$4="Chapter Hunt"),CHOOSE(ArtifactsInput!$N$27+1,20,24,28,32,36,40),0)/100)))+1)),0)</f>
        <v>2</v>
      </c>
      <c r="S300">
        <f>IF(C300,(H300*N300*IF(AND(Inputs!$B$38&lt;&gt;"pvp",Inputs!$B$43&gt;0),((Skills!G10*((R300-1)*IF(Skills!H10&gt;0,Skills!I10/Skills!H10,1)+IF(Skills!H10&gt;0,MIN(Skills!I10,MAX(0,MAX(0,Inputs!$B$43-B328)-((R300-1)*(IF(Inputs!$B$38="pvp",15,MAX(0.1,Skills!E10-IF(TRUE=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300">
        <f>IF(C300,(H300*N300*IF(AND(Inputs!$B$38&lt;&gt;"pvp",Inputs!$B$43&gt;0),((Skills!G10*((R300-1)*IF(Skills!H10&gt;0,Skills!I10/Skills!H10,1)+IF(Skills!H10&gt;0,MIN(Skills!I10,MAX(0,MAX(0,Inputs!$B$43-B328)-((R300-1)*(IF(Inputs!$B$38="pvp",15,MAX(0.1,Skills!E10-IF(TRUE=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363169997645824</v>
      </c>
    </row>
    <row r="301" spans="1:26" x14ac:dyDescent="0.2">
      <c r="A301" t="str">
        <f>Skills!A11</f>
        <v>BURNING_MAGIC</v>
      </c>
      <c r="B301" t="str">
        <f>Skills!B11</f>
        <v>Burning Magic</v>
      </c>
      <c r="C301" t="b">
        <f>TRUE</f>
        <v>1</v>
      </c>
      <c r="D301">
        <f>IF(Skills!C11=1,60+Inputs!$B$25+Inputs!$B$29,IF(Skills!C11=2,90+Inputs!$B$26+Inputs!$B$29,IF(Skills!C11=3,120+Inputs!$B$27+Inputs!$B$29,MAX(0,(Inputs!$B$3-100)*3)+Inputs!$B$28+Inputs!$B$29)))</f>
        <v>184</v>
      </c>
      <c r="E301">
        <f>INDEX(FactorTable!$B$2:$Y$301, MATCH(ROUND(MIN(300,MAX(1,D301)),0), FactorTable!$A$2:$A$301,0), Skills!M11+1)</f>
        <v>0</v>
      </c>
      <c r="F301">
        <f>IF(Skills!N11=TRUE,(Skills!L11/10)*(E301/1000),Skills!L11/10)+Skills!O11</f>
        <v>5</v>
      </c>
      <c r="G301">
        <f>Calc!G11</f>
        <v>1</v>
      </c>
      <c r="H301">
        <f>Calc!H11</f>
        <v>1</v>
      </c>
      <c r="I301">
        <f>IF(Skills!X11&lt;&gt;"",1+(Skills!X11/10)*(Z293/1000)/100,1)</f>
        <v>1</v>
      </c>
      <c r="O301">
        <f>(1-Summary!$B$11)*S301+Summary!$B$11*U301</f>
        <v>0</v>
      </c>
      <c r="P301">
        <f>IF(B331=0,0,O301/B331)</f>
        <v>0</v>
      </c>
      <c r="Q301">
        <f>IFERROR(1/(IF(Inputs!$B$38="pvp",15,MAX(0.1,Skills!E11-IF(TRUE=TRUE,Inputs!$B$32,0)))*(1-IF(AND(ArtifactsInput!$M$27,Inputs!$B$4="Chapter Hunt"),CHOOSE(ArtifactsInput!$N$27+1,20,24,28,32,36,40),0)/100)),0)</f>
        <v>10</v>
      </c>
      <c r="R301">
        <v>0</v>
      </c>
      <c r="S301">
        <v>0</v>
      </c>
      <c r="U301">
        <v>0</v>
      </c>
    </row>
    <row r="302" spans="1:26" x14ac:dyDescent="0.2">
      <c r="A302" t="str">
        <f>Skills!A12</f>
        <v>ELEMENTAL_DECREASE</v>
      </c>
      <c r="B302" t="str">
        <f>Skills!B12</f>
        <v>Elemental Decrease</v>
      </c>
      <c r="C302" t="b">
        <f>TRUE</f>
        <v>1</v>
      </c>
      <c r="D302">
        <f>IF(Skills!C12=1,60+Inputs!$B$25+Inputs!$B$29,IF(Skills!C12=2,90+Inputs!$B$26+Inputs!$B$29,IF(Skills!C12=3,120+Inputs!$B$27+Inputs!$B$29,MAX(0,(Inputs!$B$3-100)*3)+Inputs!$B$28+Inputs!$B$29)))</f>
        <v>184</v>
      </c>
      <c r="E302">
        <f>INDEX(FactorTable!$B$2:$Y$301, MATCH(ROUND(MIN(300,MAX(1,D302)),0), FactorTable!$A$2:$A$301,0), Skills!M12+1)</f>
        <v>1552</v>
      </c>
      <c r="F302">
        <f>IF(Skills!N12=TRUE,(Skills!L12/10)*(E302/1000),Skills!L12/10)+Skills!O12</f>
        <v>18.624000000000002</v>
      </c>
      <c r="G302">
        <f>Calc!G12</f>
        <v>1</v>
      </c>
      <c r="H302">
        <f>Calc!H12</f>
        <v>0.5</v>
      </c>
      <c r="I302">
        <f>IF(Skills!X12&lt;&gt;"",1+(Skills!X12/10)*(Z293/1000)/100,1)</f>
        <v>1</v>
      </c>
      <c r="O302">
        <f>(1-Summary!$B$11)*S302+Summary!$B$11*U302</f>
        <v>0</v>
      </c>
      <c r="P302">
        <f>IF(B331=0,0,O302/B331)</f>
        <v>0</v>
      </c>
      <c r="Q302">
        <f>IFERROR(1/(IF(Inputs!$B$38="pvp",15,MAX(0.1,Skills!E12-IF(TRUE=TRUE,Inputs!$B$32,0)))*(1-IF(AND(ArtifactsInput!$M$27,Inputs!$B$4="Chapter Hunt"),CHOOSE(ArtifactsInput!$N$27+1,20,24,28,32,36,40),0)/100)),0)</f>
        <v>10</v>
      </c>
      <c r="R302">
        <v>0</v>
      </c>
      <c r="S302">
        <v>0</v>
      </c>
      <c r="U302">
        <v>0</v>
      </c>
    </row>
    <row r="303" spans="1:26" x14ac:dyDescent="0.2">
      <c r="A303" t="str">
        <f>Skills!A13</f>
        <v>METEOR_SHOWER_BURST</v>
      </c>
      <c r="B303" t="str">
        <f>Skills!B13</f>
        <v>Meteor Shower (burst)</v>
      </c>
      <c r="C303" t="b">
        <f>Inputs!$B$3&gt;=105</f>
        <v>1</v>
      </c>
      <c r="D303">
        <f>IF(Skills!C13=1,60+Inputs!$B$25+Inputs!$B$29,IF(Skills!C13=2,90+Inputs!$B$26+Inputs!$B$29,IF(Skills!C13=3,120+Inputs!$B$27+Inputs!$B$29,MAX(0,(Inputs!$B$3-100)*3)+Inputs!$B$28+Inputs!$B$29)))</f>
        <v>185</v>
      </c>
      <c r="E303">
        <f>INDEX(FactorTable!$B$2:$Y$301, MATCH(ROUND(MIN(300,MAX(1,D303)),0), FactorTable!$A$2:$A$301,0), Skills!M13+1)</f>
        <v>1925</v>
      </c>
      <c r="F303">
        <f>IF(Skills!N13=TRUE,(Skills!L13/10)*(E303/1000),Skills!L13/10)+Skills!O13</f>
        <v>1155</v>
      </c>
      <c r="G303">
        <f>Calc!G13</f>
        <v>9</v>
      </c>
      <c r="H303">
        <f>Calc!H13</f>
        <v>1</v>
      </c>
      <c r="I303">
        <f>IF(Skills!X13&lt;&gt;"",1+(Skills!X13/10)*(Z293/1000)/100,1)</f>
        <v>1</v>
      </c>
      <c r="J303">
        <f>((Inputs!$B$6*(1+Inputs!$B$7/100))+(((Inputs!$B$12*(1+Inputs!$B$13/100))-(Inputs!$B$12*(1+Inputs!$B$13/100)))+0.25*(Inputs!$B$14-Inputs!$B$14))*(1+Inputs!$B$7/100))*(F303/100)</f>
        <v>4171103722.0660505</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20958681306616.391</v>
      </c>
      <c r="L303">
        <f>K303*(MIN(Inputs!$B$22+(F312-Calc!F22),(Inputs!$B$23+(IF(ArtifactsInput!$M$15,CHOOSE(ArtifactsInput!$N$15+1,25,30,35,40,45,50)/100*(Inputs!$B$11-Inputs!$B$11),0))))/100+(Inputs!$B$23+(IF(ArtifactsInput!$M$15,CHOOSE(ArtifactsInput!$N$15+1,25,30,35,40,45,50)/100*(Inputs!$B$11-Inputs!$B$11),0)))/100)/2</f>
        <v>69687615344499.5</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303">
        <f>L303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303">
        <f>(1-Summary!$B$11)*S303+Summary!$B$11*U303</f>
        <v>1798759322790289</v>
      </c>
      <c r="P303">
        <f>IF(B331=0,0,O303/B331)</f>
        <v>5.4210833383299281E-2</v>
      </c>
      <c r="Q303">
        <f>IFERROR(1/(IF(Inputs!$B$38="pvp",15,MAX(0.1,Skills!E13-IF(TRUE=TRUE,Inputs!$B$32,0)))*(1-IF(AND(ArtifactsInput!$M$27,Inputs!$B$4="Chapter Hunt"),CHOOSE(ArtifactsInput!$N$27+1,20,24,28,32,36,40),0)/100)),0)</f>
        <v>3.0303030303030304E-2</v>
      </c>
      <c r="R303">
        <f>IF(AND(Inputs!$B$38&lt;&gt;"pvp",Inputs!$B$43&gt;0),IF(MAX(0,Inputs!$B$43-B328)&lt;=0,0,(INT(MAX(0,Inputs!$B$43-B328)/(IF(Inputs!$B$38="pvp",15,MAX(0.1,Skills!E13-IF(TRUE=TRUE,Inputs!$B$32,0)))*(1-IF(AND(ArtifactsInput!$M$27,Inputs!$B$4="Chapter Hunt"),CHOOSE(ArtifactsInput!$N$27+1,20,24,28,32,36,40),0)/100)))+1)),0)</f>
        <v>2</v>
      </c>
      <c r="S303">
        <f>IF(C303,(H303*N303*IF(AND(Inputs!$B$38&lt;&gt;"pvp",Inputs!$B$43&gt;0),((Skills!G13*((R303-1)*IF(Skills!H13&gt;0,Skills!I13/Skills!H13,1)+IF(Skills!H13&gt;0,MIN(Skills!I13,MAX(0,MAX(0,Inputs!$B$43-B328)-((R303-1)*(IF(Inputs!$B$38="pvp",15,MAX(0.1,Skills!E13-IF(TRUE=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303">
        <f>IF(C303,(H303*N303*IF(AND(Inputs!$B$38&lt;&gt;"pvp",Inputs!$B$43&gt;0),((Skills!G13*((R303-1)*IF(Skills!H13&gt;0,Skills!I13/Skills!H13,1)+IF(Skills!H13&gt;0,MIN(Skills!I13,MAX(0,MAX(0,Inputs!$B$43-B328)-((R303-1)*(IF(Inputs!$B$38="pvp",15,MAX(0.1,Skills!E13-IF(TRUE=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3128405765840124</v>
      </c>
    </row>
    <row r="304" spans="1:26" x14ac:dyDescent="0.2">
      <c r="A304" t="str">
        <f>Skills!A14</f>
        <v>METEOR_PROC</v>
      </c>
      <c r="B304" t="str">
        <f>Skills!B14</f>
        <v>Meteor Proc (30% on-hit, 1s ICD)</v>
      </c>
      <c r="C304" t="b">
        <f>Inputs!$B$3&gt;=113</f>
        <v>1</v>
      </c>
      <c r="D304">
        <f>IF(Skills!C14=1,60+Inputs!$B$25+Inputs!$B$29,IF(Skills!C14=2,90+Inputs!$B$26+Inputs!$B$29,IF(Skills!C14=3,120+Inputs!$B$27+Inputs!$B$29,MAX(0,(Inputs!$B$3-100)*3)+Inputs!$B$28+Inputs!$B$29)))</f>
        <v>185</v>
      </c>
      <c r="E304">
        <f>INDEX(FactorTable!$B$2:$Y$301, MATCH(ROUND(MIN(300,MAX(1,D304)),0), FactorTable!$A$2:$A$301,0), Skills!M14+1)</f>
        <v>1740</v>
      </c>
      <c r="F304">
        <f>IF(Skills!N14=TRUE,(Skills!L14/10)*(E304/1000),Skills!L14/10)+Skills!O14</f>
        <v>1653</v>
      </c>
      <c r="G304">
        <f>Calc!G14</f>
        <v>0</v>
      </c>
      <c r="H304">
        <f>Calc!H14</f>
        <v>0.30000000000000004</v>
      </c>
      <c r="I304">
        <f>IF(Skills!X14&lt;&gt;"",1+(Skills!X14/10)*(Z293/1000)/100,1)</f>
        <v>1</v>
      </c>
      <c r="J304">
        <f>((Inputs!$B$6*(1+Inputs!$B$7/100))+(((Inputs!$B$12*(1+Inputs!$B$13/100))-(Inputs!$B$12*(1+Inputs!$B$13/100)))+0.25*(Inputs!$B$14-Inputs!$B$14))*(1+Inputs!$B$7/100))*(F304/100)</f>
        <v>5969553638.5932312</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29995411428430.203</v>
      </c>
      <c r="L304">
        <f>K304*(MIN(Inputs!$B$22+(F312-Calc!F22),(Inputs!$B$23+(IF(ArtifactsInput!$M$15,CHOOSE(ArtifactsInput!$N$15+1,25,30,35,40,45,50)/100*(Inputs!$B$11-Inputs!$B$11),0))))/100+(Inputs!$B$23+(IF(ArtifactsInput!$M$15,CHOOSE(ArtifactsInput!$N$15+1,25,30,35,40,45,50)/100*(Inputs!$B$11-Inputs!$B$11),0)))/100)/2</f>
        <v>99734742999530.438</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304">
        <f>L304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304">
        <f>(1-Summary!$B$11)*S304+Summary!$B$11*U304</f>
        <v>462004570031845.5</v>
      </c>
      <c r="P304">
        <f>IF(B331=0,0,O304/B331)</f>
        <v>1.392384876119371E-2</v>
      </c>
      <c r="Q304">
        <f>IFERROR(1/(IF(Inputs!$B$38="pvp",15,MAX(0.1,Skills!E14-IF(TRUE=TRUE,Inputs!$B$32,0)))*(1-IF(AND(ArtifactsInput!$M$27,Inputs!$B$4="Chapter Hunt"),CHOOSE(ArtifactsInput!$N$27+1,20,24,28,32,36,40),0)/100)),0)</f>
        <v>10</v>
      </c>
      <c r="R304">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450808982712818.5</v>
      </c>
    </row>
    <row r="305" spans="1:21" x14ac:dyDescent="0.2">
      <c r="A305" t="str">
        <f>Skills!A15</f>
        <v>FLAME_HAZE_BURST</v>
      </c>
      <c r="B305" t="str">
        <f>Skills!B15</f>
        <v>Flame Haze (burst)</v>
      </c>
      <c r="C305" t="b">
        <f>Inputs!$B$3&gt;=107</f>
        <v>1</v>
      </c>
      <c r="D305">
        <f>IF(Skills!C15=1,60+Inputs!$B$25+Inputs!$B$29,IF(Skills!C15=2,90+Inputs!$B$26+Inputs!$B$29,IF(Skills!C15=3,120+Inputs!$B$27+Inputs!$B$29,MAX(0,(Inputs!$B$3-100)*3)+Inputs!$B$28+Inputs!$B$29)))</f>
        <v>185</v>
      </c>
      <c r="E305">
        <f>INDEX(FactorTable!$B$2:$Y$301, MATCH(ROUND(MIN(300,MAX(1,D305)),0), FactorTable!$A$2:$A$301,0), Skills!M15+1)</f>
        <v>1925</v>
      </c>
      <c r="F305">
        <f>IF(Skills!N15=TRUE,(Skills!L15/10)*(E305/1000),Skills!L15/10)+Skills!O15</f>
        <v>2310</v>
      </c>
      <c r="G305">
        <f>Calc!G15</f>
        <v>3</v>
      </c>
      <c r="H305">
        <f>Calc!H15</f>
        <v>1</v>
      </c>
      <c r="I305">
        <f>IF(Skills!X15&lt;&gt;"",1+(Skills!X15/10)*(Z293/1000)/100,1)</f>
        <v>1</v>
      </c>
      <c r="J305">
        <f>((Inputs!$B$6*(1+Inputs!$B$7/100))+(((Inputs!$B$12*(1+Inputs!$B$13/100))-(Inputs!$B$12*(1+Inputs!$B$13/100)))+0.25*(Inputs!$B$14-Inputs!$B$14))*(1+Inputs!$B$7/100))*(F305/100)</f>
        <v>8342207444.1321011</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41917362613232.781</v>
      </c>
      <c r="L305">
        <f>K305*(MIN(Inputs!$B$22+(F312-Calc!F22),(Inputs!$B$23+(IF(ArtifactsInput!$M$15,CHOOSE(ArtifactsInput!$N$15+1,25,30,35,40,45,50)/100*(Inputs!$B$11-Inputs!$B$11),0))))/100+(Inputs!$B$23+(IF(ArtifactsInput!$M$15,CHOOSE(ArtifactsInput!$N$15+1,25,30,35,40,45,50)/100*(Inputs!$B$11-Inputs!$B$11),0)))/100)/2</f>
        <v>139375230688999</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305">
        <f>L305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305">
        <f>(1-Summary!$B$11)*S305+Summary!$B$11*U305</f>
        <v>1646087991265924.2</v>
      </c>
      <c r="P305">
        <f>IF(B331=0,0,O305/B331)</f>
        <v>4.9609639654482285E-2</v>
      </c>
      <c r="Q305">
        <f>IFERROR(1/(IF(Inputs!$B$38="pvp",15,MAX(0.1,Skills!E15-IF(TRUE=TRUE,Inputs!$B$32,0)))*(1-IF(AND(ArtifactsInput!$M$27,Inputs!$B$4="Chapter Hunt"),CHOOSE(ArtifactsInput!$N$27+1,20,24,28,32,36,40),0)/100)),0)</f>
        <v>0.04</v>
      </c>
      <c r="R305">
        <f>IF(AND(Inputs!$B$38&lt;&gt;"pvp",Inputs!$B$43&gt;0),IF(MAX(0,Inputs!$B$43-B328)&lt;=0,0,(INT(MAX(0,Inputs!$B$43-B328)/(IF(Inputs!$B$38="pvp",15,MAX(0.1,Skills!E15-IF(TRUE=TRUE,Inputs!$B$32,0)))*(1-IF(AND(ArtifactsInput!$M$27,Inputs!$B$4="Chapter Hunt"),CHOOSE(ArtifactsInput!$N$27+1,20,24,28,32,36,40),0)/100)))+1)),0)</f>
        <v>2</v>
      </c>
      <c r="S305">
        <f>IF(C305,(H305*N305*IF(AND(Inputs!$B$38&lt;&gt;"pvp",Inputs!$B$43&gt;0),((Skills!G15*((R305-1)*IF(Skills!H15&gt;0,Skills!I15/Skills!H15,1)+IF(Skills!H15&gt;0,MIN(Skills!I15,MAX(0,MAX(0,Inputs!$B$43-B328)-((R305-1)*(IF(Inputs!$B$38="pvp",15,MAX(0.1,Skills!E15-IF(TRUE=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305">
        <f>IF(C305,(H305*N305*IF(AND(Inputs!$B$38&lt;&gt;"pvp",Inputs!$B$43&gt;0),((Skills!G15*((R305-1)*IF(Skills!H15&gt;0,Skills!I15/Skills!H15,1)+IF(Skills!H15&gt;0,MIN(Skills!I15,MAX(0,MAX(0,Inputs!$B$43-B328)-((R305-1)*(IF(Inputs!$B$38="pvp",15,MAX(0.1,Skills!E15-IF(TRUE=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2979434062704879.5</v>
      </c>
    </row>
    <row r="306" spans="1:21" x14ac:dyDescent="0.2">
      <c r="A306" t="str">
        <f>Skills!A16</f>
        <v>FLAME_HAZE_DOT</v>
      </c>
      <c r="B306" t="str">
        <f>Skills!B16</f>
        <v>Flame Haze (burn DoT)</v>
      </c>
      <c r="C306" t="b">
        <f>Inputs!$B$3&gt;=107</f>
        <v>1</v>
      </c>
      <c r="D306">
        <f>IF(Skills!C16=1,60+Inputs!$B$25+Inputs!$B$29,IF(Skills!C16=2,90+Inputs!$B$26+Inputs!$B$29,IF(Skills!C16=3,120+Inputs!$B$27+Inputs!$B$29,MAX(0,(Inputs!$B$3-100)*3)+Inputs!$B$28+Inputs!$B$29)))</f>
        <v>185</v>
      </c>
      <c r="E306">
        <f>INDEX(FactorTable!$B$2:$Y$301, MATCH(ROUND(MIN(300,MAX(1,D306)),0), FactorTable!$A$2:$A$301,0), Skills!M16+1)</f>
        <v>1925</v>
      </c>
      <c r="F306">
        <f>IF(Skills!N16=TRUE,(Skills!L16/10)*(E306/1000),Skills!L16/10)+Skills!O16</f>
        <v>288.75</v>
      </c>
      <c r="G306">
        <f>Calc!G16</f>
        <v>30</v>
      </c>
      <c r="H306">
        <f>Calc!H16</f>
        <v>1</v>
      </c>
      <c r="I306">
        <f>IF(Skills!X16&lt;&gt;"",1+(Skills!X16/10)*(Z293/1000)/100,1)</f>
        <v>1</v>
      </c>
      <c r="J306">
        <f>((Inputs!$B$6*(1+Inputs!$B$7/100))+(((Inputs!$B$12*(1+Inputs!$B$13/100))-(Inputs!$B$12*(1+Inputs!$B$13/100)))+0.25*(Inputs!$B$14-Inputs!$B$14))*(1+Inputs!$B$7/100))*(F306/100)</f>
        <v>1042775930.5165126</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5239670326654.0977</v>
      </c>
      <c r="L306">
        <f>K306*(MIN(Inputs!$B$22+(F312-Calc!F22),(Inputs!$B$23+(IF(ArtifactsInput!$M$15,CHOOSE(ArtifactsInput!$N$15+1,25,30,35,40,45,50)/100*(Inputs!$B$11-Inputs!$B$11),0))))/100+(Inputs!$B$23+(IF(ArtifactsInput!$M$15,CHOOSE(ArtifactsInput!$N$15+1,25,30,35,40,45,50)/100*(Inputs!$B$11-Inputs!$B$11),0)))/100)/2</f>
        <v>17421903836124.875</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306">
        <f>L306*(1-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306">
        <f>(1-Summary!$B$11)*S306+Summary!$B$11*U306</f>
        <v>1896066878377788</v>
      </c>
      <c r="P306">
        <f>IF(B331=0,0,O306/B331)</f>
        <v>5.7143479021909298E-2</v>
      </c>
      <c r="Q306">
        <f>IFERROR(1/(IF(Inputs!$B$38="pvp",15,MAX(0.1,Skills!E16-IF(TRUE=TRUE,Inputs!$B$32,0)))*(1-IF(AND(ArtifactsInput!$M$27,Inputs!$B$4="Chapter Hunt"),CHOOSE(ArtifactsInput!$N$27+1,20,24,28,32,36,40),0)/100)),0)</f>
        <v>0.04</v>
      </c>
      <c r="R306">
        <f>IF(AND(Inputs!$B$38&lt;&gt;"pvp",Inputs!$B$43&gt;0),IF(MAX(0,Inputs!$B$43-B328)&lt;=0,0,(INT(MAX(0,Inputs!$B$43-B328)/(IF(Inputs!$B$38="pvp",15,MAX(0.1,Skills!E16-IF(TRUE=TRUE,Inputs!$B$32,0)))*(1-IF(AND(ArtifactsInput!$M$27,Inputs!$B$4="Chapter Hunt"),CHOOSE(ArtifactsInput!$N$27+1,20,24,28,32,36,40),0)/100)))+1)),0)</f>
        <v>2</v>
      </c>
      <c r="S306">
        <f>IF(C306,(H306*N306*IF(AND(Inputs!$B$38&lt;&gt;"pvp",Inputs!$B$43&gt;0),((Skills!G16*((R306-1)*IF(Skills!H16&gt;0,Skills!I16/Skills!H16,1)+IF(Skills!H16&gt;0,MIN(Skills!I16,MAX(0,MAX(0,Inputs!$B$43-B328)-((R306-1)*(IF(Inputs!$B$38="pvp",15,MAX(0.1,Skills!E16-IF(TRUE=TRUE,Inputs!$B$32,0)))*(1-IF(AND(ArtifactsInput!$M$27,Inputs!$B$4="Chapter Hunt"),CHOOSE(ArtifactsInput!$N$27+1,20,24,28,32,36,40),0)/100)))))/Skills!H16,1)))/Inputs!$B$43),G306*Q306)*(1+IF(Inputs!$B$3&gt;=126,0.05*(B326+Q303+(H304*B327)/(1+Skills!H14*H304*B327)+Q314),0)*(1/Q305)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306">
        <f>IF(C306,(H306*N306*IF(AND(Inputs!$B$38&lt;&gt;"pvp",Inputs!$B$43&gt;0),((Skills!G16*((R306-1)*IF(Skills!H16&gt;0,Skills!I16/Skills!H16,1)+IF(Skills!H16&gt;0,MIN(Skills!I16,MAX(0,MAX(0,Inputs!$B$43-B328)-((R306-1)*(IF(Inputs!$B$38="pvp",15,MAX(0.1,Skills!E16-IF(TRUE=TRUE,Inputs!$B$32,0)))*(1-IF(AND(ArtifactsInput!$M$27,Inputs!$B$4="Chapter Hunt"),CHOOSE(ArtifactsInput!$N$27+1,20,24,28,32,36,40),0)/100)))))/Skills!H16,1)))/Inputs!$B$43),G306*Q306)*(1+IF(Inputs!$B$3&gt;=126,0.05*(B326+Q303+(H304*B327)/(1+Skills!H14*H304*B327)+Q314),0)*(1/Q305)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3431898095715265</v>
      </c>
    </row>
    <row r="307" spans="1:21" x14ac:dyDescent="0.2">
      <c r="A307" t="str">
        <f>Skills!A17</f>
        <v>MAGIC_GUARD</v>
      </c>
      <c r="B307" t="str">
        <f>Skills!B17</f>
        <v>Magic Guard</v>
      </c>
      <c r="C307" t="b">
        <f>TRUE</f>
        <v>1</v>
      </c>
      <c r="D307">
        <f>IF(Skills!C17=1,60+Inputs!$B$25+Inputs!$B$29,IF(Skills!C17=2,90+Inputs!$B$26+Inputs!$B$29,IF(Skills!C17=3,120+Inputs!$B$27+Inputs!$B$29,MAX(0,(Inputs!$B$3-100)*3)+Inputs!$B$28+Inputs!$B$29)))</f>
        <v>127</v>
      </c>
      <c r="E307">
        <f>INDEX(FactorTable!$B$2:$Y$301, MATCH(ROUND(MIN(300,MAX(1,D307)),0), FactorTable!$A$2:$A$301,0), Skills!M17+1)</f>
        <v>1508</v>
      </c>
      <c r="F307">
        <f>IF(Skills!N17=TRUE,(Skills!L17/10)*(E307/1000),Skills!L17/10)+Skills!O17</f>
        <v>18.096</v>
      </c>
      <c r="G307">
        <f>Calc!G17</f>
        <v>1</v>
      </c>
      <c r="H307">
        <f>Calc!H17</f>
        <v>1</v>
      </c>
      <c r="I307">
        <f>IF(Skills!X17&lt;&gt;"",1+(Skills!X17/10)*(Z293/1000)/100,1)</f>
        <v>1</v>
      </c>
      <c r="O307">
        <f>(1-Summary!$B$11)*S307+Summary!$B$11*U307</f>
        <v>0</v>
      </c>
      <c r="P307">
        <f>IF(B331=0,0,O307/B331)</f>
        <v>0</v>
      </c>
      <c r="Q307">
        <f>IFERROR(1/(IF(Inputs!$B$38="pvp",15,MAX(0.1,Skills!E17-IF(TRUE=TRUE,Inputs!$B$32,0)))*(1-IF(AND(ArtifactsInput!$M$27,Inputs!$B$4="Chapter Hunt"),CHOOSE(ArtifactsInput!$N$27+1,20,24,28,32,36,40),0)/100)),0)</f>
        <v>4.7619047619047616E-2</v>
      </c>
      <c r="R307">
        <f>IF(AND(Inputs!$B$38&lt;&gt;"pvp",Inputs!$B$43&gt;0),IF(Inputs!$B$43&lt;=0,0,(INT(Inputs!$B$43/(IF(Inputs!$B$38="pvp",15,MAX(0.1,Skills!E17-IF(TRUE=TRUE,Inputs!$B$32,0)))*(1-IF(AND(ArtifactsInput!$M$27,Inputs!$B$4="Chapter Hunt"),CHOOSE(ArtifactsInput!$N$27+1,20,24,28,32,36,40),0)/100)))+1)),0)</f>
        <v>2</v>
      </c>
      <c r="S307">
        <v>0</v>
      </c>
      <c r="U307">
        <v>0</v>
      </c>
    </row>
    <row r="308" spans="1:21" x14ac:dyDescent="0.2">
      <c r="A308" t="str">
        <f>Skills!A18</f>
        <v>NIMBLE_FEET</v>
      </c>
      <c r="B308" t="str">
        <f>Skills!B18</f>
        <v>Nimble Feet</v>
      </c>
      <c r="C308" t="b">
        <f>TRUE</f>
        <v>1</v>
      </c>
      <c r="D308">
        <f>IF(Skills!C18=1,60+Inputs!$B$25+Inputs!$B$29,IF(Skills!C18=2,90+Inputs!$B$26+Inputs!$B$29,IF(Skills!C18=3,120+Inputs!$B$27+Inputs!$B$29,MAX(0,(Inputs!$B$3-100)*3)+Inputs!$B$28+Inputs!$B$29)))</f>
        <v>127</v>
      </c>
      <c r="E308">
        <f>INDEX(FactorTable!$B$2:$Y$301, MATCH(ROUND(MIN(300,MAX(1,D308)),0), FactorTable!$A$2:$A$301,0), Skills!M18+1)</f>
        <v>0</v>
      </c>
      <c r="F308">
        <f>IF(Skills!N18=TRUE,(Skills!L18/10)*(E308/1000),Skills!L18/10)+Skills!O18</f>
        <v>15</v>
      </c>
      <c r="G308">
        <f>Calc!G18</f>
        <v>1</v>
      </c>
      <c r="H308">
        <f>Calc!H18</f>
        <v>1</v>
      </c>
      <c r="I308">
        <f>IF(Skills!X18&lt;&gt;"",1+(Skills!X18/10)*(Z293/1000)/100,1)</f>
        <v>1</v>
      </c>
      <c r="O308">
        <f>(1-Summary!$B$11)*S308+Summary!$B$11*U308</f>
        <v>0</v>
      </c>
      <c r="P308">
        <f>IF(B331=0,0,O308/B331)</f>
        <v>0</v>
      </c>
      <c r="Q308">
        <f>IFERROR(1/(IF(Inputs!$B$38="pvp",15,MAX(0.1,Skills!E18-IF(TRUE=TRUE,Inputs!$B$32,0)))*(1-IF(AND(ArtifactsInput!$M$27,Inputs!$B$4="Chapter Hunt"),CHOOSE(ArtifactsInput!$N$27+1,20,24,28,32,36,40),0)/100)),0)</f>
        <v>1.6666666666666666E-2</v>
      </c>
      <c r="R308">
        <f>IF(AND(Inputs!$B$38&lt;&gt;"pvp",Inputs!$B$43&gt;0),IF(Inputs!$B$43&lt;=0,0,(INT(Inputs!$B$43/(IF(Inputs!$B$38="pvp",15,MAX(0.1,Skills!E18-IF(TRUE=TRUE,Inputs!$B$32,0)))*(1-IF(AND(ArtifactsInput!$M$27,Inputs!$B$4="Chapter Hunt"),CHOOSE(ArtifactsInput!$N$27+1,20,24,28,32,36,40),0)/100)))+1)),0)</f>
        <v>1</v>
      </c>
      <c r="S308">
        <v>0</v>
      </c>
      <c r="U308">
        <v>0</v>
      </c>
    </row>
    <row r="309" spans="1:21" x14ac:dyDescent="0.2">
      <c r="A309" t="str">
        <f>Skills!A19</f>
        <v>INFINITY</v>
      </c>
      <c r="B309" t="str">
        <f>Skills!B19</f>
        <v>Infinity</v>
      </c>
      <c r="C309" t="b">
        <f>Inputs!$B$3&gt;=110</f>
        <v>1</v>
      </c>
      <c r="D309">
        <f>IF(Skills!C19=1,60+Inputs!$B$25+Inputs!$B$29,IF(Skills!C19=2,90+Inputs!$B$26+Inputs!$B$29,IF(Skills!C19=3,120+Inputs!$B$27+Inputs!$B$29,MAX(0,(Inputs!$B$3-100)*3)+Inputs!$B$28+Inputs!$B$29)))</f>
        <v>185</v>
      </c>
      <c r="E309">
        <f>INDEX(FactorTable!$B$2:$Y$301, MATCH(ROUND(MIN(300,MAX(1,D309)),0), FactorTable!$A$2:$A$301,0), Skills!M19+1)</f>
        <v>1740</v>
      </c>
      <c r="F309">
        <f>IF(Skills!N19=TRUE,(Skills!L19/10)*(E309/1000),Skills!L19/10)+Skills!O19</f>
        <v>37.700579999999995</v>
      </c>
      <c r="G309">
        <f>Calc!G19</f>
        <v>1</v>
      </c>
      <c r="H309">
        <f>Calc!H19</f>
        <v>1</v>
      </c>
      <c r="I309">
        <f>IF(Skills!X19&lt;&gt;"",1+(Skills!X19/10)*(Z293/1000)/100,1)</f>
        <v>1</v>
      </c>
      <c r="O309">
        <f>(1-Summary!$B$11)*S309+Summary!$B$11*U309</f>
        <v>0</v>
      </c>
      <c r="P309">
        <f>IF(B331=0,0,O309/B331)</f>
        <v>0</v>
      </c>
      <c r="Q309">
        <f>IFERROR(1/(IF(Inputs!$B$38="pvp",15,MAX(0.1,Skills!E19-IF(TRUE=TRUE,Inputs!$B$32,0)))*(1-IF(AND(ArtifactsInput!$M$27,Inputs!$B$4="Chapter Hunt"),CHOOSE(ArtifactsInput!$N$27+1,20,24,28,32,36,40),0)/100)),0)</f>
        <v>3.3333333333333333E-2</v>
      </c>
      <c r="R309">
        <f>IF(AND(Inputs!$B$38&lt;&gt;"pvp",Inputs!$B$43&gt;0),IF(Inputs!$B$43&lt;=0,0,(INT(Inputs!$B$43/(IF(Inputs!$B$38="pvp",15,MAX(0.1,Skills!E19-IF(TRUE=TRUE,Inputs!$B$32,0)))*(1-IF(AND(ArtifactsInput!$M$27,Inputs!$B$4="Chapter Hunt"),CHOOSE(ArtifactsInput!$N$27+1,20,24,28,32,36,40),0)/100)))+1)),0)</f>
        <v>2</v>
      </c>
      <c r="S309">
        <v>0</v>
      </c>
      <c r="U309">
        <v>0</v>
      </c>
    </row>
    <row r="310" spans="1:21" x14ac:dyDescent="0.2">
      <c r="A310" t="str">
        <f>Skills!A20</f>
        <v>MAGIC_CRITICAL_RATE</v>
      </c>
      <c r="B310" t="str">
        <f>Skills!B20</f>
        <v>Magic Critical (Crit Rate)</v>
      </c>
      <c r="C310" t="b">
        <f>TRUE</f>
        <v>1</v>
      </c>
      <c r="D310">
        <f>IF(Skills!C20=1,60+Inputs!$B$25+Inputs!$B$29,IF(Skills!C20=2,90+Inputs!$B$26+Inputs!$B$29,IF(Skills!C20=3,120+Inputs!$B$27+Inputs!$B$29,MAX(0,(Inputs!$B$3-100)*3)+Inputs!$B$28+Inputs!$B$29)))</f>
        <v>184</v>
      </c>
      <c r="E310">
        <f>INDEX(FactorTable!$B$2:$Y$301, MATCH(ROUND(MIN(300,MAX(1,D310)),0), FactorTable!$A$2:$A$301,0), Skills!M20+1)</f>
        <v>1552</v>
      </c>
      <c r="F310">
        <f>IF(Skills!N20=TRUE,(Skills!L20/10)*(E310/1000),Skills!L20/10)+Skills!O20</f>
        <v>12.416</v>
      </c>
      <c r="G310">
        <f>Calc!G20</f>
        <v>1</v>
      </c>
      <c r="H310">
        <f>Calc!H20</f>
        <v>1</v>
      </c>
      <c r="I310">
        <f>IF(Skills!X20&lt;&gt;"",1+(Skills!X20/10)*(Z293/1000)/100,1)</f>
        <v>1</v>
      </c>
      <c r="O310">
        <f>(1-Summary!$B$11)*S310+Summary!$B$11*U310</f>
        <v>0</v>
      </c>
      <c r="P310">
        <f>IF(B331=0,0,O310/B331)</f>
        <v>0</v>
      </c>
      <c r="Q310">
        <f>IFERROR(1/(IF(Inputs!$B$38="pvp",15,MAX(0.1,Skills!E20-IF(TRUE=TRUE,Inputs!$B$32,0)))*(1-IF(AND(ArtifactsInput!$M$27,Inputs!$B$4="Chapter Hunt"),CHOOSE(ArtifactsInput!$N$27+1,20,24,28,32,36,40),0)/100)),0)</f>
        <v>10</v>
      </c>
      <c r="R310">
        <v>0</v>
      </c>
      <c r="S310">
        <v>0</v>
      </c>
      <c r="U310">
        <v>0</v>
      </c>
    </row>
    <row r="311" spans="1:21" x14ac:dyDescent="0.2">
      <c r="A311" t="str">
        <f>Skills!A21</f>
        <v>MAGIC_CRITICAL_DAMAGE</v>
      </c>
      <c r="B311" t="str">
        <f>Skills!B21</f>
        <v>Magic Critical (Crit Damage)</v>
      </c>
      <c r="C311" t="b">
        <f>TRUE</f>
        <v>1</v>
      </c>
      <c r="D311">
        <f>IF(Skills!C21=1,60+Inputs!$B$25+Inputs!$B$29,IF(Skills!C21=2,90+Inputs!$B$26+Inputs!$B$29,IF(Skills!C21=3,120+Inputs!$B$27+Inputs!$B$29,MAX(0,(Inputs!$B$3-100)*3)+Inputs!$B$28+Inputs!$B$29)))</f>
        <v>184</v>
      </c>
      <c r="E311">
        <f>INDEX(FactorTable!$B$2:$Y$301, MATCH(ROUND(MIN(300,MAX(1,D311)),0), FactorTable!$A$2:$A$301,0), Skills!M21+1)</f>
        <v>1552</v>
      </c>
      <c r="F311">
        <f>IF(Skills!N21=TRUE,(Skills!L21/10)*(E311/1000),Skills!L21/10)+Skills!O21</f>
        <v>18.624000000000002</v>
      </c>
      <c r="G311">
        <f>Calc!G21</f>
        <v>1</v>
      </c>
      <c r="H311">
        <f>Calc!H21</f>
        <v>1</v>
      </c>
      <c r="I311">
        <f>IF(Skills!X21&lt;&gt;"",1+(Skills!X21/10)*(Z293/1000)/100,1)</f>
        <v>1</v>
      </c>
      <c r="O311">
        <f>(1-Summary!$B$11)*S311+Summary!$B$11*U311</f>
        <v>0</v>
      </c>
      <c r="P311">
        <f>IF(B331=0,0,O311/B331)</f>
        <v>0</v>
      </c>
      <c r="Q311">
        <f>IFERROR(1/(IF(Inputs!$B$38="pvp",15,MAX(0.1,Skills!E21-IF(TRUE=TRUE,Inputs!$B$32,0)))*(1-IF(AND(ArtifactsInput!$M$27,Inputs!$B$4="Chapter Hunt"),CHOOSE(ArtifactsInput!$N$27+1,20,24,28,32,36,40),0)/100)),0)</f>
        <v>10</v>
      </c>
      <c r="R311">
        <v>0</v>
      </c>
      <c r="S311">
        <v>0</v>
      </c>
      <c r="U311">
        <v>0</v>
      </c>
    </row>
    <row r="312" spans="1:21" x14ac:dyDescent="0.2">
      <c r="A312" t="str">
        <f>Skills!A22</f>
        <v>SPELL_MASTERY</v>
      </c>
      <c r="B312" t="str">
        <f>Skills!B22</f>
        <v>Spell Mastery</v>
      </c>
      <c r="C312" t="b">
        <f>TRUE</f>
        <v>1</v>
      </c>
      <c r="D312">
        <f>IF(Skills!C22=1,60+Inputs!$B$25+Inputs!$B$29,IF(Skills!C22=2,90+Inputs!$B$26+Inputs!$B$29,IF(Skills!C22=3,120+Inputs!$B$27+Inputs!$B$29,MAX(0,(Inputs!$B$3-100)*3)+Inputs!$B$28+Inputs!$B$29)))</f>
        <v>168</v>
      </c>
      <c r="E312">
        <f>INDEX(FactorTable!$B$2:$Y$301, MATCH(ROUND(MIN(300,MAX(1,D312)),0), FactorTable!$A$2:$A$301,0), Skills!M22+1)</f>
        <v>1504</v>
      </c>
      <c r="F312">
        <f>IF(Skills!N22=TRUE,(Skills!L22/10)*(E312/1000),Skills!L22/10)+Skills!O22</f>
        <v>22.56</v>
      </c>
      <c r="G312">
        <f>Calc!G22</f>
        <v>1</v>
      </c>
      <c r="H312">
        <f>Calc!H22</f>
        <v>1</v>
      </c>
      <c r="I312">
        <f>IF(Skills!X22&lt;&gt;"",1+(Skills!X22/10)*(Z293/1000)/100,1)</f>
        <v>1</v>
      </c>
      <c r="O312">
        <f>(1-Summary!$B$11)*S312+Summary!$B$11*U312</f>
        <v>0</v>
      </c>
      <c r="P312">
        <f>IF(B331=0,0,O312/B331)</f>
        <v>0</v>
      </c>
      <c r="Q312">
        <f>IFERROR(1/(IF(Inputs!$B$38="pvp",15,MAX(0.1,Skills!E22-IF(TRUE=TRUE,Inputs!$B$32,0)))*(1-IF(AND(ArtifactsInput!$M$27,Inputs!$B$4="Chapter Hunt"),CHOOSE(ArtifactsInput!$N$27+1,20,24,28,32,36,40),0)/100)),0)</f>
        <v>10</v>
      </c>
      <c r="R312">
        <v>0</v>
      </c>
      <c r="S312">
        <v>0</v>
      </c>
      <c r="U312">
        <v>0</v>
      </c>
    </row>
    <row r="313" spans="1:21" x14ac:dyDescent="0.2">
      <c r="A313" t="str">
        <f>Skills!A23</f>
        <v>ELEMENT_AMPLIFICATION</v>
      </c>
      <c r="B313" t="str">
        <f>Skills!B23</f>
        <v>Element Amplification</v>
      </c>
      <c r="C313" t="b">
        <f>TRUE</f>
        <v>1</v>
      </c>
      <c r="D313">
        <f>IF(Skills!C23=1,60+Inputs!$B$25+Inputs!$B$29,IF(Skills!C23=2,90+Inputs!$B$26+Inputs!$B$29,IF(Skills!C23=3,120+Inputs!$B$27+Inputs!$B$29,MAX(0,(Inputs!$B$3-100)*3)+Inputs!$B$28+Inputs!$B$29)))</f>
        <v>185</v>
      </c>
      <c r="E313">
        <f>INDEX(FactorTable!$B$2:$Y$301, MATCH(ROUND(MIN(300,MAX(1,D313)),0), FactorTable!$A$2:$A$301,0), Skills!M23+1)</f>
        <v>1555</v>
      </c>
      <c r="F313">
        <f>IF(Skills!N23=TRUE,(Skills!L23/10)*(E313/1000),Skills!L23/10)+Skills!O23</f>
        <v>23.324999999999999</v>
      </c>
      <c r="G313">
        <f>Calc!G23</f>
        <v>1</v>
      </c>
      <c r="H313">
        <f>Calc!H23</f>
        <v>1</v>
      </c>
      <c r="I313">
        <f>IF(Skills!X23&lt;&gt;"",1+(Skills!X23/10)*(Z293/1000)/100,1)</f>
        <v>1</v>
      </c>
      <c r="O313">
        <f>(1-Summary!$B$11)*S313+Summary!$B$11*U313</f>
        <v>0</v>
      </c>
      <c r="P313">
        <f>IF(B331=0,0,O313/B331)</f>
        <v>0</v>
      </c>
      <c r="Q313">
        <f>IFERROR(1/(IF(Inputs!$B$38="pvp",15,MAX(0.1,Skills!E23-IF(TRUE=TRUE,Inputs!$B$32,0)))*(1-IF(AND(ArtifactsInput!$M$27,Inputs!$B$4="Chapter Hunt"),CHOOSE(ArtifactsInput!$N$27+1,20,24,28,32,36,40),0)/100)),0)</f>
        <v>10</v>
      </c>
      <c r="R313">
        <v>0</v>
      </c>
      <c r="S313">
        <v>0</v>
      </c>
      <c r="U313">
        <v>0</v>
      </c>
    </row>
    <row r="314" spans="1:21" x14ac:dyDescent="0.2">
      <c r="A314" t="str">
        <f>Skills!A24</f>
        <v>IFRIT</v>
      </c>
      <c r="B314" t="str">
        <f>Skills!B24</f>
        <v>Ifrit</v>
      </c>
      <c r="C314" t="b">
        <f>Inputs!$B$3&gt;=115</f>
        <v>1</v>
      </c>
      <c r="D314">
        <f>IF(Skills!C24=1,60+Inputs!$B$25+Inputs!$B$29,IF(Skills!C24=2,90+Inputs!$B$26+Inputs!$B$29,IF(Skills!C24=3,120+Inputs!$B$27+Inputs!$B$29,MAX(0,(Inputs!$B$3-100)*3)+Inputs!$B$28+Inputs!$B$29)))</f>
        <v>185</v>
      </c>
      <c r="E314">
        <f>INDEX(FactorTable!$B$2:$Y$301, MATCH(ROUND(MIN(300,MAX(1,D314)),0), FactorTable!$A$2:$A$301,0), Skills!M24+1)</f>
        <v>1925</v>
      </c>
      <c r="F314">
        <f>IF(Skills!N24=TRUE,(Skills!L24/10)*(E314/1000),Skills!L24/10)+Skills!O24</f>
        <v>6737.5</v>
      </c>
      <c r="G314">
        <f>Calc!G24</f>
        <v>7.5</v>
      </c>
      <c r="H314">
        <f>Calc!H24</f>
        <v>1</v>
      </c>
      <c r="I314">
        <f>IF(Skills!X24&lt;&gt;"",1+(Skills!X24/10)*(Z293/1000)/100,1)</f>
        <v>1</v>
      </c>
      <c r="J314">
        <f>((Inputs!$B$6*(1+Inputs!$B$7/100))+(((Inputs!$B$12*(1+Inputs!$B$13/100))-(Inputs!$B$12*(1+Inputs!$B$13/100)))+0.25*(Inputs!$B$14-Inputs!$B$14))*(1+Inputs!$B$7/100))*(F314/100)</f>
        <v>24331438378.718628</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122258974288595.61</v>
      </c>
      <c r="L314">
        <f>K314*(MIN(Inputs!$B$22+(F312-Calc!F22),(Inputs!$B$23+(IF(ArtifactsInput!$M$15,CHOOSE(ArtifactsInput!$N$15+1,25,30,35,40,45,50)/100*(Inputs!$B$11-Inputs!$B$11),0))))/100+(Inputs!$B$23+(IF(ArtifactsInput!$M$15,CHOOSE(ArtifactsInput!$N$15+1,25,30,35,40,45,50)/100*(Inputs!$B$11-Inputs!$B$11),0)))/100)/2</f>
        <v>406511089509580.44</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314">
        <f>L314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314">
        <f>(1-Summary!$B$11)*S314+Summary!$B$11*U314</f>
        <v>2199480461059643.5</v>
      </c>
      <c r="P314">
        <f>IF(B331=0,0,O314/B331)</f>
        <v>6.628772804321853E-2</v>
      </c>
      <c r="Q314">
        <f>IFERROR(1/(IF(Inputs!$B$38="pvp",15,MAX(0.1,Skills!E24-IF(TRUE=TRUE,Inputs!$B$32,0)))*(1-IF(AND(ArtifactsInput!$M$27,Inputs!$B$4="Chapter Hunt"),CHOOSE(ArtifactsInput!$N$27+1,20,24,28,32,36,40),0)/100)),0)</f>
        <v>1.2500000000000001E-2</v>
      </c>
      <c r="R314">
        <f>IF(AND(Inputs!$B$38&lt;&gt;"pvp",Inputs!$B$43&gt;0),IF(MAX(0,Inputs!$B$43-B328)&lt;=0,0,(INT(MAX(0,Inputs!$B$43-B328)/(IF(Inputs!$B$38="pvp",15,MAX(0.1,Skills!E24-IF(TRUE=TRUE,Inputs!$B$32,0)))*(1-IF(AND(ArtifactsInput!$M$27,Inputs!$B$4="Chapter Hunt"),CHOOSE(ArtifactsInput!$N$27+1,20,24,28,32,36,40),0)/100)))+1)),0)</f>
        <v>1</v>
      </c>
      <c r="S314">
        <f>IF(C314,(H314*N314*IF(AND(Inputs!$B$38&lt;&gt;"pvp",Inputs!$B$43&gt;0),((Skills!G24*((R314-1)*IF(Skills!H24&gt;0,Skills!I24/Skills!H24,1)+IF(Skills!H24&gt;0,MIN(Skills!I24,MAX(0,MAX(0,Inputs!$B$43-B328)-((R314-1)*(IF(Inputs!$B$38="pvp",15,MAX(0.1,Skills!E24-IF(TRUE=TRUE,Inputs!$B$32,0)))*(1-IF(AND(ArtifactsInput!$M$27,Inputs!$B$4="Chapter Hunt"),CHOOSE(ArtifactsInput!$N$27+1,20,24,28,32,36,40),0)/100)))))/Skills!H24,1)))/Inputs!$B$43),G314*Q314)*(1+IF(Inputs!$B$3&gt;=130,0.2*(Skills!I16/(1/Q305)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314">
        <f>IF(C314,(H314*N314*IF(AND(Inputs!$B$38&lt;&gt;"pvp",Inputs!$B$43&gt;0),((Skills!G24*((R314-1)*IF(Skills!H24&gt;0,Skills!I24/Skills!H24,1)+IF(Skills!H24&gt;0,MIN(Skills!I24,MAX(0,MAX(0,Inputs!$B$43-B328)-((R314-1)*(IF(Inputs!$B$38="pvp",15,MAX(0.1,Skills!E24-IF(TRUE=TRUE,Inputs!$B$32,0)))*(1-IF(AND(ArtifactsInput!$M$27,Inputs!$B$4="Chapter Hunt"),CHOOSE(ArtifactsInput!$N$27+1,20,24,28,32,36,40),0)/100)))))/Skills!H24,1)))/Inputs!$B$43),G314*Q314)*(1+IF(Inputs!$B$3&gt;=130,0.2*(Skills!I16/(1/Q305)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3258756006083462</v>
      </c>
    </row>
    <row r="315" spans="1:21" x14ac:dyDescent="0.2">
      <c r="A315" t="str">
        <f>Skills!A25</f>
        <v>BUFF_MASTERY</v>
      </c>
      <c r="B315" t="str">
        <f>Skills!B25</f>
        <v>Buff Mastery</v>
      </c>
      <c r="C315" t="b">
        <f>Inputs!$B$3&gt;=117</f>
        <v>1</v>
      </c>
      <c r="D315">
        <f>IF(Skills!C25=1,60+Inputs!$B$25+Inputs!$B$29,IF(Skills!C25=2,90+Inputs!$B$26+Inputs!$B$29,IF(Skills!C25=3,120+Inputs!$B$27+Inputs!$B$29,MAX(0,(Inputs!$B$3-100)*3)+Inputs!$B$28+Inputs!$B$29)))</f>
        <v>185</v>
      </c>
      <c r="E315">
        <f>INDEX(FactorTable!$B$2:$Y$301, MATCH(ROUND(MIN(300,MAX(1,D315)),0), FactorTable!$A$2:$A$301,0), Skills!M25+1)</f>
        <v>1555</v>
      </c>
      <c r="F315">
        <f>IF(Skills!N25=TRUE,(Skills!L25/10)*(E315/1000),Skills!L25/10)+Skills!O25</f>
        <v>15.549999999999999</v>
      </c>
      <c r="G315">
        <f>Calc!G25</f>
        <v>1</v>
      </c>
      <c r="H315">
        <f>Calc!H25</f>
        <v>1</v>
      </c>
      <c r="I315">
        <f>IF(Skills!X25&lt;&gt;"",1+(Skills!X25/10)*(Z293/1000)/100,1)</f>
        <v>1</v>
      </c>
      <c r="O315">
        <f>(1-Summary!$B$11)*S315+Summary!$B$11*U315</f>
        <v>0</v>
      </c>
      <c r="P315">
        <f>IF(B331=0,0,O315/B331)</f>
        <v>0</v>
      </c>
      <c r="Q315">
        <f>IFERROR(1/(IF(Inputs!$B$38="pvp",15,MAX(0.1,Skills!E25-IF(TRUE=TRUE,Inputs!$B$32,0)))*(1-IF(AND(ArtifactsInput!$M$27,Inputs!$B$4="Chapter Hunt"),CHOOSE(ArtifactsInput!$N$27+1,20,24,28,32,36,40),0)/100)),0)</f>
        <v>10</v>
      </c>
      <c r="R315">
        <v>0</v>
      </c>
      <c r="S315">
        <v>0</v>
      </c>
      <c r="U315">
        <v>0</v>
      </c>
    </row>
    <row r="316" spans="1:21" x14ac:dyDescent="0.2">
      <c r="A316" t="str">
        <f>Skills!A26</f>
        <v>ARCANE_AIM</v>
      </c>
      <c r="B316" t="str">
        <f>Skills!B26</f>
        <v>Arcane Aim</v>
      </c>
      <c r="C316" t="b">
        <f>Inputs!$B$3&gt;=120</f>
        <v>0</v>
      </c>
      <c r="D316">
        <f>IF(Skills!C26=1,60+Inputs!$B$25+Inputs!$B$29,IF(Skills!C26=2,90+Inputs!$B$26+Inputs!$B$29,IF(Skills!C26=3,120+Inputs!$B$27+Inputs!$B$29,MAX(0,(Inputs!$B$3-100)*3)+Inputs!$B$28+Inputs!$B$29)))</f>
        <v>185</v>
      </c>
      <c r="E316">
        <f>INDEX(FactorTable!$B$2:$Y$301, MATCH(ROUND(MIN(300,MAX(1,D316)),0), FactorTable!$A$2:$A$301,0), Skills!M26+1)</f>
        <v>1555</v>
      </c>
      <c r="F316">
        <f>IF(Skills!N26=TRUE,(Skills!L26/10)*(E316/1000),Skills!L26/10)+Skills!O26</f>
        <v>4.665</v>
      </c>
      <c r="G316">
        <f>Calc!G26</f>
        <v>1</v>
      </c>
      <c r="H316">
        <f>Calc!H26</f>
        <v>1</v>
      </c>
      <c r="I316">
        <f>IF(Skills!X26&lt;&gt;"",1+(Skills!X26/10)*(Z293/1000)/100,1)</f>
        <v>1</v>
      </c>
      <c r="O316">
        <f>(1-Summary!$B$11)*S316+Summary!$B$11*U316</f>
        <v>0</v>
      </c>
      <c r="P316">
        <f>IF(B331=0,0,O316/B331)</f>
        <v>0</v>
      </c>
      <c r="Q316">
        <f>IFERROR(1/(IF(Inputs!$B$38="pvp",15,MAX(0.1,Skills!E26-IF(TRUE=TRUE,Inputs!$B$32,0)))*(1-IF(AND(ArtifactsInput!$M$27,Inputs!$B$4="Chapter Hunt"),CHOOSE(ArtifactsInput!$N$27+1,20,24,28,32,36,40),0)/100)),0)</f>
        <v>10</v>
      </c>
      <c r="R316">
        <v>0</v>
      </c>
      <c r="S316">
        <v>0</v>
      </c>
      <c r="U316">
        <v>0</v>
      </c>
    </row>
    <row r="317" spans="1:21" x14ac:dyDescent="0.2">
      <c r="A317" t="str">
        <f>Skills!A27</f>
        <v>FERVENT_DRAIN</v>
      </c>
      <c r="B317" t="str">
        <f>Skills!B27</f>
        <v>Fervent Drain</v>
      </c>
      <c r="C317" t="b">
        <f>Inputs!$B$3&gt;=125</f>
        <v>0</v>
      </c>
      <c r="D317">
        <f>IF(Skills!C27=1,60+Inputs!$B$25+Inputs!$B$29,IF(Skills!C27=2,90+Inputs!$B$26+Inputs!$B$29,IF(Skills!C27=3,120+Inputs!$B$27+Inputs!$B$29,MAX(0,(Inputs!$B$3-100)*3)+Inputs!$B$28+Inputs!$B$29)))</f>
        <v>185</v>
      </c>
      <c r="E317">
        <f>INDEX(FactorTable!$B$2:$Y$301, MATCH(ROUND(MIN(300,MAX(1,D317)),0), FactorTable!$A$2:$A$301,0), Skills!M27+1)</f>
        <v>1555</v>
      </c>
      <c r="F317">
        <f>IF(Skills!N27=TRUE,(Skills!L27/10)*(E317/1000),Skills!L27/10)+Skills!O27</f>
        <v>6.22</v>
      </c>
      <c r="G317">
        <f>Calc!G27</f>
        <v>1</v>
      </c>
      <c r="H317">
        <f>Calc!H27</f>
        <v>1</v>
      </c>
      <c r="I317">
        <f>IF(Skills!X27&lt;&gt;"",1+(Skills!X27/10)*(Z293/1000)/100,1)</f>
        <v>1</v>
      </c>
      <c r="O317">
        <f>(1-Summary!$B$11)*S317+Summary!$B$11*U317</f>
        <v>0</v>
      </c>
      <c r="P317">
        <f>IF(B331=0,0,O317/B331)</f>
        <v>0</v>
      </c>
      <c r="Q317">
        <f>IFERROR(1/(IF(Inputs!$B$38="pvp",15,MAX(0.1,Skills!E27-IF(TRUE=TRUE,Inputs!$B$32,0)))*(1-IF(AND(ArtifactsInput!$M$27,Inputs!$B$4="Chapter Hunt"),CHOOSE(ArtifactsInput!$N$27+1,20,24,28,32,36,40),0)/100)),0)</f>
        <v>10</v>
      </c>
      <c r="R317">
        <v>0</v>
      </c>
      <c r="S317">
        <v>0</v>
      </c>
      <c r="U317">
        <v>0</v>
      </c>
    </row>
    <row r="318" spans="1:21" x14ac:dyDescent="0.2">
      <c r="A318" t="str">
        <f>Skills!A28</f>
        <v>FLAME_HAZE_FOG</v>
      </c>
      <c r="B318" t="str">
        <f>Skills!B28</f>
        <v>Flame Haze (poison fog DoT)</v>
      </c>
      <c r="C318" t="b">
        <f>Inputs!$B$3&gt;=118</f>
        <v>0</v>
      </c>
      <c r="D318">
        <f>IF(Skills!C28=1,60+Inputs!$B$25+Inputs!$B$29,IF(Skills!C28=2,90+Inputs!$B$26+Inputs!$B$29,IF(Skills!C28=3,120+Inputs!$B$27+Inputs!$B$29,MAX(0,(Inputs!$B$3-100)*3)+Inputs!$B$28+Inputs!$B$29)))</f>
        <v>185</v>
      </c>
      <c r="E318">
        <f>INDEX(FactorTable!$B$2:$Y$301, MATCH(ROUND(MIN(300,MAX(1,D318)),0), FactorTable!$A$2:$A$301,0), Skills!M28+1)</f>
        <v>1925</v>
      </c>
      <c r="F318">
        <f>IF(Skills!N28=TRUE,(Skills!L28/10)*(E318/1000),Skills!L28/10)+Skills!O28</f>
        <v>134.75</v>
      </c>
      <c r="G318">
        <f>Calc!G28</f>
        <v>50</v>
      </c>
      <c r="H318">
        <f>Calc!H28</f>
        <v>1</v>
      </c>
      <c r="I318">
        <f>IF(Skills!X28&lt;&gt;"",1+(Skills!X28/10)*(Z293/1000)/100,1)</f>
        <v>1</v>
      </c>
      <c r="J318">
        <f>((Inputs!$B$6*(1+Inputs!$B$7/100))+(((Inputs!$B$12*(1+Inputs!$B$13/100))-(Inputs!$B$12*(1+Inputs!$B$13/100)))+0.25*(Inputs!$B$14-Inputs!$B$14))*(1+Inputs!$B$7/100))*(F318/100)</f>
        <v>486628767.57437253</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2445179485771.9116</v>
      </c>
      <c r="L318">
        <f>K318*(MIN(Inputs!$B$22+(F312-Calc!F22),(Inputs!$B$23+(IF(ArtifactsInput!$M$15,CHOOSE(ArtifactsInput!$N$15+1,25,30,35,40,45,50)/100*(Inputs!$B$11-Inputs!$B$11),0))))/100+(Inputs!$B$23+(IF(ArtifactsInput!$M$15,CHOOSE(ArtifactsInput!$N$15+1,25,30,35,40,45,50)/100*(Inputs!$B$11-Inputs!$B$11),0)))/100)/2</f>
        <v>8130221790191.6064</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318">
        <f>L318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318">
        <f>(1-Summary!$B$11)*S318+Summary!$B$11*U318</f>
        <v>0</v>
      </c>
      <c r="P318">
        <f>IF(B331=0,0,O318/B331)</f>
        <v>0</v>
      </c>
      <c r="Q318">
        <f>IFERROR(1/(IF(Inputs!$B$38="pvp",15,MAX(0.1,Skills!E28-IF(TRUE=TRUE,Inputs!$B$32,0)))*(1-IF(AND(ArtifactsInput!$M$27,Inputs!$B$4="Chapter Hunt"),CHOOSE(ArtifactsInput!$N$27+1,20,24,28,32,36,40),0)/100)),0)</f>
        <v>0.04</v>
      </c>
      <c r="R318">
        <f>IF(AND(Inputs!$B$38&lt;&gt;"pvp",Inputs!$B$43&gt;0),IF(MAX(0,Inputs!$B$43-B328)&lt;=0,0,(INT(MAX(0,Inputs!$B$43-B328)/(IF(Inputs!$B$38="pvp",15,MAX(0.1,Skills!E28-IF(TRUE=TRUE,Inputs!$B$32,0)))*(1-IF(AND(ArtifactsInput!$M$27,Inputs!$B$4="Chapter Hunt"),CHOOSE(ArtifactsInput!$N$27+1,20,24,28,32,36,40),0)/100)))+1)),0)</f>
        <v>2</v>
      </c>
      <c r="S318">
        <f>IF(C318,(H318*N318*IF(AND(Inputs!$B$38&lt;&gt;"pvp",Inputs!$B$43&gt;0),((Skills!G28*((R318-1)*IF(Skills!H28&gt;0,Skills!I28/Skills!H28,1)+IF(Skills!H28&gt;0,MIN(Skills!I28,MAX(0,MAX(0,Inputs!$B$43-B328)-((R318-1)*(IF(Inputs!$B$38="pvp",15,MAX(0.1,Skills!E28-IF(TRUE=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8">
        <f>IF(C318,(H318*N318*IF(AND(Inputs!$B$38&lt;&gt;"pvp",Inputs!$B$43&gt;0),((Skills!G28*((R318-1)*IF(Skills!H28&gt;0,Skills!I28/Skills!H28,1)+IF(Skills!H28&gt;0,MIN(Skills!I28,MAX(0,MAX(0,Inputs!$B$43-B328)-((R318-1)*(IF(Inputs!$B$38="pvp",15,MAX(0.1,Skills!E28-IF(TRUE=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20" spans="1:21" x14ac:dyDescent="0.2">
      <c r="A320" t="s">
        <v>356</v>
      </c>
      <c r="B320">
        <f>1+(F301*Skills!Z11)/100</f>
        <v>1.25</v>
      </c>
    </row>
    <row r="321" spans="1:26" x14ac:dyDescent="0.2">
      <c r="A321" t="s">
        <v>435</v>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1.18624</v>
      </c>
    </row>
    <row r="322" spans="1:26" x14ac:dyDescent="0.2">
      <c r="A322" t="s">
        <v>358</v>
      </c>
      <c r="B322">
        <f>(1+(F296*IF(AND(Inputs!$B$38&lt;&gt;"pvp",Inputs!$B$43&gt;0),(((R296-1)*MIN((Skills!T6*(1+((Inputs!$B$34+(ArtifactsInput!$M$7-ArtifactsInput!$M$7)*CHOOSE(ArtifactsInput!$N$7+1,6,7.2,8.4,9.6,10.8,12)))/100)),(1/Q296))+MIN((Skills!T6*(1+((Inputs!$B$34+(ArtifactsInput!$M$7-ArtifactsInput!$M$7)*CHOOSE(ArtifactsInput!$N$7+1,6,7.2,8.4,9.6,10.8,12)))/100)),MAX(0,Inputs!$B$43-((R296-1)*(1/Q296)))))/Inputs!$B$43),IF(Inputs!$B$38="pvp",MIN((Skills!T6*(1+((Inputs!$B$34+(ArtifactsInput!$M$7-ArtifactsInput!$M$7)*CHOOSE(ArtifactsInput!$N$7+1,6,7.2,8.4,9.6,10.8,12)))/100)),15)/15,MIN(1,(Skills!T6*(1+((Inputs!$B$34+(ArtifactsInput!$M$7-ArtifactsInput!$M$7)*CHOOSE(ArtifactsInput!$N$7+1,6,7.2,8.4,9.6,10.8,12)))/100))/(1/Q296))))+F307*IF(AND(Inputs!$B$38&lt;&gt;"pvp",Inputs!$B$43&gt;0),(((R307-1)*MIN((Skills!T17*(1+((Inputs!$B$34+(ArtifactsInput!$M$7-ArtifactsInput!$M$7)*CHOOSE(ArtifactsInput!$N$7+1,6,7.2,8.4,9.6,10.8,12)))/100)),(1/Q307))+MIN((Skills!T17*(1+((Inputs!$B$34+(ArtifactsInput!$M$7-ArtifactsInput!$M$7)*CHOOSE(ArtifactsInput!$N$7+1,6,7.2,8.4,9.6,10.8,12)))/100)),MAX(0,Inputs!$B$43-((R307-1)*(1/Q307)))))/Inputs!$B$43),IF(Inputs!$B$38="pvp",MIN((Skills!T17*(1+((Inputs!$B$34+(ArtifactsInput!$M$7-ArtifactsInput!$M$7)*CHOOSE(ArtifactsInput!$N$7+1,6,7.2,8.4,9.6,10.8,12)))/100)),15)/15,MIN(1,(Skills!T17*(1+((Inputs!$B$34+(ArtifactsInput!$M$7-ArtifactsInput!$M$7)*CHOOSE(ArtifactsInput!$N$7+1,6,7.2,8.4,9.6,10.8,12)))/100))/(1/Q307)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MIN((Skills!T19*(1+((Inputs!$B$34+(ArtifactsInput!$M$7-ArtifactsInput!$M$7)*CHOOSE(ArtifactsInput!$N$7+1,6,7.2,8.4,9.6,10.8,12)))/100)),(1/Q309))+MIN((Skills!T19*(1+((Inputs!$B$34+(ArtifactsInput!$M$7-ArtifactsInput!$M$7)*CHOOSE(ArtifactsInput!$N$7+1,6,7.2,8.4,9.6,10.8,12)))/100)),MAX(0,Inputs!$B$43-((R309-1)*(1/Q309)))))/Inputs!$B$43),IF(Inputs!$B$38="pvp",MIN((Skills!T19*(1+((Inputs!$B$34+(ArtifactsInput!$M$7-ArtifactsInput!$M$7)*CHOOSE(ArtifactsInput!$N$7+1,6,7.2,8.4,9.6,10.8,12)))/100)),15)/15,MIN(1,(Skills!T19*(1+((Inputs!$B$34+(ArtifactsInput!$M$7-ArtifactsInput!$M$7)*CHOOSE(ArtifactsInput!$N$7+1,6,7.2,8.4,9.6,10.8,12)))/100))/(1/Q309))))/100),1)</f>
        <v>1.7965808377980694</v>
      </c>
    </row>
    <row r="323" spans="1:26" x14ac:dyDescent="0.2">
      <c r="A323" t="s">
        <v>359</v>
      </c>
      <c r="B323">
        <f>F308*IF(AND(Inputs!$B$38&lt;&gt;"pvp",Inputs!$B$43&gt;0),(((R308-1)*MIN((Skills!T18*(1+((Inputs!$B$34+(ArtifactsInput!$M$7-ArtifactsInput!$M$7)*CHOOSE(ArtifactsInput!$N$7+1,6,7.2,8.4,9.6,10.8,12)))/100)),(1/Q308))+MIN((Skills!T18*(1+((Inputs!$B$34+(ArtifactsInput!$M$7-ArtifactsInput!$M$7)*CHOOSE(ArtifactsInput!$N$7+1,6,7.2,8.4,9.6,10.8,12)))/100)),MAX(0,Inputs!$B$43-((R308-1)*(1/Q308)))))/Inputs!$B$43),IF(Inputs!$B$38="pvp",MIN((Skills!T18*(1+((Inputs!$B$34+(ArtifactsInput!$M$7-ArtifactsInput!$M$7)*CHOOSE(ArtifactsInput!$N$7+1,6,7.2,8.4,9.6,10.8,12)))/100)),15)/15,MIN(1,(Skills!T18*(1+((Inputs!$B$34+(ArtifactsInput!$M$7-ArtifactsInput!$M$7)*CHOOSE(ArtifactsInput!$N$7+1,6,7.2,8.4,9.6,10.8,12)))/100))/(1/Q308))))</f>
        <v>6.4968749999999993</v>
      </c>
    </row>
    <row r="324" spans="1:26" x14ac:dyDescent="0.2">
      <c r="A324" t="s">
        <v>436</v>
      </c>
      <c r="B324">
        <f>1+MIN(150,150*(1-(1-(Inputs!$B$11+(ArtifactsInput!$M$15-ArtifactsInput!$M$15)*CHOOSE(ArtifactsInput!$N$15+1,8,9.6,11.2,12.8,14.4,16))/150)*(1-B323/150)))/100</f>
        <v>1.6982958749999999</v>
      </c>
    </row>
    <row r="325" spans="1:26" x14ac:dyDescent="0.2">
      <c r="A325" t="s">
        <v>437</v>
      </c>
      <c r="B325">
        <f>IF(AND(Inputs!$B$38&lt;&gt;"pvp",Inputs!$B$43&gt;0),SUMPRODUCT((Skills!F2:F28=TRUE)*(C292:C318=TRUE)*R292:R318)/Inputs!$B$43,SUMPRODUCT((Skills!F2:F28=TRUE)*(C292:C318=TRUE)*Q292:Q318))</f>
        <v>0.47499999999999998</v>
      </c>
    </row>
    <row r="326" spans="1:26" x14ac:dyDescent="0.2">
      <c r="A326" t="s">
        <v>362</v>
      </c>
      <c r="B326">
        <f>MAX(0,B324-B325)</f>
        <v>1.2232958749999998</v>
      </c>
    </row>
    <row r="327" spans="1:26" x14ac:dyDescent="0.2">
      <c r="A327" t="s">
        <v>438</v>
      </c>
      <c r="B327">
        <f>IF(AND(Inputs!$B$38&lt;&gt;"pvp",Inputs!$B$43&gt;0),SUMPRODUCT((Skills!V2:V28=TRUE)*(C292:C318=TRUE)*R292:R318*Skills!W2:W28)/Inputs!$B$43,SUMPRODUCT((Skills!V2:V28=TRUE)*(C292:C318=TRUE)*Q292:Q318*Skills!W2:W28))+B326</f>
        <v>1.5482958749999998</v>
      </c>
    </row>
    <row r="328" spans="1:26" x14ac:dyDescent="0.2">
      <c r="A328" t="s">
        <v>439</v>
      </c>
      <c r="B328">
        <f>IF(AND(Inputs!$B$38&lt;&gt;"pvp",Inputs!$B$43&gt;0),SUMPRODUCT((Skills!T2:T28&gt;0)*(Skills!F2:F28=TRUE)*(C292:C318=TRUE))/B324,0)</f>
        <v>2.3553021937358238</v>
      </c>
    </row>
    <row r="329" spans="1:26" x14ac:dyDescent="0.2">
      <c r="A329" t="s">
        <v>440</v>
      </c>
      <c r="B329">
        <f>SUM(S292:S318)</f>
        <v>9517263078933292</v>
      </c>
    </row>
    <row r="330" spans="1:26" x14ac:dyDescent="0.2">
      <c r="A330" t="s">
        <v>441</v>
      </c>
      <c r="B330">
        <f>SUM(U292:U318)</f>
        <v>5.6844355458531672E+16</v>
      </c>
    </row>
    <row r="331" spans="1:26" x14ac:dyDescent="0.2">
      <c r="A331" s="6" t="s">
        <v>348</v>
      </c>
      <c r="B331" s="6">
        <f>SUM(O292:O318)</f>
        <v>3.318080926873248E+16</v>
      </c>
    </row>
    <row r="334" spans="1:26" x14ac:dyDescent="0.2">
      <c r="A334" s="6" t="s">
        <v>447</v>
      </c>
    </row>
    <row r="335" spans="1:26" x14ac:dyDescent="0.2">
      <c r="A335" s="5" t="s">
        <v>136</v>
      </c>
      <c r="B335" s="5" t="s">
        <v>137</v>
      </c>
      <c r="C335" s="5" t="s">
        <v>328</v>
      </c>
      <c r="D335" s="5" t="s">
        <v>329</v>
      </c>
      <c r="E335" s="5" t="s">
        <v>330</v>
      </c>
      <c r="F335" s="5" t="s">
        <v>331</v>
      </c>
      <c r="G335" s="5" t="s">
        <v>332</v>
      </c>
      <c r="H335" s="5" t="s">
        <v>333</v>
      </c>
      <c r="I335" s="5" t="s">
        <v>334</v>
      </c>
      <c r="J335" s="5" t="s">
        <v>335</v>
      </c>
      <c r="K335" s="5" t="s">
        <v>336</v>
      </c>
      <c r="L335" s="5" t="s">
        <v>337</v>
      </c>
      <c r="M335" s="5" t="s">
        <v>338</v>
      </c>
      <c r="N335" s="5" t="s">
        <v>339</v>
      </c>
      <c r="O335" s="5" t="s">
        <v>340</v>
      </c>
      <c r="P335" s="5" t="s">
        <v>341</v>
      </c>
      <c r="R335" t="s">
        <v>434</v>
      </c>
    </row>
    <row r="336" spans="1:26" x14ac:dyDescent="0.2">
      <c r="A336" t="str">
        <f>Skills!A2</f>
        <v>BASIC_ATTACK</v>
      </c>
      <c r="B336" t="str">
        <f>Skills!B2</f>
        <v>Basic Attack</v>
      </c>
      <c r="C336" t="b">
        <f>TRUE</f>
        <v>1</v>
      </c>
      <c r="F336">
        <f>T338+Skills!O2</f>
        <v>537.6</v>
      </c>
      <c r="G336">
        <f>Calc!G2</f>
        <v>5</v>
      </c>
      <c r="H336">
        <f>Calc!H2</f>
        <v>1</v>
      </c>
      <c r="I336">
        <f>IF(Skills!X2&lt;&gt;"",1+(Skills!X2/10)*(Z337/1000)/100,1)</f>
        <v>1</v>
      </c>
      <c r="J336">
        <f>((Inputs!$B$6*(1+Inputs!$B$7/100))+(((Inputs!$B$12*(1+Inputs!$B$13/100))-(Inputs!$B$12*(1+Inputs!$B$13/100)))+0.25*(Inputs!$B$14-Inputs!$B$14))*(1+Inputs!$B$7/100))*(F336/100)</f>
        <v>1941459186.9980164</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6686493618580.7695</v>
      </c>
      <c r="L336">
        <f>K336*(MIN(Inputs!$B$22+(F356-Calc!F22),(Inputs!$B$23+(IF(ArtifactsInput!$M$15,CHOOSE(ArtifactsInput!$N$15+1,25,30,35,40,45,50)/100*(Inputs!$B$11-Inputs!$B$11),0))))/100+(Inputs!$B$23+(IF(ArtifactsInput!$M$15,CHOOSE(ArtifactsInput!$N$15+1,25,30,35,40,45,50)/100*(Inputs!$B$11-Inputs!$B$11),0)))/100)/2</f>
        <v>22232591281781.059</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104915598258724.8</v>
      </c>
      <c r="N336">
        <f>L336*(1-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104915598258724.8</v>
      </c>
      <c r="O336">
        <f>(1-Summary!$B$11)*S336+Summary!$B$11*U336</f>
        <v>1.263855905898161E+16</v>
      </c>
      <c r="P336">
        <f>IF(B375=0,0,O336/B375)</f>
        <v>0.378199388854495</v>
      </c>
      <c r="Q336">
        <f>IFERROR(1/(IF(Inputs!$B$38="pvp",15,MAX(0.1,Skills!E2-IF(TRUE=TRUE,Inputs!$B$32,0)))*(1-IF(AND(ArtifactsInput!$M$27,Inputs!$B$4="Chapter Hunt"),CHOOSE(ArtifactsInput!$N$27+1,20,24,28,32,36,40),0)/100)),0)</f>
        <v>10</v>
      </c>
      <c r="R336">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2098405083669452.5</v>
      </c>
      <c r="T336">
        <f>MAX(0,(Inputs!$B$3-100)*3)+Inputs!$B$28+Inputs!$B$29</f>
        <v>185</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2.3178713034293768E+16</v>
      </c>
      <c r="Z336">
        <f>MAX(0,(Inputs!$B$3-100)*3)+Inputs!$B$28+Inputs!$B$29</f>
        <v>185</v>
      </c>
    </row>
    <row r="337" spans="1:26" x14ac:dyDescent="0.2">
      <c r="A337" t="str">
        <f>Skills!A3</f>
        <v>IGNITE</v>
      </c>
      <c r="B337" t="str">
        <f>Skills!B3</f>
        <v>Ignite</v>
      </c>
      <c r="C337" t="b">
        <f>TRUE</f>
        <v>1</v>
      </c>
      <c r="D337">
        <f>IF(Skills!C3=1,60+Inputs!$B$25+Inputs!$B$29,IF(Skills!C3=2,90+Inputs!$B$26+Inputs!$B$29,IF(Skills!C3=3,120+Inputs!$B$27+Inputs!$B$29,MAX(0,(Inputs!$B$3-100)*3)+Inputs!$B$28+Inputs!$B$29)))</f>
        <v>168</v>
      </c>
      <c r="E337">
        <f>INDEX(FactorTable!$B$2:$Y$301, MATCH(ROUND(MIN(300,MAX(1,D337)),0), FactorTable!$A$2:$A$301,0), Skills!M3+1)</f>
        <v>1672</v>
      </c>
      <c r="F337">
        <f>IF(Skills!N3=TRUE,(Skills!L3/10)*(E337/1000),Skills!L3/10)+Skills!O3</f>
        <v>121.736</v>
      </c>
      <c r="G337">
        <f>Calc!G3</f>
        <v>3</v>
      </c>
      <c r="H337">
        <f>Calc!H3</f>
        <v>1</v>
      </c>
      <c r="I337">
        <f>IF(Skills!X3&lt;&gt;"",1+(Skills!X3/10)*(Z337/1000)/100,1)</f>
        <v>4.8250000000000002</v>
      </c>
      <c r="J337">
        <f>((Inputs!$B$6*(1+Inputs!$B$7/100))+(((Inputs!$B$12*(1+Inputs!$B$13/100))-(Inputs!$B$12*(1+Inputs!$B$13/100)))+0.25*(Inputs!$B$14-Inputs!$B$14))*(1+Inputs!$B$7/100))*(F337/100)</f>
        <v>439630720.9605478</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10765140163394.186</v>
      </c>
      <c r="L337">
        <f>K337*(MIN(Inputs!$B$22+(F356-Calc!F22),(Inputs!$B$23+(IF(ArtifactsInput!$M$15,CHOOSE(ArtifactsInput!$N$15+1,25,30,35,40,45,50)/100*(Inputs!$B$11-Inputs!$B$11),0))))/100+(Inputs!$B$23+(IF(ArtifactsInput!$M$15,CHOOSE(ArtifactsInput!$N$15+1,25,30,35,40,45,50)/100*(Inputs!$B$11-Inputs!$B$11),0)))/100)/2</f>
        <v>35794091043285.672</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168912315633265.06</v>
      </c>
      <c r="N337">
        <f>L337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168912315633265.06</v>
      </c>
      <c r="O337">
        <f>(1-Summary!$B$11)*S337+Summary!$B$11*U337</f>
        <v>2936540607284313</v>
      </c>
      <c r="P337">
        <f>IF(B375=0,0,O337/B375)</f>
        <v>8.7873772463965091E-2</v>
      </c>
      <c r="Q337">
        <f>IFERROR(1/(IF(Inputs!$B$38="pvp",15,MAX(0.1,Skills!E3-IF(FALSE=TRUE,Inputs!$B$32,0)))*(1-IF(AND(ArtifactsInput!$M$27,Inputs!$B$4="Chapter Hunt"),CHOOSE(ArtifactsInput!$N$27+1,20,24,28,32,36,40),0)/100)),0)</f>
        <v>1</v>
      </c>
      <c r="R337">
        <f>IF(AND(Inputs!$B$38&lt;&gt;"pvp",Inputs!$B$43&gt;0),IF(MAX(0,Inputs!$B$43-B372)&lt;=0,0,(INT(MAX(0,Inputs!$B$43-B372)/(IF(Inputs!$B$38="pvp",15,MAX(0.1,Skills!E3-IF(FALSE=TRUE,Inputs!$B$32,0)))*(1-IF(AND(ArtifactsInput!$M$27,Inputs!$B$4="Chapter Hunt"),CHOOSE(ArtifactsInput!$N$27+1,20,24,28,32,36,40),0)/100)))+1)),0)</f>
        <v>38</v>
      </c>
      <c r="S337">
        <f>IF(C337,(H337*N337*IF(AND(Inputs!$B$38&lt;&gt;"pvp",Inputs!$B$43&gt;0),((Skills!G3*((R337-1)*IF(Skills!H3&gt;0,Skills!I3/Skills!H3,1)+IF(Skills!H3&gt;0,MIN(Skills!I3,MAX(0,MAX(0,Inputs!$B$43-B372)-((R337-1)*(IF(Inputs!$B$38="pvp",15,MAX(0.1,Skills!E3-IF(FALSE=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1526038315588733.2</v>
      </c>
      <c r="T337">
        <f>INDEX(FactorTable!$B$2:$Y$301, MATCH(ROUND(MIN(300,MAX(1,T336)),0), FactorTable!$A$2:$A$301,0), 22)</f>
        <v>1740</v>
      </c>
      <c r="U337">
        <f>IF(C337,(H337*N337*IF(AND(Inputs!$B$38&lt;&gt;"pvp",Inputs!$B$43&gt;0),((Skills!G3*((R337-1)*IF(Skills!H3&gt;0,Skills!I3/Skills!H3,1)+IF(Skills!H3&gt;0,MIN(Skills!I3,MAX(0,MAX(0,Inputs!$B$43-B372)-((R337-1)*(IF(Inputs!$B$38="pvp",15,MAX(0.1,Skills!E3-IF(FALSE=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4347042898979893</v>
      </c>
      <c r="Z337">
        <f>INDEX(FactorTable!$B$2:$Y$301, MATCH(ROUND(MIN(300,MAX(1,Z336)),0), FactorTable!$A$2:$A$301,0), 24)</f>
        <v>7650</v>
      </c>
    </row>
    <row r="338" spans="1:26" x14ac:dyDescent="0.2">
      <c r="A338" t="str">
        <f>Skills!A4</f>
        <v>POISON_BREATH</v>
      </c>
      <c r="B338" t="str">
        <f>Skills!B4</f>
        <v>Poison Breath</v>
      </c>
      <c r="C338" t="b">
        <f>TRUE</f>
        <v>1</v>
      </c>
      <c r="D338">
        <f>IF(Skills!C4=1,60+Inputs!$B$25+Inputs!$B$29,IF(Skills!C4=2,90+Inputs!$B$26+Inputs!$B$29,IF(Skills!C4=3,120+Inputs!$B$27+Inputs!$B$29,MAX(0,(Inputs!$B$3-100)*3)+Inputs!$B$28+Inputs!$B$29)))</f>
        <v>168</v>
      </c>
      <c r="E338">
        <f>INDEX(FactorTable!$B$2:$Y$301, MATCH(ROUND(MIN(300,MAX(1,D338)),0), FactorTable!$A$2:$A$301,0), Skills!M4+1)</f>
        <v>1840</v>
      </c>
      <c r="F338">
        <f>IF(Skills!N4=TRUE,(Skills!L4/10)*(E338/1000),Skills!L4/10)+Skills!O4</f>
        <v>438</v>
      </c>
      <c r="G338">
        <f>Calc!G4</f>
        <v>3</v>
      </c>
      <c r="H338">
        <f>Calc!H4</f>
        <v>1</v>
      </c>
      <c r="I338">
        <f>IF(Skills!X4&lt;&gt;"",1+(Skills!X4/10)*(Z337/1000)/100,1)</f>
        <v>7.12</v>
      </c>
      <c r="J338">
        <f>((Inputs!$B$6*(1+Inputs!$B$7/100))+(((Inputs!$B$12*(1+Inputs!$B$13/100))-(Inputs!$B$12*(1+Inputs!$B$13/100)))+0.25*(Inputs!$B$14-Inputs!$B$14))*(1+Inputs!$B$7/100))*(F338/100)</f>
        <v>1581769203.69258</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57155423573434.82</v>
      </c>
      <c r="L338">
        <f>K338*(MIN(Inputs!$B$22+(F356-Calc!F22),(Inputs!$B$23+(IF(ArtifactsInput!$M$15,CHOOSE(ArtifactsInput!$N$15+1,25,30,35,40,45,50)/100*(Inputs!$B$11-Inputs!$B$11),0))))/100+(Inputs!$B$23+(IF(ArtifactsInput!$M$15,CHOOSE(ArtifactsInput!$N$15+1,25,30,35,40,45,50)/100*(Inputs!$B$11-Inputs!$B$11),0)))/100)/2</f>
        <v>190041783381670.78</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896807175778104.25</v>
      </c>
      <c r="N338">
        <f>L338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896807175778104.25</v>
      </c>
      <c r="O338">
        <f>(1-Summary!$B$11)*S338+Summary!$B$11*U338</f>
        <v>2141911838449029.8</v>
      </c>
      <c r="P338">
        <f>IF(B375=0,0,O338/B375)</f>
        <v>6.4095103286790731E-2</v>
      </c>
      <c r="Q338">
        <f>IFERROR(1/(IF(Inputs!$B$38="pvp",15,MAX(0.1,Skills!E4-IF(TRUE=TRUE,Inputs!$B$32,0)))*(1-IF(AND(ArtifactsInput!$M$27,Inputs!$B$4="Chapter Hunt"),CHOOSE(ArtifactsInput!$N$27+1,20,24,28,32,36,40),0)/100)),0)</f>
        <v>5.5555555555555552E-2</v>
      </c>
      <c r="R338">
        <f>IF(AND(Inputs!$B$38&lt;&gt;"pvp",Inputs!$B$43&gt;0),IF(MAX(0,Inputs!$B$43-B372)&lt;=0,0,(INT(MAX(0,Inputs!$B$43-B372)/(IF(Inputs!$B$38="pvp",15,MAX(0.1,Skills!E4-IF(TRUE=TRUE,Inputs!$B$32,0)))*(1-IF(AND(ArtifactsInput!$M$27,Inputs!$B$4="Chapter Hunt"),CHOOSE(ArtifactsInput!$N$27+1,20,24,28,32,36,40),0)/100)))+1)),0)</f>
        <v>3</v>
      </c>
      <c r="S338">
        <f>IF(C338,(H338*N338*IF(AND(Inputs!$B$38&lt;&gt;"pvp",Inputs!$B$43&gt;0),((Skills!G4*((R338-1)*IF(Skills!H4&gt;0,Skills!I4/Skills!H4,1)+IF(Skills!H4&gt;0,MIN(Skills!I4,MAX(0,MAX(0,Inputs!$B$43-B372)-((R338-1)*(IF(Inputs!$B$38="pvp",15,MAX(0.1,Skills!E4-IF(TRUE=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639647718123732.88</v>
      </c>
      <c r="T338">
        <f>290*T337/1000</f>
        <v>504.6</v>
      </c>
      <c r="U338">
        <f>IF(C338,(H338*N338*IF(AND(Inputs!$B$38&lt;&gt;"pvp",Inputs!$B$43&gt;0),((Skills!G4*((R338-1)*IF(Skills!H4&gt;0,Skills!I4/Skills!H4,1)+IF(Skills!H4&gt;0,MIN(Skills!I4,MAX(0,MAX(0,Inputs!$B$43-B372)-((R338-1)*(IF(Inputs!$B$38="pvp",15,MAX(0.1,Skills!E4-IF(TRUE=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3644175958774326.5</v>
      </c>
    </row>
    <row r="339" spans="1:26" x14ac:dyDescent="0.2">
      <c r="A339" t="str">
        <f>Skills!A5</f>
        <v>ELEMENTAL_DRAIN</v>
      </c>
      <c r="B339" t="str">
        <f>Skills!B5</f>
        <v>Elemental Drain</v>
      </c>
      <c r="C339" t="b">
        <f>TRUE</f>
        <v>1</v>
      </c>
      <c r="D339">
        <f>IF(Skills!C5=1,60+Inputs!$B$25+Inputs!$B$29,IF(Skills!C5=2,90+Inputs!$B$26+Inputs!$B$29,IF(Skills!C5=3,120+Inputs!$B$27+Inputs!$B$29,MAX(0,(Inputs!$B$3-100)*3)+Inputs!$B$28+Inputs!$B$29)))</f>
        <v>168</v>
      </c>
      <c r="E339">
        <f>INDEX(FactorTable!$B$2:$Y$301, MATCH(ROUND(MIN(300,MAX(1,D339)),0), FactorTable!$A$2:$A$301,0), Skills!M5+1)</f>
        <v>1672</v>
      </c>
      <c r="F339">
        <f>IF(Skills!N5=TRUE,(Skills!L5/10)*(E339/1000),Skills!L5/10)+Skills!O5</f>
        <v>20.064</v>
      </c>
      <c r="G339">
        <f>Calc!G5</f>
        <v>5</v>
      </c>
      <c r="H339">
        <f>Calc!H5</f>
        <v>1</v>
      </c>
      <c r="I339">
        <f>IF(Skills!X5&lt;&gt;"",1+(Skills!X5/10)*(Z337/1000)/100,1)</f>
        <v>12.475</v>
      </c>
      <c r="J339">
        <f>((Inputs!$B$6*(1+Inputs!$B$7/100))+(((Inputs!$B$12*(1+Inputs!$B$13/100))-(Inputs!$B$12*(1+Inputs!$B$13/100)))+0.25*(Inputs!$B$14-Inputs!$B$14))*(1+Inputs!$B$7/100))*(F339/100)</f>
        <v>72458030.371890247</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4587345143833.377</v>
      </c>
      <c r="L339">
        <f>K339*(MIN(Inputs!$B$22+(F356-Calc!F22),(Inputs!$B$23+(IF(ArtifactsInput!$M$15,CHOOSE(ArtifactsInput!$N$15+1,25,30,35,40,45,50)/100*(Inputs!$B$11-Inputs!$B$11),0))))/100+(Inputs!$B$23+(IF(ArtifactsInput!$M$15,CHOOSE(ArtifactsInput!$N$15+1,25,30,35,40,45,50)/100*(Inputs!$B$11-Inputs!$B$11),0)))/100)/2</f>
        <v>15252922603245.979</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71978541764717.766</v>
      </c>
      <c r="N339">
        <f>L339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71978541764717.766</v>
      </c>
      <c r="O339">
        <f>(1-Summary!$B$11)*S339+Summary!$B$11*U339</f>
        <v>1056465046751645</v>
      </c>
      <c r="P339">
        <f>IF(B375=0,0,O339/B375)</f>
        <v>3.1613923166633758E-2</v>
      </c>
      <c r="Q339">
        <f>IFERROR(1/(IF(Inputs!$B$38="pvp",15,MAX(0.1,Skills!E5-IF(FALSE=TRUE,Inputs!$B$32,0)))*(1-IF(AND(ArtifactsInput!$M$27,Inputs!$B$4="Chapter Hunt"),CHOOSE(ArtifactsInput!$N$27+1,20,24,28,32,36,40),0)/100)),0)</f>
        <v>1</v>
      </c>
      <c r="R339">
        <f>IF(AND(Inputs!$B$38&lt;&gt;"pvp",Inputs!$B$43&gt;0),IF(MAX(0,Inputs!$B$43-B372)&lt;=0,0,(INT(MAX(0,Inputs!$B$43-B372)/(IF(Inputs!$B$38="pvp",15,MAX(0.1,Skills!E5-IF(FALSE=TRUE,Inputs!$B$32,0)))*(1-IF(AND(ArtifactsInput!$M$27,Inputs!$B$4="Chapter Hunt"),CHOOSE(ArtifactsInput!$N$27+1,20,24,28,32,36,40),0)/100)))+1)),0)</f>
        <v>38</v>
      </c>
      <c r="S339">
        <f>IF(C339,(H339*N339*IF(AND(Inputs!$B$38&lt;&gt;"pvp",Inputs!$B$43&gt;0),((Skills!G5*((R339-1)*IF(Skills!H5&gt;0,Skills!I5/Skills!H5,1)+IF(Skills!H5&gt;0,MIN(Skills!I5,MAX(0,MAX(0,Inputs!$B$43-B372)-((R339-1)*(IF(Inputs!$B$38="pvp",15,MAX(0.1,Skills!E5-IF(FALSE=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1083816892622237.8</v>
      </c>
      <c r="U339">
        <f>IF(C339,(H339*N339*IF(AND(Inputs!$B$38&lt;&gt;"pvp",Inputs!$B$43&gt;0),((Skills!G5*((R339-1)*IF(Skills!H5&gt;0,Skills!I5/Skills!H5,1)+IF(Skills!H5&gt;0,MIN(Skills!I5,MAX(0,MAX(0,Inputs!$B$43-B372)-((R339-1)*(IF(Inputs!$B$38="pvp",15,MAX(0.1,Skills!E5-IF(FALSE=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1029113200881052.1</v>
      </c>
    </row>
    <row r="340" spans="1:26" x14ac:dyDescent="0.2">
      <c r="A340" t="str">
        <f>Skills!A6</f>
        <v>MEDITATION</v>
      </c>
      <c r="B340" t="str">
        <f>Skills!B6</f>
        <v>Meditation</v>
      </c>
      <c r="C340" t="b">
        <f>TRUE</f>
        <v>1</v>
      </c>
      <c r="D340">
        <f>IF(Skills!C6=1,60+Inputs!$B$25+Inputs!$B$29,IF(Skills!C6=2,90+Inputs!$B$26+Inputs!$B$29,IF(Skills!C6=3,120+Inputs!$B$27+Inputs!$B$29,MAX(0,(Inputs!$B$3-100)*3)+Inputs!$B$28+Inputs!$B$29)))</f>
        <v>168</v>
      </c>
      <c r="E340">
        <f>INDEX(FactorTable!$B$2:$Y$301, MATCH(ROUND(MIN(300,MAX(1,D340)),0), FactorTable!$A$2:$A$301,0), Skills!M6+1)</f>
        <v>1672</v>
      </c>
      <c r="F340">
        <f>IF(Skills!N6=TRUE,(Skills!L6/10)*(E340/1000),Skills!L6/10)+Skills!O6</f>
        <v>33.44</v>
      </c>
      <c r="G340">
        <f>Calc!G6</f>
        <v>1</v>
      </c>
      <c r="H340">
        <f>Calc!H6</f>
        <v>1</v>
      </c>
      <c r="I340">
        <f>IF(Skills!X6&lt;&gt;"",1+(Skills!X6/10)*(Z337/1000)/100,1)</f>
        <v>1</v>
      </c>
      <c r="O340">
        <f>(1-Summary!$B$11)*S340+Summary!$B$11*U340</f>
        <v>0</v>
      </c>
      <c r="P340">
        <f>IF(B375=0,0,O340/B375)</f>
        <v>0</v>
      </c>
      <c r="Q340">
        <f>IFERROR(1/(IF(Inputs!$B$38="pvp",15,MAX(0.1,Skills!E6-IF(TRUE=TRUE,Inputs!$B$32,0)))*(1-IF(AND(ArtifactsInput!$M$27,Inputs!$B$4="Chapter Hunt"),CHOOSE(ArtifactsInput!$N$27+1,20,24,28,32,36,40),0)/100)),0)</f>
        <v>3.3333333333333333E-2</v>
      </c>
      <c r="R340">
        <f>IF(AND(Inputs!$B$38&lt;&gt;"pvp",Inputs!$B$43&gt;0),IF(Inputs!$B$43&lt;=0,0,(INT(Inputs!$B$43/(IF(Inputs!$B$38="pvp",15,MAX(0.1,Skills!E6-IF(TRUE=TRUE,Inputs!$B$32,0)))*(1-IF(AND(ArtifactsInput!$M$27,Inputs!$B$4="Chapter Hunt"),CHOOSE(ArtifactsInput!$N$27+1,20,24,28,32,36,40),0)/100)))+1)),0)</f>
        <v>2</v>
      </c>
      <c r="S340">
        <v>0</v>
      </c>
      <c r="U340">
        <v>0</v>
      </c>
    </row>
    <row r="341" spans="1:26" x14ac:dyDescent="0.2">
      <c r="A341" t="str">
        <f>Skills!A7</f>
        <v>POISON_MIST_BURST</v>
      </c>
      <c r="B341" t="str">
        <f>Skills!B7</f>
        <v>Poison Mist (burst)</v>
      </c>
      <c r="C341" t="b">
        <f>TRUE</f>
        <v>1</v>
      </c>
      <c r="D341">
        <f>IF(Skills!C7=1,60+Inputs!$B$25+Inputs!$B$29,IF(Skills!C7=2,90+Inputs!$B$26+Inputs!$B$29,IF(Skills!C7=3,120+Inputs!$B$27+Inputs!$B$29,MAX(0,(Inputs!$B$3-100)*3)+Inputs!$B$28+Inputs!$B$29)))</f>
        <v>184</v>
      </c>
      <c r="E341">
        <f>INDEX(FactorTable!$B$2:$Y$301, MATCH(ROUND(MIN(300,MAX(1,D341)),0), FactorTable!$A$2:$A$301,0), Skills!M7+1)</f>
        <v>1920</v>
      </c>
      <c r="F341">
        <f>IF(Skills!N7=TRUE,(Skills!L7/10)*(E341/1000),Skills!L7/10)+Skills!O7</f>
        <v>357.2</v>
      </c>
      <c r="G341">
        <f>Calc!G7</f>
        <v>3</v>
      </c>
      <c r="H341">
        <f>Calc!H7</f>
        <v>1</v>
      </c>
      <c r="I341">
        <f>IF(Skills!X7&lt;&gt;"",1+(Skills!X7/10)*(Z337/1000)/100,1)</f>
        <v>1.7650000000000001</v>
      </c>
      <c r="J341">
        <f>((Inputs!$B$6*(1+Inputs!$B$7/100))+(((Inputs!$B$12*(1+Inputs!$B$13/100))-(Inputs!$B$12*(1+Inputs!$B$13/100)))+0.25*(Inputs!$B$14-Inputs!$B$14))*(1+Inputs!$B$7/100))*(F341/100)</f>
        <v>1289972510.4086521</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11554722062509.805</v>
      </c>
      <c r="L341">
        <f>K341*(MIN(Inputs!$B$22+(F356-Calc!F22),(Inputs!$B$23+(IF(ArtifactsInput!$M$15,CHOOSE(ArtifactsInput!$N$15+1,25,30,35,40,45,50)/100*(Inputs!$B$11-Inputs!$B$11),0))))/100+(Inputs!$B$23+(IF(ArtifactsInput!$M$15,CHOOSE(ArtifactsInput!$N$15+1,25,30,35,40,45,50)/100*(Inputs!$B$11-Inputs!$B$11),0)))/100)/2</f>
        <v>38419450857845.102</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181301388598171</v>
      </c>
      <c r="N341">
        <f>L341*(1-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181301388598171</v>
      </c>
      <c r="O341">
        <f>(1-Summary!$B$11)*S341+Summary!$B$11*U341</f>
        <v>452392289899586.12</v>
      </c>
      <c r="P341">
        <f>IF(B375=0,0,O341/B375)</f>
        <v>1.3537499549121501E-2</v>
      </c>
      <c r="Q341">
        <f>IFERROR(1/(IF(Inputs!$B$38="pvp",15,MAX(0.1,Skills!E7-IF(TRUE=TRUE,Inputs!$B$32,0)))*(1-IF(AND(ArtifactsInput!$M$27,Inputs!$B$4="Chapter Hunt"),CHOOSE(ArtifactsInput!$N$27+1,20,24,28,32,36,40),0)/100)),0)</f>
        <v>4.0816326530612242E-2</v>
      </c>
      <c r="R341">
        <f>IF(AND(Inputs!$B$38&lt;&gt;"pvp",Inputs!$B$43&gt;0),IF(MAX(0,Inputs!$B$43-B372)&lt;=0,0,(INT(MAX(0,Inputs!$B$43-B372)/(IF(Inputs!$B$38="pvp",15,MAX(0.1,Skills!E7-IF(TRUE=TRUE,Inputs!$B$32,0)))*(1-IF(AND(ArtifactsInput!$M$27,Inputs!$B$4="Chapter Hunt"),CHOOSE(ArtifactsInput!$N$27+1,20,24,28,32,36,40),0)/100)))+1)),0)</f>
        <v>2</v>
      </c>
      <c r="S341">
        <f>IF(C341,(H341*N341*IF(AND(Inputs!$B$38&lt;&gt;"pvp",Inputs!$B$43&gt;0),((Skills!G7*((R341-1)*IF(Skills!H7&gt;0,Skills!I7/Skills!H7,1)+IF(Skills!H7&gt;0,MIN(Skills!I7,MAX(0,MAX(0,Inputs!$B$43-B372)-((R341-1)*(IF(Inputs!$B$38="pvp",15,MAX(0.1,Skills!E7-IF(TRUE=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86208810278430.297</v>
      </c>
      <c r="U341">
        <f>IF(C341,(H341*N341*IF(AND(Inputs!$B$38&lt;&gt;"pvp",Inputs!$B$43&gt;0),((Skills!G7*((R341-1)*IF(Skills!H7&gt;0,Skills!I7/Skills!H7,1)+IF(Skills!H7&gt;0,MIN(Skills!I7,MAX(0,MAX(0,Inputs!$B$43-B372)-((R341-1)*(IF(Inputs!$B$38="pvp",15,MAX(0.1,Skills!E7-IF(TRUE=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818575769520742</v>
      </c>
    </row>
    <row r="342" spans="1:26" x14ac:dyDescent="0.2">
      <c r="A342" t="str">
        <f>Skills!A8</f>
        <v>POISON_MIST_DOT</v>
      </c>
      <c r="B342" t="str">
        <f>Skills!B8</f>
        <v>Poison Mist (fog DoT)</v>
      </c>
      <c r="C342" t="b">
        <f>TRUE</f>
        <v>1</v>
      </c>
      <c r="D342">
        <f>IF(Skills!C8=1,60+Inputs!$B$25+Inputs!$B$29,IF(Skills!C8=2,90+Inputs!$B$26+Inputs!$B$29,IF(Skills!C8=3,120+Inputs!$B$27+Inputs!$B$29,MAX(0,(Inputs!$B$3-100)*3)+Inputs!$B$28+Inputs!$B$29)))</f>
        <v>184</v>
      </c>
      <c r="E342">
        <f>INDEX(FactorTable!$B$2:$Y$301, MATCH(ROUND(MIN(300,MAX(1,D342)),0), FactorTable!$A$2:$A$301,0), Skills!M8+1)</f>
        <v>1920</v>
      </c>
      <c r="F342">
        <f>IF(Skills!N8=TRUE,(Skills!L8/10)*(E342/1000),Skills!L8/10)+Skills!O8</f>
        <v>134.4</v>
      </c>
      <c r="G342">
        <f>Calc!G8</f>
        <v>50</v>
      </c>
      <c r="H342">
        <f>Calc!H8</f>
        <v>1</v>
      </c>
      <c r="I342">
        <f>IF(Skills!X8&lt;&gt;"",1+(Skills!X8/10)*(Z337/1000)/100,1)</f>
        <v>1.7650000000000001</v>
      </c>
      <c r="J342">
        <f>((Inputs!$B$6*(1+Inputs!$B$7/100))+(((Inputs!$B$12*(1+Inputs!$B$13/100))-(Inputs!$B$12*(1+Inputs!$B$13/100)))+0.25*(Inputs!$B$14-Inputs!$B$14))*(1+Inputs!$B$7/100))*(F342/100)</f>
        <v>485364796.74950409</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4347577394180.6216</v>
      </c>
      <c r="L342">
        <f>K342*(MIN(Inputs!$B$22+(F356-Calc!F22),(Inputs!$B$23+(IF(ArtifactsInput!$M$15,CHOOSE(ArtifactsInput!$N$15+1,25,30,35,40,45,50)/100*(Inputs!$B$11-Inputs!$B$11),0))))/100+(Inputs!$B$23+(IF(ArtifactsInput!$M$15,CHOOSE(ArtifactsInput!$N$15+1,25,30,35,40,45,50)/100*(Inputs!$B$11-Inputs!$B$11),0)))/100)/2</f>
        <v>14455694835650.568</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68216423929435.023</v>
      </c>
      <c r="N342">
        <f>L342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68216423929435.023</v>
      </c>
      <c r="O342">
        <f>(1-Summary!$B$11)*S342+Summary!$B$11*U342</f>
        <v>2350746700341310.5</v>
      </c>
      <c r="P342">
        <f>IF(B375=0,0,O342/B375)</f>
        <v>7.0344329703392813E-2</v>
      </c>
      <c r="Q342">
        <f>IFERROR(1/(IF(Inputs!$B$38="pvp",15,MAX(0.1,Skills!E8-IF(TRUE=TRUE,Inputs!$B$32,0)))*(1-IF(AND(ArtifactsInput!$M$27,Inputs!$B$4="Chapter Hunt"),CHOOSE(ArtifactsInput!$N$27+1,20,24,28,32,36,40),0)/100)),0)</f>
        <v>4.0816326530612242E-2</v>
      </c>
      <c r="R342">
        <f>IF(AND(Inputs!$B$38&lt;&gt;"pvp",Inputs!$B$43&gt;0),IF(MAX(0,Inputs!$B$43-B372)&lt;=0,0,(INT(MAX(0,Inputs!$B$43-B372)/(IF(Inputs!$B$38="pvp",15,MAX(0.1,Skills!E8-IF(TRUE=TRUE,Inputs!$B$32,0)))*(1-IF(AND(ArtifactsInput!$M$27,Inputs!$B$4="Chapter Hunt"),CHOOSE(ArtifactsInput!$N$27+1,20,24,28,32,36,40),0)/100)))+1)),0)</f>
        <v>2</v>
      </c>
      <c r="S342">
        <f>IF(C342,(H342*N342*IF(AND(Inputs!$B$38&lt;&gt;"pvp",Inputs!$B$43&gt;0),((Skills!G8*((R342-1)*IF(Skills!H8&gt;0,Skills!I8/Skills!H8,1)+IF(Skills!H8&gt;0,MIN(Skills!I8,MAX(0,MAX(0,Inputs!$B$43-B372)-((R342-1)*(IF(Inputs!$B$38="pvp",15,MAX(0.1,Skills!E8-IF(TRUE=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447963152394466.75</v>
      </c>
      <c r="U342">
        <f>IF(C342,(H342*N342*IF(AND(Inputs!$B$38&lt;&gt;"pvp",Inputs!$B$43&gt;0),((Skills!G8*((R342-1)*IF(Skills!H8&gt;0,Skills!I8/Skills!H8,1)+IF(Skills!H8&gt;0,MIN(Skills!I8,MAX(0,MAX(0,Inputs!$B$43-B372)-((R342-1)*(IF(Inputs!$B$38="pvp",15,MAX(0.1,Skills!E8-IF(TRUE=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4253530248288154.5</v>
      </c>
    </row>
    <row r="343" spans="1:26" x14ac:dyDescent="0.2">
      <c r="A343" t="str">
        <f>Skills!A9</f>
        <v>MIST_ERUPTION</v>
      </c>
      <c r="B343" t="str">
        <f>Skills!B9</f>
        <v>Mist Eruption</v>
      </c>
      <c r="C343" t="b">
        <f>Inputs!$B$3&gt;=103</f>
        <v>1</v>
      </c>
      <c r="D343">
        <f>IF(Skills!C9=1,60+Inputs!$B$25+Inputs!$B$29,IF(Skills!C9=2,90+Inputs!$B$26+Inputs!$B$29,IF(Skills!C9=3,120+Inputs!$B$27+Inputs!$B$29,MAX(0,(Inputs!$B$3-100)*3)+Inputs!$B$28+Inputs!$B$29)))</f>
        <v>185</v>
      </c>
      <c r="E343">
        <f>INDEX(FactorTable!$B$2:$Y$301, MATCH(ROUND(MIN(300,MAX(1,D343)),0), FactorTable!$A$2:$A$301,0), Skills!M9+1)</f>
        <v>1925</v>
      </c>
      <c r="F343">
        <f>IF(Skills!N9=TRUE,(Skills!L9/10)*(E343/1000),Skills!L9/10)+Skills!O9</f>
        <v>5775</v>
      </c>
      <c r="G343">
        <f>Calc!G9</f>
        <v>2.5</v>
      </c>
      <c r="H343">
        <f>Calc!H9</f>
        <v>1</v>
      </c>
      <c r="I343">
        <f>IF(Skills!X9&lt;&gt;"",1+(Skills!X9/10)*(Z337/1000)/100,1)</f>
        <v>1</v>
      </c>
      <c r="J343">
        <f>((Inputs!$B$6*(1+Inputs!$B$7/100))+(((Inputs!$B$12*(1+Inputs!$B$13/100))-(Inputs!$B$12*(1+Inputs!$B$13/100)))+0.25*(Inputs!$B$14-Inputs!$B$14))*(1+Inputs!$B$7/100))*(F343/100)</f>
        <v>20855518610.330254</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105841340598412.78</v>
      </c>
      <c r="L343">
        <f>K343*(MIN(Inputs!$B$22+(F356-Calc!F22),(Inputs!$B$23+(IF(ArtifactsInput!$M$15,CHOOSE(ArtifactsInput!$N$15+1,25,30,35,40,45,50)/100*(Inputs!$B$11-Inputs!$B$11),0))))/100+(Inputs!$B$23+(IF(ArtifactsInput!$M$15,CHOOSE(ArtifactsInput!$N$15+1,25,30,35,40,45,50)/100*(Inputs!$B$11-Inputs!$B$11),0)))/100)/2</f>
        <v>351922457489722.5</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1660722076894000.2</v>
      </c>
      <c r="N343">
        <f>L343*(1-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1660722076894000.2</v>
      </c>
      <c r="O343">
        <f>(1-Summary!$B$11)*S343+Summary!$B$11*U343</f>
        <v>3453263968641461.5</v>
      </c>
      <c r="P343">
        <f>IF(B375=0,0,O343/B375)</f>
        <v>0.10333633101673265</v>
      </c>
      <c r="Q343">
        <f>IFERROR(1/(IF(Inputs!$B$38="pvp",15,MAX(0.1,Skills!E9-IF(TRUE=TRUE,Inputs!$B$32,0)))*(1-IF(AND(ArtifactsInput!$M$27,Inputs!$B$4="Chapter Hunt"),CHOOSE(ArtifactsInput!$N$27+1,20,24,28,32,36,40),0)/100)),0)</f>
        <v>4.0816326530612242E-2</v>
      </c>
      <c r="R343">
        <f>IF(AND(Inputs!$B$38&lt;&gt;"pvp",Inputs!$B$43&gt;0),IF(MAX(0,Inputs!$B$43-B372)&lt;=0,0,(INT(MAX(0,Inputs!$B$43-B372)/(IF(Inputs!$B$38="pvp",15,MAX(0.1,Skills!E9-IF(TRUE=TRUE,Inputs!$B$32,0)))*(1-IF(AND(ArtifactsInput!$M$27,Inputs!$B$4="Chapter Hunt"),CHOOSE(ArtifactsInput!$N$27+1,20,24,28,32,36,40),0)/100)))+1)),0)</f>
        <v>2</v>
      </c>
      <c r="S343">
        <f>IF(C343,(H343*N343*IF(AND(Inputs!$B$38&lt;&gt;"pvp",Inputs!$B$43&gt;0),((Skills!G9*((R343-1)*IF(Skills!H9&gt;0,Skills!I9/Skills!H9,1)+IF(Skills!H9&gt;0,MIN(Skills!I9,MAX(0,MAX(0,Inputs!$B$43-B372)-((R343-1)*(IF(Inputs!$B$38="pvp",15,MAX(0.1,Skills!E9-IF(TRUE=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658061122969247.62</v>
      </c>
      <c r="U343">
        <f>IF(C343,(H343*N343*IF(AND(Inputs!$B$38&lt;&gt;"pvp",Inputs!$B$43&gt;0),((Skills!G9*((R343-1)*IF(Skills!H9&gt;0,Skills!I9/Skills!H9,1)+IF(Skills!H9&gt;0,MIN(Skills!I9,MAX(0,MAX(0,Inputs!$B$43-B372)-((R343-1)*(IF(Inputs!$B$38="pvp",15,MAX(0.1,Skills!E9-IF(TRUE=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6248466814313675</v>
      </c>
    </row>
    <row r="344" spans="1:26" x14ac:dyDescent="0.2">
      <c r="A344" t="str">
        <f>Skills!A10</f>
        <v>CREEPING_TOXIN</v>
      </c>
      <c r="B344" t="str">
        <f>Skills!B10</f>
        <v>Creeping Toxin</v>
      </c>
      <c r="C344" t="b">
        <f>TRUE</f>
        <v>1</v>
      </c>
      <c r="D344">
        <f>IF(Skills!C10=1,60+Inputs!$B$25+Inputs!$B$29,IF(Skills!C10=2,90+Inputs!$B$26+Inputs!$B$29,IF(Skills!C10=3,120+Inputs!$B$27+Inputs!$B$29,MAX(0,(Inputs!$B$3-100)*3)+Inputs!$B$28+Inputs!$B$29)))</f>
        <v>184</v>
      </c>
      <c r="E344">
        <f>INDEX(FactorTable!$B$2:$Y$301, MATCH(ROUND(MIN(300,MAX(1,D344)),0), FactorTable!$A$2:$A$301,0), Skills!M10+1)</f>
        <v>1920</v>
      </c>
      <c r="F344">
        <f>IF(Skills!N10=TRUE,(Skills!L10/10)*(E344/1000),Skills!L10/10)+Skills!O10</f>
        <v>280.39999999999998</v>
      </c>
      <c r="G344">
        <f>Calc!G10</f>
        <v>15</v>
      </c>
      <c r="H344">
        <f>Calc!H10</f>
        <v>1</v>
      </c>
      <c r="I344">
        <f>IF(Skills!X10&lt;&gt;"",1+(Skills!X10/10)*(Z337/1000)/100,1)</f>
        <v>1.7650000000000001</v>
      </c>
      <c r="J344">
        <f>((Inputs!$B$6*(1+Inputs!$B$7/100))+(((Inputs!$B$12*(1+Inputs!$B$13/100))-(Inputs!$B$12*(1+Inputs!$B$13/100)))+0.25*(Inputs!$B$14-Inputs!$B$14))*(1+Inputs!$B$7/100))*(F344/100)</f>
        <v>1012621197.9803641</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9070392122978.0215</v>
      </c>
      <c r="L344">
        <f>K344*(MIN(Inputs!$B$22+(F356-Calc!F22),(Inputs!$B$23+(IF(ArtifactsInput!$M$15,CHOOSE(ArtifactsInput!$N$15+1,25,30,35,40,45,50)/100*(Inputs!$B$11-Inputs!$B$11),0))))/100+(Inputs!$B$23+(IF(ArtifactsInput!$M$15,CHOOSE(ArtifactsInput!$N$15+1,25,30,35,40,45,50)/100*(Inputs!$B$11-Inputs!$B$11),0)))/100)/2</f>
        <v>30159053808901.922</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142320574924208.16</v>
      </c>
      <c r="N344">
        <f>L344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142320574924208.16</v>
      </c>
      <c r="O344">
        <f>(1-Summary!$B$11)*S344+Summary!$B$11*U344</f>
        <v>327566690165172.5</v>
      </c>
      <c r="P344">
        <f>IF(B375=0,0,O344/B375)</f>
        <v>9.8021872154419806E-3</v>
      </c>
      <c r="Q344">
        <f>IFERROR(1/(IF(Inputs!$B$38="pvp",15,MAX(0.1,Skills!E10-IF(TRUE=TRUE,Inputs!$B$32,0)))*(1-IF(AND(ArtifactsInput!$M$27,Inputs!$B$4="Chapter Hunt"),CHOOSE(ArtifactsInput!$N$27+1,20,24,28,32,36,40),0)/100)),0)</f>
        <v>3.7037037037037035E-2</v>
      </c>
      <c r="R344">
        <f>IF(AND(Inputs!$B$38&lt;&gt;"pvp",Inputs!$B$43&gt;0),IF(MAX(0,Inputs!$B$43-B372)&lt;=0,0,(INT(MAX(0,Inputs!$B$43-B372)/(IF(Inputs!$B$38="pvp",15,MAX(0.1,Skills!E10-IF(TRUE=TRUE,Inputs!$B$32,0)))*(1-IF(AND(ArtifactsInput!$M$27,Inputs!$B$4="Chapter Hunt"),CHOOSE(ArtifactsInput!$N$27+1,20,24,28,32,36,40),0)/100)))+1)),0)</f>
        <v>2</v>
      </c>
      <c r="S344">
        <f>IF(C344,(H344*N344*IF(AND(Inputs!$B$38&lt;&gt;"pvp",Inputs!$B$43&gt;0),((Skills!G10*((R344-1)*IF(Skills!H10&gt;0,Skills!I10/Skills!H10,1)+IF(Skills!H10&gt;0,MIN(Skills!I10,MAX(0,MAX(0,Inputs!$B$43-B372)-((R344-1)*(IF(Inputs!$B$38="pvp",15,MAX(0.1,Skills!E10-IF(TRUE=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289244124741949</v>
      </c>
      <c r="U344">
        <f>IF(C344,(H344*N344*IF(AND(Inputs!$B$38&lt;&gt;"pvp",Inputs!$B$43&gt;0),((Skills!G10*((R344-1)*IF(Skills!H10&gt;0,Skills!I10/Skills!H10,1)+IF(Skills!H10&gt;0,MIN(Skills!I10,MAX(0,MAX(0,Inputs!$B$43-B372)-((R344-1)*(IF(Inputs!$B$38="pvp",15,MAX(0.1,Skills!E10-IF(TRUE=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365889255588396</v>
      </c>
    </row>
    <row r="345" spans="1:26" x14ac:dyDescent="0.2">
      <c r="A345" t="str">
        <f>Skills!A11</f>
        <v>BURNING_MAGIC</v>
      </c>
      <c r="B345" t="str">
        <f>Skills!B11</f>
        <v>Burning Magic</v>
      </c>
      <c r="C345" t="b">
        <f>TRUE</f>
        <v>1</v>
      </c>
      <c r="D345">
        <f>IF(Skills!C11=1,60+Inputs!$B$25+Inputs!$B$29,IF(Skills!C11=2,90+Inputs!$B$26+Inputs!$B$29,IF(Skills!C11=3,120+Inputs!$B$27+Inputs!$B$29,MAX(0,(Inputs!$B$3-100)*3)+Inputs!$B$28+Inputs!$B$29)))</f>
        <v>184</v>
      </c>
      <c r="E345">
        <f>INDEX(FactorTable!$B$2:$Y$301, MATCH(ROUND(MIN(300,MAX(1,D345)),0), FactorTable!$A$2:$A$301,0), Skills!M11+1)</f>
        <v>0</v>
      </c>
      <c r="F345">
        <f>IF(Skills!N11=TRUE,(Skills!L11/10)*(E345/1000),Skills!L11/10)+Skills!O11</f>
        <v>5</v>
      </c>
      <c r="G345">
        <f>Calc!G11</f>
        <v>1</v>
      </c>
      <c r="H345">
        <f>Calc!H11</f>
        <v>1</v>
      </c>
      <c r="I345">
        <f>IF(Skills!X11&lt;&gt;"",1+(Skills!X11/10)*(Z337/1000)/100,1)</f>
        <v>1</v>
      </c>
      <c r="O345">
        <f>(1-Summary!$B$11)*S345+Summary!$B$11*U345</f>
        <v>0</v>
      </c>
      <c r="P345">
        <f>IF(B375=0,0,O345/B375)</f>
        <v>0</v>
      </c>
      <c r="Q345">
        <f>IFERROR(1/(IF(Inputs!$B$38="pvp",15,MAX(0.1,Skills!E11-IF(TRUE=TRUE,Inputs!$B$32,0)))*(1-IF(AND(ArtifactsInput!$M$27,Inputs!$B$4="Chapter Hunt"),CHOOSE(ArtifactsInput!$N$27+1,20,24,28,32,36,40),0)/100)),0)</f>
        <v>10</v>
      </c>
      <c r="R345">
        <v>0</v>
      </c>
      <c r="S345">
        <v>0</v>
      </c>
      <c r="U345">
        <v>0</v>
      </c>
    </row>
    <row r="346" spans="1:26" x14ac:dyDescent="0.2">
      <c r="A346" t="str">
        <f>Skills!A12</f>
        <v>ELEMENTAL_DECREASE</v>
      </c>
      <c r="B346" t="str">
        <f>Skills!B12</f>
        <v>Elemental Decrease</v>
      </c>
      <c r="C346" t="b">
        <f>TRUE</f>
        <v>1</v>
      </c>
      <c r="D346">
        <f>IF(Skills!C12=1,60+Inputs!$B$25+Inputs!$B$29,IF(Skills!C12=2,90+Inputs!$B$26+Inputs!$B$29,IF(Skills!C12=3,120+Inputs!$B$27+Inputs!$B$29,MAX(0,(Inputs!$B$3-100)*3)+Inputs!$B$28+Inputs!$B$29)))</f>
        <v>184</v>
      </c>
      <c r="E346">
        <f>INDEX(FactorTable!$B$2:$Y$301, MATCH(ROUND(MIN(300,MAX(1,D346)),0), FactorTable!$A$2:$A$301,0), Skills!M12+1)</f>
        <v>1552</v>
      </c>
      <c r="F346">
        <f>IF(Skills!N12=TRUE,(Skills!L12/10)*(E346/1000),Skills!L12/10)+Skills!O12</f>
        <v>18.624000000000002</v>
      </c>
      <c r="G346">
        <f>Calc!G12</f>
        <v>1</v>
      </c>
      <c r="H346">
        <f>Calc!H12</f>
        <v>0.5</v>
      </c>
      <c r="I346">
        <f>IF(Skills!X12&lt;&gt;"",1+(Skills!X12/10)*(Z337/1000)/100,1)</f>
        <v>1</v>
      </c>
      <c r="O346">
        <f>(1-Summary!$B$11)*S346+Summary!$B$11*U346</f>
        <v>0</v>
      </c>
      <c r="P346">
        <f>IF(B375=0,0,O346/B375)</f>
        <v>0</v>
      </c>
      <c r="Q346">
        <f>IFERROR(1/(IF(Inputs!$B$38="pvp",15,MAX(0.1,Skills!E12-IF(TRUE=TRUE,Inputs!$B$32,0)))*(1-IF(AND(ArtifactsInput!$M$27,Inputs!$B$4="Chapter Hunt"),CHOOSE(ArtifactsInput!$N$27+1,20,24,28,32,36,40),0)/100)),0)</f>
        <v>10</v>
      </c>
      <c r="R346">
        <v>0</v>
      </c>
      <c r="S346">
        <v>0</v>
      </c>
      <c r="U346">
        <v>0</v>
      </c>
    </row>
    <row r="347" spans="1:26" x14ac:dyDescent="0.2">
      <c r="A347" t="str">
        <f>Skills!A13</f>
        <v>METEOR_SHOWER_BURST</v>
      </c>
      <c r="B347" t="str">
        <f>Skills!B13</f>
        <v>Meteor Shower (burst)</v>
      </c>
      <c r="C347" t="b">
        <f>Inputs!$B$3&gt;=105</f>
        <v>1</v>
      </c>
      <c r="D347">
        <f>IF(Skills!C13=1,60+Inputs!$B$25+Inputs!$B$29,IF(Skills!C13=2,90+Inputs!$B$26+Inputs!$B$29,IF(Skills!C13=3,120+Inputs!$B$27+Inputs!$B$29,MAX(0,(Inputs!$B$3-100)*3)+Inputs!$B$28+Inputs!$B$29)))</f>
        <v>185</v>
      </c>
      <c r="E347">
        <f>INDEX(FactorTable!$B$2:$Y$301, MATCH(ROUND(MIN(300,MAX(1,D347)),0), FactorTable!$A$2:$A$301,0), Skills!M13+1)</f>
        <v>1925</v>
      </c>
      <c r="F347">
        <f>IF(Skills!N13=TRUE,(Skills!L13/10)*(E347/1000),Skills!L13/10)+Skills!O13</f>
        <v>1155</v>
      </c>
      <c r="G347">
        <f>Calc!G13</f>
        <v>9</v>
      </c>
      <c r="H347">
        <f>Calc!H13</f>
        <v>1</v>
      </c>
      <c r="I347">
        <f>IF(Skills!X13&lt;&gt;"",1+(Skills!X13/10)*(Z337/1000)/100,1)</f>
        <v>1</v>
      </c>
      <c r="J347">
        <f>((Inputs!$B$6*(1+Inputs!$B$7/100))+(((Inputs!$B$12*(1+Inputs!$B$13/100))-(Inputs!$B$12*(1+Inputs!$B$13/100)))+0.25*(Inputs!$B$14-Inputs!$B$14))*(1+Inputs!$B$7/100))*(F347/100)</f>
        <v>4171103722.0660505</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21168268119682.559</v>
      </c>
      <c r="L347">
        <f>K347*(MIN(Inputs!$B$22+(F356-Calc!F22),(Inputs!$B$23+(IF(ArtifactsInput!$M$15,CHOOSE(ArtifactsInput!$N$15+1,25,30,35,40,45,50)/100*(Inputs!$B$11-Inputs!$B$11),0))))/100+(Inputs!$B$23+(IF(ArtifactsInput!$M$15,CHOOSE(ArtifactsInput!$N$15+1,25,30,35,40,45,50)/100*(Inputs!$B$11-Inputs!$B$11),0)))/100)/2</f>
        <v>70384491497944.516</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332144415378800.12</v>
      </c>
      <c r="N347">
        <f>L347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332144415378800.12</v>
      </c>
      <c r="O347">
        <f>(1-Summary!$B$11)*S347+Summary!$B$11*U347</f>
        <v>1811515641475976</v>
      </c>
      <c r="P347">
        <f>IF(B375=0,0,O347/B375)</f>
        <v>5.4208245204954382E-2</v>
      </c>
      <c r="Q347">
        <f>IFERROR(1/(IF(Inputs!$B$38="pvp",15,MAX(0.1,Skills!E13-IF(TRUE=TRUE,Inputs!$B$32,0)))*(1-IF(AND(ArtifactsInput!$M$27,Inputs!$B$4="Chapter Hunt"),CHOOSE(ArtifactsInput!$N$27+1,20,24,28,32,36,40),0)/100)),0)</f>
        <v>3.0303030303030304E-2</v>
      </c>
      <c r="R347">
        <f>IF(AND(Inputs!$B$38&lt;&gt;"pvp",Inputs!$B$43&gt;0),IF(MAX(0,Inputs!$B$43-B372)&lt;=0,0,(INT(MAX(0,Inputs!$B$43-B372)/(IF(Inputs!$B$38="pvp",15,MAX(0.1,Skills!E13-IF(TRUE=TRUE,Inputs!$B$32,0)))*(1-IF(AND(ArtifactsInput!$M$27,Inputs!$B$4="Chapter Hunt"),CHOOSE(ArtifactsInput!$N$27+1,20,24,28,32,36,40),0)/100)))+1)),0)</f>
        <v>2</v>
      </c>
      <c r="S347">
        <f>IF(C347,(H347*N347*IF(AND(Inputs!$B$38&lt;&gt;"pvp",Inputs!$B$43&gt;0),((Skills!G13*((R347-1)*IF(Skills!H13&gt;0,Skills!I13/Skills!H13,1)+IF(Skills!H13&gt;0,MIN(Skills!I13,MAX(0,MAX(0,Inputs!$B$43-B372)-((R347-1)*(IF(Inputs!$B$38="pvp",15,MAX(0.1,Skills!E13-IF(TRUE=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473804008537858.38</v>
      </c>
      <c r="U347">
        <f>IF(C347,(H347*N347*IF(AND(Inputs!$B$38&lt;&gt;"pvp",Inputs!$B$43&gt;0),((Skills!G13*((R347-1)*IF(Skills!H13&gt;0,Skills!I13/Skills!H13,1)+IF(Skills!H13&gt;0,MIN(Skills!I13,MAX(0,MAX(0,Inputs!$B$43-B372)-((R347-1)*(IF(Inputs!$B$38="pvp",15,MAX(0.1,Skills!E13-IF(TRUE=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3149227274414093.5</v>
      </c>
    </row>
    <row r="348" spans="1:26" x14ac:dyDescent="0.2">
      <c r="A348" t="str">
        <f>Skills!A14</f>
        <v>METEOR_PROC</v>
      </c>
      <c r="B348" t="str">
        <f>Skills!B14</f>
        <v>Meteor Proc (30% on-hit, 1s ICD)</v>
      </c>
      <c r="C348" t="b">
        <f>Inputs!$B$3&gt;=113</f>
        <v>1</v>
      </c>
      <c r="D348">
        <f>IF(Skills!C14=1,60+Inputs!$B$25+Inputs!$B$29,IF(Skills!C14=2,90+Inputs!$B$26+Inputs!$B$29,IF(Skills!C14=3,120+Inputs!$B$27+Inputs!$B$29,MAX(0,(Inputs!$B$3-100)*3)+Inputs!$B$28+Inputs!$B$29)))</f>
        <v>185</v>
      </c>
      <c r="E348">
        <f>INDEX(FactorTable!$B$2:$Y$301, MATCH(ROUND(MIN(300,MAX(1,D348)),0), FactorTable!$A$2:$A$301,0), Skills!M14+1)</f>
        <v>1740</v>
      </c>
      <c r="F348">
        <f>IF(Skills!N14=TRUE,(Skills!L14/10)*(E348/1000),Skills!L14/10)+Skills!O14</f>
        <v>1653</v>
      </c>
      <c r="G348">
        <f>Calc!G14</f>
        <v>0</v>
      </c>
      <c r="H348">
        <f>Calc!H14</f>
        <v>0.30000000000000004</v>
      </c>
      <c r="I348">
        <f>IF(Skills!X14&lt;&gt;"",1+(Skills!X14/10)*(Z337/1000)/100,1)</f>
        <v>1</v>
      </c>
      <c r="J348">
        <f>((Inputs!$B$6*(1+Inputs!$B$7/100))+(((Inputs!$B$12*(1+Inputs!$B$13/100))-(Inputs!$B$12*(1+Inputs!$B$13/100)))+0.25*(Inputs!$B$14-Inputs!$B$14))*(1+Inputs!$B$7/100))*(F348/100)</f>
        <v>5969553638.5932312</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30295365542714.512</v>
      </c>
      <c r="L348">
        <f>K348*(MIN(Inputs!$B$22+(F356-Calc!F22),(Inputs!$B$23+(IF(ArtifactsInput!$M$15,CHOOSE(ArtifactsInput!$N$15+1,25,30,35,40,45,50)/100*(Inputs!$B$11-Inputs!$B$11),0))))/100+(Inputs!$B$23+(IF(ArtifactsInput!$M$15,CHOOSE(ArtifactsInput!$N$15+1,25,30,35,40,45,50)/100*(Inputs!$B$11-Inputs!$B$11),0)))/100)/2</f>
        <v>100732090429525.75</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475354734736931.94</v>
      </c>
      <c r="N348">
        <f>L348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475354734736931.94</v>
      </c>
      <c r="O348">
        <f>(1-Summary!$B$11)*S348+Summary!$B$11*U348</f>
        <v>465870779519349.38</v>
      </c>
      <c r="P348">
        <f>IF(B375=0,0,O348/B375)</f>
        <v>1.3940833229257571E-2</v>
      </c>
      <c r="Q348">
        <f>IFERROR(1/(IF(Inputs!$B$38="pvp",15,MAX(0.1,Skills!E14-IF(TRUE=TRUE,Inputs!$B$32,0)))*(1-IF(AND(ArtifactsInput!$M$27,Inputs!$B$4="Chapter Hunt"),CHOOSE(ArtifactsInput!$N$27+1,20,24,28,32,36,40),0)/100)),0)</f>
        <v>10</v>
      </c>
      <c r="R348">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477932158924381.12</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453809400114317.69</v>
      </c>
    </row>
    <row r="349" spans="1:26" x14ac:dyDescent="0.2">
      <c r="A349" t="str">
        <f>Skills!A15</f>
        <v>FLAME_HAZE_BURST</v>
      </c>
      <c r="B349" t="str">
        <f>Skills!B15</f>
        <v>Flame Haze (burst)</v>
      </c>
      <c r="C349" t="b">
        <f>Inputs!$B$3&gt;=107</f>
        <v>1</v>
      </c>
      <c r="D349">
        <f>IF(Skills!C15=1,60+Inputs!$B$25+Inputs!$B$29,IF(Skills!C15=2,90+Inputs!$B$26+Inputs!$B$29,IF(Skills!C15=3,120+Inputs!$B$27+Inputs!$B$29,MAX(0,(Inputs!$B$3-100)*3)+Inputs!$B$28+Inputs!$B$29)))</f>
        <v>185</v>
      </c>
      <c r="E349">
        <f>INDEX(FactorTable!$B$2:$Y$301, MATCH(ROUND(MIN(300,MAX(1,D349)),0), FactorTable!$A$2:$A$301,0), Skills!M15+1)</f>
        <v>1925</v>
      </c>
      <c r="F349">
        <f>IF(Skills!N15=TRUE,(Skills!L15/10)*(E349/1000),Skills!L15/10)+Skills!O15</f>
        <v>2310</v>
      </c>
      <c r="G349">
        <f>Calc!G15</f>
        <v>3</v>
      </c>
      <c r="H349">
        <f>Calc!H15</f>
        <v>1</v>
      </c>
      <c r="I349">
        <f>IF(Skills!X15&lt;&gt;"",1+(Skills!X15/10)*(Z337/1000)/100,1)</f>
        <v>1</v>
      </c>
      <c r="J349">
        <f>((Inputs!$B$6*(1+Inputs!$B$7/100))+(((Inputs!$B$12*(1+Inputs!$B$13/100))-(Inputs!$B$12*(1+Inputs!$B$13/100)))+0.25*(Inputs!$B$14-Inputs!$B$14))*(1+Inputs!$B$7/100))*(F349/100)</f>
        <v>8342207444.1321011</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42336536239365.117</v>
      </c>
      <c r="L349">
        <f>K349*(MIN(Inputs!$B$22+(F356-Calc!F22),(Inputs!$B$23+(IF(ArtifactsInput!$M$15,CHOOSE(ArtifactsInput!$N$15+1,25,30,35,40,45,50)/100*(Inputs!$B$11-Inputs!$B$11),0))))/100+(Inputs!$B$23+(IF(ArtifactsInput!$M$15,CHOOSE(ArtifactsInput!$N$15+1,25,30,35,40,45,50)/100*(Inputs!$B$11-Inputs!$B$11),0)))/100)/2</f>
        <v>140768982995889.03</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664288830757600.25</v>
      </c>
      <c r="N349">
        <f>L349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664288830757600.25</v>
      </c>
      <c r="O349">
        <f>(1-Summary!$B$11)*S349+Summary!$B$11*U349</f>
        <v>1657566704947901.8</v>
      </c>
      <c r="P349">
        <f>IF(B375=0,0,O349/B375)</f>
        <v>4.9601438888031681E-2</v>
      </c>
      <c r="Q349">
        <f>IFERROR(1/(IF(Inputs!$B$38="pvp",15,MAX(0.1,Skills!E15-IF(TRUE=TRUE,Inputs!$B$32,0)))*(1-IF(AND(ArtifactsInput!$M$27,Inputs!$B$4="Chapter Hunt"),CHOOSE(ArtifactsInput!$N$27+1,20,24,28,32,36,40),0)/100)),0)</f>
        <v>0.04</v>
      </c>
      <c r="R349">
        <f>IF(AND(Inputs!$B$38&lt;&gt;"pvp",Inputs!$B$43&gt;0),IF(MAX(0,Inputs!$B$43-B372)&lt;=0,0,(INT(MAX(0,Inputs!$B$43-B372)/(IF(Inputs!$B$38="pvp",15,MAX(0.1,Skills!E15-IF(TRUE=TRUE,Inputs!$B$32,0)))*(1-IF(AND(ArtifactsInput!$M$27,Inputs!$B$4="Chapter Hunt"),CHOOSE(ArtifactsInput!$N$27+1,20,24,28,32,36,40),0)/100)))+1)),0)</f>
        <v>2</v>
      </c>
      <c r="S349">
        <f>IF(C349,(H349*N349*IF(AND(Inputs!$B$38&lt;&gt;"pvp",Inputs!$B$43&gt;0),((Skills!G15*((R349-1)*IF(Skills!H15&gt;0,Skills!I15/Skills!H15,1)+IF(Skills!H15&gt;0,MIN(Skills!I15,MAX(0,MAX(0,Inputs!$B$43-B372)-((R349-1)*(IF(Inputs!$B$38="pvp",15,MAX(0.1,Skills!E15-IF(TRUE=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315869339025238.88</v>
      </c>
      <c r="U349">
        <f>IF(C349,(H349*N349*IF(AND(Inputs!$B$38&lt;&gt;"pvp",Inputs!$B$43&gt;0),((Skills!G15*((R349-1)*IF(Skills!H15&gt;0,Skills!I15/Skills!H15,1)+IF(Skills!H15&gt;0,MIN(Skills!I15,MAX(0,MAX(0,Inputs!$B$43-B372)-((R349-1)*(IF(Inputs!$B$38="pvp",15,MAX(0.1,Skills!E15-IF(TRUE=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2999264070870564.5</v>
      </c>
    </row>
    <row r="350" spans="1:26" x14ac:dyDescent="0.2">
      <c r="A350" t="str">
        <f>Skills!A16</f>
        <v>FLAME_HAZE_DOT</v>
      </c>
      <c r="B350" t="str">
        <f>Skills!B16</f>
        <v>Flame Haze (burn DoT)</v>
      </c>
      <c r="C350" t="b">
        <f>Inputs!$B$3&gt;=107</f>
        <v>1</v>
      </c>
      <c r="D350">
        <f>IF(Skills!C16=1,60+Inputs!$B$25+Inputs!$B$29,IF(Skills!C16=2,90+Inputs!$B$26+Inputs!$B$29,IF(Skills!C16=3,120+Inputs!$B$27+Inputs!$B$29,MAX(0,(Inputs!$B$3-100)*3)+Inputs!$B$28+Inputs!$B$29)))</f>
        <v>185</v>
      </c>
      <c r="E350">
        <f>INDEX(FactorTable!$B$2:$Y$301, MATCH(ROUND(MIN(300,MAX(1,D350)),0), FactorTable!$A$2:$A$301,0), Skills!M16+1)</f>
        <v>1925</v>
      </c>
      <c r="F350">
        <f>IF(Skills!N16=TRUE,(Skills!L16/10)*(E350/1000),Skills!L16/10)+Skills!O16</f>
        <v>288.75</v>
      </c>
      <c r="G350">
        <f>Calc!G16</f>
        <v>30</v>
      </c>
      <c r="H350">
        <f>Calc!H16</f>
        <v>1</v>
      </c>
      <c r="I350">
        <f>IF(Skills!X16&lt;&gt;"",1+(Skills!X16/10)*(Z337/1000)/100,1)</f>
        <v>1</v>
      </c>
      <c r="J350">
        <f>((Inputs!$B$6*(1+Inputs!$B$7/100))+(((Inputs!$B$12*(1+Inputs!$B$13/100))-(Inputs!$B$12*(1+Inputs!$B$13/100)))+0.25*(Inputs!$B$14-Inputs!$B$14))*(1+Inputs!$B$7/100))*(F350/100)</f>
        <v>1042775930.5165126</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5292067029920.6396</v>
      </c>
      <c r="L350">
        <f>K350*(MIN(Inputs!$B$22+(F356-Calc!F22),(Inputs!$B$23+(IF(ArtifactsInput!$M$15,CHOOSE(ArtifactsInput!$N$15+1,25,30,35,40,45,50)/100*(Inputs!$B$11-Inputs!$B$11),0))))/100+(Inputs!$B$23+(IF(ArtifactsInput!$M$15,CHOOSE(ArtifactsInput!$N$15+1,25,30,35,40,45,50)/100*(Inputs!$B$11-Inputs!$B$11),0)))/100)/2</f>
        <v>17596122874486.129</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83036103844700.031</v>
      </c>
      <c r="N350">
        <f>L350*(1-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83036103844700.031</v>
      </c>
      <c r="O350">
        <f>(1-Summary!$B$11)*S350+Summary!$B$11*U350</f>
        <v>1909288777167075.2</v>
      </c>
      <c r="P350">
        <f>IF(B375=0,0,O350/B375)</f>
        <v>5.7134032867313174E-2</v>
      </c>
      <c r="Q350">
        <f>IFERROR(1/(IF(Inputs!$B$38="pvp",15,MAX(0.1,Skills!E16-IF(TRUE=TRUE,Inputs!$B$32,0)))*(1-IF(AND(ArtifactsInput!$M$27,Inputs!$B$4="Chapter Hunt"),CHOOSE(ArtifactsInput!$N$27+1,20,24,28,32,36,40),0)/100)),0)</f>
        <v>0.04</v>
      </c>
      <c r="R350">
        <f>IF(AND(Inputs!$B$38&lt;&gt;"pvp",Inputs!$B$43&gt;0),IF(MAX(0,Inputs!$B$43-B372)&lt;=0,0,(INT(MAX(0,Inputs!$B$43-B372)/(IF(Inputs!$B$38="pvp",15,MAX(0.1,Skills!E16-IF(TRUE=TRUE,Inputs!$B$32,0)))*(1-IF(AND(ArtifactsInput!$M$27,Inputs!$B$4="Chapter Hunt"),CHOOSE(ArtifactsInput!$N$27+1,20,24,28,32,36,40),0)/100)))+1)),0)</f>
        <v>2</v>
      </c>
      <c r="S350">
        <f>IF(C350,(H350*N350*IF(AND(Inputs!$B$38&lt;&gt;"pvp",Inputs!$B$43&gt;0),((Skills!G16*((R350-1)*IF(Skills!H16&gt;0,Skills!I16/Skills!H16,1)+IF(Skills!H16&gt;0,MIN(Skills!I16,MAX(0,MAX(0,Inputs!$B$43-B372)-((R350-1)*(IF(Inputs!$B$38="pvp",15,MAX(0.1,Skills!E16-IF(TRUE=TRUE,Inputs!$B$32,0)))*(1-IF(AND(ArtifactsInput!$M$27,Inputs!$B$4="Chapter Hunt"),CHOOSE(ArtifactsInput!$N$27+1,20,24,28,32,36,40),0)/100)))))/Skills!H16,1)))/Inputs!$B$43),G350*Q350)*(1+IF(Inputs!$B$3&gt;=126,0.05*(B370+Q347+(H348*B371)/(1+Skills!H14*H348*B371)+Q358),0)*(1/Q349)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363838017650714.06</v>
      </c>
      <c r="U350">
        <f>IF(C350,(H350*N350*IF(AND(Inputs!$B$38&lt;&gt;"pvp",Inputs!$B$43&gt;0),((Skills!G16*((R350-1)*IF(Skills!H16&gt;0,Skills!I16/Skills!H16,1)+IF(Skills!H16&gt;0,MIN(Skills!I16,MAX(0,MAX(0,Inputs!$B$43-B372)-((R350-1)*(IF(Inputs!$B$38="pvp",15,MAX(0.1,Skills!E16-IF(TRUE=TRUE,Inputs!$B$32,0)))*(1-IF(AND(ArtifactsInput!$M$27,Inputs!$B$4="Chapter Hunt"),CHOOSE(ArtifactsInput!$N$27+1,20,24,28,32,36,40),0)/100)))))/Skills!H16,1)))/Inputs!$B$43),G350*Q350)*(1+IF(Inputs!$B$3&gt;=126,0.05*(B370+Q347+(H348*B371)/(1+Skills!H14*H348*B371)+Q358),0)*(1/Q349)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3454739536683436.5</v>
      </c>
    </row>
    <row r="351" spans="1:26" x14ac:dyDescent="0.2">
      <c r="A351" t="str">
        <f>Skills!A17</f>
        <v>MAGIC_GUARD</v>
      </c>
      <c r="B351" t="str">
        <f>Skills!B17</f>
        <v>Magic Guard</v>
      </c>
      <c r="C351" t="b">
        <f>TRUE</f>
        <v>1</v>
      </c>
      <c r="D351">
        <f>IF(Skills!C17=1,60+Inputs!$B$25+Inputs!$B$29,IF(Skills!C17=2,90+Inputs!$B$26+Inputs!$B$29,IF(Skills!C17=3,120+Inputs!$B$27+Inputs!$B$29,MAX(0,(Inputs!$B$3-100)*3)+Inputs!$B$28+Inputs!$B$29)))</f>
        <v>127</v>
      </c>
      <c r="E351">
        <f>INDEX(FactorTable!$B$2:$Y$301, MATCH(ROUND(MIN(300,MAX(1,D351)),0), FactorTable!$A$2:$A$301,0), Skills!M17+1)</f>
        <v>1508</v>
      </c>
      <c r="F351">
        <f>IF(Skills!N17=TRUE,(Skills!L17/10)*(E351/1000),Skills!L17/10)+Skills!O17</f>
        <v>18.096</v>
      </c>
      <c r="G351">
        <f>Calc!G17</f>
        <v>1</v>
      </c>
      <c r="H351">
        <f>Calc!H17</f>
        <v>1</v>
      </c>
      <c r="I351">
        <f>IF(Skills!X17&lt;&gt;"",1+(Skills!X17/10)*(Z337/1000)/100,1)</f>
        <v>1</v>
      </c>
      <c r="O351">
        <f>(1-Summary!$B$11)*S351+Summary!$B$11*U351</f>
        <v>0</v>
      </c>
      <c r="P351">
        <f>IF(B375=0,0,O351/B375)</f>
        <v>0</v>
      </c>
      <c r="Q351">
        <f>IFERROR(1/(IF(Inputs!$B$38="pvp",15,MAX(0.1,Skills!E17-IF(TRUE=TRUE,Inputs!$B$32,0)))*(1-IF(AND(ArtifactsInput!$M$27,Inputs!$B$4="Chapter Hunt"),CHOOSE(ArtifactsInput!$N$27+1,20,24,28,32,36,40),0)/100)),0)</f>
        <v>4.7619047619047616E-2</v>
      </c>
      <c r="R351">
        <f>IF(AND(Inputs!$B$38&lt;&gt;"pvp",Inputs!$B$43&gt;0),IF(Inputs!$B$43&lt;=0,0,(INT(Inputs!$B$43/(IF(Inputs!$B$38="pvp",15,MAX(0.1,Skills!E17-IF(TRUE=TRUE,Inputs!$B$32,0)))*(1-IF(AND(ArtifactsInput!$M$27,Inputs!$B$4="Chapter Hunt"),CHOOSE(ArtifactsInput!$N$27+1,20,24,28,32,36,40),0)/100)))+1)),0)</f>
        <v>2</v>
      </c>
      <c r="S351">
        <v>0</v>
      </c>
      <c r="U351">
        <v>0</v>
      </c>
    </row>
    <row r="352" spans="1:26" x14ac:dyDescent="0.2">
      <c r="A352" t="str">
        <f>Skills!A18</f>
        <v>NIMBLE_FEET</v>
      </c>
      <c r="B352" t="str">
        <f>Skills!B18</f>
        <v>Nimble Feet</v>
      </c>
      <c r="C352" t="b">
        <f>TRUE</f>
        <v>1</v>
      </c>
      <c r="D352">
        <f>IF(Skills!C18=1,60+Inputs!$B$25+Inputs!$B$29,IF(Skills!C18=2,90+Inputs!$B$26+Inputs!$B$29,IF(Skills!C18=3,120+Inputs!$B$27+Inputs!$B$29,MAX(0,(Inputs!$B$3-100)*3)+Inputs!$B$28+Inputs!$B$29)))</f>
        <v>127</v>
      </c>
      <c r="E352">
        <f>INDEX(FactorTable!$B$2:$Y$301, MATCH(ROUND(MIN(300,MAX(1,D352)),0), FactorTable!$A$2:$A$301,0), Skills!M18+1)</f>
        <v>0</v>
      </c>
      <c r="F352">
        <f>IF(Skills!N18=TRUE,(Skills!L18/10)*(E352/1000),Skills!L18/10)+Skills!O18</f>
        <v>15</v>
      </c>
      <c r="G352">
        <f>Calc!G18</f>
        <v>1</v>
      </c>
      <c r="H352">
        <f>Calc!H18</f>
        <v>1</v>
      </c>
      <c r="I352">
        <f>IF(Skills!X18&lt;&gt;"",1+(Skills!X18/10)*(Z337/1000)/100,1)</f>
        <v>1</v>
      </c>
      <c r="O352">
        <f>(1-Summary!$B$11)*S352+Summary!$B$11*U352</f>
        <v>0</v>
      </c>
      <c r="P352">
        <f>IF(B375=0,0,O352/B375)</f>
        <v>0</v>
      </c>
      <c r="Q352">
        <f>IFERROR(1/(IF(Inputs!$B$38="pvp",15,MAX(0.1,Skills!E18-IF(TRUE=TRUE,Inputs!$B$32,0)))*(1-IF(AND(ArtifactsInput!$M$27,Inputs!$B$4="Chapter Hunt"),CHOOSE(ArtifactsInput!$N$27+1,20,24,28,32,36,40),0)/100)),0)</f>
        <v>1.6666666666666666E-2</v>
      </c>
      <c r="R352">
        <f>IF(AND(Inputs!$B$38&lt;&gt;"pvp",Inputs!$B$43&gt;0),IF(Inputs!$B$43&lt;=0,0,(INT(Inputs!$B$43/(IF(Inputs!$B$38="pvp",15,MAX(0.1,Skills!E18-IF(TRUE=TRUE,Inputs!$B$32,0)))*(1-IF(AND(ArtifactsInput!$M$27,Inputs!$B$4="Chapter Hunt"),CHOOSE(ArtifactsInput!$N$27+1,20,24,28,32,36,40),0)/100)))+1)),0)</f>
        <v>1</v>
      </c>
      <c r="S352">
        <v>0</v>
      </c>
      <c r="U352">
        <v>0</v>
      </c>
    </row>
    <row r="353" spans="1:21" x14ac:dyDescent="0.2">
      <c r="A353" t="str">
        <f>Skills!A19</f>
        <v>INFINITY</v>
      </c>
      <c r="B353" t="str">
        <f>Skills!B19</f>
        <v>Infinity</v>
      </c>
      <c r="C353" t="b">
        <f>Inputs!$B$3&gt;=110</f>
        <v>1</v>
      </c>
      <c r="D353">
        <f>IF(Skills!C19=1,60+Inputs!$B$25+Inputs!$B$29,IF(Skills!C19=2,90+Inputs!$B$26+Inputs!$B$29,IF(Skills!C19=3,120+Inputs!$B$27+Inputs!$B$29,MAX(0,(Inputs!$B$3-100)*3)+Inputs!$B$28+Inputs!$B$29)))</f>
        <v>185</v>
      </c>
      <c r="E353">
        <f>INDEX(FactorTable!$B$2:$Y$301, MATCH(ROUND(MIN(300,MAX(1,D353)),0), FactorTable!$A$2:$A$301,0), Skills!M19+1)</f>
        <v>1740</v>
      </c>
      <c r="F353">
        <f>IF(Skills!N19=TRUE,(Skills!L19/10)*(E353/1000),Skills!L19/10)+Skills!O19</f>
        <v>37.700579999999995</v>
      </c>
      <c r="G353">
        <f>Calc!G19</f>
        <v>1</v>
      </c>
      <c r="H353">
        <f>Calc!H19</f>
        <v>1</v>
      </c>
      <c r="I353">
        <f>IF(Skills!X19&lt;&gt;"",1+(Skills!X19/10)*(Z337/1000)/100,1)</f>
        <v>1</v>
      </c>
      <c r="O353">
        <f>(1-Summary!$B$11)*S353+Summary!$B$11*U353</f>
        <v>0</v>
      </c>
      <c r="P353">
        <f>IF(B375=0,0,O353/B375)</f>
        <v>0</v>
      </c>
      <c r="Q353">
        <f>IFERROR(1/(IF(Inputs!$B$38="pvp",15,MAX(0.1,Skills!E19-IF(TRUE=TRUE,Inputs!$B$32,0)))*(1-IF(AND(ArtifactsInput!$M$27,Inputs!$B$4="Chapter Hunt"),CHOOSE(ArtifactsInput!$N$27+1,20,24,28,32,36,40),0)/100)),0)</f>
        <v>3.3333333333333333E-2</v>
      </c>
      <c r="R353">
        <f>IF(AND(Inputs!$B$38&lt;&gt;"pvp",Inputs!$B$43&gt;0),IF(Inputs!$B$43&lt;=0,0,(INT(Inputs!$B$43/(IF(Inputs!$B$38="pvp",15,MAX(0.1,Skills!E19-IF(TRUE=TRUE,Inputs!$B$32,0)))*(1-IF(AND(ArtifactsInput!$M$27,Inputs!$B$4="Chapter Hunt"),CHOOSE(ArtifactsInput!$N$27+1,20,24,28,32,36,40),0)/100)))+1)),0)</f>
        <v>2</v>
      </c>
      <c r="S353">
        <v>0</v>
      </c>
      <c r="U353">
        <v>0</v>
      </c>
    </row>
    <row r="354" spans="1:21" x14ac:dyDescent="0.2">
      <c r="A354" t="str">
        <f>Skills!A20</f>
        <v>MAGIC_CRITICAL_RATE</v>
      </c>
      <c r="B354" t="str">
        <f>Skills!B20</f>
        <v>Magic Critical (Crit Rate)</v>
      </c>
      <c r="C354" t="b">
        <f>TRUE</f>
        <v>1</v>
      </c>
      <c r="D354">
        <f>IF(Skills!C20=1,60+Inputs!$B$25+Inputs!$B$29,IF(Skills!C20=2,90+Inputs!$B$26+Inputs!$B$29,IF(Skills!C20=3,120+Inputs!$B$27+Inputs!$B$29,MAX(0,(Inputs!$B$3-100)*3)+Inputs!$B$28+Inputs!$B$29)))</f>
        <v>184</v>
      </c>
      <c r="E354">
        <f>INDEX(FactorTable!$B$2:$Y$301, MATCH(ROUND(MIN(300,MAX(1,D354)),0), FactorTable!$A$2:$A$301,0), Skills!M20+1)</f>
        <v>1552</v>
      </c>
      <c r="F354">
        <f>IF(Skills!N20=TRUE,(Skills!L20/10)*(E354/1000),Skills!L20/10)+Skills!O20</f>
        <v>12.416</v>
      </c>
      <c r="G354">
        <f>Calc!G20</f>
        <v>1</v>
      </c>
      <c r="H354">
        <f>Calc!H20</f>
        <v>1</v>
      </c>
      <c r="I354">
        <f>IF(Skills!X20&lt;&gt;"",1+(Skills!X20/10)*(Z337/1000)/100,1)</f>
        <v>1</v>
      </c>
      <c r="O354">
        <f>(1-Summary!$B$11)*S354+Summary!$B$11*U354</f>
        <v>0</v>
      </c>
      <c r="P354">
        <f>IF(B375=0,0,O354/B375)</f>
        <v>0</v>
      </c>
      <c r="Q354">
        <f>IFERROR(1/(IF(Inputs!$B$38="pvp",15,MAX(0.1,Skills!E20-IF(TRUE=TRUE,Inputs!$B$32,0)))*(1-IF(AND(ArtifactsInput!$M$27,Inputs!$B$4="Chapter Hunt"),CHOOSE(ArtifactsInput!$N$27+1,20,24,28,32,36,40),0)/100)),0)</f>
        <v>10</v>
      </c>
      <c r="R354">
        <v>0</v>
      </c>
      <c r="S354">
        <v>0</v>
      </c>
      <c r="U354">
        <v>0</v>
      </c>
    </row>
    <row r="355" spans="1:21" x14ac:dyDescent="0.2">
      <c r="A355" t="str">
        <f>Skills!A21</f>
        <v>MAGIC_CRITICAL_DAMAGE</v>
      </c>
      <c r="B355" t="str">
        <f>Skills!B21</f>
        <v>Magic Critical (Crit Damage)</v>
      </c>
      <c r="C355" t="b">
        <f>TRUE</f>
        <v>1</v>
      </c>
      <c r="D355">
        <f>IF(Skills!C21=1,60+Inputs!$B$25+Inputs!$B$29,IF(Skills!C21=2,90+Inputs!$B$26+Inputs!$B$29,IF(Skills!C21=3,120+Inputs!$B$27+Inputs!$B$29,MAX(0,(Inputs!$B$3-100)*3)+Inputs!$B$28+Inputs!$B$29)))</f>
        <v>184</v>
      </c>
      <c r="E355">
        <f>INDEX(FactorTable!$B$2:$Y$301, MATCH(ROUND(MIN(300,MAX(1,D355)),0), FactorTable!$A$2:$A$301,0), Skills!M21+1)</f>
        <v>1552</v>
      </c>
      <c r="F355">
        <f>IF(Skills!N21=TRUE,(Skills!L21/10)*(E355/1000),Skills!L21/10)+Skills!O21</f>
        <v>18.624000000000002</v>
      </c>
      <c r="G355">
        <f>Calc!G21</f>
        <v>1</v>
      </c>
      <c r="H355">
        <f>Calc!H21</f>
        <v>1</v>
      </c>
      <c r="I355">
        <f>IF(Skills!X21&lt;&gt;"",1+(Skills!X21/10)*(Z337/1000)/100,1)</f>
        <v>1</v>
      </c>
      <c r="O355">
        <f>(1-Summary!$B$11)*S355+Summary!$B$11*U355</f>
        <v>0</v>
      </c>
      <c r="P355">
        <f>IF(B375=0,0,O355/B375)</f>
        <v>0</v>
      </c>
      <c r="Q355">
        <f>IFERROR(1/(IF(Inputs!$B$38="pvp",15,MAX(0.1,Skills!E21-IF(TRUE=TRUE,Inputs!$B$32,0)))*(1-IF(AND(ArtifactsInput!$M$27,Inputs!$B$4="Chapter Hunt"),CHOOSE(ArtifactsInput!$N$27+1,20,24,28,32,36,40),0)/100)),0)</f>
        <v>10</v>
      </c>
      <c r="R355">
        <v>0</v>
      </c>
      <c r="S355">
        <v>0</v>
      </c>
      <c r="U355">
        <v>0</v>
      </c>
    </row>
    <row r="356" spans="1:21" x14ac:dyDescent="0.2">
      <c r="A356" t="str">
        <f>Skills!A22</f>
        <v>SPELL_MASTERY</v>
      </c>
      <c r="B356" t="str">
        <f>Skills!B22</f>
        <v>Spell Mastery</v>
      </c>
      <c r="C356" t="b">
        <f>TRUE</f>
        <v>1</v>
      </c>
      <c r="D356">
        <f>IF(Skills!C22=1,60+Inputs!$B$25+Inputs!$B$29,IF(Skills!C22=2,90+Inputs!$B$26+Inputs!$B$29,IF(Skills!C22=3,120+Inputs!$B$27+Inputs!$B$29,MAX(0,(Inputs!$B$3-100)*3)+Inputs!$B$28+Inputs!$B$29)))</f>
        <v>168</v>
      </c>
      <c r="E356">
        <f>INDEX(FactorTable!$B$2:$Y$301, MATCH(ROUND(MIN(300,MAX(1,D356)),0), FactorTable!$A$2:$A$301,0), Skills!M22+1)</f>
        <v>1504</v>
      </c>
      <c r="F356">
        <f>IF(Skills!N22=TRUE,(Skills!L22/10)*(E356/1000),Skills!L22/10)+Skills!O22</f>
        <v>22.56</v>
      </c>
      <c r="G356">
        <f>Calc!G22</f>
        <v>1</v>
      </c>
      <c r="H356">
        <f>Calc!H22</f>
        <v>1</v>
      </c>
      <c r="I356">
        <f>IF(Skills!X22&lt;&gt;"",1+(Skills!X22/10)*(Z337/1000)/100,1)</f>
        <v>1</v>
      </c>
      <c r="O356">
        <f>(1-Summary!$B$11)*S356+Summary!$B$11*U356</f>
        <v>0</v>
      </c>
      <c r="P356">
        <f>IF(B375=0,0,O356/B375)</f>
        <v>0</v>
      </c>
      <c r="Q356">
        <f>IFERROR(1/(IF(Inputs!$B$38="pvp",15,MAX(0.1,Skills!E22-IF(TRUE=TRUE,Inputs!$B$32,0)))*(1-IF(AND(ArtifactsInput!$M$27,Inputs!$B$4="Chapter Hunt"),CHOOSE(ArtifactsInput!$N$27+1,20,24,28,32,36,40),0)/100)),0)</f>
        <v>10</v>
      </c>
      <c r="R356">
        <v>0</v>
      </c>
      <c r="S356">
        <v>0</v>
      </c>
      <c r="U356">
        <v>0</v>
      </c>
    </row>
    <row r="357" spans="1:21" x14ac:dyDescent="0.2">
      <c r="A357" t="str">
        <f>Skills!A23</f>
        <v>ELEMENT_AMPLIFICATION</v>
      </c>
      <c r="B357" t="str">
        <f>Skills!B23</f>
        <v>Element Amplification</v>
      </c>
      <c r="C357" t="b">
        <f>TRUE</f>
        <v>1</v>
      </c>
      <c r="D357">
        <f>IF(Skills!C23=1,60+Inputs!$B$25+Inputs!$B$29,IF(Skills!C23=2,90+Inputs!$B$26+Inputs!$B$29,IF(Skills!C23=3,120+Inputs!$B$27+Inputs!$B$29,MAX(0,(Inputs!$B$3-100)*3)+Inputs!$B$28+Inputs!$B$29)))</f>
        <v>185</v>
      </c>
      <c r="E357">
        <f>INDEX(FactorTable!$B$2:$Y$301, MATCH(ROUND(MIN(300,MAX(1,D357)),0), FactorTable!$A$2:$A$301,0), Skills!M23+1)</f>
        <v>1555</v>
      </c>
      <c r="F357">
        <f>IF(Skills!N23=TRUE,(Skills!L23/10)*(E357/1000),Skills!L23/10)+Skills!O23</f>
        <v>23.324999999999999</v>
      </c>
      <c r="G357">
        <f>Calc!G23</f>
        <v>1</v>
      </c>
      <c r="H357">
        <f>Calc!H23</f>
        <v>1</v>
      </c>
      <c r="I357">
        <f>IF(Skills!X23&lt;&gt;"",1+(Skills!X23/10)*(Z337/1000)/100,1)</f>
        <v>1</v>
      </c>
      <c r="O357">
        <f>(1-Summary!$B$11)*S357+Summary!$B$11*U357</f>
        <v>0</v>
      </c>
      <c r="P357">
        <f>IF(B375=0,0,O357/B375)</f>
        <v>0</v>
      </c>
      <c r="Q357">
        <f>IFERROR(1/(IF(Inputs!$B$38="pvp",15,MAX(0.1,Skills!E23-IF(TRUE=TRUE,Inputs!$B$32,0)))*(1-IF(AND(ArtifactsInput!$M$27,Inputs!$B$4="Chapter Hunt"),CHOOSE(ArtifactsInput!$N$27+1,20,24,28,32,36,40),0)/100)),0)</f>
        <v>10</v>
      </c>
      <c r="R357">
        <v>0</v>
      </c>
      <c r="S357">
        <v>0</v>
      </c>
      <c r="U357">
        <v>0</v>
      </c>
    </row>
    <row r="358" spans="1:21" x14ac:dyDescent="0.2">
      <c r="A358" t="str">
        <f>Skills!A24</f>
        <v>IFRIT</v>
      </c>
      <c r="B358" t="str">
        <f>Skills!B24</f>
        <v>Ifrit</v>
      </c>
      <c r="C358" t="b">
        <f>Inputs!$B$3&gt;=115</f>
        <v>1</v>
      </c>
      <c r="D358">
        <f>IF(Skills!C24=1,60+Inputs!$B$25+Inputs!$B$29,IF(Skills!C24=2,90+Inputs!$B$26+Inputs!$B$29,IF(Skills!C24=3,120+Inputs!$B$27+Inputs!$B$29,MAX(0,(Inputs!$B$3-100)*3)+Inputs!$B$28+Inputs!$B$29)))</f>
        <v>185</v>
      </c>
      <c r="E358">
        <f>INDEX(FactorTable!$B$2:$Y$301, MATCH(ROUND(MIN(300,MAX(1,D358)),0), FactorTable!$A$2:$A$301,0), Skills!M24+1)</f>
        <v>1925</v>
      </c>
      <c r="F358">
        <f>IF(Skills!N24=TRUE,(Skills!L24/10)*(E358/1000),Skills!L24/10)+Skills!O24</f>
        <v>6737.5</v>
      </c>
      <c r="G358">
        <f>Calc!G24</f>
        <v>7.5</v>
      </c>
      <c r="H358">
        <f>Calc!H24</f>
        <v>1</v>
      </c>
      <c r="I358">
        <f>IF(Skills!X24&lt;&gt;"",1+(Skills!X24/10)*(Z337/1000)/100,1)</f>
        <v>1</v>
      </c>
      <c r="J358">
        <f>((Inputs!$B$6*(1+Inputs!$B$7/100))+(((Inputs!$B$12*(1+Inputs!$B$13/100))-(Inputs!$B$12*(1+Inputs!$B$13/100)))+0.25*(Inputs!$B$14-Inputs!$B$14))*(1+Inputs!$B$7/100))*(F358/100)</f>
        <v>24331438378.718628</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123481564031481.58</v>
      </c>
      <c r="L358">
        <f>K358*(MIN(Inputs!$B$22+(F356-Calc!F22),(Inputs!$B$23+(IF(ArtifactsInput!$M$15,CHOOSE(ArtifactsInput!$N$15+1,25,30,35,40,45,50)/100*(Inputs!$B$11-Inputs!$B$11),0))))/100+(Inputs!$B$23+(IF(ArtifactsInput!$M$15,CHOOSE(ArtifactsInput!$N$15+1,25,30,35,40,45,50)/100*(Inputs!$B$11-Inputs!$B$11),0)))/100)/2</f>
        <v>410576200404676.25</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1937509089709667</v>
      </c>
      <c r="N358">
        <f>L358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1937509089709667</v>
      </c>
      <c r="O358">
        <f>(1-Summary!$B$11)*S358+Summary!$B$11*U358</f>
        <v>2216026021355431.5</v>
      </c>
      <c r="P358">
        <f>IF(B375=0,0,O358/B375)</f>
        <v>6.6312914553869617E-2</v>
      </c>
      <c r="Q358">
        <f>IFERROR(1/(IF(Inputs!$B$38="pvp",15,MAX(0.1,Skills!E24-IF(TRUE=TRUE,Inputs!$B$32,0)))*(1-IF(AND(ArtifactsInput!$M$27,Inputs!$B$4="Chapter Hunt"),CHOOSE(ArtifactsInput!$N$27+1,20,24,28,32,36,40),0)/100)),0)</f>
        <v>1.2500000000000001E-2</v>
      </c>
      <c r="R358">
        <f>IF(AND(Inputs!$B$38&lt;&gt;"pvp",Inputs!$B$43&gt;0),IF(MAX(0,Inputs!$B$43-B372)&lt;=0,0,(INT(MAX(0,Inputs!$B$43-B372)/(IF(Inputs!$B$38="pvp",15,MAX(0.1,Skills!E24-IF(TRUE=TRUE,Inputs!$B$32,0)))*(1-IF(AND(ArtifactsInput!$M$27,Inputs!$B$4="Chapter Hunt"),CHOOSE(ArtifactsInput!$N$27+1,20,24,28,32,36,40),0)/100)))+1)),0)</f>
        <v>1</v>
      </c>
      <c r="S358">
        <f>IF(C358,(H358*N358*IF(AND(Inputs!$B$38&lt;&gt;"pvp",Inputs!$B$43&gt;0),((Skills!G24*((R358-1)*IF(Skills!H24&gt;0,Skills!I24/Skills!H24,1)+IF(Skills!H24&gt;0,MIN(Skills!I24,MAX(0,MAX(0,Inputs!$B$43-B372)-((R358-1)*(IF(Inputs!$B$38="pvp",15,MAX(0.1,Skills!E24-IF(TRUE=TRUE,Inputs!$B$32,0)))*(1-IF(AND(ArtifactsInput!$M$27,Inputs!$B$4="Chapter Hunt"),CHOOSE(ArtifactsInput!$N$27+1,20,24,28,32,36,40),0)/100)))))/Skills!H24,1)))/Inputs!$B$43),G358*Q358)*(1+IF(Inputs!$B$3&gt;=130,0.2*(Skills!I16/(1/Q349)+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1151606965196183.2</v>
      </c>
      <c r="U358">
        <f>IF(C358,(H358*N358*IF(AND(Inputs!$B$38&lt;&gt;"pvp",Inputs!$B$43&gt;0),((Skills!G24*((R358-1)*IF(Skills!H24&gt;0,Skills!I24/Skills!H24,1)+IF(Skills!H24&gt;0,MIN(Skills!I24,MAX(0,MAX(0,Inputs!$B$43-B372)-((R358-1)*(IF(Inputs!$B$38="pvp",15,MAX(0.1,Skills!E24-IF(TRUE=TRUE,Inputs!$B$32,0)))*(1-IF(AND(ArtifactsInput!$M$27,Inputs!$B$4="Chapter Hunt"),CHOOSE(ArtifactsInput!$N$27+1,20,24,28,32,36,40),0)/100)))))/Skills!H24,1)))/Inputs!$B$43),G358*Q358)*(1+IF(Inputs!$B$3&gt;=130,0.2*(Skills!I16/(1/Q349)+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3280445077514679.5</v>
      </c>
    </row>
    <row r="359" spans="1:21" x14ac:dyDescent="0.2">
      <c r="A359" t="str">
        <f>Skills!A25</f>
        <v>BUFF_MASTERY</v>
      </c>
      <c r="B359" t="str">
        <f>Skills!B25</f>
        <v>Buff Mastery</v>
      </c>
      <c r="C359" t="b">
        <f>Inputs!$B$3&gt;=117</f>
        <v>1</v>
      </c>
      <c r="D359">
        <f>IF(Skills!C25=1,60+Inputs!$B$25+Inputs!$B$29,IF(Skills!C25=2,90+Inputs!$B$26+Inputs!$B$29,IF(Skills!C25=3,120+Inputs!$B$27+Inputs!$B$29,MAX(0,(Inputs!$B$3-100)*3)+Inputs!$B$28+Inputs!$B$29)))</f>
        <v>185</v>
      </c>
      <c r="E359">
        <f>INDEX(FactorTable!$B$2:$Y$301, MATCH(ROUND(MIN(300,MAX(1,D359)),0), FactorTable!$A$2:$A$301,0), Skills!M25+1)</f>
        <v>1555</v>
      </c>
      <c r="F359">
        <f>IF(Skills!N25=TRUE,(Skills!L25/10)*(E359/1000),Skills!L25/10)+Skills!O25</f>
        <v>15.549999999999999</v>
      </c>
      <c r="G359">
        <f>Calc!G25</f>
        <v>1</v>
      </c>
      <c r="H359">
        <f>Calc!H25</f>
        <v>1</v>
      </c>
      <c r="I359">
        <f>IF(Skills!X25&lt;&gt;"",1+(Skills!X25/10)*(Z337/1000)/100,1)</f>
        <v>1</v>
      </c>
      <c r="O359">
        <f>(1-Summary!$B$11)*S359+Summary!$B$11*U359</f>
        <v>0</v>
      </c>
      <c r="P359">
        <f>IF(B375=0,0,O359/B375)</f>
        <v>0</v>
      </c>
      <c r="Q359">
        <f>IFERROR(1/(IF(Inputs!$B$38="pvp",15,MAX(0.1,Skills!E25-IF(TRUE=TRUE,Inputs!$B$32,0)))*(1-IF(AND(ArtifactsInput!$M$27,Inputs!$B$4="Chapter Hunt"),CHOOSE(ArtifactsInput!$N$27+1,20,24,28,32,36,40),0)/100)),0)</f>
        <v>10</v>
      </c>
      <c r="R359">
        <v>0</v>
      </c>
      <c r="S359">
        <v>0</v>
      </c>
      <c r="U359">
        <v>0</v>
      </c>
    </row>
    <row r="360" spans="1:21" x14ac:dyDescent="0.2">
      <c r="A360" t="str">
        <f>Skills!A26</f>
        <v>ARCANE_AIM</v>
      </c>
      <c r="B360" t="str">
        <f>Skills!B26</f>
        <v>Arcane Aim</v>
      </c>
      <c r="C360" t="b">
        <f>Inputs!$B$3&gt;=120</f>
        <v>0</v>
      </c>
      <c r="D360">
        <f>IF(Skills!C26=1,60+Inputs!$B$25+Inputs!$B$29,IF(Skills!C26=2,90+Inputs!$B$26+Inputs!$B$29,IF(Skills!C26=3,120+Inputs!$B$27+Inputs!$B$29,MAX(0,(Inputs!$B$3-100)*3)+Inputs!$B$28+Inputs!$B$29)))</f>
        <v>185</v>
      </c>
      <c r="E360">
        <f>INDEX(FactorTable!$B$2:$Y$301, MATCH(ROUND(MIN(300,MAX(1,D360)),0), FactorTable!$A$2:$A$301,0), Skills!M26+1)</f>
        <v>1555</v>
      </c>
      <c r="F360">
        <f>IF(Skills!N26=TRUE,(Skills!L26/10)*(E360/1000),Skills!L26/10)+Skills!O26</f>
        <v>4.665</v>
      </c>
      <c r="G360">
        <f>Calc!G26</f>
        <v>1</v>
      </c>
      <c r="H360">
        <f>Calc!H26</f>
        <v>1</v>
      </c>
      <c r="I360">
        <f>IF(Skills!X26&lt;&gt;"",1+(Skills!X26/10)*(Z337/1000)/100,1)</f>
        <v>1</v>
      </c>
      <c r="O360">
        <f>(1-Summary!$B$11)*S360+Summary!$B$11*U360</f>
        <v>0</v>
      </c>
      <c r="P360">
        <f>IF(B375=0,0,O360/B375)</f>
        <v>0</v>
      </c>
      <c r="Q360">
        <f>IFERROR(1/(IF(Inputs!$B$38="pvp",15,MAX(0.1,Skills!E26-IF(TRUE=TRUE,Inputs!$B$32,0)))*(1-IF(AND(ArtifactsInput!$M$27,Inputs!$B$4="Chapter Hunt"),CHOOSE(ArtifactsInput!$N$27+1,20,24,28,32,36,40),0)/100)),0)</f>
        <v>10</v>
      </c>
      <c r="R360">
        <v>0</v>
      </c>
      <c r="S360">
        <v>0</v>
      </c>
      <c r="U360">
        <v>0</v>
      </c>
    </row>
    <row r="361" spans="1:21" x14ac:dyDescent="0.2">
      <c r="A361" t="str">
        <f>Skills!A27</f>
        <v>FERVENT_DRAIN</v>
      </c>
      <c r="B361" t="str">
        <f>Skills!B27</f>
        <v>Fervent Drain</v>
      </c>
      <c r="C361" t="b">
        <f>Inputs!$B$3&gt;=125</f>
        <v>0</v>
      </c>
      <c r="D361">
        <f>IF(Skills!C27=1,60+Inputs!$B$25+Inputs!$B$29,IF(Skills!C27=2,90+Inputs!$B$26+Inputs!$B$29,IF(Skills!C27=3,120+Inputs!$B$27+Inputs!$B$29,MAX(0,(Inputs!$B$3-100)*3)+Inputs!$B$28+Inputs!$B$29)))</f>
        <v>185</v>
      </c>
      <c r="E361">
        <f>INDEX(FactorTable!$B$2:$Y$301, MATCH(ROUND(MIN(300,MAX(1,D361)),0), FactorTable!$A$2:$A$301,0), Skills!M27+1)</f>
        <v>1555</v>
      </c>
      <c r="F361">
        <f>IF(Skills!N27=TRUE,(Skills!L27/10)*(E361/1000),Skills!L27/10)+Skills!O27</f>
        <v>6.22</v>
      </c>
      <c r="G361">
        <f>Calc!G27</f>
        <v>1</v>
      </c>
      <c r="H361">
        <f>Calc!H27</f>
        <v>1</v>
      </c>
      <c r="I361">
        <f>IF(Skills!X27&lt;&gt;"",1+(Skills!X27/10)*(Z337/1000)/100,1)</f>
        <v>1</v>
      </c>
      <c r="O361">
        <f>(1-Summary!$B$11)*S361+Summary!$B$11*U361</f>
        <v>0</v>
      </c>
      <c r="P361">
        <f>IF(B375=0,0,O361/B375)</f>
        <v>0</v>
      </c>
      <c r="Q361">
        <f>IFERROR(1/(IF(Inputs!$B$38="pvp",15,MAX(0.1,Skills!E27-IF(TRUE=TRUE,Inputs!$B$32,0)))*(1-IF(AND(ArtifactsInput!$M$27,Inputs!$B$4="Chapter Hunt"),CHOOSE(ArtifactsInput!$N$27+1,20,24,28,32,36,40),0)/100)),0)</f>
        <v>10</v>
      </c>
      <c r="R361">
        <v>0</v>
      </c>
      <c r="S361">
        <v>0</v>
      </c>
      <c r="U361">
        <v>0</v>
      </c>
    </row>
    <row r="362" spans="1:21" x14ac:dyDescent="0.2">
      <c r="A362" t="str">
        <f>Skills!A28</f>
        <v>FLAME_HAZE_FOG</v>
      </c>
      <c r="B362" t="str">
        <f>Skills!B28</f>
        <v>Flame Haze (poison fog DoT)</v>
      </c>
      <c r="C362" t="b">
        <f>Inputs!$B$3&gt;=118</f>
        <v>0</v>
      </c>
      <c r="D362">
        <f>IF(Skills!C28=1,60+Inputs!$B$25+Inputs!$B$29,IF(Skills!C28=2,90+Inputs!$B$26+Inputs!$B$29,IF(Skills!C28=3,120+Inputs!$B$27+Inputs!$B$29,MAX(0,(Inputs!$B$3-100)*3)+Inputs!$B$28+Inputs!$B$29)))</f>
        <v>185</v>
      </c>
      <c r="E362">
        <f>INDEX(FactorTable!$B$2:$Y$301, MATCH(ROUND(MIN(300,MAX(1,D362)),0), FactorTable!$A$2:$A$301,0), Skills!M28+1)</f>
        <v>1925</v>
      </c>
      <c r="F362">
        <f>IF(Skills!N28=TRUE,(Skills!L28/10)*(E362/1000),Skills!L28/10)+Skills!O28</f>
        <v>134.75</v>
      </c>
      <c r="G362">
        <f>Calc!G28</f>
        <v>50</v>
      </c>
      <c r="H362">
        <f>Calc!H28</f>
        <v>1</v>
      </c>
      <c r="I362">
        <f>IF(Skills!X28&lt;&gt;"",1+(Skills!X28/10)*(Z337/1000)/100,1)</f>
        <v>1</v>
      </c>
      <c r="J362">
        <f>((Inputs!$B$6*(1+Inputs!$B$7/100))+(((Inputs!$B$12*(1+Inputs!$B$13/100))-(Inputs!$B$12*(1+Inputs!$B$13/100)))+0.25*(Inputs!$B$14-Inputs!$B$14))*(1+Inputs!$B$7/100))*(F362/100)</f>
        <v>486628767.57437253</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2469631280629.6313</v>
      </c>
      <c r="L362">
        <f>K362*(MIN(Inputs!$B$22+(F356-Calc!F22),(Inputs!$B$23+(IF(ArtifactsInput!$M$15,CHOOSE(ArtifactsInput!$N$15+1,25,30,35,40,45,50)/100*(Inputs!$B$11-Inputs!$B$11),0))))/100+(Inputs!$B$23+(IF(ArtifactsInput!$M$15,CHOOSE(ArtifactsInput!$N$15+1,25,30,35,40,45,50)/100*(Inputs!$B$11-Inputs!$B$11),0)))/100)/2</f>
        <v>8211524008093.5244</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38750181794193.336</v>
      </c>
      <c r="N362">
        <f>L362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38750181794193.336</v>
      </c>
      <c r="O362">
        <f>(1-Summary!$B$11)*S362+Summary!$B$11*U362</f>
        <v>0</v>
      </c>
      <c r="P362">
        <f>IF(B375=0,0,O362/B375)</f>
        <v>0</v>
      </c>
      <c r="Q362">
        <f>IFERROR(1/(IF(Inputs!$B$38="pvp",15,MAX(0.1,Skills!E28-IF(TRUE=TRUE,Inputs!$B$32,0)))*(1-IF(AND(ArtifactsInput!$M$27,Inputs!$B$4="Chapter Hunt"),CHOOSE(ArtifactsInput!$N$27+1,20,24,28,32,36,40),0)/100)),0)</f>
        <v>0.04</v>
      </c>
      <c r="R362">
        <f>IF(AND(Inputs!$B$38&lt;&gt;"pvp",Inputs!$B$43&gt;0),IF(MAX(0,Inputs!$B$43-B372)&lt;=0,0,(INT(MAX(0,Inputs!$B$43-B372)/(IF(Inputs!$B$38="pvp",15,MAX(0.1,Skills!E28-IF(TRUE=TRUE,Inputs!$B$32,0)))*(1-IF(AND(ArtifactsInput!$M$27,Inputs!$B$4="Chapter Hunt"),CHOOSE(ArtifactsInput!$N$27+1,20,24,28,32,36,40),0)/100)))+1)),0)</f>
        <v>2</v>
      </c>
      <c r="S362">
        <f>IF(C362,(H362*N362*IF(AND(Inputs!$B$38&lt;&gt;"pvp",Inputs!$B$43&gt;0),((Skills!G28*((R362-1)*IF(Skills!H28&gt;0,Skills!I28/Skills!H28,1)+IF(Skills!H28&gt;0,MIN(Skills!I28,MAX(0,MAX(0,Inputs!$B$43-B372)-((R362-1)*(IF(Inputs!$B$38="pvp",15,MAX(0.1,Skills!E28-IF(TRUE=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62">
        <f>IF(C362,(H362*N362*IF(AND(Inputs!$B$38&lt;&gt;"pvp",Inputs!$B$43&gt;0),((Skills!G28*((R362-1)*IF(Skills!H28&gt;0,Skills!I28/Skills!H28,1)+IF(Skills!H28&gt;0,MIN(Skills!I28,MAX(0,MAX(0,Inputs!$B$43-B372)-((R362-1)*(IF(Inputs!$B$38="pvp",15,MAX(0.1,Skills!E28-IF(TRUE=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64" spans="1:21" x14ac:dyDescent="0.2">
      <c r="A364" t="s">
        <v>356</v>
      </c>
      <c r="B364">
        <f>1+(F345*Skills!Z11)/100</f>
        <v>1.25</v>
      </c>
    </row>
    <row r="365" spans="1:21" x14ac:dyDescent="0.2">
      <c r="A365" t="s">
        <v>435</v>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1.18624</v>
      </c>
    </row>
    <row r="366" spans="1:21" x14ac:dyDescent="0.2">
      <c r="A366" t="s">
        <v>358</v>
      </c>
      <c r="B366">
        <f>(1+(F340*IF(AND(Inputs!$B$38&lt;&gt;"pvp",Inputs!$B$43&gt;0),(((R340-1)*MIN((Skills!T6*(1+((Inputs!$B$34+(ArtifactsInput!$M$7-ArtifactsInput!$M$7)*CHOOSE(ArtifactsInput!$N$7+1,6,7.2,8.4,9.6,10.8,12)))/100)),(1/Q340))+MIN((Skills!T6*(1+((Inputs!$B$34+(ArtifactsInput!$M$7-ArtifactsInput!$M$7)*CHOOSE(ArtifactsInput!$N$7+1,6,7.2,8.4,9.6,10.8,12)))/100)),MAX(0,Inputs!$B$43-((R340-1)*(1/Q340)))))/Inputs!$B$43),IF(Inputs!$B$38="pvp",MIN((Skills!T6*(1+((Inputs!$B$34+(ArtifactsInput!$M$7-ArtifactsInput!$M$7)*CHOOSE(ArtifactsInput!$N$7+1,6,7.2,8.4,9.6,10.8,12)))/100)),15)/15,MIN(1,(Skills!T6*(1+((Inputs!$B$34+(ArtifactsInput!$M$7-ArtifactsInput!$M$7)*CHOOSE(ArtifactsInput!$N$7+1,6,7.2,8.4,9.6,10.8,12)))/100))/(1/Q340))))+F351*IF(AND(Inputs!$B$38&lt;&gt;"pvp",Inputs!$B$43&gt;0),(((R351-1)*MIN((Skills!T17*(1+((Inputs!$B$34+(ArtifactsInput!$M$7-ArtifactsInput!$M$7)*CHOOSE(ArtifactsInput!$N$7+1,6,7.2,8.4,9.6,10.8,12)))/100)),(1/Q351))+MIN((Skills!T17*(1+((Inputs!$B$34+(ArtifactsInput!$M$7-ArtifactsInput!$M$7)*CHOOSE(ArtifactsInput!$N$7+1,6,7.2,8.4,9.6,10.8,12)))/100)),MAX(0,Inputs!$B$43-((R351-1)*(1/Q351)))))/Inputs!$B$43),IF(Inputs!$B$38="pvp",MIN((Skills!T17*(1+((Inputs!$B$34+(ArtifactsInput!$M$7-ArtifactsInput!$M$7)*CHOOSE(ArtifactsInput!$N$7+1,6,7.2,8.4,9.6,10.8,12)))/100)),15)/15,MIN(1,(Skills!T17*(1+((Inputs!$B$34+(ArtifactsInput!$M$7-ArtifactsInput!$M$7)*CHOOSE(ArtifactsInput!$N$7+1,6,7.2,8.4,9.6,10.8,12)))/100))/(1/Q351)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MIN((Skills!T19*(1+((Inputs!$B$34+(ArtifactsInput!$M$7-ArtifactsInput!$M$7)*CHOOSE(ArtifactsInput!$N$7+1,6,7.2,8.4,9.6,10.8,12)))/100)),(1/Q353))+MIN((Skills!T19*(1+((Inputs!$B$34+(ArtifactsInput!$M$7-ArtifactsInput!$M$7)*CHOOSE(ArtifactsInput!$N$7+1,6,7.2,8.4,9.6,10.8,12)))/100)),MAX(0,Inputs!$B$43-((R353-1)*(1/Q353)))))/Inputs!$B$43),IF(Inputs!$B$38="pvp",MIN((Skills!T19*(1+((Inputs!$B$34+(ArtifactsInput!$M$7-ArtifactsInput!$M$7)*CHOOSE(ArtifactsInput!$N$7+1,6,7.2,8.4,9.6,10.8,12)))/100)),15)/15,MIN(1,(Skills!T19*(1+((Inputs!$B$34+(ArtifactsInput!$M$7-ArtifactsInput!$M$7)*CHOOSE(ArtifactsInput!$N$7+1,6,7.2,8.4,9.6,10.8,12)))/100))/(1/Q353))))/100),1)</f>
        <v>1.7965808377980694</v>
      </c>
    </row>
    <row r="367" spans="1:21" x14ac:dyDescent="0.2">
      <c r="A367" t="s">
        <v>359</v>
      </c>
      <c r="B367">
        <f>F352*IF(AND(Inputs!$B$38&lt;&gt;"pvp",Inputs!$B$43&gt;0),(((R352-1)*MIN((Skills!T18*(1+((Inputs!$B$34+(ArtifactsInput!$M$7-ArtifactsInput!$M$7)*CHOOSE(ArtifactsInput!$N$7+1,6,7.2,8.4,9.6,10.8,12)))/100)),(1/Q352))+MIN((Skills!T18*(1+((Inputs!$B$34+(ArtifactsInput!$M$7-ArtifactsInput!$M$7)*CHOOSE(ArtifactsInput!$N$7+1,6,7.2,8.4,9.6,10.8,12)))/100)),MAX(0,Inputs!$B$43-((R352-1)*(1/Q352)))))/Inputs!$B$43),IF(Inputs!$B$38="pvp",MIN((Skills!T18*(1+((Inputs!$B$34+(ArtifactsInput!$M$7-ArtifactsInput!$M$7)*CHOOSE(ArtifactsInput!$N$7+1,6,7.2,8.4,9.6,10.8,12)))/100)),15)/15,MIN(1,(Skills!T18*(1+((Inputs!$B$34+(ArtifactsInput!$M$7-ArtifactsInput!$M$7)*CHOOSE(ArtifactsInput!$N$7+1,6,7.2,8.4,9.6,10.8,12)))/100))/(1/Q352))))</f>
        <v>6.4968749999999993</v>
      </c>
    </row>
    <row r="368" spans="1:21" x14ac:dyDescent="0.2">
      <c r="A368" t="s">
        <v>436</v>
      </c>
      <c r="B368">
        <f>1+MIN(150,150*(1-(1-(Inputs!$B$11+(ArtifactsInput!$M$15-ArtifactsInput!$M$15)*CHOOSE(ArtifactsInput!$N$15+1,8,9.6,11.2,12.8,14.4,16))/150)*(1-B367/150)))/100</f>
        <v>1.6982958749999999</v>
      </c>
    </row>
    <row r="369" spans="1:26" x14ac:dyDescent="0.2">
      <c r="A369" t="s">
        <v>437</v>
      </c>
      <c r="B369">
        <f>IF(AND(Inputs!$B$38&lt;&gt;"pvp",Inputs!$B$43&gt;0),SUMPRODUCT((Skills!F2:F28=TRUE)*(C336:C362=TRUE)*R336:R362)/Inputs!$B$43,SUMPRODUCT((Skills!F2:F28=TRUE)*(C336:C362=TRUE)*Q336:Q362))</f>
        <v>0.47499999999999998</v>
      </c>
    </row>
    <row r="370" spans="1:26" x14ac:dyDescent="0.2">
      <c r="A370" t="s">
        <v>362</v>
      </c>
      <c r="B370">
        <f>MAX(0,B368-B369)</f>
        <v>1.2232958749999998</v>
      </c>
    </row>
    <row r="371" spans="1:26" x14ac:dyDescent="0.2">
      <c r="A371" t="s">
        <v>438</v>
      </c>
      <c r="B371">
        <f>IF(AND(Inputs!$B$38&lt;&gt;"pvp",Inputs!$B$43&gt;0),SUMPRODUCT((Skills!V2:V28=TRUE)*(C336:C362=TRUE)*R336:R362*Skills!W2:W28)/Inputs!$B$43,SUMPRODUCT((Skills!V2:V28=TRUE)*(C336:C362=TRUE)*Q336:Q362*Skills!W2:W28))+B370</f>
        <v>1.5482958749999998</v>
      </c>
    </row>
    <row r="372" spans="1:26" x14ac:dyDescent="0.2">
      <c r="A372" t="s">
        <v>439</v>
      </c>
      <c r="B372">
        <f>IF(AND(Inputs!$B$38&lt;&gt;"pvp",Inputs!$B$43&gt;0),SUMPRODUCT((Skills!T2:T28&gt;0)*(Skills!F2:F28=TRUE)*(C336:C362=TRUE))/B368,0)</f>
        <v>2.3553021937358238</v>
      </c>
    </row>
    <row r="373" spans="1:26" x14ac:dyDescent="0.2">
      <c r="A373" t="s">
        <v>440</v>
      </c>
      <c r="B373">
        <f>SUM(S336:S362)</f>
        <v>9612435709722626</v>
      </c>
    </row>
    <row r="374" spans="1:26" x14ac:dyDescent="0.2">
      <c r="A374" t="s">
        <v>441</v>
      </c>
      <c r="B374">
        <f>SUM(U336:U362)</f>
        <v>5.7222992540237104E+16</v>
      </c>
    </row>
    <row r="375" spans="1:26" x14ac:dyDescent="0.2">
      <c r="A375" s="6" t="s">
        <v>348</v>
      </c>
      <c r="B375" s="6">
        <f>SUM(O336:O362)</f>
        <v>3.3417714124979864E+16</v>
      </c>
    </row>
    <row r="378" spans="1:26" x14ac:dyDescent="0.2">
      <c r="A378" s="6" t="s">
        <v>448</v>
      </c>
    </row>
    <row r="379" spans="1:26" x14ac:dyDescent="0.2">
      <c r="A379" s="5" t="s">
        <v>136</v>
      </c>
      <c r="B379" s="5" t="s">
        <v>137</v>
      </c>
      <c r="C379" s="5" t="s">
        <v>328</v>
      </c>
      <c r="D379" s="5" t="s">
        <v>329</v>
      </c>
      <c r="E379" s="5" t="s">
        <v>330</v>
      </c>
      <c r="F379" s="5" t="s">
        <v>331</v>
      </c>
      <c r="G379" s="5" t="s">
        <v>332</v>
      </c>
      <c r="H379" s="5" t="s">
        <v>333</v>
      </c>
      <c r="I379" s="5" t="s">
        <v>334</v>
      </c>
      <c r="J379" s="5" t="s">
        <v>335</v>
      </c>
      <c r="K379" s="5" t="s">
        <v>336</v>
      </c>
      <c r="L379" s="5" t="s">
        <v>337</v>
      </c>
      <c r="M379" s="5" t="s">
        <v>338</v>
      </c>
      <c r="N379" s="5" t="s">
        <v>339</v>
      </c>
      <c r="O379" s="5" t="s">
        <v>340</v>
      </c>
      <c r="P379" s="5" t="s">
        <v>341</v>
      </c>
      <c r="R379" t="s">
        <v>434</v>
      </c>
    </row>
    <row r="380" spans="1:26" x14ac:dyDescent="0.2">
      <c r="A380" t="str">
        <f>Skills!A2</f>
        <v>BASIC_ATTACK</v>
      </c>
      <c r="B380" t="str">
        <f>Skills!B2</f>
        <v>Basic Attack</v>
      </c>
      <c r="C380" t="b">
        <f>TRUE</f>
        <v>1</v>
      </c>
      <c r="F380">
        <f>T382+Skills!O2</f>
        <v>537.6</v>
      </c>
      <c r="G380">
        <f>Calc!G2</f>
        <v>5</v>
      </c>
      <c r="H380">
        <f>Calc!H2</f>
        <v>1</v>
      </c>
      <c r="I380">
        <f>IF(Skills!X2&lt;&gt;"",1+(Skills!X2/10)*(Z381/1000)/100,1)</f>
        <v>1</v>
      </c>
      <c r="J380">
        <f>((Inputs!$B$6*(1+Inputs!$B$7/100))+(((Inputs!$B$12*(1+Inputs!$B$13/100))-(Inputs!$B$12*(1+Inputs!$B$13/100)))+0.25*(Inputs!$B$14-Inputs!$B$14))*(1+Inputs!$B$7/100))*(F380/100)</f>
        <v>1941459186.9980164</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6620290711466.1074</v>
      </c>
      <c r="L380">
        <f>K380*(MIN((Inputs!$B$22+1)+(F400-Calc!F22),(Inputs!$B$23+(IF(ArtifactsInput!$M$15,CHOOSE(ArtifactsInput!$N$15+1,25,30,35,40,45,50)/100*(Inputs!$B$11-Inputs!$B$11),0))))/100+(Inputs!$B$23+(IF(ArtifactsInput!$M$15,CHOOSE(ArtifactsInput!$N$15+1,25,30,35,40,45,50)/100*(Inputs!$B$11-Inputs!$B$11),0)))/100)/2</f>
        <v>22045568069182.137</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104033035718470.48</v>
      </c>
      <c r="N380">
        <f>L380*(1-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104033035718470.48</v>
      </c>
      <c r="O380">
        <f>(1-Summary!$B$11)*S380+Summary!$B$11*U380</f>
        <v>1.2532241991039606E+16</v>
      </c>
      <c r="P380">
        <f>IF(B419=0,0,O380/B419)</f>
        <v>0.378199388854495</v>
      </c>
      <c r="Q380">
        <f>IFERROR(1/(IF(Inputs!$B$38="pvp",15,MAX(0.1,Skills!E2-IF(TRUE=TRUE,Inputs!$B$32,0)))*(1-IF(AND(ArtifactsInput!$M$27,Inputs!$B$4="Chapter Hunt"),CHOOSE(ArtifactsInput!$N$27+1,20,24,28,32,36,40),0)/100)),0)</f>
        <v>10</v>
      </c>
      <c r="R380">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2080753049540468</v>
      </c>
      <c r="T380">
        <f>MAX(0,(Inputs!$B$3-100)*3)+Inputs!$B$28+Inputs!$B$29</f>
        <v>185</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2.2983730932538744E+16</v>
      </c>
      <c r="Z380">
        <f>MAX(0,(Inputs!$B$3-100)*3)+Inputs!$B$28+Inputs!$B$29</f>
        <v>185</v>
      </c>
    </row>
    <row r="381" spans="1:26" x14ac:dyDescent="0.2">
      <c r="A381" t="str">
        <f>Skills!A3</f>
        <v>IGNITE</v>
      </c>
      <c r="B381" t="str">
        <f>Skills!B3</f>
        <v>Ignite</v>
      </c>
      <c r="C381" t="b">
        <f>TRUE</f>
        <v>1</v>
      </c>
      <c r="D381">
        <f>IF(Skills!C3=1,60+Inputs!$B$25+Inputs!$B$29,IF(Skills!C3=2,90+Inputs!$B$26+Inputs!$B$29,IF(Skills!C3=3,120+Inputs!$B$27+Inputs!$B$29,MAX(0,(Inputs!$B$3-100)*3)+Inputs!$B$28+Inputs!$B$29)))</f>
        <v>168</v>
      </c>
      <c r="E381">
        <f>INDEX(FactorTable!$B$2:$Y$301, MATCH(ROUND(MIN(300,MAX(1,D381)),0), FactorTable!$A$2:$A$301,0), Skills!M3+1)</f>
        <v>1672</v>
      </c>
      <c r="F381">
        <f>IF(Skills!N3=TRUE,(Skills!L3/10)*(E381/1000),Skills!L3/10)+Skills!O3</f>
        <v>121.736</v>
      </c>
      <c r="G381">
        <f>Calc!G3</f>
        <v>3</v>
      </c>
      <c r="H381">
        <f>Calc!H3</f>
        <v>1</v>
      </c>
      <c r="I381">
        <f>IF(Skills!X3&lt;&gt;"",1+(Skills!X3/10)*(Z381/1000)/100,1)</f>
        <v>4.8250000000000002</v>
      </c>
      <c r="J381">
        <f>((Inputs!$B$6*(1+Inputs!$B$7/100))+(((Inputs!$B$12*(1+Inputs!$B$13/100))-(Inputs!$B$12*(1+Inputs!$B$13/100)))+0.25*(Inputs!$B$14-Inputs!$B$14))*(1+Inputs!$B$7/100))*(F381/100)</f>
        <v>439630720.9605478</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10658554617221.965</v>
      </c>
      <c r="L381">
        <f>K381*(MIN((Inputs!$B$22+1)+(F400-Calc!F22),(Inputs!$B$23+(IF(ArtifactsInput!$M$15,CHOOSE(ArtifactsInput!$N$15+1,25,30,35,40,45,50)/100*(Inputs!$B$11-Inputs!$B$11),0))))/100+(Inputs!$B$23+(IF(ArtifactsInput!$M$15,CHOOSE(ArtifactsInput!$N$15+1,25,30,35,40,45,50)/100*(Inputs!$B$11-Inputs!$B$11),0)))/100)/2</f>
        <v>35492986875349.141</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167491405064772.56</v>
      </c>
      <c r="N381">
        <f>L381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167491405064772.56</v>
      </c>
      <c r="O381">
        <f>(1-Summary!$B$11)*S381+Summary!$B$11*U381</f>
        <v>2911838077051071</v>
      </c>
      <c r="P381">
        <f>IF(B419=0,0,O381/B419)</f>
        <v>8.7873772463965077E-2</v>
      </c>
      <c r="Q381">
        <f>IFERROR(1/(IF(Inputs!$B$38="pvp",15,MAX(0.1,Skills!E3-IF(FALSE=TRUE,Inputs!$B$32,0)))*(1-IF(AND(ArtifactsInput!$M$27,Inputs!$B$4="Chapter Hunt"),CHOOSE(ArtifactsInput!$N$27+1,20,24,28,32,36,40),0)/100)),0)</f>
        <v>1</v>
      </c>
      <c r="R381">
        <f>IF(AND(Inputs!$B$38&lt;&gt;"pvp",Inputs!$B$43&gt;0),IF(MAX(0,Inputs!$B$43-B416)&lt;=0,0,(INT(MAX(0,Inputs!$B$43-B416)/(IF(Inputs!$B$38="pvp",15,MAX(0.1,Skills!E3-IF(FALSE=TRUE,Inputs!$B$32,0)))*(1-IF(AND(ArtifactsInput!$M$27,Inputs!$B$4="Chapter Hunt"),CHOOSE(ArtifactsInput!$N$27+1,20,24,28,32,36,40),0)/100)))+1)),0)</f>
        <v>38</v>
      </c>
      <c r="S381">
        <f>IF(C381,(H381*N381*IF(AND(Inputs!$B$38&lt;&gt;"pvp",Inputs!$B$43&gt;0),((Skills!G3*((R381-1)*IF(Skills!H3&gt;0,Skills!I3/Skills!H3,1)+IF(Skills!H3&gt;0,MIN(Skills!I3,MAX(0,MAX(0,Inputs!$B$43-B416)-((R381-1)*(IF(Inputs!$B$38="pvp",15,MAX(0.1,Skills!E3-IF(FALSE=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1513201099057687.8</v>
      </c>
      <c r="T381">
        <f>INDEX(FactorTable!$B$2:$Y$301, MATCH(ROUND(MIN(300,MAX(1,T380)),0), FactorTable!$A$2:$A$301,0), 22)</f>
        <v>1740</v>
      </c>
      <c r="U381">
        <f>IF(C381,(H381*N381*IF(AND(Inputs!$B$38&lt;&gt;"pvp",Inputs!$B$43&gt;0),((Skills!G3*((R381-1)*IF(Skills!H3&gt;0,Skills!I3/Skills!H3,1)+IF(Skills!H3&gt;0,MIN(Skills!I3,MAX(0,MAX(0,Inputs!$B$43-B416)-((R381-1)*(IF(Inputs!$B$38="pvp",15,MAX(0.1,Skills!E3-IF(FALSE=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4310475055044454</v>
      </c>
      <c r="Z381">
        <f>INDEX(FactorTable!$B$2:$Y$301, MATCH(ROUND(MIN(300,MAX(1,Z380)),0), FactorTable!$A$2:$A$301,0), 24)</f>
        <v>7650</v>
      </c>
    </row>
    <row r="382" spans="1:26" x14ac:dyDescent="0.2">
      <c r="A382" t="str">
        <f>Skills!A4</f>
        <v>POISON_BREATH</v>
      </c>
      <c r="B382" t="str">
        <f>Skills!B4</f>
        <v>Poison Breath</v>
      </c>
      <c r="C382" t="b">
        <f>TRUE</f>
        <v>1</v>
      </c>
      <c r="D382">
        <f>IF(Skills!C4=1,60+Inputs!$B$25+Inputs!$B$29,IF(Skills!C4=2,90+Inputs!$B$26+Inputs!$B$29,IF(Skills!C4=3,120+Inputs!$B$27+Inputs!$B$29,MAX(0,(Inputs!$B$3-100)*3)+Inputs!$B$28+Inputs!$B$29)))</f>
        <v>168</v>
      </c>
      <c r="E382">
        <f>INDEX(FactorTable!$B$2:$Y$301, MATCH(ROUND(MIN(300,MAX(1,D382)),0), FactorTable!$A$2:$A$301,0), Skills!M4+1)</f>
        <v>1840</v>
      </c>
      <c r="F382">
        <f>IF(Skills!N4=TRUE,(Skills!L4/10)*(E382/1000),Skills!L4/10)+Skills!O4</f>
        <v>438</v>
      </c>
      <c r="G382">
        <f>Calc!G4</f>
        <v>3</v>
      </c>
      <c r="H382">
        <f>Calc!H4</f>
        <v>1</v>
      </c>
      <c r="I382">
        <f>IF(Skills!X4&lt;&gt;"",1+(Skills!X4/10)*(Z381/1000)/100,1)</f>
        <v>7.12</v>
      </c>
      <c r="J382">
        <f>((Inputs!$B$6*(1+Inputs!$B$7/100))+(((Inputs!$B$12*(1+Inputs!$B$13/100))-(Inputs!$B$12*(1+Inputs!$B$13/100)))+0.25*(Inputs!$B$14-Inputs!$B$14))*(1+Inputs!$B$7/100))*(F382/100)</f>
        <v>1581769203.69258</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56589528290529.523</v>
      </c>
      <c r="L382">
        <f>K382*(MIN((Inputs!$B$22+1)+(F400-Calc!F22),(Inputs!$B$23+(IF(ArtifactsInput!$M$15,CHOOSE(ArtifactsInput!$N$15+1,25,30,35,40,45,50)/100*(Inputs!$B$11-Inputs!$B$11),0))))/100+(Inputs!$B$23+(IF(ArtifactsInput!$M$15,CHOOSE(ArtifactsInput!$N$15+1,25,30,35,40,45,50)/100*(Inputs!$B$11-Inputs!$B$11),0)))/100)/2</f>
        <v>188443129207463.31</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889263126730019.25</v>
      </c>
      <c r="N382">
        <f>L382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889263126730019.25</v>
      </c>
      <c r="O382">
        <f>(1-Summary!$B$11)*S382+Summary!$B$11*U382</f>
        <v>2123893820303809.5</v>
      </c>
      <c r="P382">
        <f>IF(B419=0,0,O382/B419)</f>
        <v>6.4095103286790731E-2</v>
      </c>
      <c r="Q382">
        <f>IFERROR(1/(IF(Inputs!$B$38="pvp",15,MAX(0.1,Skills!E4-IF(TRUE=TRUE,Inputs!$B$32,0)))*(1-IF(AND(ArtifactsInput!$M$27,Inputs!$B$4="Chapter Hunt"),CHOOSE(ArtifactsInput!$N$27+1,20,24,28,32,36,40),0)/100)),0)</f>
        <v>5.5555555555555552E-2</v>
      </c>
      <c r="R382">
        <f>IF(AND(Inputs!$B$38&lt;&gt;"pvp",Inputs!$B$43&gt;0),IF(MAX(0,Inputs!$B$43-B416)&lt;=0,0,(INT(MAX(0,Inputs!$B$43-B416)/(IF(Inputs!$B$38="pvp",15,MAX(0.1,Skills!E4-IF(TRUE=TRUE,Inputs!$B$32,0)))*(1-IF(AND(ArtifactsInput!$M$27,Inputs!$B$4="Chapter Hunt"),CHOOSE(ArtifactsInput!$N$27+1,20,24,28,32,36,40),0)/100)))+1)),0)</f>
        <v>3</v>
      </c>
      <c r="S382">
        <f>IF(C382,(H382*N382*IF(AND(Inputs!$B$38&lt;&gt;"pvp",Inputs!$B$43&gt;0),((Skills!G4*((R382-1)*IF(Skills!H4&gt;0,Skills!I4/Skills!H4,1)+IF(Skills!H4&gt;0,MIN(Skills!I4,MAX(0,MAX(0,Inputs!$B$43-B416)-((R382-1)*(IF(Inputs!$B$38="pvp",15,MAX(0.1,Skills!E4-IF(TRUE=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634266925140186.25</v>
      </c>
      <c r="T382">
        <f>290*T381/1000</f>
        <v>504.6</v>
      </c>
      <c r="U382">
        <f>IF(C382,(H382*N382*IF(AND(Inputs!$B$38&lt;&gt;"pvp",Inputs!$B$43&gt;0),((Skills!G4*((R382-1)*IF(Skills!H4&gt;0,Skills!I4/Skills!H4,1)+IF(Skills!H4&gt;0,MIN(Skills!I4,MAX(0,MAX(0,Inputs!$B$43-B416)-((R382-1)*(IF(Inputs!$B$38="pvp",15,MAX(0.1,Skills!E4-IF(TRUE=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3613520715467433</v>
      </c>
    </row>
    <row r="383" spans="1:26" x14ac:dyDescent="0.2">
      <c r="A383" t="str">
        <f>Skills!A5</f>
        <v>ELEMENTAL_DRAIN</v>
      </c>
      <c r="B383" t="str">
        <f>Skills!B5</f>
        <v>Elemental Drain</v>
      </c>
      <c r="C383" t="b">
        <f>TRUE</f>
        <v>1</v>
      </c>
      <c r="D383">
        <f>IF(Skills!C5=1,60+Inputs!$B$25+Inputs!$B$29,IF(Skills!C5=2,90+Inputs!$B$26+Inputs!$B$29,IF(Skills!C5=3,120+Inputs!$B$27+Inputs!$B$29,MAX(0,(Inputs!$B$3-100)*3)+Inputs!$B$28+Inputs!$B$29)))</f>
        <v>168</v>
      </c>
      <c r="E383">
        <f>INDEX(FactorTable!$B$2:$Y$301, MATCH(ROUND(MIN(300,MAX(1,D383)),0), FactorTable!$A$2:$A$301,0), Skills!M5+1)</f>
        <v>1672</v>
      </c>
      <c r="F383">
        <f>IF(Skills!N5=TRUE,(Skills!L5/10)*(E383/1000),Skills!L5/10)+Skills!O5</f>
        <v>20.064</v>
      </c>
      <c r="G383">
        <f>Calc!G5</f>
        <v>5</v>
      </c>
      <c r="H383">
        <f>Calc!H5</f>
        <v>1</v>
      </c>
      <c r="I383">
        <f>IF(Skills!X5&lt;&gt;"",1+(Skills!X5/10)*(Z381/1000)/100,1)</f>
        <v>12.475</v>
      </c>
      <c r="J383">
        <f>((Inputs!$B$6*(1+Inputs!$B$7/100))+(((Inputs!$B$12*(1+Inputs!$B$13/100))-(Inputs!$B$12*(1+Inputs!$B$13/100)))+0.25*(Inputs!$B$14-Inputs!$B$14))*(1+Inputs!$B$7/100))*(F383/100)</f>
        <v>72458030.371890247</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4541925884983.542</v>
      </c>
      <c r="L383">
        <f>K383*(MIN((Inputs!$B$22+1)+(F400-Calc!F22),(Inputs!$B$23+(IF(ArtifactsInput!$M$15,CHOOSE(ArtifactsInput!$N$15+1,25,30,35,40,45,50)/100*(Inputs!$B$11-Inputs!$B$11),0))))/100+(Inputs!$B$23+(IF(ArtifactsInput!$M$15,CHOOSE(ArtifactsInput!$N$15+1,25,30,35,40,45,50)/100*(Inputs!$B$11-Inputs!$B$11),0)))/100)/2</f>
        <v>15124613196995.195</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71373049676620.312</v>
      </c>
      <c r="N383">
        <f>L383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71373049676620.312</v>
      </c>
      <c r="O383">
        <f>(1-Summary!$B$11)*S383+Summary!$B$11*U383</f>
        <v>1047577936628594.6</v>
      </c>
      <c r="P383">
        <f>IF(B419=0,0,O383/B419)</f>
        <v>3.1613923166633758E-2</v>
      </c>
      <c r="Q383">
        <f>IFERROR(1/(IF(Inputs!$B$38="pvp",15,MAX(0.1,Skills!E5-IF(FALSE=TRUE,Inputs!$B$32,0)))*(1-IF(AND(ArtifactsInput!$M$27,Inputs!$B$4="Chapter Hunt"),CHOOSE(ArtifactsInput!$N$27+1,20,24,28,32,36,40),0)/100)),0)</f>
        <v>1</v>
      </c>
      <c r="R383">
        <f>IF(AND(Inputs!$B$38&lt;&gt;"pvp",Inputs!$B$43&gt;0),IF(MAX(0,Inputs!$B$43-B416)&lt;=0,0,(INT(MAX(0,Inputs!$B$43-B416)/(IF(Inputs!$B$38="pvp",15,MAX(0.1,Skills!E5-IF(FALSE=TRUE,Inputs!$B$32,0)))*(1-IF(AND(ArtifactsInput!$M$27,Inputs!$B$4="Chapter Hunt"),CHOOSE(ArtifactsInput!$N$27+1,20,24,28,32,36,40),0)/100)))+1)),0)</f>
        <v>38</v>
      </c>
      <c r="S383">
        <f>IF(C383,(H383*N383*IF(AND(Inputs!$B$38&lt;&gt;"pvp",Inputs!$B$43&gt;0),((Skills!G5*((R383-1)*IF(Skills!H5&gt;0,Skills!I5/Skills!H5,1)+IF(Skills!H5&gt;0,MIN(Skills!I5,MAX(0,MAX(0,Inputs!$B$43-B416)-((R383-1)*(IF(Inputs!$B$38="pvp",15,MAX(0.1,Skills!E5-IF(FALSE=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1074699695505710.4</v>
      </c>
      <c r="U383">
        <f>IF(C383,(H383*N383*IF(AND(Inputs!$B$38&lt;&gt;"pvp",Inputs!$B$43&gt;0),((Skills!G5*((R383-1)*IF(Skills!H5&gt;0,Skills!I5/Skills!H5,1)+IF(Skills!H5&gt;0,MIN(Skills!I5,MAX(0,MAX(0,Inputs!$B$43-B416)-((R383-1)*(IF(Inputs!$B$38="pvp",15,MAX(0.1,Skills!E5-IF(FALSE=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1020456177751478.9</v>
      </c>
    </row>
    <row r="384" spans="1:26" x14ac:dyDescent="0.2">
      <c r="A384" t="str">
        <f>Skills!A6</f>
        <v>MEDITATION</v>
      </c>
      <c r="B384" t="str">
        <f>Skills!B6</f>
        <v>Meditation</v>
      </c>
      <c r="C384" t="b">
        <f>TRUE</f>
        <v>1</v>
      </c>
      <c r="D384">
        <f>IF(Skills!C6=1,60+Inputs!$B$25+Inputs!$B$29,IF(Skills!C6=2,90+Inputs!$B$26+Inputs!$B$29,IF(Skills!C6=3,120+Inputs!$B$27+Inputs!$B$29,MAX(0,(Inputs!$B$3-100)*3)+Inputs!$B$28+Inputs!$B$29)))</f>
        <v>168</v>
      </c>
      <c r="E384">
        <f>INDEX(FactorTable!$B$2:$Y$301, MATCH(ROUND(MIN(300,MAX(1,D384)),0), FactorTable!$A$2:$A$301,0), Skills!M6+1)</f>
        <v>1672</v>
      </c>
      <c r="F384">
        <f>IF(Skills!N6=TRUE,(Skills!L6/10)*(E384/1000),Skills!L6/10)+Skills!O6</f>
        <v>33.44</v>
      </c>
      <c r="G384">
        <f>Calc!G6</f>
        <v>1</v>
      </c>
      <c r="H384">
        <f>Calc!H6</f>
        <v>1</v>
      </c>
      <c r="I384">
        <f>IF(Skills!X6&lt;&gt;"",1+(Skills!X6/10)*(Z381/1000)/100,1)</f>
        <v>1</v>
      </c>
      <c r="O384">
        <f>(1-Summary!$B$11)*S384+Summary!$B$11*U384</f>
        <v>0</v>
      </c>
      <c r="P384">
        <f>IF(B419=0,0,O384/B419)</f>
        <v>0</v>
      </c>
      <c r="Q384">
        <f>IFERROR(1/(IF(Inputs!$B$38="pvp",15,MAX(0.1,Skills!E6-IF(TRUE=TRUE,Inputs!$B$32,0)))*(1-IF(AND(ArtifactsInput!$M$27,Inputs!$B$4="Chapter Hunt"),CHOOSE(ArtifactsInput!$N$27+1,20,24,28,32,36,40),0)/100)),0)</f>
        <v>3.3333333333333333E-2</v>
      </c>
      <c r="R384">
        <f>IF(AND(Inputs!$B$38&lt;&gt;"pvp",Inputs!$B$43&gt;0),IF(Inputs!$B$43&lt;=0,0,(INT(Inputs!$B$43/(IF(Inputs!$B$38="pvp",15,MAX(0.1,Skills!E6-IF(TRUE=TRUE,Inputs!$B$32,0)))*(1-IF(AND(ArtifactsInput!$M$27,Inputs!$B$4="Chapter Hunt"),CHOOSE(ArtifactsInput!$N$27+1,20,24,28,32,36,40),0)/100)))+1)),0)</f>
        <v>2</v>
      </c>
      <c r="S384">
        <v>0</v>
      </c>
      <c r="U384">
        <v>0</v>
      </c>
    </row>
    <row r="385" spans="1:21" x14ac:dyDescent="0.2">
      <c r="A385" t="str">
        <f>Skills!A7</f>
        <v>POISON_MIST_BURST</v>
      </c>
      <c r="B385" t="str">
        <f>Skills!B7</f>
        <v>Poison Mist (burst)</v>
      </c>
      <c r="C385" t="b">
        <f>TRUE</f>
        <v>1</v>
      </c>
      <c r="D385">
        <f>IF(Skills!C7=1,60+Inputs!$B$25+Inputs!$B$29,IF(Skills!C7=2,90+Inputs!$B$26+Inputs!$B$29,IF(Skills!C7=3,120+Inputs!$B$27+Inputs!$B$29,MAX(0,(Inputs!$B$3-100)*3)+Inputs!$B$28+Inputs!$B$29)))</f>
        <v>184</v>
      </c>
      <c r="E385">
        <f>INDEX(FactorTable!$B$2:$Y$301, MATCH(ROUND(MIN(300,MAX(1,D385)),0), FactorTable!$A$2:$A$301,0), Skills!M7+1)</f>
        <v>1920</v>
      </c>
      <c r="F385">
        <f>IF(Skills!N7=TRUE,(Skills!L7/10)*(E385/1000),Skills!L7/10)+Skills!O7</f>
        <v>357.2</v>
      </c>
      <c r="G385">
        <f>Calc!G7</f>
        <v>3</v>
      </c>
      <c r="H385">
        <f>Calc!H7</f>
        <v>1</v>
      </c>
      <c r="I385">
        <f>IF(Skills!X7&lt;&gt;"",1+(Skills!X7/10)*(Z381/1000)/100,1)</f>
        <v>1.7650000000000001</v>
      </c>
      <c r="J385">
        <f>((Inputs!$B$6*(1+Inputs!$B$7/100))+(((Inputs!$B$12*(1+Inputs!$B$13/100))-(Inputs!$B$12*(1+Inputs!$B$13/100)))+0.25*(Inputs!$B$14-Inputs!$B$14))*(1+Inputs!$B$7/100))*(F385/100)</f>
        <v>1289972510.4086521</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11440318873772.086</v>
      </c>
      <c r="L385">
        <f>K385*(MIN((Inputs!$B$22+1)+(F400-Calc!F22),(Inputs!$B$23+(IF(ArtifactsInput!$M$15,CHOOSE(ArtifactsInput!$N$15+1,25,30,35,40,45,50)/100*(Inputs!$B$11-Inputs!$B$11),0))))/100+(Inputs!$B$23+(IF(ArtifactsInput!$M$15,CHOOSE(ArtifactsInput!$N$15+1,25,30,35,40,45,50)/100*(Inputs!$B$11-Inputs!$B$11),0)))/100)/2</f>
        <v>38096261849661.047</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179776259668550.47</v>
      </c>
      <c r="N385">
        <f>L385*(1-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179776259668550.47</v>
      </c>
      <c r="O385">
        <f>(1-Summary!$B$11)*S385+Summary!$B$11*U385</f>
        <v>448586711937950.5</v>
      </c>
      <c r="P385">
        <f>IF(B419=0,0,O385/B419)</f>
        <v>1.3537499549121507E-2</v>
      </c>
      <c r="Q385">
        <f>IFERROR(1/(IF(Inputs!$B$38="pvp",15,MAX(0.1,Skills!E7-IF(TRUE=TRUE,Inputs!$B$32,0)))*(1-IF(AND(ArtifactsInput!$M$27,Inputs!$B$4="Chapter Hunt"),CHOOSE(ArtifactsInput!$N$27+1,20,24,28,32,36,40),0)/100)),0)</f>
        <v>4.0816326530612242E-2</v>
      </c>
      <c r="R385">
        <f>IF(AND(Inputs!$B$38&lt;&gt;"pvp",Inputs!$B$43&gt;0),IF(MAX(0,Inputs!$B$43-B416)&lt;=0,0,(INT(MAX(0,Inputs!$B$43-B416)/(IF(Inputs!$B$38="pvp",15,MAX(0.1,Skills!E7-IF(TRUE=TRUE,Inputs!$B$32,0)))*(1-IF(AND(ArtifactsInput!$M$27,Inputs!$B$4="Chapter Hunt"),CHOOSE(ArtifactsInput!$N$27+1,20,24,28,32,36,40),0)/100)))+1)),0)</f>
        <v>2</v>
      </c>
      <c r="S385">
        <f>IF(C385,(H385*N385*IF(AND(Inputs!$B$38&lt;&gt;"pvp",Inputs!$B$43&gt;0),((Skills!G7*((R385-1)*IF(Skills!H7&gt;0,Skills!I7/Skills!H7,1)+IF(Skills!H7&gt;0,MIN(Skills!I7,MAX(0,MAX(0,Inputs!$B$43-B416)-((R385-1)*(IF(Inputs!$B$38="pvp",15,MAX(0.1,Skills!E7-IF(TRUE=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85483611472395.75</v>
      </c>
      <c r="U385">
        <f>IF(C385,(H385*N385*IF(AND(Inputs!$B$38&lt;&gt;"pvp",Inputs!$B$43&gt;0),((Skills!G7*((R385-1)*IF(Skills!H7&gt;0,Skills!I7/Skills!H7,1)+IF(Skills!H7&gt;0,MIN(Skills!I7,MAX(0,MAX(0,Inputs!$B$43-B416)-((R385-1)*(IF(Inputs!$B$38="pvp",15,MAX(0.1,Skills!E7-IF(TRUE=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811689812403505.25</v>
      </c>
    </row>
    <row r="386" spans="1:21" x14ac:dyDescent="0.2">
      <c r="A386" t="str">
        <f>Skills!A8</f>
        <v>POISON_MIST_DOT</v>
      </c>
      <c r="B386" t="str">
        <f>Skills!B8</f>
        <v>Poison Mist (fog DoT)</v>
      </c>
      <c r="C386" t="b">
        <f>TRUE</f>
        <v>1</v>
      </c>
      <c r="D386">
        <f>IF(Skills!C8=1,60+Inputs!$B$25+Inputs!$B$29,IF(Skills!C8=2,90+Inputs!$B$26+Inputs!$B$29,IF(Skills!C8=3,120+Inputs!$B$27+Inputs!$B$29,MAX(0,(Inputs!$B$3-100)*3)+Inputs!$B$28+Inputs!$B$29)))</f>
        <v>184</v>
      </c>
      <c r="E386">
        <f>INDEX(FactorTable!$B$2:$Y$301, MATCH(ROUND(MIN(300,MAX(1,D386)),0), FactorTable!$A$2:$A$301,0), Skills!M8+1)</f>
        <v>1920</v>
      </c>
      <c r="F386">
        <f>IF(Skills!N8=TRUE,(Skills!L8/10)*(E386/1000),Skills!L8/10)+Skills!O8</f>
        <v>134.4</v>
      </c>
      <c r="G386">
        <f>Calc!G8</f>
        <v>50</v>
      </c>
      <c r="H386">
        <f>Calc!H8</f>
        <v>1</v>
      </c>
      <c r="I386">
        <f>IF(Skills!X8&lt;&gt;"",1+(Skills!X8/10)*(Z381/1000)/100,1)</f>
        <v>1.7650000000000001</v>
      </c>
      <c r="J386">
        <f>((Inputs!$B$6*(1+Inputs!$B$7/100))+(((Inputs!$B$12*(1+Inputs!$B$13/100))-(Inputs!$B$12*(1+Inputs!$B$13/100)))+0.25*(Inputs!$B$14-Inputs!$B$14))*(1+Inputs!$B$7/100))*(F386/100)</f>
        <v>485364796.74950409</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4304532073446.1597</v>
      </c>
      <c r="L386">
        <f>K386*(MIN((Inputs!$B$22+1)+(F400-Calc!F22),(Inputs!$B$23+(IF(ArtifactsInput!$M$15,CHOOSE(ArtifactsInput!$N$15+1,25,30,35,40,45,50)/100*(Inputs!$B$11-Inputs!$B$11),0))))/100+(Inputs!$B$23+(IF(ArtifactsInput!$M$15,CHOOSE(ArtifactsInput!$N$15+1,25,30,35,40,45,50)/100*(Inputs!$B$11-Inputs!$B$11),0)))/100)/2</f>
        <v>14334091804575.713</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67642579225792.781</v>
      </c>
      <c r="N386">
        <f>L386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67642579225792.781</v>
      </c>
      <c r="O386">
        <f>(1-Summary!$B$11)*S386+Summary!$B$11*U386</f>
        <v>2330971938401418.5</v>
      </c>
      <c r="P386">
        <f>IF(B419=0,0,O386/B419)</f>
        <v>7.0344329703392813E-2</v>
      </c>
      <c r="Q386">
        <f>IFERROR(1/(IF(Inputs!$B$38="pvp",15,MAX(0.1,Skills!E8-IF(TRUE=TRUE,Inputs!$B$32,0)))*(1-IF(AND(ArtifactsInput!$M$27,Inputs!$B$4="Chapter Hunt"),CHOOSE(ArtifactsInput!$N$27+1,20,24,28,32,36,40),0)/100)),0)</f>
        <v>4.0816326530612242E-2</v>
      </c>
      <c r="R386">
        <f>IF(AND(Inputs!$B$38&lt;&gt;"pvp",Inputs!$B$43&gt;0),IF(MAX(0,Inputs!$B$43-B416)&lt;=0,0,(INT(MAX(0,Inputs!$B$43-B416)/(IF(Inputs!$B$38="pvp",15,MAX(0.1,Skills!E8-IF(TRUE=TRUE,Inputs!$B$32,0)))*(1-IF(AND(ArtifactsInput!$M$27,Inputs!$B$4="Chapter Hunt"),CHOOSE(ArtifactsInput!$N$27+1,20,24,28,32,36,40),0)/100)))+1)),0)</f>
        <v>2</v>
      </c>
      <c r="S386">
        <f>IF(C386,(H386*N386*IF(AND(Inputs!$B$38&lt;&gt;"pvp",Inputs!$B$43&gt;0),((Skills!G8*((R386-1)*IF(Skills!H8&gt;0,Skills!I8/Skills!H8,1)+IF(Skills!H8&gt;0,MIN(Skills!I8,MAX(0,MAX(0,Inputs!$B$43-B416)-((R386-1)*(IF(Inputs!$B$38="pvp",15,MAX(0.1,Skills!E8-IF(TRUE=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444194832866395.94</v>
      </c>
      <c r="U386">
        <f>IF(C386,(H386*N386*IF(AND(Inputs!$B$38&lt;&gt;"pvp",Inputs!$B$43&gt;0),((Skills!G8*((R386-1)*IF(Skills!H8&gt;0,Skills!I8/Skills!H8,1)+IF(Skills!H8&gt;0,MIN(Skills!I8,MAX(0,MAX(0,Inputs!$B$43-B416)-((R386-1)*(IF(Inputs!$B$38="pvp",15,MAX(0.1,Skills!E8-IF(TRUE=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4217749043936441</v>
      </c>
    </row>
    <row r="387" spans="1:21" x14ac:dyDescent="0.2">
      <c r="A387" t="str">
        <f>Skills!A9</f>
        <v>MIST_ERUPTION</v>
      </c>
      <c r="B387" t="str">
        <f>Skills!B9</f>
        <v>Mist Eruption</v>
      </c>
      <c r="C387" t="b">
        <f>Inputs!$B$3&gt;=103</f>
        <v>1</v>
      </c>
      <c r="D387">
        <f>IF(Skills!C9=1,60+Inputs!$B$25+Inputs!$B$29,IF(Skills!C9=2,90+Inputs!$B$26+Inputs!$B$29,IF(Skills!C9=3,120+Inputs!$B$27+Inputs!$B$29,MAX(0,(Inputs!$B$3-100)*3)+Inputs!$B$28+Inputs!$B$29)))</f>
        <v>185</v>
      </c>
      <c r="E387">
        <f>INDEX(FactorTable!$B$2:$Y$301, MATCH(ROUND(MIN(300,MAX(1,D387)),0), FactorTable!$A$2:$A$301,0), Skills!M9+1)</f>
        <v>1925</v>
      </c>
      <c r="F387">
        <f>IF(Skills!N9=TRUE,(Skills!L9/10)*(E387/1000),Skills!L9/10)+Skills!O9</f>
        <v>5775</v>
      </c>
      <c r="G387">
        <f>Calc!G9</f>
        <v>2.5</v>
      </c>
      <c r="H387">
        <f>Calc!H9</f>
        <v>1</v>
      </c>
      <c r="I387">
        <f>IF(Skills!X9&lt;&gt;"",1+(Skills!X9/10)*(Z381/1000)/100,1)</f>
        <v>1</v>
      </c>
      <c r="J387">
        <f>((Inputs!$B$6*(1+Inputs!$B$7/100))+(((Inputs!$B$12*(1+Inputs!$B$13/100))-(Inputs!$B$12*(1+Inputs!$B$13/100)))+0.25*(Inputs!$B$14-Inputs!$B$14))*(1+Inputs!$B$7/100))*(F387/100)</f>
        <v>20855518610.330254</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104793406533081.95</v>
      </c>
      <c r="L387">
        <f>K387*(MIN((Inputs!$B$22+1)+(F400-Calc!F22),(Inputs!$B$23+(IF(ArtifactsInput!$M$15,CHOOSE(ArtifactsInput!$N$15+1,25,30,35,40,45,50)/100*(Inputs!$B$11-Inputs!$B$11),0))))/100+(Inputs!$B$23+(IF(ArtifactsInput!$M$15,CHOOSE(ArtifactsInput!$N$15+1,25,30,35,40,45,50)/100*(Inputs!$B$11-Inputs!$B$11),0)))/100)/2</f>
        <v>348962043755162.94</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1646751884480613.8</v>
      </c>
      <c r="N387">
        <f>L387*(1-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1646751884480613.8</v>
      </c>
      <c r="O387">
        <f>(1-Summary!$B$11)*S387+Summary!$B$11*U387</f>
        <v>3424214699791876</v>
      </c>
      <c r="P387">
        <f>IF(B419=0,0,O387/B419)</f>
        <v>0.10333633101673266</v>
      </c>
      <c r="Q387">
        <f>IFERROR(1/(IF(Inputs!$B$38="pvp",15,MAX(0.1,Skills!E9-IF(TRUE=TRUE,Inputs!$B$32,0)))*(1-IF(AND(ArtifactsInput!$M$27,Inputs!$B$4="Chapter Hunt"),CHOOSE(ArtifactsInput!$N$27+1,20,24,28,32,36,40),0)/100)),0)</f>
        <v>4.0816326530612242E-2</v>
      </c>
      <c r="R387">
        <f>IF(AND(Inputs!$B$38&lt;&gt;"pvp",Inputs!$B$43&gt;0),IF(MAX(0,Inputs!$B$43-B416)&lt;=0,0,(INT(MAX(0,Inputs!$B$43-B416)/(IF(Inputs!$B$38="pvp",15,MAX(0.1,Skills!E9-IF(TRUE=TRUE,Inputs!$B$32,0)))*(1-IF(AND(ArtifactsInput!$M$27,Inputs!$B$4="Chapter Hunt"),CHOOSE(ArtifactsInput!$N$27+1,20,24,28,32,36,40),0)/100)))+1)),0)</f>
        <v>2</v>
      </c>
      <c r="S387">
        <f>IF(C387,(H387*N387*IF(AND(Inputs!$B$38&lt;&gt;"pvp",Inputs!$B$43&gt;0),((Skills!G9*((R387-1)*IF(Skills!H9&gt;0,Skills!I9/Skills!H9,1)+IF(Skills!H9&gt;0,MIN(Skills!I9,MAX(0,MAX(0,Inputs!$B$43-B416)-((R387-1)*(IF(Inputs!$B$38="pvp",15,MAX(0.1,Skills!E9-IF(TRUE=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652525434225443.12</v>
      </c>
      <c r="U387">
        <f>IF(C387,(H387*N387*IF(AND(Inputs!$B$38&lt;&gt;"pvp",Inputs!$B$43&gt;0),((Skills!G9*((R387-1)*IF(Skills!H9&gt;0,Skills!I9/Skills!H9,1)+IF(Skills!H9&gt;0,MIN(Skills!I9,MAX(0,MAX(0,Inputs!$B$43-B416)-((R387-1)*(IF(Inputs!$B$38="pvp",15,MAX(0.1,Skills!E9-IF(TRUE=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6195903965358309</v>
      </c>
    </row>
    <row r="388" spans="1:21" x14ac:dyDescent="0.2">
      <c r="A388" t="str">
        <f>Skills!A10</f>
        <v>CREEPING_TOXIN</v>
      </c>
      <c r="B388" t="str">
        <f>Skills!B10</f>
        <v>Creeping Toxin</v>
      </c>
      <c r="C388" t="b">
        <f>TRUE</f>
        <v>1</v>
      </c>
      <c r="D388">
        <f>IF(Skills!C10=1,60+Inputs!$B$25+Inputs!$B$29,IF(Skills!C10=2,90+Inputs!$B$26+Inputs!$B$29,IF(Skills!C10=3,120+Inputs!$B$27+Inputs!$B$29,MAX(0,(Inputs!$B$3-100)*3)+Inputs!$B$28+Inputs!$B$29)))</f>
        <v>184</v>
      </c>
      <c r="E388">
        <f>INDEX(FactorTable!$B$2:$Y$301, MATCH(ROUND(MIN(300,MAX(1,D388)),0), FactorTable!$A$2:$A$301,0), Skills!M10+1)</f>
        <v>1920</v>
      </c>
      <c r="F388">
        <f>IF(Skills!N10=TRUE,(Skills!L10/10)*(E388/1000),Skills!L10/10)+Skills!O10</f>
        <v>280.39999999999998</v>
      </c>
      <c r="G388">
        <f>Calc!G10</f>
        <v>15</v>
      </c>
      <c r="H388">
        <f>Calc!H10</f>
        <v>1</v>
      </c>
      <c r="I388">
        <f>IF(Skills!X10&lt;&gt;"",1+(Skills!X10/10)*(Z381/1000)/100,1)</f>
        <v>1.7650000000000001</v>
      </c>
      <c r="J388">
        <f>((Inputs!$B$6*(1+Inputs!$B$7/100))+(((Inputs!$B$12*(1+Inputs!$B$13/100))-(Inputs!$B$12*(1+Inputs!$B$13/100)))+0.25*(Inputs!$B$14-Inputs!$B$14))*(1+Inputs!$B$7/100))*(F388/100)</f>
        <v>1012621197.9803641</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8980586260374.2793</v>
      </c>
      <c r="L388">
        <f>K388*(MIN((Inputs!$B$22+1)+(F400-Calc!F22),(Inputs!$B$23+(IF(ArtifactsInput!$M$15,CHOOSE(ArtifactsInput!$N$15+1,25,30,35,40,45,50)/100*(Inputs!$B$11-Inputs!$B$11),0))))/100+(Inputs!$B$23+(IF(ArtifactsInput!$M$15,CHOOSE(ArtifactsInput!$N$15+1,25,30,35,40,45,50)/100*(Inputs!$B$11-Inputs!$B$11),0)))/100)/2</f>
        <v>29905352247046.352</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141123357253811.72</v>
      </c>
      <c r="N388">
        <f>L388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141123357253811.72</v>
      </c>
      <c r="O388">
        <f>(1-Summary!$B$11)*S388+Summary!$B$11*U388</f>
        <v>324811160053606.62</v>
      </c>
      <c r="P388">
        <f>IF(B419=0,0,O388/B419)</f>
        <v>9.8021872154419806E-3</v>
      </c>
      <c r="Q388">
        <f>IFERROR(1/(IF(Inputs!$B$38="pvp",15,MAX(0.1,Skills!E10-IF(TRUE=TRUE,Inputs!$B$32,0)))*(1-IF(AND(ArtifactsInput!$M$27,Inputs!$B$4="Chapter Hunt"),CHOOSE(ArtifactsInput!$N$27+1,20,24,28,32,36,40),0)/100)),0)</f>
        <v>3.7037037037037035E-2</v>
      </c>
      <c r="R388">
        <f>IF(AND(Inputs!$B$38&lt;&gt;"pvp",Inputs!$B$43&gt;0),IF(MAX(0,Inputs!$B$43-B416)&lt;=0,0,(INT(MAX(0,Inputs!$B$43-B416)/(IF(Inputs!$B$38="pvp",15,MAX(0.1,Skills!E10-IF(TRUE=TRUE,Inputs!$B$32,0)))*(1-IF(AND(ArtifactsInput!$M$27,Inputs!$B$4="Chapter Hunt"),CHOOSE(ArtifactsInput!$N$27+1,20,24,28,32,36,40),0)/100)))+1)),0)</f>
        <v>2</v>
      </c>
      <c r="S388">
        <f>IF(C388,(H388*N388*IF(AND(Inputs!$B$38&lt;&gt;"pvp",Inputs!$B$43&gt;0),((Skills!G10*((R388-1)*IF(Skills!H10&gt;0,Skills!I10/Skills!H10,1)+IF(Skills!H10&gt;0,MIN(Skills!I10,MAX(0,MAX(0,Inputs!$B$43-B416)-((R388-1)*(IF(Inputs!$B$38="pvp",15,MAX(0.1,Skills!E10-IF(TRUE=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286810968626722.31</v>
      </c>
      <c r="U388">
        <f>IF(C388,(H388*N388*IF(AND(Inputs!$B$38&lt;&gt;"pvp",Inputs!$B$43&gt;0),((Skills!G10*((R388-1)*IF(Skills!H10&gt;0,Skills!I10/Skills!H10,1)+IF(Skills!H10&gt;0,MIN(Skills!I10,MAX(0,MAX(0,Inputs!$B$43-B416)-((R388-1)*(IF(Inputs!$B$38="pvp",15,MAX(0.1,Skills!E10-IF(TRUE=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362811351480491</v>
      </c>
    </row>
    <row r="389" spans="1:21" x14ac:dyDescent="0.2">
      <c r="A389" t="str">
        <f>Skills!A11</f>
        <v>BURNING_MAGIC</v>
      </c>
      <c r="B389" t="str">
        <f>Skills!B11</f>
        <v>Burning Magic</v>
      </c>
      <c r="C389" t="b">
        <f>TRUE</f>
        <v>1</v>
      </c>
      <c r="D389">
        <f>IF(Skills!C11=1,60+Inputs!$B$25+Inputs!$B$29,IF(Skills!C11=2,90+Inputs!$B$26+Inputs!$B$29,IF(Skills!C11=3,120+Inputs!$B$27+Inputs!$B$29,MAX(0,(Inputs!$B$3-100)*3)+Inputs!$B$28+Inputs!$B$29)))</f>
        <v>184</v>
      </c>
      <c r="E389">
        <f>INDEX(FactorTable!$B$2:$Y$301, MATCH(ROUND(MIN(300,MAX(1,D389)),0), FactorTable!$A$2:$A$301,0), Skills!M11+1)</f>
        <v>0</v>
      </c>
      <c r="F389">
        <f>IF(Skills!N11=TRUE,(Skills!L11/10)*(E389/1000),Skills!L11/10)+Skills!O11</f>
        <v>5</v>
      </c>
      <c r="G389">
        <f>Calc!G11</f>
        <v>1</v>
      </c>
      <c r="H389">
        <f>Calc!H11</f>
        <v>1</v>
      </c>
      <c r="I389">
        <f>IF(Skills!X11&lt;&gt;"",1+(Skills!X11/10)*(Z381/1000)/100,1)</f>
        <v>1</v>
      </c>
      <c r="O389">
        <f>(1-Summary!$B$11)*S389+Summary!$B$11*U389</f>
        <v>0</v>
      </c>
      <c r="P389">
        <f>IF(B419=0,0,O389/B419)</f>
        <v>0</v>
      </c>
      <c r="Q389">
        <f>IFERROR(1/(IF(Inputs!$B$38="pvp",15,MAX(0.1,Skills!E11-IF(TRUE=TRUE,Inputs!$B$32,0)))*(1-IF(AND(ArtifactsInput!$M$27,Inputs!$B$4="Chapter Hunt"),CHOOSE(ArtifactsInput!$N$27+1,20,24,28,32,36,40),0)/100)),0)</f>
        <v>10</v>
      </c>
      <c r="R389">
        <v>0</v>
      </c>
      <c r="S389">
        <v>0</v>
      </c>
      <c r="U389">
        <v>0</v>
      </c>
    </row>
    <row r="390" spans="1:21" x14ac:dyDescent="0.2">
      <c r="A390" t="str">
        <f>Skills!A12</f>
        <v>ELEMENTAL_DECREASE</v>
      </c>
      <c r="B390" t="str">
        <f>Skills!B12</f>
        <v>Elemental Decrease</v>
      </c>
      <c r="C390" t="b">
        <f>TRUE</f>
        <v>1</v>
      </c>
      <c r="D390">
        <f>IF(Skills!C12=1,60+Inputs!$B$25+Inputs!$B$29,IF(Skills!C12=2,90+Inputs!$B$26+Inputs!$B$29,IF(Skills!C12=3,120+Inputs!$B$27+Inputs!$B$29,MAX(0,(Inputs!$B$3-100)*3)+Inputs!$B$28+Inputs!$B$29)))</f>
        <v>184</v>
      </c>
      <c r="E390">
        <f>INDEX(FactorTable!$B$2:$Y$301, MATCH(ROUND(MIN(300,MAX(1,D390)),0), FactorTable!$A$2:$A$301,0), Skills!M12+1)</f>
        <v>1552</v>
      </c>
      <c r="F390">
        <f>IF(Skills!N12=TRUE,(Skills!L12/10)*(E390/1000),Skills!L12/10)+Skills!O12</f>
        <v>18.624000000000002</v>
      </c>
      <c r="G390">
        <f>Calc!G12</f>
        <v>1</v>
      </c>
      <c r="H390">
        <f>Calc!H12</f>
        <v>0.5</v>
      </c>
      <c r="I390">
        <f>IF(Skills!X12&lt;&gt;"",1+(Skills!X12/10)*(Z381/1000)/100,1)</f>
        <v>1</v>
      </c>
      <c r="O390">
        <f>(1-Summary!$B$11)*S390+Summary!$B$11*U390</f>
        <v>0</v>
      </c>
      <c r="P390">
        <f>IF(B419=0,0,O390/B419)</f>
        <v>0</v>
      </c>
      <c r="Q390">
        <f>IFERROR(1/(IF(Inputs!$B$38="pvp",15,MAX(0.1,Skills!E12-IF(TRUE=TRUE,Inputs!$B$32,0)))*(1-IF(AND(ArtifactsInput!$M$27,Inputs!$B$4="Chapter Hunt"),CHOOSE(ArtifactsInput!$N$27+1,20,24,28,32,36,40),0)/100)),0)</f>
        <v>10</v>
      </c>
      <c r="R390">
        <v>0</v>
      </c>
      <c r="S390">
        <v>0</v>
      </c>
      <c r="U390">
        <v>0</v>
      </c>
    </row>
    <row r="391" spans="1:21" x14ac:dyDescent="0.2">
      <c r="A391" t="str">
        <f>Skills!A13</f>
        <v>METEOR_SHOWER_BURST</v>
      </c>
      <c r="B391" t="str">
        <f>Skills!B13</f>
        <v>Meteor Shower (burst)</v>
      </c>
      <c r="C391" t="b">
        <f>Inputs!$B$3&gt;=105</f>
        <v>1</v>
      </c>
      <c r="D391">
        <f>IF(Skills!C13=1,60+Inputs!$B$25+Inputs!$B$29,IF(Skills!C13=2,90+Inputs!$B$26+Inputs!$B$29,IF(Skills!C13=3,120+Inputs!$B$27+Inputs!$B$29,MAX(0,(Inputs!$B$3-100)*3)+Inputs!$B$28+Inputs!$B$29)))</f>
        <v>185</v>
      </c>
      <c r="E391">
        <f>INDEX(FactorTable!$B$2:$Y$301, MATCH(ROUND(MIN(300,MAX(1,D391)),0), FactorTable!$A$2:$A$301,0), Skills!M13+1)</f>
        <v>1925</v>
      </c>
      <c r="F391">
        <f>IF(Skills!N13=TRUE,(Skills!L13/10)*(E391/1000),Skills!L13/10)+Skills!O13</f>
        <v>1155</v>
      </c>
      <c r="G391">
        <f>Calc!G13</f>
        <v>9</v>
      </c>
      <c r="H391">
        <f>Calc!H13</f>
        <v>1</v>
      </c>
      <c r="I391">
        <f>IF(Skills!X13&lt;&gt;"",1+(Skills!X13/10)*(Z381/1000)/100,1)</f>
        <v>1</v>
      </c>
      <c r="J391">
        <f>((Inputs!$B$6*(1+Inputs!$B$7/100))+(((Inputs!$B$12*(1+Inputs!$B$13/100))-(Inputs!$B$12*(1+Inputs!$B$13/100)))+0.25*(Inputs!$B$14-Inputs!$B$14))*(1+Inputs!$B$7/100))*(F391/100)</f>
        <v>4171103722.0660505</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20958681306616.391</v>
      </c>
      <c r="L391">
        <f>K391*(MIN((Inputs!$B$22+1)+(F400-Calc!F22),(Inputs!$B$23+(IF(ArtifactsInput!$M$15,CHOOSE(ArtifactsInput!$N$15+1,25,30,35,40,45,50)/100*(Inputs!$B$11-Inputs!$B$11),0))))/100+(Inputs!$B$23+(IF(ArtifactsInput!$M$15,CHOOSE(ArtifactsInput!$N$15+1,25,30,35,40,45,50)/100*(Inputs!$B$11-Inputs!$B$11),0)))/100)/2</f>
        <v>69792408751032.586</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329350376896122.75</v>
      </c>
      <c r="N391">
        <f>L391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329350376896122.75</v>
      </c>
      <c r="O391">
        <f>(1-Summary!$B$11)*S391+Summary!$B$11*U391</f>
        <v>1796276955591453.5</v>
      </c>
      <c r="P391">
        <f>IF(B419=0,0,O391/B419)</f>
        <v>5.4208245204954375E-2</v>
      </c>
      <c r="Q391">
        <f>IFERROR(1/(IF(Inputs!$B$38="pvp",15,MAX(0.1,Skills!E13-IF(TRUE=TRUE,Inputs!$B$32,0)))*(1-IF(AND(ArtifactsInput!$M$27,Inputs!$B$4="Chapter Hunt"),CHOOSE(ArtifactsInput!$N$27+1,20,24,28,32,36,40),0)/100)),0)</f>
        <v>3.0303030303030304E-2</v>
      </c>
      <c r="R391">
        <f>IF(AND(Inputs!$B$38&lt;&gt;"pvp",Inputs!$B$43&gt;0),IF(MAX(0,Inputs!$B$43-B416)&lt;=0,0,(INT(MAX(0,Inputs!$B$43-B416)/(IF(Inputs!$B$38="pvp",15,MAX(0.1,Skills!E13-IF(TRUE=TRUE,Inputs!$B$32,0)))*(1-IF(AND(ArtifactsInput!$M$27,Inputs!$B$4="Chapter Hunt"),CHOOSE(ArtifactsInput!$N$27+1,20,24,28,32,36,40),0)/100)))+1)),0)</f>
        <v>2</v>
      </c>
      <c r="S391">
        <f>IF(C391,(H391*N391*IF(AND(Inputs!$B$38&lt;&gt;"pvp",Inputs!$B$43&gt;0),((Skills!G13*((R391-1)*IF(Skills!H13&gt;0,Skills!I13/Skills!H13,1)+IF(Skills!H13&gt;0,MIN(Skills!I13,MAX(0,MAX(0,Inputs!$B$43-B416)-((R391-1)*(IF(Inputs!$B$38="pvp",15,MAX(0.1,Skills!E13-IF(TRUE=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469818312642319.12</v>
      </c>
      <c r="U391">
        <f>IF(C391,(H391*N391*IF(AND(Inputs!$B$38&lt;&gt;"pvp",Inputs!$B$43&gt;0),((Skills!G13*((R391-1)*IF(Skills!H13&gt;0,Skills!I13/Skills!H13,1)+IF(Skills!H13&gt;0,MIN(Skills!I13,MAX(0,MAX(0,Inputs!$B$43-B416)-((R391-1)*(IF(Inputs!$B$38="pvp",15,MAX(0.1,Skills!E13-IF(TRUE=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3122735598540588</v>
      </c>
    </row>
    <row r="392" spans="1:21" x14ac:dyDescent="0.2">
      <c r="A392" t="str">
        <f>Skills!A14</f>
        <v>METEOR_PROC</v>
      </c>
      <c r="B392" t="str">
        <f>Skills!B14</f>
        <v>Meteor Proc (30% on-hit, 1s ICD)</v>
      </c>
      <c r="C392" t="b">
        <f>Inputs!$B$3&gt;=113</f>
        <v>1</v>
      </c>
      <c r="D392">
        <f>IF(Skills!C14=1,60+Inputs!$B$25+Inputs!$B$29,IF(Skills!C14=2,90+Inputs!$B$26+Inputs!$B$29,IF(Skills!C14=3,120+Inputs!$B$27+Inputs!$B$29,MAX(0,(Inputs!$B$3-100)*3)+Inputs!$B$28+Inputs!$B$29)))</f>
        <v>185</v>
      </c>
      <c r="E392">
        <f>INDEX(FactorTable!$B$2:$Y$301, MATCH(ROUND(MIN(300,MAX(1,D392)),0), FactorTable!$A$2:$A$301,0), Skills!M14+1)</f>
        <v>1740</v>
      </c>
      <c r="F392">
        <f>IF(Skills!N14=TRUE,(Skills!L14/10)*(E392/1000),Skills!L14/10)+Skills!O14</f>
        <v>1653</v>
      </c>
      <c r="G392">
        <f>Calc!G14</f>
        <v>0</v>
      </c>
      <c r="H392">
        <f>Calc!H14</f>
        <v>0.30000000000000004</v>
      </c>
      <c r="I392">
        <f>IF(Skills!X14&lt;&gt;"",1+(Skills!X14/10)*(Z381/1000)/100,1)</f>
        <v>1</v>
      </c>
      <c r="J392">
        <f>((Inputs!$B$6*(1+Inputs!$B$7/100))+(((Inputs!$B$12*(1+Inputs!$B$13/100))-(Inputs!$B$12*(1+Inputs!$B$13/100)))+0.25*(Inputs!$B$14-Inputs!$B$14))*(1+Inputs!$B$7/100))*(F392/100)</f>
        <v>5969553638.5932312</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29995411428430.203</v>
      </c>
      <c r="L392">
        <f>K392*(MIN((Inputs!$B$22+1)+(F400-Calc!F22),(Inputs!$B$23+(IF(ArtifactsInput!$M$15,CHOOSE(ArtifactsInput!$N$15+1,25,30,35,40,45,50)/100*(Inputs!$B$11-Inputs!$B$11),0))))/100+(Inputs!$B$23+(IF(ArtifactsInput!$M$15,CHOOSE(ArtifactsInput!$N$15+1,25,30,35,40,45,50)/100*(Inputs!$B$11-Inputs!$B$11),0)))/100)/2</f>
        <v>99884720056672.578</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471355993947437.81</v>
      </c>
      <c r="N392">
        <f>L392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471355993947437.81</v>
      </c>
      <c r="O392">
        <f>(1-Summary!$B$11)*S392+Summary!$B$11*U392</f>
        <v>461951818893600.25</v>
      </c>
      <c r="P392">
        <f>IF(B419=0,0,O392/B419)</f>
        <v>1.3940833229257569E-2</v>
      </c>
      <c r="Q392">
        <f>IFERROR(1/(IF(Inputs!$B$38="pvp",15,MAX(0.1,Skills!E14-IF(TRUE=TRUE,Inputs!$B$32,0)))*(1-IF(AND(ArtifactsInput!$M$27,Inputs!$B$4="Chapter Hunt"),CHOOSE(ArtifactsInput!$N$27+1,20,24,28,32,36,40),0)/100)),0)</f>
        <v>10</v>
      </c>
      <c r="R392">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473911736534858.56</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449991901252342</v>
      </c>
    </row>
    <row r="393" spans="1:21" x14ac:dyDescent="0.2">
      <c r="A393" t="str">
        <f>Skills!A15</f>
        <v>FLAME_HAZE_BURST</v>
      </c>
      <c r="B393" t="str">
        <f>Skills!B15</f>
        <v>Flame Haze (burst)</v>
      </c>
      <c r="C393" t="b">
        <f>Inputs!$B$3&gt;=107</f>
        <v>1</v>
      </c>
      <c r="D393">
        <f>IF(Skills!C15=1,60+Inputs!$B$25+Inputs!$B$29,IF(Skills!C15=2,90+Inputs!$B$26+Inputs!$B$29,IF(Skills!C15=3,120+Inputs!$B$27+Inputs!$B$29,MAX(0,(Inputs!$B$3-100)*3)+Inputs!$B$28+Inputs!$B$29)))</f>
        <v>185</v>
      </c>
      <c r="E393">
        <f>INDEX(FactorTable!$B$2:$Y$301, MATCH(ROUND(MIN(300,MAX(1,D393)),0), FactorTable!$A$2:$A$301,0), Skills!M15+1)</f>
        <v>1925</v>
      </c>
      <c r="F393">
        <f>IF(Skills!N15=TRUE,(Skills!L15/10)*(E393/1000),Skills!L15/10)+Skills!O15</f>
        <v>2310</v>
      </c>
      <c r="G393">
        <f>Calc!G15</f>
        <v>3</v>
      </c>
      <c r="H393">
        <f>Calc!H15</f>
        <v>1</v>
      </c>
      <c r="I393">
        <f>IF(Skills!X15&lt;&gt;"",1+(Skills!X15/10)*(Z381/1000)/100,1)</f>
        <v>1</v>
      </c>
      <c r="J393">
        <f>((Inputs!$B$6*(1+Inputs!$B$7/100))+(((Inputs!$B$12*(1+Inputs!$B$13/100))-(Inputs!$B$12*(1+Inputs!$B$13/100)))+0.25*(Inputs!$B$14-Inputs!$B$14))*(1+Inputs!$B$7/100))*(F393/100)</f>
        <v>8342207444.1321011</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41917362613232.781</v>
      </c>
      <c r="L393">
        <f>K393*(MIN((Inputs!$B$22+1)+(F400-Calc!F22),(Inputs!$B$23+(IF(ArtifactsInput!$M$15,CHOOSE(ArtifactsInput!$N$15+1,25,30,35,40,45,50)/100*(Inputs!$B$11-Inputs!$B$11),0))))/100+(Inputs!$B$23+(IF(ArtifactsInput!$M$15,CHOOSE(ArtifactsInput!$N$15+1,25,30,35,40,45,50)/100*(Inputs!$B$11-Inputs!$B$11),0)))/100)/2</f>
        <v>139584817502065.17</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658700753792245.5</v>
      </c>
      <c r="N393">
        <f>L393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658700753792245.5</v>
      </c>
      <c r="O393">
        <f>(1-Summary!$B$11)*S393+Summary!$B$11*U393</f>
        <v>1643623055900100.5</v>
      </c>
      <c r="P393">
        <f>IF(B419=0,0,O393/B419)</f>
        <v>4.9601438888031681E-2</v>
      </c>
      <c r="Q393">
        <f>IFERROR(1/(IF(Inputs!$B$38="pvp",15,MAX(0.1,Skills!E15-IF(TRUE=TRUE,Inputs!$B$32,0)))*(1-IF(AND(ArtifactsInput!$M$27,Inputs!$B$4="Chapter Hunt"),CHOOSE(ArtifactsInput!$N$27+1,20,24,28,32,36,40),0)/100)),0)</f>
        <v>0.04</v>
      </c>
      <c r="R393">
        <f>IF(AND(Inputs!$B$38&lt;&gt;"pvp",Inputs!$B$43&gt;0),IF(MAX(0,Inputs!$B$43-B416)&lt;=0,0,(INT(MAX(0,Inputs!$B$43-B416)/(IF(Inputs!$B$38="pvp",15,MAX(0.1,Skills!E15-IF(TRUE=TRUE,Inputs!$B$32,0)))*(1-IF(AND(ArtifactsInput!$M$27,Inputs!$B$4="Chapter Hunt"),CHOOSE(ArtifactsInput!$N$27+1,20,24,28,32,36,40),0)/100)))+1)),0)</f>
        <v>2</v>
      </c>
      <c r="S393">
        <f>IF(C393,(H393*N393*IF(AND(Inputs!$B$38&lt;&gt;"pvp",Inputs!$B$43&gt;0),((Skills!G15*((R393-1)*IF(Skills!H15&gt;0,Skills!I15/Skills!H15,1)+IF(Skills!H15&gt;0,MIN(Skills!I15,MAX(0,MAX(0,Inputs!$B$43-B416)-((R393-1)*(IF(Inputs!$B$38="pvp",15,MAX(0.1,Skills!E15-IF(TRUE=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313212208428212.75</v>
      </c>
      <c r="U393">
        <f>IF(C393,(H393*N393*IF(AND(Inputs!$B$38&lt;&gt;"pvp",Inputs!$B$43&gt;0),((Skills!G15*((R393-1)*IF(Skills!H15&gt;0,Skills!I15/Skills!H15,1)+IF(Skills!H15&gt;0,MIN(Skills!I15,MAX(0,MAX(0,Inputs!$B$43-B416)-((R393-1)*(IF(Inputs!$B$38="pvp",15,MAX(0.1,Skills!E15-IF(TRUE=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2974033903371988.5</v>
      </c>
    </row>
    <row r="394" spans="1:21" x14ac:dyDescent="0.2">
      <c r="A394" t="str">
        <f>Skills!A16</f>
        <v>FLAME_HAZE_DOT</v>
      </c>
      <c r="B394" t="str">
        <f>Skills!B16</f>
        <v>Flame Haze (burn DoT)</v>
      </c>
      <c r="C394" t="b">
        <f>Inputs!$B$3&gt;=107</f>
        <v>1</v>
      </c>
      <c r="D394">
        <f>IF(Skills!C16=1,60+Inputs!$B$25+Inputs!$B$29,IF(Skills!C16=2,90+Inputs!$B$26+Inputs!$B$29,IF(Skills!C16=3,120+Inputs!$B$27+Inputs!$B$29,MAX(0,(Inputs!$B$3-100)*3)+Inputs!$B$28+Inputs!$B$29)))</f>
        <v>185</v>
      </c>
      <c r="E394">
        <f>INDEX(FactorTable!$B$2:$Y$301, MATCH(ROUND(MIN(300,MAX(1,D394)),0), FactorTable!$A$2:$A$301,0), Skills!M16+1)</f>
        <v>1925</v>
      </c>
      <c r="F394">
        <f>IF(Skills!N16=TRUE,(Skills!L16/10)*(E394/1000),Skills!L16/10)+Skills!O16</f>
        <v>288.75</v>
      </c>
      <c r="G394">
        <f>Calc!G16</f>
        <v>30</v>
      </c>
      <c r="H394">
        <f>Calc!H16</f>
        <v>1</v>
      </c>
      <c r="I394">
        <f>IF(Skills!X16&lt;&gt;"",1+(Skills!X16/10)*(Z381/1000)/100,1)</f>
        <v>1</v>
      </c>
      <c r="J394">
        <f>((Inputs!$B$6*(1+Inputs!$B$7/100))+(((Inputs!$B$12*(1+Inputs!$B$13/100))-(Inputs!$B$12*(1+Inputs!$B$13/100)))+0.25*(Inputs!$B$14-Inputs!$B$14))*(1+Inputs!$B$7/100))*(F394/100)</f>
        <v>1042775930.5165126</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5239670326654.0977</v>
      </c>
      <c r="L394">
        <f>K394*(MIN((Inputs!$B$22+1)+(F400-Calc!F22),(Inputs!$B$23+(IF(ArtifactsInput!$M$15,CHOOSE(ArtifactsInput!$N$15+1,25,30,35,40,45,50)/100*(Inputs!$B$11-Inputs!$B$11),0))))/100+(Inputs!$B$23+(IF(ArtifactsInput!$M$15,CHOOSE(ArtifactsInput!$N$15+1,25,30,35,40,45,50)/100*(Inputs!$B$11-Inputs!$B$11),0)))/100)/2</f>
        <v>17448102187758.146</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82337594224030.688</v>
      </c>
      <c r="N394">
        <f>L394*(1-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82337594224030.688</v>
      </c>
      <c r="O394">
        <f>(1-Summary!$B$11)*S394+Summary!$B$11*U394</f>
        <v>1893227611990280.8</v>
      </c>
      <c r="P394">
        <f>IF(B419=0,0,O394/B419)</f>
        <v>5.7134032867313174E-2</v>
      </c>
      <c r="Q394">
        <f>IFERROR(1/(IF(Inputs!$B$38="pvp",15,MAX(0.1,Skills!E16-IF(TRUE=TRUE,Inputs!$B$32,0)))*(1-IF(AND(ArtifactsInput!$M$27,Inputs!$B$4="Chapter Hunt"),CHOOSE(ArtifactsInput!$N$27+1,20,24,28,32,36,40),0)/100)),0)</f>
        <v>0.04</v>
      </c>
      <c r="R394">
        <f>IF(AND(Inputs!$B$38&lt;&gt;"pvp",Inputs!$B$43&gt;0),IF(MAX(0,Inputs!$B$43-B416)&lt;=0,0,(INT(MAX(0,Inputs!$B$43-B416)/(IF(Inputs!$B$38="pvp",15,MAX(0.1,Skills!E16-IF(TRUE=TRUE,Inputs!$B$32,0)))*(1-IF(AND(ArtifactsInput!$M$27,Inputs!$B$4="Chapter Hunt"),CHOOSE(ArtifactsInput!$N$27+1,20,24,28,32,36,40),0)/100)))+1)),0)</f>
        <v>2</v>
      </c>
      <c r="S394">
        <f>IF(C394,(H394*N394*IF(AND(Inputs!$B$38&lt;&gt;"pvp",Inputs!$B$43&gt;0),((Skills!G16*((R394-1)*IF(Skills!H16&gt;0,Skills!I16/Skills!H16,1)+IF(Skills!H16&gt;0,MIN(Skills!I16,MAX(0,MAX(0,Inputs!$B$43-B416)-((R394-1)*(IF(Inputs!$B$38="pvp",15,MAX(0.1,Skills!E16-IF(TRUE=TRUE,Inputs!$B$32,0)))*(1-IF(AND(ArtifactsInput!$M$27,Inputs!$B$4="Chapter Hunt"),CHOOSE(ArtifactsInput!$N$27+1,20,24,28,32,36,40),0)/100)))))/Skills!H16,1)))/Inputs!$B$43),G394*Q394)*(1+IF(Inputs!$B$3&gt;=126,0.05*(B414+Q391+(H392*B415)/(1+Skills!H14*H392*B415)+Q402),0)*(1/Q393)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360777368801273.81</v>
      </c>
      <c r="U394">
        <f>IF(C394,(H394*N394*IF(AND(Inputs!$B$38&lt;&gt;"pvp",Inputs!$B$43&gt;0),((Skills!G16*((R394-1)*IF(Skills!H16&gt;0,Skills!I16/Skills!H16,1)+IF(Skills!H16&gt;0,MIN(Skills!I16,MAX(0,MAX(0,Inputs!$B$43-B416)-((R394-1)*(IF(Inputs!$B$38="pvp",15,MAX(0.1,Skills!E16-IF(TRUE=TRUE,Inputs!$B$32,0)))*(1-IF(AND(ArtifactsInput!$M$27,Inputs!$B$4="Chapter Hunt"),CHOOSE(ArtifactsInput!$N$27+1,20,24,28,32,36,40),0)/100)))))/Skills!H16,1)))/Inputs!$B$43),G394*Q394)*(1+IF(Inputs!$B$3&gt;=126,0.05*(B414+Q391+(H392*B415)/(1+Skills!H14*H392*B415)+Q402),0)*(1/Q393)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3425677855179287.5</v>
      </c>
    </row>
    <row r="395" spans="1:21" x14ac:dyDescent="0.2">
      <c r="A395" t="str">
        <f>Skills!A17</f>
        <v>MAGIC_GUARD</v>
      </c>
      <c r="B395" t="str">
        <f>Skills!B17</f>
        <v>Magic Guard</v>
      </c>
      <c r="C395" t="b">
        <f>TRUE</f>
        <v>1</v>
      </c>
      <c r="D395">
        <f>IF(Skills!C17=1,60+Inputs!$B$25+Inputs!$B$29,IF(Skills!C17=2,90+Inputs!$B$26+Inputs!$B$29,IF(Skills!C17=3,120+Inputs!$B$27+Inputs!$B$29,MAX(0,(Inputs!$B$3-100)*3)+Inputs!$B$28+Inputs!$B$29)))</f>
        <v>127</v>
      </c>
      <c r="E395">
        <f>INDEX(FactorTable!$B$2:$Y$301, MATCH(ROUND(MIN(300,MAX(1,D395)),0), FactorTable!$A$2:$A$301,0), Skills!M17+1)</f>
        <v>1508</v>
      </c>
      <c r="F395">
        <f>IF(Skills!N17=TRUE,(Skills!L17/10)*(E395/1000),Skills!L17/10)+Skills!O17</f>
        <v>18.096</v>
      </c>
      <c r="G395">
        <f>Calc!G17</f>
        <v>1</v>
      </c>
      <c r="H395">
        <f>Calc!H17</f>
        <v>1</v>
      </c>
      <c r="I395">
        <f>IF(Skills!X17&lt;&gt;"",1+(Skills!X17/10)*(Z381/1000)/100,1)</f>
        <v>1</v>
      </c>
      <c r="O395">
        <f>(1-Summary!$B$11)*S395+Summary!$B$11*U395</f>
        <v>0</v>
      </c>
      <c r="P395">
        <f>IF(B419=0,0,O395/B419)</f>
        <v>0</v>
      </c>
      <c r="Q395">
        <f>IFERROR(1/(IF(Inputs!$B$38="pvp",15,MAX(0.1,Skills!E17-IF(TRUE=TRUE,Inputs!$B$32,0)))*(1-IF(AND(ArtifactsInput!$M$27,Inputs!$B$4="Chapter Hunt"),CHOOSE(ArtifactsInput!$N$27+1,20,24,28,32,36,40),0)/100)),0)</f>
        <v>4.7619047619047616E-2</v>
      </c>
      <c r="R395">
        <f>IF(AND(Inputs!$B$38&lt;&gt;"pvp",Inputs!$B$43&gt;0),IF(Inputs!$B$43&lt;=0,0,(INT(Inputs!$B$43/(IF(Inputs!$B$38="pvp",15,MAX(0.1,Skills!E17-IF(TRUE=TRUE,Inputs!$B$32,0)))*(1-IF(AND(ArtifactsInput!$M$27,Inputs!$B$4="Chapter Hunt"),CHOOSE(ArtifactsInput!$N$27+1,20,24,28,32,36,40),0)/100)))+1)),0)</f>
        <v>2</v>
      </c>
      <c r="S395">
        <v>0</v>
      </c>
      <c r="U395">
        <v>0</v>
      </c>
    </row>
    <row r="396" spans="1:21" x14ac:dyDescent="0.2">
      <c r="A396" t="str">
        <f>Skills!A18</f>
        <v>NIMBLE_FEET</v>
      </c>
      <c r="B396" t="str">
        <f>Skills!B18</f>
        <v>Nimble Feet</v>
      </c>
      <c r="C396" t="b">
        <f>TRUE</f>
        <v>1</v>
      </c>
      <c r="D396">
        <f>IF(Skills!C18=1,60+Inputs!$B$25+Inputs!$B$29,IF(Skills!C18=2,90+Inputs!$B$26+Inputs!$B$29,IF(Skills!C18=3,120+Inputs!$B$27+Inputs!$B$29,MAX(0,(Inputs!$B$3-100)*3)+Inputs!$B$28+Inputs!$B$29)))</f>
        <v>127</v>
      </c>
      <c r="E396">
        <f>INDEX(FactorTable!$B$2:$Y$301, MATCH(ROUND(MIN(300,MAX(1,D396)),0), FactorTable!$A$2:$A$301,0), Skills!M18+1)</f>
        <v>0</v>
      </c>
      <c r="F396">
        <f>IF(Skills!N18=TRUE,(Skills!L18/10)*(E396/1000),Skills!L18/10)+Skills!O18</f>
        <v>15</v>
      </c>
      <c r="G396">
        <f>Calc!G18</f>
        <v>1</v>
      </c>
      <c r="H396">
        <f>Calc!H18</f>
        <v>1</v>
      </c>
      <c r="I396">
        <f>IF(Skills!X18&lt;&gt;"",1+(Skills!X18/10)*(Z381/1000)/100,1)</f>
        <v>1</v>
      </c>
      <c r="O396">
        <f>(1-Summary!$B$11)*S396+Summary!$B$11*U396</f>
        <v>0</v>
      </c>
      <c r="P396">
        <f>IF(B419=0,0,O396/B419)</f>
        <v>0</v>
      </c>
      <c r="Q396">
        <f>IFERROR(1/(IF(Inputs!$B$38="pvp",15,MAX(0.1,Skills!E18-IF(TRUE=TRUE,Inputs!$B$32,0)))*(1-IF(AND(ArtifactsInput!$M$27,Inputs!$B$4="Chapter Hunt"),CHOOSE(ArtifactsInput!$N$27+1,20,24,28,32,36,40),0)/100)),0)</f>
        <v>1.6666666666666666E-2</v>
      </c>
      <c r="R396">
        <f>IF(AND(Inputs!$B$38&lt;&gt;"pvp",Inputs!$B$43&gt;0),IF(Inputs!$B$43&lt;=0,0,(INT(Inputs!$B$43/(IF(Inputs!$B$38="pvp",15,MAX(0.1,Skills!E18-IF(TRUE=TRUE,Inputs!$B$32,0)))*(1-IF(AND(ArtifactsInput!$M$27,Inputs!$B$4="Chapter Hunt"),CHOOSE(ArtifactsInput!$N$27+1,20,24,28,32,36,40),0)/100)))+1)),0)</f>
        <v>1</v>
      </c>
      <c r="S396">
        <v>0</v>
      </c>
      <c r="U396">
        <v>0</v>
      </c>
    </row>
    <row r="397" spans="1:21" x14ac:dyDescent="0.2">
      <c r="A397" t="str">
        <f>Skills!A19</f>
        <v>INFINITY</v>
      </c>
      <c r="B397" t="str">
        <f>Skills!B19</f>
        <v>Infinity</v>
      </c>
      <c r="C397" t="b">
        <f>Inputs!$B$3&gt;=110</f>
        <v>1</v>
      </c>
      <c r="D397">
        <f>IF(Skills!C19=1,60+Inputs!$B$25+Inputs!$B$29,IF(Skills!C19=2,90+Inputs!$B$26+Inputs!$B$29,IF(Skills!C19=3,120+Inputs!$B$27+Inputs!$B$29,MAX(0,(Inputs!$B$3-100)*3)+Inputs!$B$28+Inputs!$B$29)))</f>
        <v>185</v>
      </c>
      <c r="E397">
        <f>INDEX(FactorTable!$B$2:$Y$301, MATCH(ROUND(MIN(300,MAX(1,D397)),0), FactorTable!$A$2:$A$301,0), Skills!M19+1)</f>
        <v>1740</v>
      </c>
      <c r="F397">
        <f>IF(Skills!N19=TRUE,(Skills!L19/10)*(E397/1000),Skills!L19/10)+Skills!O19</f>
        <v>37.700579999999995</v>
      </c>
      <c r="G397">
        <f>Calc!G19</f>
        <v>1</v>
      </c>
      <c r="H397">
        <f>Calc!H19</f>
        <v>1</v>
      </c>
      <c r="I397">
        <f>IF(Skills!X19&lt;&gt;"",1+(Skills!X19/10)*(Z381/1000)/100,1)</f>
        <v>1</v>
      </c>
      <c r="O397">
        <f>(1-Summary!$B$11)*S397+Summary!$B$11*U397</f>
        <v>0</v>
      </c>
      <c r="P397">
        <f>IF(B419=0,0,O397/B419)</f>
        <v>0</v>
      </c>
      <c r="Q397">
        <f>IFERROR(1/(IF(Inputs!$B$38="pvp",15,MAX(0.1,Skills!E19-IF(TRUE=TRUE,Inputs!$B$32,0)))*(1-IF(AND(ArtifactsInput!$M$27,Inputs!$B$4="Chapter Hunt"),CHOOSE(ArtifactsInput!$N$27+1,20,24,28,32,36,40),0)/100)),0)</f>
        <v>3.3333333333333333E-2</v>
      </c>
      <c r="R397">
        <f>IF(AND(Inputs!$B$38&lt;&gt;"pvp",Inputs!$B$43&gt;0),IF(Inputs!$B$43&lt;=0,0,(INT(Inputs!$B$43/(IF(Inputs!$B$38="pvp",15,MAX(0.1,Skills!E19-IF(TRUE=TRUE,Inputs!$B$32,0)))*(1-IF(AND(ArtifactsInput!$M$27,Inputs!$B$4="Chapter Hunt"),CHOOSE(ArtifactsInput!$N$27+1,20,24,28,32,36,40),0)/100)))+1)),0)</f>
        <v>2</v>
      </c>
      <c r="S397">
        <v>0</v>
      </c>
      <c r="U397">
        <v>0</v>
      </c>
    </row>
    <row r="398" spans="1:21" x14ac:dyDescent="0.2">
      <c r="A398" t="str">
        <f>Skills!A20</f>
        <v>MAGIC_CRITICAL_RATE</v>
      </c>
      <c r="B398" t="str">
        <f>Skills!B20</f>
        <v>Magic Critical (Crit Rate)</v>
      </c>
      <c r="C398" t="b">
        <f>TRUE</f>
        <v>1</v>
      </c>
      <c r="D398">
        <f>IF(Skills!C20=1,60+Inputs!$B$25+Inputs!$B$29,IF(Skills!C20=2,90+Inputs!$B$26+Inputs!$B$29,IF(Skills!C20=3,120+Inputs!$B$27+Inputs!$B$29,MAX(0,(Inputs!$B$3-100)*3)+Inputs!$B$28+Inputs!$B$29)))</f>
        <v>184</v>
      </c>
      <c r="E398">
        <f>INDEX(FactorTable!$B$2:$Y$301, MATCH(ROUND(MIN(300,MAX(1,D398)),0), FactorTable!$A$2:$A$301,0), Skills!M20+1)</f>
        <v>1552</v>
      </c>
      <c r="F398">
        <f>IF(Skills!N20=TRUE,(Skills!L20/10)*(E398/1000),Skills!L20/10)+Skills!O20</f>
        <v>12.416</v>
      </c>
      <c r="G398">
        <f>Calc!G20</f>
        <v>1</v>
      </c>
      <c r="H398">
        <f>Calc!H20</f>
        <v>1</v>
      </c>
      <c r="I398">
        <f>IF(Skills!X20&lt;&gt;"",1+(Skills!X20/10)*(Z381/1000)/100,1)</f>
        <v>1</v>
      </c>
      <c r="O398">
        <f>(1-Summary!$B$11)*S398+Summary!$B$11*U398</f>
        <v>0</v>
      </c>
      <c r="P398">
        <f>IF(B419=0,0,O398/B419)</f>
        <v>0</v>
      </c>
      <c r="Q398">
        <f>IFERROR(1/(IF(Inputs!$B$38="pvp",15,MAX(0.1,Skills!E20-IF(TRUE=TRUE,Inputs!$B$32,0)))*(1-IF(AND(ArtifactsInput!$M$27,Inputs!$B$4="Chapter Hunt"),CHOOSE(ArtifactsInput!$N$27+1,20,24,28,32,36,40),0)/100)),0)</f>
        <v>10</v>
      </c>
      <c r="R398">
        <v>0</v>
      </c>
      <c r="S398">
        <v>0</v>
      </c>
      <c r="U398">
        <v>0</v>
      </c>
    </row>
    <row r="399" spans="1:21" x14ac:dyDescent="0.2">
      <c r="A399" t="str">
        <f>Skills!A21</f>
        <v>MAGIC_CRITICAL_DAMAGE</v>
      </c>
      <c r="B399" t="str">
        <f>Skills!B21</f>
        <v>Magic Critical (Crit Damage)</v>
      </c>
      <c r="C399" t="b">
        <f>TRUE</f>
        <v>1</v>
      </c>
      <c r="D399">
        <f>IF(Skills!C21=1,60+Inputs!$B$25+Inputs!$B$29,IF(Skills!C21=2,90+Inputs!$B$26+Inputs!$B$29,IF(Skills!C21=3,120+Inputs!$B$27+Inputs!$B$29,MAX(0,(Inputs!$B$3-100)*3)+Inputs!$B$28+Inputs!$B$29)))</f>
        <v>184</v>
      </c>
      <c r="E399">
        <f>INDEX(FactorTable!$B$2:$Y$301, MATCH(ROUND(MIN(300,MAX(1,D399)),0), FactorTable!$A$2:$A$301,0), Skills!M21+1)</f>
        <v>1552</v>
      </c>
      <c r="F399">
        <f>IF(Skills!N21=TRUE,(Skills!L21/10)*(E399/1000),Skills!L21/10)+Skills!O21</f>
        <v>18.624000000000002</v>
      </c>
      <c r="G399">
        <f>Calc!G21</f>
        <v>1</v>
      </c>
      <c r="H399">
        <f>Calc!H21</f>
        <v>1</v>
      </c>
      <c r="I399">
        <f>IF(Skills!X21&lt;&gt;"",1+(Skills!X21/10)*(Z381/1000)/100,1)</f>
        <v>1</v>
      </c>
      <c r="O399">
        <f>(1-Summary!$B$11)*S399+Summary!$B$11*U399</f>
        <v>0</v>
      </c>
      <c r="P399">
        <f>IF(B419=0,0,O399/B419)</f>
        <v>0</v>
      </c>
      <c r="Q399">
        <f>IFERROR(1/(IF(Inputs!$B$38="pvp",15,MAX(0.1,Skills!E21-IF(TRUE=TRUE,Inputs!$B$32,0)))*(1-IF(AND(ArtifactsInput!$M$27,Inputs!$B$4="Chapter Hunt"),CHOOSE(ArtifactsInput!$N$27+1,20,24,28,32,36,40),0)/100)),0)</f>
        <v>10</v>
      </c>
      <c r="R399">
        <v>0</v>
      </c>
      <c r="S399">
        <v>0</v>
      </c>
      <c r="U399">
        <v>0</v>
      </c>
    </row>
    <row r="400" spans="1:21" x14ac:dyDescent="0.2">
      <c r="A400" t="str">
        <f>Skills!A22</f>
        <v>SPELL_MASTERY</v>
      </c>
      <c r="B400" t="str">
        <f>Skills!B22</f>
        <v>Spell Mastery</v>
      </c>
      <c r="C400" t="b">
        <f>TRUE</f>
        <v>1</v>
      </c>
      <c r="D400">
        <f>IF(Skills!C22=1,60+Inputs!$B$25+Inputs!$B$29,IF(Skills!C22=2,90+Inputs!$B$26+Inputs!$B$29,IF(Skills!C22=3,120+Inputs!$B$27+Inputs!$B$29,MAX(0,(Inputs!$B$3-100)*3)+Inputs!$B$28+Inputs!$B$29)))</f>
        <v>168</v>
      </c>
      <c r="E400">
        <f>INDEX(FactorTable!$B$2:$Y$301, MATCH(ROUND(MIN(300,MAX(1,D400)),0), FactorTable!$A$2:$A$301,0), Skills!M22+1)</f>
        <v>1504</v>
      </c>
      <c r="F400">
        <f>IF(Skills!N22=TRUE,(Skills!L22/10)*(E400/1000),Skills!L22/10)+Skills!O22</f>
        <v>22.56</v>
      </c>
      <c r="G400">
        <f>Calc!G22</f>
        <v>1</v>
      </c>
      <c r="H400">
        <f>Calc!H22</f>
        <v>1</v>
      </c>
      <c r="I400">
        <f>IF(Skills!X22&lt;&gt;"",1+(Skills!X22/10)*(Z381/1000)/100,1)</f>
        <v>1</v>
      </c>
      <c r="O400">
        <f>(1-Summary!$B$11)*S400+Summary!$B$11*U400</f>
        <v>0</v>
      </c>
      <c r="P400">
        <f>IF(B419=0,0,O400/B419)</f>
        <v>0</v>
      </c>
      <c r="Q400">
        <f>IFERROR(1/(IF(Inputs!$B$38="pvp",15,MAX(0.1,Skills!E22-IF(TRUE=TRUE,Inputs!$B$32,0)))*(1-IF(AND(ArtifactsInput!$M$27,Inputs!$B$4="Chapter Hunt"),CHOOSE(ArtifactsInput!$N$27+1,20,24,28,32,36,40),0)/100)),0)</f>
        <v>10</v>
      </c>
      <c r="R400">
        <v>0</v>
      </c>
      <c r="S400">
        <v>0</v>
      </c>
      <c r="U400">
        <v>0</v>
      </c>
    </row>
    <row r="401" spans="1:21" x14ac:dyDescent="0.2">
      <c r="A401" t="str">
        <f>Skills!A23</f>
        <v>ELEMENT_AMPLIFICATION</v>
      </c>
      <c r="B401" t="str">
        <f>Skills!B23</f>
        <v>Element Amplification</v>
      </c>
      <c r="C401" t="b">
        <f>TRUE</f>
        <v>1</v>
      </c>
      <c r="D401">
        <f>IF(Skills!C23=1,60+Inputs!$B$25+Inputs!$B$29,IF(Skills!C23=2,90+Inputs!$B$26+Inputs!$B$29,IF(Skills!C23=3,120+Inputs!$B$27+Inputs!$B$29,MAX(0,(Inputs!$B$3-100)*3)+Inputs!$B$28+Inputs!$B$29)))</f>
        <v>185</v>
      </c>
      <c r="E401">
        <f>INDEX(FactorTable!$B$2:$Y$301, MATCH(ROUND(MIN(300,MAX(1,D401)),0), FactorTable!$A$2:$A$301,0), Skills!M23+1)</f>
        <v>1555</v>
      </c>
      <c r="F401">
        <f>IF(Skills!N23=TRUE,(Skills!L23/10)*(E401/1000),Skills!L23/10)+Skills!O23</f>
        <v>23.324999999999999</v>
      </c>
      <c r="G401">
        <f>Calc!G23</f>
        <v>1</v>
      </c>
      <c r="H401">
        <f>Calc!H23</f>
        <v>1</v>
      </c>
      <c r="I401">
        <f>IF(Skills!X23&lt;&gt;"",1+(Skills!X23/10)*(Z381/1000)/100,1)</f>
        <v>1</v>
      </c>
      <c r="O401">
        <f>(1-Summary!$B$11)*S401+Summary!$B$11*U401</f>
        <v>0</v>
      </c>
      <c r="P401">
        <f>IF(B419=0,0,O401/B419)</f>
        <v>0</v>
      </c>
      <c r="Q401">
        <f>IFERROR(1/(IF(Inputs!$B$38="pvp",15,MAX(0.1,Skills!E23-IF(TRUE=TRUE,Inputs!$B$32,0)))*(1-IF(AND(ArtifactsInput!$M$27,Inputs!$B$4="Chapter Hunt"),CHOOSE(ArtifactsInput!$N$27+1,20,24,28,32,36,40),0)/100)),0)</f>
        <v>10</v>
      </c>
      <c r="R401">
        <v>0</v>
      </c>
      <c r="S401">
        <v>0</v>
      </c>
      <c r="U401">
        <v>0</v>
      </c>
    </row>
    <row r="402" spans="1:21" x14ac:dyDescent="0.2">
      <c r="A402" t="str">
        <f>Skills!A24</f>
        <v>IFRIT</v>
      </c>
      <c r="B402" t="str">
        <f>Skills!B24</f>
        <v>Ifrit</v>
      </c>
      <c r="C402" t="b">
        <f>Inputs!$B$3&gt;=115</f>
        <v>1</v>
      </c>
      <c r="D402">
        <f>IF(Skills!C24=1,60+Inputs!$B$25+Inputs!$B$29,IF(Skills!C24=2,90+Inputs!$B$26+Inputs!$B$29,IF(Skills!C24=3,120+Inputs!$B$27+Inputs!$B$29,MAX(0,(Inputs!$B$3-100)*3)+Inputs!$B$28+Inputs!$B$29)))</f>
        <v>185</v>
      </c>
      <c r="E402">
        <f>INDEX(FactorTable!$B$2:$Y$301, MATCH(ROUND(MIN(300,MAX(1,D402)),0), FactorTable!$A$2:$A$301,0), Skills!M24+1)</f>
        <v>1925</v>
      </c>
      <c r="F402">
        <f>IF(Skills!N24=TRUE,(Skills!L24/10)*(E402/1000),Skills!L24/10)+Skills!O24</f>
        <v>6737.5</v>
      </c>
      <c r="G402">
        <f>Calc!G24</f>
        <v>7.5</v>
      </c>
      <c r="H402">
        <f>Calc!H24</f>
        <v>1</v>
      </c>
      <c r="I402">
        <f>IF(Skills!X24&lt;&gt;"",1+(Skills!X24/10)*(Z381/1000)/100,1)</f>
        <v>1</v>
      </c>
      <c r="J402">
        <f>((Inputs!$B$6*(1+Inputs!$B$7/100))+(((Inputs!$B$12*(1+Inputs!$B$13/100))-(Inputs!$B$12*(1+Inputs!$B$13/100)))+0.25*(Inputs!$B$14-Inputs!$B$14))*(1+Inputs!$B$7/100))*(F402/100)</f>
        <v>24331438378.718628</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122258974288595.61</v>
      </c>
      <c r="L402">
        <f>K402*(MIN((Inputs!$B$22+1)+(F400-Calc!F22),(Inputs!$B$23+(IF(ArtifactsInput!$M$15,CHOOSE(ArtifactsInput!$N$15+1,25,30,35,40,45,50)/100*(Inputs!$B$11-Inputs!$B$11),0))))/100+(Inputs!$B$23+(IF(ArtifactsInput!$M$15,CHOOSE(ArtifactsInput!$N$15+1,25,30,35,40,45,50)/100*(Inputs!$B$11-Inputs!$B$11),0)))/100)/2</f>
        <v>407122384381023.38</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1921210531894049</v>
      </c>
      <c r="N402">
        <f>L402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1921210531894049</v>
      </c>
      <c r="O402">
        <f>(1-Summary!$B$11)*S402+Summary!$B$11*U402</f>
        <v>2197384545853818.5</v>
      </c>
      <c r="P402">
        <f>IF(B419=0,0,O402/B419)</f>
        <v>6.6312914553869617E-2</v>
      </c>
      <c r="Q402">
        <f>IFERROR(1/(IF(Inputs!$B$38="pvp",15,MAX(0.1,Skills!E24-IF(TRUE=TRUE,Inputs!$B$32,0)))*(1-IF(AND(ArtifactsInput!$M$27,Inputs!$B$4="Chapter Hunt"),CHOOSE(ArtifactsInput!$N$27+1,20,24,28,32,36,40),0)/100)),0)</f>
        <v>1.2500000000000001E-2</v>
      </c>
      <c r="R402">
        <f>IF(AND(Inputs!$B$38&lt;&gt;"pvp",Inputs!$B$43&gt;0),IF(MAX(0,Inputs!$B$43-B416)&lt;=0,0,(INT(MAX(0,Inputs!$B$43-B416)/(IF(Inputs!$B$38="pvp",15,MAX(0.1,Skills!E24-IF(TRUE=TRUE,Inputs!$B$32,0)))*(1-IF(AND(ArtifactsInput!$M$27,Inputs!$B$4="Chapter Hunt"),CHOOSE(ArtifactsInput!$N$27+1,20,24,28,32,36,40),0)/100)))+1)),0)</f>
        <v>1</v>
      </c>
      <c r="S402">
        <f>IF(C402,(H402*N402*IF(AND(Inputs!$B$38&lt;&gt;"pvp",Inputs!$B$43&gt;0),((Skills!G24*((R402-1)*IF(Skills!H24&gt;0,Skills!I24/Skills!H24,1)+IF(Skills!H24&gt;0,MIN(Skills!I24,MAX(0,MAX(0,Inputs!$B$43-B416)-((R402-1)*(IF(Inputs!$B$38="pvp",15,MAX(0.1,Skills!E24-IF(TRUE=TRUE,Inputs!$B$32,0)))*(1-IF(AND(ArtifactsInput!$M$27,Inputs!$B$4="Chapter Hunt"),CHOOSE(ArtifactsInput!$N$27+1,20,24,28,32,36,40),0)/100)))))/Skills!H24,1)))/Inputs!$B$43),G402*Q402)*(1+IF(Inputs!$B$3&gt;=130,0.2*(Skills!I16/(1/Q393)+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1141919509894525.2</v>
      </c>
      <c r="U402">
        <f>IF(C402,(H402*N402*IF(AND(Inputs!$B$38&lt;&gt;"pvp",Inputs!$B$43&gt;0),((Skills!G24*((R402-1)*IF(Skills!H24&gt;0,Skills!I24/Skills!H24,1)+IF(Skills!H24&gt;0,MIN(Skills!I24,MAX(0,MAX(0,Inputs!$B$43-B416)-((R402-1)*(IF(Inputs!$B$38="pvp",15,MAX(0.1,Skills!E24-IF(TRUE=TRUE,Inputs!$B$32,0)))*(1-IF(AND(ArtifactsInput!$M$27,Inputs!$B$4="Chapter Hunt"),CHOOSE(ArtifactsInput!$N$27+1,20,24,28,32,36,40),0)/100)))))/Skills!H24,1)))/Inputs!$B$43),G402*Q402)*(1+IF(Inputs!$B$3&gt;=130,0.2*(Skills!I16/(1/Q393)+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3252849581813111.5</v>
      </c>
    </row>
    <row r="403" spans="1:21" x14ac:dyDescent="0.2">
      <c r="A403" t="str">
        <f>Skills!A25</f>
        <v>BUFF_MASTERY</v>
      </c>
      <c r="B403" t="str">
        <f>Skills!B25</f>
        <v>Buff Mastery</v>
      </c>
      <c r="C403" t="b">
        <f>Inputs!$B$3&gt;=117</f>
        <v>1</v>
      </c>
      <c r="D403">
        <f>IF(Skills!C25=1,60+Inputs!$B$25+Inputs!$B$29,IF(Skills!C25=2,90+Inputs!$B$26+Inputs!$B$29,IF(Skills!C25=3,120+Inputs!$B$27+Inputs!$B$29,MAX(0,(Inputs!$B$3-100)*3)+Inputs!$B$28+Inputs!$B$29)))</f>
        <v>185</v>
      </c>
      <c r="E403">
        <f>INDEX(FactorTable!$B$2:$Y$301, MATCH(ROUND(MIN(300,MAX(1,D403)),0), FactorTable!$A$2:$A$301,0), Skills!M25+1)</f>
        <v>1555</v>
      </c>
      <c r="F403">
        <f>IF(Skills!N25=TRUE,(Skills!L25/10)*(E403/1000),Skills!L25/10)+Skills!O25</f>
        <v>15.549999999999999</v>
      </c>
      <c r="G403">
        <f>Calc!G25</f>
        <v>1</v>
      </c>
      <c r="H403">
        <f>Calc!H25</f>
        <v>1</v>
      </c>
      <c r="I403">
        <f>IF(Skills!X25&lt;&gt;"",1+(Skills!X25/10)*(Z381/1000)/100,1)</f>
        <v>1</v>
      </c>
      <c r="O403">
        <f>(1-Summary!$B$11)*S403+Summary!$B$11*U403</f>
        <v>0</v>
      </c>
      <c r="P403">
        <f>IF(B419=0,0,O403/B419)</f>
        <v>0</v>
      </c>
      <c r="Q403">
        <f>IFERROR(1/(IF(Inputs!$B$38="pvp",15,MAX(0.1,Skills!E25-IF(TRUE=TRUE,Inputs!$B$32,0)))*(1-IF(AND(ArtifactsInput!$M$27,Inputs!$B$4="Chapter Hunt"),CHOOSE(ArtifactsInput!$N$27+1,20,24,28,32,36,40),0)/100)),0)</f>
        <v>10</v>
      </c>
      <c r="R403">
        <v>0</v>
      </c>
      <c r="S403">
        <v>0</v>
      </c>
      <c r="U403">
        <v>0</v>
      </c>
    </row>
    <row r="404" spans="1:21" x14ac:dyDescent="0.2">
      <c r="A404" t="str">
        <f>Skills!A26</f>
        <v>ARCANE_AIM</v>
      </c>
      <c r="B404" t="str">
        <f>Skills!B26</f>
        <v>Arcane Aim</v>
      </c>
      <c r="C404" t="b">
        <f>Inputs!$B$3&gt;=120</f>
        <v>0</v>
      </c>
      <c r="D404">
        <f>IF(Skills!C26=1,60+Inputs!$B$25+Inputs!$B$29,IF(Skills!C26=2,90+Inputs!$B$26+Inputs!$B$29,IF(Skills!C26=3,120+Inputs!$B$27+Inputs!$B$29,MAX(0,(Inputs!$B$3-100)*3)+Inputs!$B$28+Inputs!$B$29)))</f>
        <v>185</v>
      </c>
      <c r="E404">
        <f>INDEX(FactorTable!$B$2:$Y$301, MATCH(ROUND(MIN(300,MAX(1,D404)),0), FactorTable!$A$2:$A$301,0), Skills!M26+1)</f>
        <v>1555</v>
      </c>
      <c r="F404">
        <f>IF(Skills!N26=TRUE,(Skills!L26/10)*(E404/1000),Skills!L26/10)+Skills!O26</f>
        <v>4.665</v>
      </c>
      <c r="G404">
        <f>Calc!G26</f>
        <v>1</v>
      </c>
      <c r="H404">
        <f>Calc!H26</f>
        <v>1</v>
      </c>
      <c r="I404">
        <f>IF(Skills!X26&lt;&gt;"",1+(Skills!X26/10)*(Z381/1000)/100,1)</f>
        <v>1</v>
      </c>
      <c r="O404">
        <f>(1-Summary!$B$11)*S404+Summary!$B$11*U404</f>
        <v>0</v>
      </c>
      <c r="P404">
        <f>IF(B419=0,0,O404/B419)</f>
        <v>0</v>
      </c>
      <c r="Q404">
        <f>IFERROR(1/(IF(Inputs!$B$38="pvp",15,MAX(0.1,Skills!E26-IF(TRUE=TRUE,Inputs!$B$32,0)))*(1-IF(AND(ArtifactsInput!$M$27,Inputs!$B$4="Chapter Hunt"),CHOOSE(ArtifactsInput!$N$27+1,20,24,28,32,36,40),0)/100)),0)</f>
        <v>10</v>
      </c>
      <c r="R404">
        <v>0</v>
      </c>
      <c r="S404">
        <v>0</v>
      </c>
      <c r="U404">
        <v>0</v>
      </c>
    </row>
    <row r="405" spans="1:21" x14ac:dyDescent="0.2">
      <c r="A405" t="str">
        <f>Skills!A27</f>
        <v>FERVENT_DRAIN</v>
      </c>
      <c r="B405" t="str">
        <f>Skills!B27</f>
        <v>Fervent Drain</v>
      </c>
      <c r="C405" t="b">
        <f>Inputs!$B$3&gt;=125</f>
        <v>0</v>
      </c>
      <c r="D405">
        <f>IF(Skills!C27=1,60+Inputs!$B$25+Inputs!$B$29,IF(Skills!C27=2,90+Inputs!$B$26+Inputs!$B$29,IF(Skills!C27=3,120+Inputs!$B$27+Inputs!$B$29,MAX(0,(Inputs!$B$3-100)*3)+Inputs!$B$28+Inputs!$B$29)))</f>
        <v>185</v>
      </c>
      <c r="E405">
        <f>INDEX(FactorTable!$B$2:$Y$301, MATCH(ROUND(MIN(300,MAX(1,D405)),0), FactorTable!$A$2:$A$301,0), Skills!M27+1)</f>
        <v>1555</v>
      </c>
      <c r="F405">
        <f>IF(Skills!N27=TRUE,(Skills!L27/10)*(E405/1000),Skills!L27/10)+Skills!O27</f>
        <v>6.22</v>
      </c>
      <c r="G405">
        <f>Calc!G27</f>
        <v>1</v>
      </c>
      <c r="H405">
        <f>Calc!H27</f>
        <v>1</v>
      </c>
      <c r="I405">
        <f>IF(Skills!X27&lt;&gt;"",1+(Skills!X27/10)*(Z381/1000)/100,1)</f>
        <v>1</v>
      </c>
      <c r="O405">
        <f>(1-Summary!$B$11)*S405+Summary!$B$11*U405</f>
        <v>0</v>
      </c>
      <c r="P405">
        <f>IF(B419=0,0,O405/B419)</f>
        <v>0</v>
      </c>
      <c r="Q405">
        <f>IFERROR(1/(IF(Inputs!$B$38="pvp",15,MAX(0.1,Skills!E27-IF(TRUE=TRUE,Inputs!$B$32,0)))*(1-IF(AND(ArtifactsInput!$M$27,Inputs!$B$4="Chapter Hunt"),CHOOSE(ArtifactsInput!$N$27+1,20,24,28,32,36,40),0)/100)),0)</f>
        <v>10</v>
      </c>
      <c r="R405">
        <v>0</v>
      </c>
      <c r="S405">
        <v>0</v>
      </c>
      <c r="U405">
        <v>0</v>
      </c>
    </row>
    <row r="406" spans="1:21" x14ac:dyDescent="0.2">
      <c r="A406" t="str">
        <f>Skills!A28</f>
        <v>FLAME_HAZE_FOG</v>
      </c>
      <c r="B406" t="str">
        <f>Skills!B28</f>
        <v>Flame Haze (poison fog DoT)</v>
      </c>
      <c r="C406" t="b">
        <f>Inputs!$B$3&gt;=118</f>
        <v>0</v>
      </c>
      <c r="D406">
        <f>IF(Skills!C28=1,60+Inputs!$B$25+Inputs!$B$29,IF(Skills!C28=2,90+Inputs!$B$26+Inputs!$B$29,IF(Skills!C28=3,120+Inputs!$B$27+Inputs!$B$29,MAX(0,(Inputs!$B$3-100)*3)+Inputs!$B$28+Inputs!$B$29)))</f>
        <v>185</v>
      </c>
      <c r="E406">
        <f>INDEX(FactorTable!$B$2:$Y$301, MATCH(ROUND(MIN(300,MAX(1,D406)),0), FactorTable!$A$2:$A$301,0), Skills!M28+1)</f>
        <v>1925</v>
      </c>
      <c r="F406">
        <f>IF(Skills!N28=TRUE,(Skills!L28/10)*(E406/1000),Skills!L28/10)+Skills!O28</f>
        <v>134.75</v>
      </c>
      <c r="G406">
        <f>Calc!G28</f>
        <v>50</v>
      </c>
      <c r="H406">
        <f>Calc!H28</f>
        <v>1</v>
      </c>
      <c r="I406">
        <f>IF(Skills!X28&lt;&gt;"",1+(Skills!X28/10)*(Z381/1000)/100,1)</f>
        <v>1</v>
      </c>
      <c r="J406">
        <f>((Inputs!$B$6*(1+Inputs!$B$7/100))+(((Inputs!$B$12*(1+Inputs!$B$13/100))-(Inputs!$B$12*(1+Inputs!$B$13/100)))+0.25*(Inputs!$B$14-Inputs!$B$14))*(1+Inputs!$B$7/100))*(F406/100)</f>
        <v>486628767.57437253</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2445179485771.9116</v>
      </c>
      <c r="L406">
        <f>K406*(MIN((Inputs!$B$22+1)+(F400-Calc!F22),(Inputs!$B$23+(IF(ArtifactsInput!$M$15,CHOOSE(ArtifactsInput!$N$15+1,25,30,35,40,45,50)/100*(Inputs!$B$11-Inputs!$B$11),0))))/100+(Inputs!$B$23+(IF(ArtifactsInput!$M$15,CHOOSE(ArtifactsInput!$N$15+1,25,30,35,40,45,50)/100*(Inputs!$B$11-Inputs!$B$11),0)))/100)/2</f>
        <v>8142447687620.4658</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38424210637880.977</v>
      </c>
      <c r="N406">
        <f>L406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38424210637880.977</v>
      </c>
      <c r="O406">
        <f>(1-Summary!$B$11)*S406+Summary!$B$11*U406</f>
        <v>0</v>
      </c>
      <c r="P406">
        <f>IF(B419=0,0,O406/B419)</f>
        <v>0</v>
      </c>
      <c r="Q406">
        <f>IFERROR(1/(IF(Inputs!$B$38="pvp",15,MAX(0.1,Skills!E28-IF(TRUE=TRUE,Inputs!$B$32,0)))*(1-IF(AND(ArtifactsInput!$M$27,Inputs!$B$4="Chapter Hunt"),CHOOSE(ArtifactsInput!$N$27+1,20,24,28,32,36,40),0)/100)),0)</f>
        <v>0.04</v>
      </c>
      <c r="R406">
        <f>IF(AND(Inputs!$B$38&lt;&gt;"pvp",Inputs!$B$43&gt;0),IF(MAX(0,Inputs!$B$43-B416)&lt;=0,0,(INT(MAX(0,Inputs!$B$43-B416)/(IF(Inputs!$B$38="pvp",15,MAX(0.1,Skills!E28-IF(TRUE=TRUE,Inputs!$B$32,0)))*(1-IF(AND(ArtifactsInput!$M$27,Inputs!$B$4="Chapter Hunt"),CHOOSE(ArtifactsInput!$N$27+1,20,24,28,32,36,40),0)/100)))+1)),0)</f>
        <v>2</v>
      </c>
      <c r="S406">
        <f>IF(C406,(H406*N406*IF(AND(Inputs!$B$38&lt;&gt;"pvp",Inputs!$B$43&gt;0),((Skills!G28*((R406-1)*IF(Skills!H28&gt;0,Skills!I28/Skills!H28,1)+IF(Skills!H28&gt;0,MIN(Skills!I28,MAX(0,MAX(0,Inputs!$B$43-B416)-((R406-1)*(IF(Inputs!$B$38="pvp",15,MAX(0.1,Skills!E28-IF(TRUE=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06">
        <f>IF(C406,(H406*N406*IF(AND(Inputs!$B$38&lt;&gt;"pvp",Inputs!$B$43&gt;0),((Skills!G28*((R406-1)*IF(Skills!H28&gt;0,Skills!I28/Skills!H28,1)+IF(Skills!H28&gt;0,MIN(Skills!I28,MAX(0,MAX(0,Inputs!$B$43-B416)-((R406-1)*(IF(Inputs!$B$38="pvp",15,MAX(0.1,Skills!E28-IF(TRUE=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08" spans="1:21" x14ac:dyDescent="0.2">
      <c r="A408" t="s">
        <v>356</v>
      </c>
      <c r="B408">
        <f>1+(F389*Skills!Z11)/100</f>
        <v>1.25</v>
      </c>
    </row>
    <row r="409" spans="1:21" x14ac:dyDescent="0.2">
      <c r="A409" t="s">
        <v>435</v>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1.18624</v>
      </c>
    </row>
    <row r="410" spans="1:21" x14ac:dyDescent="0.2">
      <c r="A410" t="s">
        <v>358</v>
      </c>
      <c r="B410">
        <f>(1+(F384*IF(AND(Inputs!$B$38&lt;&gt;"pvp",Inputs!$B$43&gt;0),(((R384-1)*MIN((Skills!T6*(1+((Inputs!$B$34+(ArtifactsInput!$M$7-ArtifactsInput!$M$7)*CHOOSE(ArtifactsInput!$N$7+1,6,7.2,8.4,9.6,10.8,12)))/100)),(1/Q384))+MIN((Skills!T6*(1+((Inputs!$B$34+(ArtifactsInput!$M$7-ArtifactsInput!$M$7)*CHOOSE(ArtifactsInput!$N$7+1,6,7.2,8.4,9.6,10.8,12)))/100)),MAX(0,Inputs!$B$43-((R384-1)*(1/Q384)))))/Inputs!$B$43),IF(Inputs!$B$38="pvp",MIN((Skills!T6*(1+((Inputs!$B$34+(ArtifactsInput!$M$7-ArtifactsInput!$M$7)*CHOOSE(ArtifactsInput!$N$7+1,6,7.2,8.4,9.6,10.8,12)))/100)),15)/15,MIN(1,(Skills!T6*(1+((Inputs!$B$34+(ArtifactsInput!$M$7-ArtifactsInput!$M$7)*CHOOSE(ArtifactsInput!$N$7+1,6,7.2,8.4,9.6,10.8,12)))/100))/(1/Q384))))+F395*IF(AND(Inputs!$B$38&lt;&gt;"pvp",Inputs!$B$43&gt;0),(((R395-1)*MIN((Skills!T17*(1+((Inputs!$B$34+(ArtifactsInput!$M$7-ArtifactsInput!$M$7)*CHOOSE(ArtifactsInput!$N$7+1,6,7.2,8.4,9.6,10.8,12)))/100)),(1/Q395))+MIN((Skills!T17*(1+((Inputs!$B$34+(ArtifactsInput!$M$7-ArtifactsInput!$M$7)*CHOOSE(ArtifactsInput!$N$7+1,6,7.2,8.4,9.6,10.8,12)))/100)),MAX(0,Inputs!$B$43-((R395-1)*(1/Q395)))))/Inputs!$B$43),IF(Inputs!$B$38="pvp",MIN((Skills!T17*(1+((Inputs!$B$34+(ArtifactsInput!$M$7-ArtifactsInput!$M$7)*CHOOSE(ArtifactsInput!$N$7+1,6,7.2,8.4,9.6,10.8,12)))/100)),15)/15,MIN(1,(Skills!T17*(1+((Inputs!$B$34+(ArtifactsInput!$M$7-ArtifactsInput!$M$7)*CHOOSE(ArtifactsInput!$N$7+1,6,7.2,8.4,9.6,10.8,12)))/100))/(1/Q395)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MIN((Skills!T19*(1+((Inputs!$B$34+(ArtifactsInput!$M$7-ArtifactsInput!$M$7)*CHOOSE(ArtifactsInput!$N$7+1,6,7.2,8.4,9.6,10.8,12)))/100)),(1/Q397))+MIN((Skills!T19*(1+((Inputs!$B$34+(ArtifactsInput!$M$7-ArtifactsInput!$M$7)*CHOOSE(ArtifactsInput!$N$7+1,6,7.2,8.4,9.6,10.8,12)))/100)),MAX(0,Inputs!$B$43-((R397-1)*(1/Q397)))))/Inputs!$B$43),IF(Inputs!$B$38="pvp",MIN((Skills!T19*(1+((Inputs!$B$34+(ArtifactsInput!$M$7-ArtifactsInput!$M$7)*CHOOSE(ArtifactsInput!$N$7+1,6,7.2,8.4,9.6,10.8,12)))/100)),15)/15,MIN(1,(Skills!T19*(1+((Inputs!$B$34+(ArtifactsInput!$M$7-ArtifactsInput!$M$7)*CHOOSE(ArtifactsInput!$N$7+1,6,7.2,8.4,9.6,10.8,12)))/100))/(1/Q397))))/100),1)</f>
        <v>1.7965808377980694</v>
      </c>
    </row>
    <row r="411" spans="1:21" x14ac:dyDescent="0.2">
      <c r="A411" t="s">
        <v>359</v>
      </c>
      <c r="B411">
        <f>F396*IF(AND(Inputs!$B$38&lt;&gt;"pvp",Inputs!$B$43&gt;0),(((R396-1)*MIN((Skills!T18*(1+((Inputs!$B$34+(ArtifactsInput!$M$7-ArtifactsInput!$M$7)*CHOOSE(ArtifactsInput!$N$7+1,6,7.2,8.4,9.6,10.8,12)))/100)),(1/Q396))+MIN((Skills!T18*(1+((Inputs!$B$34+(ArtifactsInput!$M$7-ArtifactsInput!$M$7)*CHOOSE(ArtifactsInput!$N$7+1,6,7.2,8.4,9.6,10.8,12)))/100)),MAX(0,Inputs!$B$43-((R396-1)*(1/Q396)))))/Inputs!$B$43),IF(Inputs!$B$38="pvp",MIN((Skills!T18*(1+((Inputs!$B$34+(ArtifactsInput!$M$7-ArtifactsInput!$M$7)*CHOOSE(ArtifactsInput!$N$7+1,6,7.2,8.4,9.6,10.8,12)))/100)),15)/15,MIN(1,(Skills!T18*(1+((Inputs!$B$34+(ArtifactsInput!$M$7-ArtifactsInput!$M$7)*CHOOSE(ArtifactsInput!$N$7+1,6,7.2,8.4,9.6,10.8,12)))/100))/(1/Q396))))</f>
        <v>6.4968749999999993</v>
      </c>
    </row>
    <row r="412" spans="1:21" x14ac:dyDescent="0.2">
      <c r="A412" t="s">
        <v>436</v>
      </c>
      <c r="B412">
        <f>1+MIN(150,150*(1-(1-(Inputs!$B$11+(ArtifactsInput!$M$15-ArtifactsInput!$M$15)*CHOOSE(ArtifactsInput!$N$15+1,8,9.6,11.2,12.8,14.4,16))/150)*(1-B411/150)))/100</f>
        <v>1.6982958749999999</v>
      </c>
    </row>
    <row r="413" spans="1:21" x14ac:dyDescent="0.2">
      <c r="A413" t="s">
        <v>437</v>
      </c>
      <c r="B413">
        <f>IF(AND(Inputs!$B$38&lt;&gt;"pvp",Inputs!$B$43&gt;0),SUMPRODUCT((Skills!F2:F28=TRUE)*(C380:C406=TRUE)*R380:R406)/Inputs!$B$43,SUMPRODUCT((Skills!F2:F28=TRUE)*(C380:C406=TRUE)*Q380:Q406))</f>
        <v>0.47499999999999998</v>
      </c>
    </row>
    <row r="414" spans="1:21" x14ac:dyDescent="0.2">
      <c r="A414" t="s">
        <v>362</v>
      </c>
      <c r="B414">
        <f>MAX(0,B412-B413)</f>
        <v>1.2232958749999998</v>
      </c>
    </row>
    <row r="415" spans="1:21" x14ac:dyDescent="0.2">
      <c r="A415" t="s">
        <v>438</v>
      </c>
      <c r="B415">
        <f>IF(AND(Inputs!$B$38&lt;&gt;"pvp",Inputs!$B$43&gt;0),SUMPRODUCT((Skills!V2:V28=TRUE)*(C380:C406=TRUE)*R380:R406*Skills!W2:W28)/Inputs!$B$43,SUMPRODUCT((Skills!V2:V28=TRUE)*(C380:C406=TRUE)*Q380:Q406*Skills!W2:W28))+B414</f>
        <v>1.5482958749999998</v>
      </c>
    </row>
    <row r="416" spans="1:21" x14ac:dyDescent="0.2">
      <c r="A416" t="s">
        <v>439</v>
      </c>
      <c r="B416">
        <f>IF(AND(Inputs!$B$38&lt;&gt;"pvp",Inputs!$B$43&gt;0),SUMPRODUCT((Skills!T2:T28&gt;0)*(Skills!F2:F28=TRUE)*(C380:C406=TRUE))/B412,0)</f>
        <v>2.3553021937358238</v>
      </c>
    </row>
    <row r="417" spans="1:26" x14ac:dyDescent="0.2">
      <c r="A417" t="s">
        <v>440</v>
      </c>
      <c r="B417">
        <f>SUM(S380:S406)</f>
        <v>9531574752736200</v>
      </c>
    </row>
    <row r="418" spans="1:26" x14ac:dyDescent="0.2">
      <c r="A418" t="s">
        <v>441</v>
      </c>
      <c r="B418">
        <f>SUM(U380:U406)</f>
        <v>5.6741625894138176E+16</v>
      </c>
    </row>
    <row r="419" spans="1:26" x14ac:dyDescent="0.2">
      <c r="A419" s="6" t="s">
        <v>348</v>
      </c>
      <c r="B419" s="6">
        <f>SUM(O380:O406)</f>
        <v>3.3136600323437188E+16</v>
      </c>
    </row>
    <row r="422" spans="1:26" x14ac:dyDescent="0.2">
      <c r="A422" s="6" t="s">
        <v>449</v>
      </c>
    </row>
    <row r="423" spans="1:26" x14ac:dyDescent="0.2">
      <c r="A423" s="5" t="s">
        <v>136</v>
      </c>
      <c r="B423" s="5" t="s">
        <v>137</v>
      </c>
      <c r="C423" s="5" t="s">
        <v>328</v>
      </c>
      <c r="D423" s="5" t="s">
        <v>329</v>
      </c>
      <c r="E423" s="5" t="s">
        <v>330</v>
      </c>
      <c r="F423" s="5" t="s">
        <v>331</v>
      </c>
      <c r="G423" s="5" t="s">
        <v>332</v>
      </c>
      <c r="H423" s="5" t="s">
        <v>333</v>
      </c>
      <c r="I423" s="5" t="s">
        <v>334</v>
      </c>
      <c r="J423" s="5" t="s">
        <v>335</v>
      </c>
      <c r="K423" s="5" t="s">
        <v>336</v>
      </c>
      <c r="L423" s="5" t="s">
        <v>337</v>
      </c>
      <c r="M423" s="5" t="s">
        <v>338</v>
      </c>
      <c r="N423" s="5" t="s">
        <v>339</v>
      </c>
      <c r="O423" s="5" t="s">
        <v>340</v>
      </c>
      <c r="P423" s="5" t="s">
        <v>341</v>
      </c>
      <c r="R423" t="s">
        <v>434</v>
      </c>
    </row>
    <row r="424" spans="1:26" x14ac:dyDescent="0.2">
      <c r="A424" t="str">
        <f>Skills!A2</f>
        <v>BASIC_ATTACK</v>
      </c>
      <c r="B424" t="str">
        <f>Skills!B2</f>
        <v>Basic Attack</v>
      </c>
      <c r="C424" t="b">
        <f>TRUE</f>
        <v>1</v>
      </c>
      <c r="F424">
        <f>T426+Skills!O2</f>
        <v>537.6</v>
      </c>
      <c r="G424">
        <f>Calc!G2</f>
        <v>5</v>
      </c>
      <c r="H424">
        <f>Calc!H2</f>
        <v>1</v>
      </c>
      <c r="I424">
        <f>IF(Skills!X2&lt;&gt;"",1+(Skills!X2/10)*(Z425/1000)/100,1)</f>
        <v>1</v>
      </c>
      <c r="J424">
        <f>((Inputs!$B$6*(1+Inputs!$B$7/100))+(((Inputs!$B$12*(1+Inputs!$B$13/100))-(Inputs!$B$12*(1+Inputs!$B$13/100)))+0.25*(Inputs!$B$14-Inputs!$B$14))*(1+Inputs!$B$7/100))*(F424/100)</f>
        <v>1941459186.9980164</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6620290711466.1074</v>
      </c>
      <c r="L424">
        <f>K424*(MIN(Inputs!$B$22+(F444-Calc!F22),((Inputs!$B$23+1)+(IF(ArtifactsInput!$M$15,CHOOSE(ArtifactsInput!$N$15+1,25,30,35,40,45,50)/100*(Inputs!$B$11-Inputs!$B$11),0))))/100+((Inputs!$B$23+1)+(IF(ArtifactsInput!$M$15,CHOOSE(ArtifactsInput!$N$15+1,25,30,35,40,45,50)/100*(Inputs!$B$11-Inputs!$B$11),0)))/100)/2</f>
        <v>22045568069182.137</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104033035718470.48</v>
      </c>
      <c r="N424">
        <f>L424*(1-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104033035718470.48</v>
      </c>
      <c r="O424">
        <f>(1-Summary!$B$11)*S424+Summary!$B$11*U424</f>
        <v>1.2532241991039606E+16</v>
      </c>
      <c r="P424">
        <f>IF(B463=0,0,O424/B463)</f>
        <v>0.378199388854495</v>
      </c>
      <c r="Q424">
        <f>IFERROR(1/(IF(Inputs!$B$38="pvp",15,MAX(0.1,Skills!E2-IF(TRUE=TRUE,Inputs!$B$32,0)))*(1-IF(AND(ArtifactsInput!$M$27,Inputs!$B$4="Chapter Hunt"),CHOOSE(ArtifactsInput!$N$27+1,20,24,28,32,36,40),0)/100)),0)</f>
        <v>10</v>
      </c>
      <c r="R424">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2080753049540468</v>
      </c>
      <c r="T424">
        <f>MAX(0,(Inputs!$B$3-100)*3)+Inputs!$B$28+Inputs!$B$29</f>
        <v>185</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2.2983730932538744E+16</v>
      </c>
      <c r="Z424">
        <f>MAX(0,(Inputs!$B$3-100)*3)+Inputs!$B$28+Inputs!$B$29</f>
        <v>185</v>
      </c>
    </row>
    <row r="425" spans="1:26" x14ac:dyDescent="0.2">
      <c r="A425" t="str">
        <f>Skills!A3</f>
        <v>IGNITE</v>
      </c>
      <c r="B425" t="str">
        <f>Skills!B3</f>
        <v>Ignite</v>
      </c>
      <c r="C425" t="b">
        <f>TRUE</f>
        <v>1</v>
      </c>
      <c r="D425">
        <f>IF(Skills!C3=1,60+Inputs!$B$25+Inputs!$B$29,IF(Skills!C3=2,90+Inputs!$B$26+Inputs!$B$29,IF(Skills!C3=3,120+Inputs!$B$27+Inputs!$B$29,MAX(0,(Inputs!$B$3-100)*3)+Inputs!$B$28+Inputs!$B$29)))</f>
        <v>168</v>
      </c>
      <c r="E425">
        <f>INDEX(FactorTable!$B$2:$Y$301, MATCH(ROUND(MIN(300,MAX(1,D425)),0), FactorTable!$A$2:$A$301,0), Skills!M3+1)</f>
        <v>1672</v>
      </c>
      <c r="F425">
        <f>IF(Skills!N3=TRUE,(Skills!L3/10)*(E425/1000),Skills!L3/10)+Skills!O3</f>
        <v>121.736</v>
      </c>
      <c r="G425">
        <f>Calc!G3</f>
        <v>3</v>
      </c>
      <c r="H425">
        <f>Calc!H3</f>
        <v>1</v>
      </c>
      <c r="I425">
        <f>IF(Skills!X3&lt;&gt;"",1+(Skills!X3/10)*(Z425/1000)/100,1)</f>
        <v>4.8250000000000002</v>
      </c>
      <c r="J425">
        <f>((Inputs!$B$6*(1+Inputs!$B$7/100))+(((Inputs!$B$12*(1+Inputs!$B$13/100))-(Inputs!$B$12*(1+Inputs!$B$13/100)))+0.25*(Inputs!$B$14-Inputs!$B$14))*(1+Inputs!$B$7/100))*(F425/100)</f>
        <v>439630720.9605478</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10658554617221.965</v>
      </c>
      <c r="L425">
        <f>K425*(MIN(Inputs!$B$22+(F444-Calc!F22),((Inputs!$B$23+1)+(IF(ArtifactsInput!$M$15,CHOOSE(ArtifactsInput!$N$15+1,25,30,35,40,45,50)/100*(Inputs!$B$11-Inputs!$B$11),0))))/100+((Inputs!$B$23+1)+(IF(ArtifactsInput!$M$15,CHOOSE(ArtifactsInput!$N$15+1,25,30,35,40,45,50)/100*(Inputs!$B$11-Inputs!$B$11),0)))/100)/2</f>
        <v>35492986875349.141</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167491405064772.56</v>
      </c>
      <c r="N425">
        <f>L425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167491405064772.56</v>
      </c>
      <c r="O425">
        <f>(1-Summary!$B$11)*S425+Summary!$B$11*U425</f>
        <v>2911838077051071</v>
      </c>
      <c r="P425">
        <f>IF(B463=0,0,O425/B463)</f>
        <v>8.7873772463965077E-2</v>
      </c>
      <c r="Q425">
        <f>IFERROR(1/(IF(Inputs!$B$38="pvp",15,MAX(0.1,Skills!E3-IF(FALSE=TRUE,Inputs!$B$32,0)))*(1-IF(AND(ArtifactsInput!$M$27,Inputs!$B$4="Chapter Hunt"),CHOOSE(ArtifactsInput!$N$27+1,20,24,28,32,36,40),0)/100)),0)</f>
        <v>1</v>
      </c>
      <c r="R425">
        <f>IF(AND(Inputs!$B$38&lt;&gt;"pvp",Inputs!$B$43&gt;0),IF(MAX(0,Inputs!$B$43-B460)&lt;=0,0,(INT(MAX(0,Inputs!$B$43-B460)/(IF(Inputs!$B$38="pvp",15,MAX(0.1,Skills!E3-IF(FALSE=TRUE,Inputs!$B$32,0)))*(1-IF(AND(ArtifactsInput!$M$27,Inputs!$B$4="Chapter Hunt"),CHOOSE(ArtifactsInput!$N$27+1,20,24,28,32,36,40),0)/100)))+1)),0)</f>
        <v>38</v>
      </c>
      <c r="S425">
        <f>IF(C425,(H425*N425*IF(AND(Inputs!$B$38&lt;&gt;"pvp",Inputs!$B$43&gt;0),((Skills!G3*((R425-1)*IF(Skills!H3&gt;0,Skills!I3/Skills!H3,1)+IF(Skills!H3&gt;0,MIN(Skills!I3,MAX(0,MAX(0,Inputs!$B$43-B460)-((R425-1)*(IF(Inputs!$B$38="pvp",15,MAX(0.1,Skills!E3-IF(FALSE=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1513201099057687.8</v>
      </c>
      <c r="T425">
        <f>INDEX(FactorTable!$B$2:$Y$301, MATCH(ROUND(MIN(300,MAX(1,T424)),0), FactorTable!$A$2:$A$301,0), 22)</f>
        <v>1740</v>
      </c>
      <c r="U425">
        <f>IF(C425,(H425*N425*IF(AND(Inputs!$B$38&lt;&gt;"pvp",Inputs!$B$43&gt;0),((Skills!G3*((R425-1)*IF(Skills!H3&gt;0,Skills!I3/Skills!H3,1)+IF(Skills!H3&gt;0,MIN(Skills!I3,MAX(0,MAX(0,Inputs!$B$43-B460)-((R425-1)*(IF(Inputs!$B$38="pvp",15,MAX(0.1,Skills!E3-IF(FALSE=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4310475055044454</v>
      </c>
      <c r="Z425">
        <f>INDEX(FactorTable!$B$2:$Y$301, MATCH(ROUND(MIN(300,MAX(1,Z424)),0), FactorTable!$A$2:$A$301,0), 24)</f>
        <v>7650</v>
      </c>
    </row>
    <row r="426" spans="1:26" x14ac:dyDescent="0.2">
      <c r="A426" t="str">
        <f>Skills!A4</f>
        <v>POISON_BREATH</v>
      </c>
      <c r="B426" t="str">
        <f>Skills!B4</f>
        <v>Poison Breath</v>
      </c>
      <c r="C426" t="b">
        <f>TRUE</f>
        <v>1</v>
      </c>
      <c r="D426">
        <f>IF(Skills!C4=1,60+Inputs!$B$25+Inputs!$B$29,IF(Skills!C4=2,90+Inputs!$B$26+Inputs!$B$29,IF(Skills!C4=3,120+Inputs!$B$27+Inputs!$B$29,MAX(0,(Inputs!$B$3-100)*3)+Inputs!$B$28+Inputs!$B$29)))</f>
        <v>168</v>
      </c>
      <c r="E426">
        <f>INDEX(FactorTable!$B$2:$Y$301, MATCH(ROUND(MIN(300,MAX(1,D426)),0), FactorTable!$A$2:$A$301,0), Skills!M4+1)</f>
        <v>1840</v>
      </c>
      <c r="F426">
        <f>IF(Skills!N4=TRUE,(Skills!L4/10)*(E426/1000),Skills!L4/10)+Skills!O4</f>
        <v>438</v>
      </c>
      <c r="G426">
        <f>Calc!G4</f>
        <v>3</v>
      </c>
      <c r="H426">
        <f>Calc!H4</f>
        <v>1</v>
      </c>
      <c r="I426">
        <f>IF(Skills!X4&lt;&gt;"",1+(Skills!X4/10)*(Z425/1000)/100,1)</f>
        <v>7.12</v>
      </c>
      <c r="J426">
        <f>((Inputs!$B$6*(1+Inputs!$B$7/100))+(((Inputs!$B$12*(1+Inputs!$B$13/100))-(Inputs!$B$12*(1+Inputs!$B$13/100)))+0.25*(Inputs!$B$14-Inputs!$B$14))*(1+Inputs!$B$7/100))*(F426/100)</f>
        <v>1581769203.69258</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56589528290529.523</v>
      </c>
      <c r="L426">
        <f>K426*(MIN(Inputs!$B$22+(F444-Calc!F22),((Inputs!$B$23+1)+(IF(ArtifactsInput!$M$15,CHOOSE(ArtifactsInput!$N$15+1,25,30,35,40,45,50)/100*(Inputs!$B$11-Inputs!$B$11),0))))/100+((Inputs!$B$23+1)+(IF(ArtifactsInput!$M$15,CHOOSE(ArtifactsInput!$N$15+1,25,30,35,40,45,50)/100*(Inputs!$B$11-Inputs!$B$11),0)))/100)/2</f>
        <v>188443129207463.31</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889263126730019.25</v>
      </c>
      <c r="N426">
        <f>L426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889263126730019.25</v>
      </c>
      <c r="O426">
        <f>(1-Summary!$B$11)*S426+Summary!$B$11*U426</f>
        <v>2123893820303809.5</v>
      </c>
      <c r="P426">
        <f>IF(B463=0,0,O426/B463)</f>
        <v>6.4095103286790731E-2</v>
      </c>
      <c r="Q426">
        <f>IFERROR(1/(IF(Inputs!$B$38="pvp",15,MAX(0.1,Skills!E4-IF(TRUE=TRUE,Inputs!$B$32,0)))*(1-IF(AND(ArtifactsInput!$M$27,Inputs!$B$4="Chapter Hunt"),CHOOSE(ArtifactsInput!$N$27+1,20,24,28,32,36,40),0)/100)),0)</f>
        <v>5.5555555555555552E-2</v>
      </c>
      <c r="R426">
        <f>IF(AND(Inputs!$B$38&lt;&gt;"pvp",Inputs!$B$43&gt;0),IF(MAX(0,Inputs!$B$43-B460)&lt;=0,0,(INT(MAX(0,Inputs!$B$43-B460)/(IF(Inputs!$B$38="pvp",15,MAX(0.1,Skills!E4-IF(TRUE=TRUE,Inputs!$B$32,0)))*(1-IF(AND(ArtifactsInput!$M$27,Inputs!$B$4="Chapter Hunt"),CHOOSE(ArtifactsInput!$N$27+1,20,24,28,32,36,40),0)/100)))+1)),0)</f>
        <v>3</v>
      </c>
      <c r="S426">
        <f>IF(C426,(H426*N426*IF(AND(Inputs!$B$38&lt;&gt;"pvp",Inputs!$B$43&gt;0),((Skills!G4*((R426-1)*IF(Skills!H4&gt;0,Skills!I4/Skills!H4,1)+IF(Skills!H4&gt;0,MIN(Skills!I4,MAX(0,MAX(0,Inputs!$B$43-B460)-((R426-1)*(IF(Inputs!$B$38="pvp",15,MAX(0.1,Skills!E4-IF(TRUE=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634266925140186.25</v>
      </c>
      <c r="T426">
        <f>290*T425/1000</f>
        <v>504.6</v>
      </c>
      <c r="U426">
        <f>IF(C426,(H426*N426*IF(AND(Inputs!$B$38&lt;&gt;"pvp",Inputs!$B$43&gt;0),((Skills!G4*((R426-1)*IF(Skills!H4&gt;0,Skills!I4/Skills!H4,1)+IF(Skills!H4&gt;0,MIN(Skills!I4,MAX(0,MAX(0,Inputs!$B$43-B460)-((R426-1)*(IF(Inputs!$B$38="pvp",15,MAX(0.1,Skills!E4-IF(TRUE=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3613520715467433</v>
      </c>
    </row>
    <row r="427" spans="1:26" x14ac:dyDescent="0.2">
      <c r="A427" t="str">
        <f>Skills!A5</f>
        <v>ELEMENTAL_DRAIN</v>
      </c>
      <c r="B427" t="str">
        <f>Skills!B5</f>
        <v>Elemental Drain</v>
      </c>
      <c r="C427" t="b">
        <f>TRUE</f>
        <v>1</v>
      </c>
      <c r="D427">
        <f>IF(Skills!C5=1,60+Inputs!$B$25+Inputs!$B$29,IF(Skills!C5=2,90+Inputs!$B$26+Inputs!$B$29,IF(Skills!C5=3,120+Inputs!$B$27+Inputs!$B$29,MAX(0,(Inputs!$B$3-100)*3)+Inputs!$B$28+Inputs!$B$29)))</f>
        <v>168</v>
      </c>
      <c r="E427">
        <f>INDEX(FactorTable!$B$2:$Y$301, MATCH(ROUND(MIN(300,MAX(1,D427)),0), FactorTable!$A$2:$A$301,0), Skills!M5+1)</f>
        <v>1672</v>
      </c>
      <c r="F427">
        <f>IF(Skills!N5=TRUE,(Skills!L5/10)*(E427/1000),Skills!L5/10)+Skills!O5</f>
        <v>20.064</v>
      </c>
      <c r="G427">
        <f>Calc!G5</f>
        <v>5</v>
      </c>
      <c r="H427">
        <f>Calc!H5</f>
        <v>1</v>
      </c>
      <c r="I427">
        <f>IF(Skills!X5&lt;&gt;"",1+(Skills!X5/10)*(Z425/1000)/100,1)</f>
        <v>12.475</v>
      </c>
      <c r="J427">
        <f>((Inputs!$B$6*(1+Inputs!$B$7/100))+(((Inputs!$B$12*(1+Inputs!$B$13/100))-(Inputs!$B$12*(1+Inputs!$B$13/100)))+0.25*(Inputs!$B$14-Inputs!$B$14))*(1+Inputs!$B$7/100))*(F427/100)</f>
        <v>72458030.371890247</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4541925884983.542</v>
      </c>
      <c r="L427">
        <f>K427*(MIN(Inputs!$B$22+(F444-Calc!F22),((Inputs!$B$23+1)+(IF(ArtifactsInput!$M$15,CHOOSE(ArtifactsInput!$N$15+1,25,30,35,40,45,50)/100*(Inputs!$B$11-Inputs!$B$11),0))))/100+((Inputs!$B$23+1)+(IF(ArtifactsInput!$M$15,CHOOSE(ArtifactsInput!$N$15+1,25,30,35,40,45,50)/100*(Inputs!$B$11-Inputs!$B$11),0)))/100)/2</f>
        <v>15124613196995.195</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71373049676620.312</v>
      </c>
      <c r="N427">
        <f>L427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71373049676620.312</v>
      </c>
      <c r="O427">
        <f>(1-Summary!$B$11)*S427+Summary!$B$11*U427</f>
        <v>1047577936628594.6</v>
      </c>
      <c r="P427">
        <f>IF(B463=0,0,O427/B463)</f>
        <v>3.1613923166633758E-2</v>
      </c>
      <c r="Q427">
        <f>IFERROR(1/(IF(Inputs!$B$38="pvp",15,MAX(0.1,Skills!E5-IF(FALSE=TRUE,Inputs!$B$32,0)))*(1-IF(AND(ArtifactsInput!$M$27,Inputs!$B$4="Chapter Hunt"),CHOOSE(ArtifactsInput!$N$27+1,20,24,28,32,36,40),0)/100)),0)</f>
        <v>1</v>
      </c>
      <c r="R427">
        <f>IF(AND(Inputs!$B$38&lt;&gt;"pvp",Inputs!$B$43&gt;0),IF(MAX(0,Inputs!$B$43-B460)&lt;=0,0,(INT(MAX(0,Inputs!$B$43-B460)/(IF(Inputs!$B$38="pvp",15,MAX(0.1,Skills!E5-IF(FALSE=TRUE,Inputs!$B$32,0)))*(1-IF(AND(ArtifactsInput!$M$27,Inputs!$B$4="Chapter Hunt"),CHOOSE(ArtifactsInput!$N$27+1,20,24,28,32,36,40),0)/100)))+1)),0)</f>
        <v>38</v>
      </c>
      <c r="S427">
        <f>IF(C427,(H427*N427*IF(AND(Inputs!$B$38&lt;&gt;"pvp",Inputs!$B$43&gt;0),((Skills!G5*((R427-1)*IF(Skills!H5&gt;0,Skills!I5/Skills!H5,1)+IF(Skills!H5&gt;0,MIN(Skills!I5,MAX(0,MAX(0,Inputs!$B$43-B460)-((R427-1)*(IF(Inputs!$B$38="pvp",15,MAX(0.1,Skills!E5-IF(FALSE=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1074699695505710.4</v>
      </c>
      <c r="U427">
        <f>IF(C427,(H427*N427*IF(AND(Inputs!$B$38&lt;&gt;"pvp",Inputs!$B$43&gt;0),((Skills!G5*((R427-1)*IF(Skills!H5&gt;0,Skills!I5/Skills!H5,1)+IF(Skills!H5&gt;0,MIN(Skills!I5,MAX(0,MAX(0,Inputs!$B$43-B460)-((R427-1)*(IF(Inputs!$B$38="pvp",15,MAX(0.1,Skills!E5-IF(FALSE=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1020456177751478.9</v>
      </c>
    </row>
    <row r="428" spans="1:26" x14ac:dyDescent="0.2">
      <c r="A428" t="str">
        <f>Skills!A6</f>
        <v>MEDITATION</v>
      </c>
      <c r="B428" t="str">
        <f>Skills!B6</f>
        <v>Meditation</v>
      </c>
      <c r="C428" t="b">
        <f>TRUE</f>
        <v>1</v>
      </c>
      <c r="D428">
        <f>IF(Skills!C6=1,60+Inputs!$B$25+Inputs!$B$29,IF(Skills!C6=2,90+Inputs!$B$26+Inputs!$B$29,IF(Skills!C6=3,120+Inputs!$B$27+Inputs!$B$29,MAX(0,(Inputs!$B$3-100)*3)+Inputs!$B$28+Inputs!$B$29)))</f>
        <v>168</v>
      </c>
      <c r="E428">
        <f>INDEX(FactorTable!$B$2:$Y$301, MATCH(ROUND(MIN(300,MAX(1,D428)),0), FactorTable!$A$2:$A$301,0), Skills!M6+1)</f>
        <v>1672</v>
      </c>
      <c r="F428">
        <f>IF(Skills!N6=TRUE,(Skills!L6/10)*(E428/1000),Skills!L6/10)+Skills!O6</f>
        <v>33.44</v>
      </c>
      <c r="G428">
        <f>Calc!G6</f>
        <v>1</v>
      </c>
      <c r="H428">
        <f>Calc!H6</f>
        <v>1</v>
      </c>
      <c r="I428">
        <f>IF(Skills!X6&lt;&gt;"",1+(Skills!X6/10)*(Z425/1000)/100,1)</f>
        <v>1</v>
      </c>
      <c r="O428">
        <f>(1-Summary!$B$11)*S428+Summary!$B$11*U428</f>
        <v>0</v>
      </c>
      <c r="P428">
        <f>IF(B463=0,0,O428/B463)</f>
        <v>0</v>
      </c>
      <c r="Q428">
        <f>IFERROR(1/(IF(Inputs!$B$38="pvp",15,MAX(0.1,Skills!E6-IF(TRUE=TRUE,Inputs!$B$32,0)))*(1-IF(AND(ArtifactsInput!$M$27,Inputs!$B$4="Chapter Hunt"),CHOOSE(ArtifactsInput!$N$27+1,20,24,28,32,36,40),0)/100)),0)</f>
        <v>3.3333333333333333E-2</v>
      </c>
      <c r="R428">
        <f>IF(AND(Inputs!$B$38&lt;&gt;"pvp",Inputs!$B$43&gt;0),IF(Inputs!$B$43&lt;=0,0,(INT(Inputs!$B$43/(IF(Inputs!$B$38="pvp",15,MAX(0.1,Skills!E6-IF(TRUE=TRUE,Inputs!$B$32,0)))*(1-IF(AND(ArtifactsInput!$M$27,Inputs!$B$4="Chapter Hunt"),CHOOSE(ArtifactsInput!$N$27+1,20,24,28,32,36,40),0)/100)))+1)),0)</f>
        <v>2</v>
      </c>
      <c r="S428">
        <v>0</v>
      </c>
      <c r="U428">
        <v>0</v>
      </c>
    </row>
    <row r="429" spans="1:26" x14ac:dyDescent="0.2">
      <c r="A429" t="str">
        <f>Skills!A7</f>
        <v>POISON_MIST_BURST</v>
      </c>
      <c r="B429" t="str">
        <f>Skills!B7</f>
        <v>Poison Mist (burst)</v>
      </c>
      <c r="C429" t="b">
        <f>TRUE</f>
        <v>1</v>
      </c>
      <c r="D429">
        <f>IF(Skills!C7=1,60+Inputs!$B$25+Inputs!$B$29,IF(Skills!C7=2,90+Inputs!$B$26+Inputs!$B$29,IF(Skills!C7=3,120+Inputs!$B$27+Inputs!$B$29,MAX(0,(Inputs!$B$3-100)*3)+Inputs!$B$28+Inputs!$B$29)))</f>
        <v>184</v>
      </c>
      <c r="E429">
        <f>INDEX(FactorTable!$B$2:$Y$301, MATCH(ROUND(MIN(300,MAX(1,D429)),0), FactorTable!$A$2:$A$301,0), Skills!M7+1)</f>
        <v>1920</v>
      </c>
      <c r="F429">
        <f>IF(Skills!N7=TRUE,(Skills!L7/10)*(E429/1000),Skills!L7/10)+Skills!O7</f>
        <v>357.2</v>
      </c>
      <c r="G429">
        <f>Calc!G7</f>
        <v>3</v>
      </c>
      <c r="H429">
        <f>Calc!H7</f>
        <v>1</v>
      </c>
      <c r="I429">
        <f>IF(Skills!X7&lt;&gt;"",1+(Skills!X7/10)*(Z425/1000)/100,1)</f>
        <v>1.7650000000000001</v>
      </c>
      <c r="J429">
        <f>((Inputs!$B$6*(1+Inputs!$B$7/100))+(((Inputs!$B$12*(1+Inputs!$B$13/100))-(Inputs!$B$12*(1+Inputs!$B$13/100)))+0.25*(Inputs!$B$14-Inputs!$B$14))*(1+Inputs!$B$7/100))*(F429/100)</f>
        <v>1289972510.4086521</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11440318873772.086</v>
      </c>
      <c r="L429">
        <f>K429*(MIN(Inputs!$B$22+(F444-Calc!F22),((Inputs!$B$23+1)+(IF(ArtifactsInput!$M$15,CHOOSE(ArtifactsInput!$N$15+1,25,30,35,40,45,50)/100*(Inputs!$B$11-Inputs!$B$11),0))))/100+((Inputs!$B$23+1)+(IF(ArtifactsInput!$M$15,CHOOSE(ArtifactsInput!$N$15+1,25,30,35,40,45,50)/100*(Inputs!$B$11-Inputs!$B$11),0)))/100)/2</f>
        <v>38096261849661.047</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179776259668550.47</v>
      </c>
      <c r="N429">
        <f>L429*(1-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179776259668550.47</v>
      </c>
      <c r="O429">
        <f>(1-Summary!$B$11)*S429+Summary!$B$11*U429</f>
        <v>448586711937950.5</v>
      </c>
      <c r="P429">
        <f>IF(B463=0,0,O429/B463)</f>
        <v>1.3537499549121507E-2</v>
      </c>
      <c r="Q429">
        <f>IFERROR(1/(IF(Inputs!$B$38="pvp",15,MAX(0.1,Skills!E7-IF(TRUE=TRUE,Inputs!$B$32,0)))*(1-IF(AND(ArtifactsInput!$M$27,Inputs!$B$4="Chapter Hunt"),CHOOSE(ArtifactsInput!$N$27+1,20,24,28,32,36,40),0)/100)),0)</f>
        <v>4.0816326530612242E-2</v>
      </c>
      <c r="R429">
        <f>IF(AND(Inputs!$B$38&lt;&gt;"pvp",Inputs!$B$43&gt;0),IF(MAX(0,Inputs!$B$43-B460)&lt;=0,0,(INT(MAX(0,Inputs!$B$43-B460)/(IF(Inputs!$B$38="pvp",15,MAX(0.1,Skills!E7-IF(TRUE=TRUE,Inputs!$B$32,0)))*(1-IF(AND(ArtifactsInput!$M$27,Inputs!$B$4="Chapter Hunt"),CHOOSE(ArtifactsInput!$N$27+1,20,24,28,32,36,40),0)/100)))+1)),0)</f>
        <v>2</v>
      </c>
      <c r="S429">
        <f>IF(C429,(H429*N429*IF(AND(Inputs!$B$38&lt;&gt;"pvp",Inputs!$B$43&gt;0),((Skills!G7*((R429-1)*IF(Skills!H7&gt;0,Skills!I7/Skills!H7,1)+IF(Skills!H7&gt;0,MIN(Skills!I7,MAX(0,MAX(0,Inputs!$B$43-B460)-((R429-1)*(IF(Inputs!$B$38="pvp",15,MAX(0.1,Skills!E7-IF(TRUE=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85483611472395.75</v>
      </c>
      <c r="U429">
        <f>IF(C429,(H429*N429*IF(AND(Inputs!$B$38&lt;&gt;"pvp",Inputs!$B$43&gt;0),((Skills!G7*((R429-1)*IF(Skills!H7&gt;0,Skills!I7/Skills!H7,1)+IF(Skills!H7&gt;0,MIN(Skills!I7,MAX(0,MAX(0,Inputs!$B$43-B460)-((R429-1)*(IF(Inputs!$B$38="pvp",15,MAX(0.1,Skills!E7-IF(TRUE=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811689812403505.25</v>
      </c>
    </row>
    <row r="430" spans="1:26" x14ac:dyDescent="0.2">
      <c r="A430" t="str">
        <f>Skills!A8</f>
        <v>POISON_MIST_DOT</v>
      </c>
      <c r="B430" t="str">
        <f>Skills!B8</f>
        <v>Poison Mist (fog DoT)</v>
      </c>
      <c r="C430" t="b">
        <f>TRUE</f>
        <v>1</v>
      </c>
      <c r="D430">
        <f>IF(Skills!C8=1,60+Inputs!$B$25+Inputs!$B$29,IF(Skills!C8=2,90+Inputs!$B$26+Inputs!$B$29,IF(Skills!C8=3,120+Inputs!$B$27+Inputs!$B$29,MAX(0,(Inputs!$B$3-100)*3)+Inputs!$B$28+Inputs!$B$29)))</f>
        <v>184</v>
      </c>
      <c r="E430">
        <f>INDEX(FactorTable!$B$2:$Y$301, MATCH(ROUND(MIN(300,MAX(1,D430)),0), FactorTable!$A$2:$A$301,0), Skills!M8+1)</f>
        <v>1920</v>
      </c>
      <c r="F430">
        <f>IF(Skills!N8=TRUE,(Skills!L8/10)*(E430/1000),Skills!L8/10)+Skills!O8</f>
        <v>134.4</v>
      </c>
      <c r="G430">
        <f>Calc!G8</f>
        <v>50</v>
      </c>
      <c r="H430">
        <f>Calc!H8</f>
        <v>1</v>
      </c>
      <c r="I430">
        <f>IF(Skills!X8&lt;&gt;"",1+(Skills!X8/10)*(Z425/1000)/100,1)</f>
        <v>1.7650000000000001</v>
      </c>
      <c r="J430">
        <f>((Inputs!$B$6*(1+Inputs!$B$7/100))+(((Inputs!$B$12*(1+Inputs!$B$13/100))-(Inputs!$B$12*(1+Inputs!$B$13/100)))+0.25*(Inputs!$B$14-Inputs!$B$14))*(1+Inputs!$B$7/100))*(F430/100)</f>
        <v>485364796.74950409</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4304532073446.1597</v>
      </c>
      <c r="L430">
        <f>K430*(MIN(Inputs!$B$22+(F444-Calc!F22),((Inputs!$B$23+1)+(IF(ArtifactsInput!$M$15,CHOOSE(ArtifactsInput!$N$15+1,25,30,35,40,45,50)/100*(Inputs!$B$11-Inputs!$B$11),0))))/100+((Inputs!$B$23+1)+(IF(ArtifactsInput!$M$15,CHOOSE(ArtifactsInput!$N$15+1,25,30,35,40,45,50)/100*(Inputs!$B$11-Inputs!$B$11),0)))/100)/2</f>
        <v>14334091804575.713</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67642579225792.781</v>
      </c>
      <c r="N430">
        <f>L430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67642579225792.781</v>
      </c>
      <c r="O430">
        <f>(1-Summary!$B$11)*S430+Summary!$B$11*U430</f>
        <v>2330971938401418.5</v>
      </c>
      <c r="P430">
        <f>IF(B463=0,0,O430/B463)</f>
        <v>7.0344329703392813E-2</v>
      </c>
      <c r="Q430">
        <f>IFERROR(1/(IF(Inputs!$B$38="pvp",15,MAX(0.1,Skills!E8-IF(TRUE=TRUE,Inputs!$B$32,0)))*(1-IF(AND(ArtifactsInput!$M$27,Inputs!$B$4="Chapter Hunt"),CHOOSE(ArtifactsInput!$N$27+1,20,24,28,32,36,40),0)/100)),0)</f>
        <v>4.0816326530612242E-2</v>
      </c>
      <c r="R430">
        <f>IF(AND(Inputs!$B$38&lt;&gt;"pvp",Inputs!$B$43&gt;0),IF(MAX(0,Inputs!$B$43-B460)&lt;=0,0,(INT(MAX(0,Inputs!$B$43-B460)/(IF(Inputs!$B$38="pvp",15,MAX(0.1,Skills!E8-IF(TRUE=TRUE,Inputs!$B$32,0)))*(1-IF(AND(ArtifactsInput!$M$27,Inputs!$B$4="Chapter Hunt"),CHOOSE(ArtifactsInput!$N$27+1,20,24,28,32,36,40),0)/100)))+1)),0)</f>
        <v>2</v>
      </c>
      <c r="S430">
        <f>IF(C430,(H430*N430*IF(AND(Inputs!$B$38&lt;&gt;"pvp",Inputs!$B$43&gt;0),((Skills!G8*((R430-1)*IF(Skills!H8&gt;0,Skills!I8/Skills!H8,1)+IF(Skills!H8&gt;0,MIN(Skills!I8,MAX(0,MAX(0,Inputs!$B$43-B460)-((R430-1)*(IF(Inputs!$B$38="pvp",15,MAX(0.1,Skills!E8-IF(TRUE=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444194832866395.94</v>
      </c>
      <c r="U430">
        <f>IF(C430,(H430*N430*IF(AND(Inputs!$B$38&lt;&gt;"pvp",Inputs!$B$43&gt;0),((Skills!G8*((R430-1)*IF(Skills!H8&gt;0,Skills!I8/Skills!H8,1)+IF(Skills!H8&gt;0,MIN(Skills!I8,MAX(0,MAX(0,Inputs!$B$43-B460)-((R430-1)*(IF(Inputs!$B$38="pvp",15,MAX(0.1,Skills!E8-IF(TRUE=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4217749043936441</v>
      </c>
    </row>
    <row r="431" spans="1:26" x14ac:dyDescent="0.2">
      <c r="A431" t="str">
        <f>Skills!A9</f>
        <v>MIST_ERUPTION</v>
      </c>
      <c r="B431" t="str">
        <f>Skills!B9</f>
        <v>Mist Eruption</v>
      </c>
      <c r="C431" t="b">
        <f>Inputs!$B$3&gt;=103</f>
        <v>1</v>
      </c>
      <c r="D431">
        <f>IF(Skills!C9=1,60+Inputs!$B$25+Inputs!$B$29,IF(Skills!C9=2,90+Inputs!$B$26+Inputs!$B$29,IF(Skills!C9=3,120+Inputs!$B$27+Inputs!$B$29,MAX(0,(Inputs!$B$3-100)*3)+Inputs!$B$28+Inputs!$B$29)))</f>
        <v>185</v>
      </c>
      <c r="E431">
        <f>INDEX(FactorTable!$B$2:$Y$301, MATCH(ROUND(MIN(300,MAX(1,D431)),0), FactorTable!$A$2:$A$301,0), Skills!M9+1)</f>
        <v>1925</v>
      </c>
      <c r="F431">
        <f>IF(Skills!N9=TRUE,(Skills!L9/10)*(E431/1000),Skills!L9/10)+Skills!O9</f>
        <v>5775</v>
      </c>
      <c r="G431">
        <f>Calc!G9</f>
        <v>2.5</v>
      </c>
      <c r="H431">
        <f>Calc!H9</f>
        <v>1</v>
      </c>
      <c r="I431">
        <f>IF(Skills!X9&lt;&gt;"",1+(Skills!X9/10)*(Z425/1000)/100,1)</f>
        <v>1</v>
      </c>
      <c r="J431">
        <f>((Inputs!$B$6*(1+Inputs!$B$7/100))+(((Inputs!$B$12*(1+Inputs!$B$13/100))-(Inputs!$B$12*(1+Inputs!$B$13/100)))+0.25*(Inputs!$B$14-Inputs!$B$14))*(1+Inputs!$B$7/100))*(F431/100)</f>
        <v>20855518610.330254</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104793406533081.95</v>
      </c>
      <c r="L431">
        <f>K431*(MIN(Inputs!$B$22+(F444-Calc!F22),((Inputs!$B$23+1)+(IF(ArtifactsInput!$M$15,CHOOSE(ArtifactsInput!$N$15+1,25,30,35,40,45,50)/100*(Inputs!$B$11-Inputs!$B$11),0))))/100+((Inputs!$B$23+1)+(IF(ArtifactsInput!$M$15,CHOOSE(ArtifactsInput!$N$15+1,25,30,35,40,45,50)/100*(Inputs!$B$11-Inputs!$B$11),0)))/100)/2</f>
        <v>348962043755162.94</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1646751884480613.8</v>
      </c>
      <c r="N431">
        <f>L431*(1-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1646751884480613.8</v>
      </c>
      <c r="O431">
        <f>(1-Summary!$B$11)*S431+Summary!$B$11*U431</f>
        <v>3424214699791876</v>
      </c>
      <c r="P431">
        <f>IF(B463=0,0,O431/B463)</f>
        <v>0.10333633101673266</v>
      </c>
      <c r="Q431">
        <f>IFERROR(1/(IF(Inputs!$B$38="pvp",15,MAX(0.1,Skills!E9-IF(TRUE=TRUE,Inputs!$B$32,0)))*(1-IF(AND(ArtifactsInput!$M$27,Inputs!$B$4="Chapter Hunt"),CHOOSE(ArtifactsInput!$N$27+1,20,24,28,32,36,40),0)/100)),0)</f>
        <v>4.0816326530612242E-2</v>
      </c>
      <c r="R431">
        <f>IF(AND(Inputs!$B$38&lt;&gt;"pvp",Inputs!$B$43&gt;0),IF(MAX(0,Inputs!$B$43-B460)&lt;=0,0,(INT(MAX(0,Inputs!$B$43-B460)/(IF(Inputs!$B$38="pvp",15,MAX(0.1,Skills!E9-IF(TRUE=TRUE,Inputs!$B$32,0)))*(1-IF(AND(ArtifactsInput!$M$27,Inputs!$B$4="Chapter Hunt"),CHOOSE(ArtifactsInput!$N$27+1,20,24,28,32,36,40),0)/100)))+1)),0)</f>
        <v>2</v>
      </c>
      <c r="S431">
        <f>IF(C431,(H431*N431*IF(AND(Inputs!$B$38&lt;&gt;"pvp",Inputs!$B$43&gt;0),((Skills!G9*((R431-1)*IF(Skills!H9&gt;0,Skills!I9/Skills!H9,1)+IF(Skills!H9&gt;0,MIN(Skills!I9,MAX(0,MAX(0,Inputs!$B$43-B460)-((R431-1)*(IF(Inputs!$B$38="pvp",15,MAX(0.1,Skills!E9-IF(TRUE=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652525434225443.12</v>
      </c>
      <c r="U431">
        <f>IF(C431,(H431*N431*IF(AND(Inputs!$B$38&lt;&gt;"pvp",Inputs!$B$43&gt;0),((Skills!G9*((R431-1)*IF(Skills!H9&gt;0,Skills!I9/Skills!H9,1)+IF(Skills!H9&gt;0,MIN(Skills!I9,MAX(0,MAX(0,Inputs!$B$43-B460)-((R431-1)*(IF(Inputs!$B$38="pvp",15,MAX(0.1,Skills!E9-IF(TRUE=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6195903965358309</v>
      </c>
    </row>
    <row r="432" spans="1:26" x14ac:dyDescent="0.2">
      <c r="A432" t="str">
        <f>Skills!A10</f>
        <v>CREEPING_TOXIN</v>
      </c>
      <c r="B432" t="str">
        <f>Skills!B10</f>
        <v>Creeping Toxin</v>
      </c>
      <c r="C432" t="b">
        <f>TRUE</f>
        <v>1</v>
      </c>
      <c r="D432">
        <f>IF(Skills!C10=1,60+Inputs!$B$25+Inputs!$B$29,IF(Skills!C10=2,90+Inputs!$B$26+Inputs!$B$29,IF(Skills!C10=3,120+Inputs!$B$27+Inputs!$B$29,MAX(0,(Inputs!$B$3-100)*3)+Inputs!$B$28+Inputs!$B$29)))</f>
        <v>184</v>
      </c>
      <c r="E432">
        <f>INDEX(FactorTable!$B$2:$Y$301, MATCH(ROUND(MIN(300,MAX(1,D432)),0), FactorTable!$A$2:$A$301,0), Skills!M10+1)</f>
        <v>1920</v>
      </c>
      <c r="F432">
        <f>IF(Skills!N10=TRUE,(Skills!L10/10)*(E432/1000),Skills!L10/10)+Skills!O10</f>
        <v>280.39999999999998</v>
      </c>
      <c r="G432">
        <f>Calc!G10</f>
        <v>15</v>
      </c>
      <c r="H432">
        <f>Calc!H10</f>
        <v>1</v>
      </c>
      <c r="I432">
        <f>IF(Skills!X10&lt;&gt;"",1+(Skills!X10/10)*(Z425/1000)/100,1)</f>
        <v>1.7650000000000001</v>
      </c>
      <c r="J432">
        <f>((Inputs!$B$6*(1+Inputs!$B$7/100))+(((Inputs!$B$12*(1+Inputs!$B$13/100))-(Inputs!$B$12*(1+Inputs!$B$13/100)))+0.25*(Inputs!$B$14-Inputs!$B$14))*(1+Inputs!$B$7/100))*(F432/100)</f>
        <v>1012621197.9803641</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8980586260374.2793</v>
      </c>
      <c r="L432">
        <f>K432*(MIN(Inputs!$B$22+(F444-Calc!F22),((Inputs!$B$23+1)+(IF(ArtifactsInput!$M$15,CHOOSE(ArtifactsInput!$N$15+1,25,30,35,40,45,50)/100*(Inputs!$B$11-Inputs!$B$11),0))))/100+((Inputs!$B$23+1)+(IF(ArtifactsInput!$M$15,CHOOSE(ArtifactsInput!$N$15+1,25,30,35,40,45,50)/100*(Inputs!$B$11-Inputs!$B$11),0)))/100)/2</f>
        <v>29905352247046.352</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141123357253811.72</v>
      </c>
      <c r="N432">
        <f>L432*(1-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141123357253811.72</v>
      </c>
      <c r="O432">
        <f>(1-Summary!$B$11)*S432+Summary!$B$11*U432</f>
        <v>324811160053606.62</v>
      </c>
      <c r="P432">
        <f>IF(B463=0,0,O432/B463)</f>
        <v>9.8021872154419806E-3</v>
      </c>
      <c r="Q432">
        <f>IFERROR(1/(IF(Inputs!$B$38="pvp",15,MAX(0.1,Skills!E10-IF(TRUE=TRUE,Inputs!$B$32,0)))*(1-IF(AND(ArtifactsInput!$M$27,Inputs!$B$4="Chapter Hunt"),CHOOSE(ArtifactsInput!$N$27+1,20,24,28,32,36,40),0)/100)),0)</f>
        <v>3.7037037037037035E-2</v>
      </c>
      <c r="R432">
        <f>IF(AND(Inputs!$B$38&lt;&gt;"pvp",Inputs!$B$43&gt;0),IF(MAX(0,Inputs!$B$43-B460)&lt;=0,0,(INT(MAX(0,Inputs!$B$43-B460)/(IF(Inputs!$B$38="pvp",15,MAX(0.1,Skills!E10-IF(TRUE=TRUE,Inputs!$B$32,0)))*(1-IF(AND(ArtifactsInput!$M$27,Inputs!$B$4="Chapter Hunt"),CHOOSE(ArtifactsInput!$N$27+1,20,24,28,32,36,40),0)/100)))+1)),0)</f>
        <v>2</v>
      </c>
      <c r="S432">
        <f>IF(C432,(H432*N432*IF(AND(Inputs!$B$38&lt;&gt;"pvp",Inputs!$B$43&gt;0),((Skills!G10*((R432-1)*IF(Skills!H10&gt;0,Skills!I10/Skills!H10,1)+IF(Skills!H10&gt;0,MIN(Skills!I10,MAX(0,MAX(0,Inputs!$B$43-B460)-((R432-1)*(IF(Inputs!$B$38="pvp",15,MAX(0.1,Skills!E10-IF(TRUE=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286810968626722.31</v>
      </c>
      <c r="U432">
        <f>IF(C432,(H432*N432*IF(AND(Inputs!$B$38&lt;&gt;"pvp",Inputs!$B$43&gt;0),((Skills!G10*((R432-1)*IF(Skills!H10&gt;0,Skills!I10/Skills!H10,1)+IF(Skills!H10&gt;0,MIN(Skills!I10,MAX(0,MAX(0,Inputs!$B$43-B460)-((R432-1)*(IF(Inputs!$B$38="pvp",15,MAX(0.1,Skills!E10-IF(TRUE=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362811351480491</v>
      </c>
    </row>
    <row r="433" spans="1:21" x14ac:dyDescent="0.2">
      <c r="A433" t="str">
        <f>Skills!A11</f>
        <v>BURNING_MAGIC</v>
      </c>
      <c r="B433" t="str">
        <f>Skills!B11</f>
        <v>Burning Magic</v>
      </c>
      <c r="C433" t="b">
        <f>TRUE</f>
        <v>1</v>
      </c>
      <c r="D433">
        <f>IF(Skills!C11=1,60+Inputs!$B$25+Inputs!$B$29,IF(Skills!C11=2,90+Inputs!$B$26+Inputs!$B$29,IF(Skills!C11=3,120+Inputs!$B$27+Inputs!$B$29,MAX(0,(Inputs!$B$3-100)*3)+Inputs!$B$28+Inputs!$B$29)))</f>
        <v>184</v>
      </c>
      <c r="E433">
        <f>INDEX(FactorTable!$B$2:$Y$301, MATCH(ROUND(MIN(300,MAX(1,D433)),0), FactorTable!$A$2:$A$301,0), Skills!M11+1)</f>
        <v>0</v>
      </c>
      <c r="F433">
        <f>IF(Skills!N11=TRUE,(Skills!L11/10)*(E433/1000),Skills!L11/10)+Skills!O11</f>
        <v>5</v>
      </c>
      <c r="G433">
        <f>Calc!G11</f>
        <v>1</v>
      </c>
      <c r="H433">
        <f>Calc!H11</f>
        <v>1</v>
      </c>
      <c r="I433">
        <f>IF(Skills!X11&lt;&gt;"",1+(Skills!X11/10)*(Z425/1000)/100,1)</f>
        <v>1</v>
      </c>
      <c r="O433">
        <f>(1-Summary!$B$11)*S433+Summary!$B$11*U433</f>
        <v>0</v>
      </c>
      <c r="P433">
        <f>IF(B463=0,0,O433/B463)</f>
        <v>0</v>
      </c>
      <c r="Q433">
        <f>IFERROR(1/(IF(Inputs!$B$38="pvp",15,MAX(0.1,Skills!E11-IF(TRUE=TRUE,Inputs!$B$32,0)))*(1-IF(AND(ArtifactsInput!$M$27,Inputs!$B$4="Chapter Hunt"),CHOOSE(ArtifactsInput!$N$27+1,20,24,28,32,36,40),0)/100)),0)</f>
        <v>10</v>
      </c>
      <c r="R433">
        <v>0</v>
      </c>
      <c r="S433">
        <v>0</v>
      </c>
      <c r="U433">
        <v>0</v>
      </c>
    </row>
    <row r="434" spans="1:21" x14ac:dyDescent="0.2">
      <c r="A434" t="str">
        <f>Skills!A12</f>
        <v>ELEMENTAL_DECREASE</v>
      </c>
      <c r="B434" t="str">
        <f>Skills!B12</f>
        <v>Elemental Decrease</v>
      </c>
      <c r="C434" t="b">
        <f>TRUE</f>
        <v>1</v>
      </c>
      <c r="D434">
        <f>IF(Skills!C12=1,60+Inputs!$B$25+Inputs!$B$29,IF(Skills!C12=2,90+Inputs!$B$26+Inputs!$B$29,IF(Skills!C12=3,120+Inputs!$B$27+Inputs!$B$29,MAX(0,(Inputs!$B$3-100)*3)+Inputs!$B$28+Inputs!$B$29)))</f>
        <v>184</v>
      </c>
      <c r="E434">
        <f>INDEX(FactorTable!$B$2:$Y$301, MATCH(ROUND(MIN(300,MAX(1,D434)),0), FactorTable!$A$2:$A$301,0), Skills!M12+1)</f>
        <v>1552</v>
      </c>
      <c r="F434">
        <f>IF(Skills!N12=TRUE,(Skills!L12/10)*(E434/1000),Skills!L12/10)+Skills!O12</f>
        <v>18.624000000000002</v>
      </c>
      <c r="G434">
        <f>Calc!G12</f>
        <v>1</v>
      </c>
      <c r="H434">
        <f>Calc!H12</f>
        <v>0.5</v>
      </c>
      <c r="I434">
        <f>IF(Skills!X12&lt;&gt;"",1+(Skills!X12/10)*(Z425/1000)/100,1)</f>
        <v>1</v>
      </c>
      <c r="O434">
        <f>(1-Summary!$B$11)*S434+Summary!$B$11*U434</f>
        <v>0</v>
      </c>
      <c r="P434">
        <f>IF(B463=0,0,O434/B463)</f>
        <v>0</v>
      </c>
      <c r="Q434">
        <f>IFERROR(1/(IF(Inputs!$B$38="pvp",15,MAX(0.1,Skills!E12-IF(TRUE=TRUE,Inputs!$B$32,0)))*(1-IF(AND(ArtifactsInput!$M$27,Inputs!$B$4="Chapter Hunt"),CHOOSE(ArtifactsInput!$N$27+1,20,24,28,32,36,40),0)/100)),0)</f>
        <v>10</v>
      </c>
      <c r="R434">
        <v>0</v>
      </c>
      <c r="S434">
        <v>0</v>
      </c>
      <c r="U434">
        <v>0</v>
      </c>
    </row>
    <row r="435" spans="1:21" x14ac:dyDescent="0.2">
      <c r="A435" t="str">
        <f>Skills!A13</f>
        <v>METEOR_SHOWER_BURST</v>
      </c>
      <c r="B435" t="str">
        <f>Skills!B13</f>
        <v>Meteor Shower (burst)</v>
      </c>
      <c r="C435" t="b">
        <f>Inputs!$B$3&gt;=105</f>
        <v>1</v>
      </c>
      <c r="D435">
        <f>IF(Skills!C13=1,60+Inputs!$B$25+Inputs!$B$29,IF(Skills!C13=2,90+Inputs!$B$26+Inputs!$B$29,IF(Skills!C13=3,120+Inputs!$B$27+Inputs!$B$29,MAX(0,(Inputs!$B$3-100)*3)+Inputs!$B$28+Inputs!$B$29)))</f>
        <v>185</v>
      </c>
      <c r="E435">
        <f>INDEX(FactorTable!$B$2:$Y$301, MATCH(ROUND(MIN(300,MAX(1,D435)),0), FactorTable!$A$2:$A$301,0), Skills!M13+1)</f>
        <v>1925</v>
      </c>
      <c r="F435">
        <f>IF(Skills!N13=TRUE,(Skills!L13/10)*(E435/1000),Skills!L13/10)+Skills!O13</f>
        <v>1155</v>
      </c>
      <c r="G435">
        <f>Calc!G13</f>
        <v>9</v>
      </c>
      <c r="H435">
        <f>Calc!H13</f>
        <v>1</v>
      </c>
      <c r="I435">
        <f>IF(Skills!X13&lt;&gt;"",1+(Skills!X13/10)*(Z425/1000)/100,1)</f>
        <v>1</v>
      </c>
      <c r="J435">
        <f>((Inputs!$B$6*(1+Inputs!$B$7/100))+(((Inputs!$B$12*(1+Inputs!$B$13/100))-(Inputs!$B$12*(1+Inputs!$B$13/100)))+0.25*(Inputs!$B$14-Inputs!$B$14))*(1+Inputs!$B$7/100))*(F435/100)</f>
        <v>4171103722.0660505</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20958681306616.391</v>
      </c>
      <c r="L435">
        <f>K435*(MIN(Inputs!$B$22+(F444-Calc!F22),((Inputs!$B$23+1)+(IF(ArtifactsInput!$M$15,CHOOSE(ArtifactsInput!$N$15+1,25,30,35,40,45,50)/100*(Inputs!$B$11-Inputs!$B$11),0))))/100+((Inputs!$B$23+1)+(IF(ArtifactsInput!$M$15,CHOOSE(ArtifactsInput!$N$15+1,25,30,35,40,45,50)/100*(Inputs!$B$11-Inputs!$B$11),0)))/100)/2</f>
        <v>69792408751032.586</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329350376896122.75</v>
      </c>
      <c r="N435">
        <f>L435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329350376896122.75</v>
      </c>
      <c r="O435">
        <f>(1-Summary!$B$11)*S435+Summary!$B$11*U435</f>
        <v>1796276955591453.5</v>
      </c>
      <c r="P435">
        <f>IF(B463=0,0,O435/B463)</f>
        <v>5.4208245204954375E-2</v>
      </c>
      <c r="Q435">
        <f>IFERROR(1/(IF(Inputs!$B$38="pvp",15,MAX(0.1,Skills!E13-IF(TRUE=TRUE,Inputs!$B$32,0)))*(1-IF(AND(ArtifactsInput!$M$27,Inputs!$B$4="Chapter Hunt"),CHOOSE(ArtifactsInput!$N$27+1,20,24,28,32,36,40),0)/100)),0)</f>
        <v>3.0303030303030304E-2</v>
      </c>
      <c r="R435">
        <f>IF(AND(Inputs!$B$38&lt;&gt;"pvp",Inputs!$B$43&gt;0),IF(MAX(0,Inputs!$B$43-B460)&lt;=0,0,(INT(MAX(0,Inputs!$B$43-B460)/(IF(Inputs!$B$38="pvp",15,MAX(0.1,Skills!E13-IF(TRUE=TRUE,Inputs!$B$32,0)))*(1-IF(AND(ArtifactsInput!$M$27,Inputs!$B$4="Chapter Hunt"),CHOOSE(ArtifactsInput!$N$27+1,20,24,28,32,36,40),0)/100)))+1)),0)</f>
        <v>2</v>
      </c>
      <c r="S435">
        <f>IF(C435,(H435*N435*IF(AND(Inputs!$B$38&lt;&gt;"pvp",Inputs!$B$43&gt;0),((Skills!G13*((R435-1)*IF(Skills!H13&gt;0,Skills!I13/Skills!H13,1)+IF(Skills!H13&gt;0,MIN(Skills!I13,MAX(0,MAX(0,Inputs!$B$43-B460)-((R435-1)*(IF(Inputs!$B$38="pvp",15,MAX(0.1,Skills!E13-IF(TRUE=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469818312642319.12</v>
      </c>
      <c r="U435">
        <f>IF(C435,(H435*N435*IF(AND(Inputs!$B$38&lt;&gt;"pvp",Inputs!$B$43&gt;0),((Skills!G13*((R435-1)*IF(Skills!H13&gt;0,Skills!I13/Skills!H13,1)+IF(Skills!H13&gt;0,MIN(Skills!I13,MAX(0,MAX(0,Inputs!$B$43-B460)-((R435-1)*(IF(Inputs!$B$38="pvp",15,MAX(0.1,Skills!E13-IF(TRUE=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3122735598540588</v>
      </c>
    </row>
    <row r="436" spans="1:21" x14ac:dyDescent="0.2">
      <c r="A436" t="str">
        <f>Skills!A14</f>
        <v>METEOR_PROC</v>
      </c>
      <c r="B436" t="str">
        <f>Skills!B14</f>
        <v>Meteor Proc (30% on-hit, 1s ICD)</v>
      </c>
      <c r="C436" t="b">
        <f>Inputs!$B$3&gt;=113</f>
        <v>1</v>
      </c>
      <c r="D436">
        <f>IF(Skills!C14=1,60+Inputs!$B$25+Inputs!$B$29,IF(Skills!C14=2,90+Inputs!$B$26+Inputs!$B$29,IF(Skills!C14=3,120+Inputs!$B$27+Inputs!$B$29,MAX(0,(Inputs!$B$3-100)*3)+Inputs!$B$28+Inputs!$B$29)))</f>
        <v>185</v>
      </c>
      <c r="E436">
        <f>INDEX(FactorTable!$B$2:$Y$301, MATCH(ROUND(MIN(300,MAX(1,D436)),0), FactorTable!$A$2:$A$301,0), Skills!M14+1)</f>
        <v>1740</v>
      </c>
      <c r="F436">
        <f>IF(Skills!N14=TRUE,(Skills!L14/10)*(E436/1000),Skills!L14/10)+Skills!O14</f>
        <v>1653</v>
      </c>
      <c r="G436">
        <f>Calc!G14</f>
        <v>0</v>
      </c>
      <c r="H436">
        <f>Calc!H14</f>
        <v>0.30000000000000004</v>
      </c>
      <c r="I436">
        <f>IF(Skills!X14&lt;&gt;"",1+(Skills!X14/10)*(Z425/1000)/100,1)</f>
        <v>1</v>
      </c>
      <c r="J436">
        <f>((Inputs!$B$6*(1+Inputs!$B$7/100))+(((Inputs!$B$12*(1+Inputs!$B$13/100))-(Inputs!$B$12*(1+Inputs!$B$13/100)))+0.25*(Inputs!$B$14-Inputs!$B$14))*(1+Inputs!$B$7/100))*(F436/100)</f>
        <v>5969553638.5932312</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29995411428430.203</v>
      </c>
      <c r="L436">
        <f>K436*(MIN(Inputs!$B$22+(F444-Calc!F22),((Inputs!$B$23+1)+(IF(ArtifactsInput!$M$15,CHOOSE(ArtifactsInput!$N$15+1,25,30,35,40,45,50)/100*(Inputs!$B$11-Inputs!$B$11),0))))/100+((Inputs!$B$23+1)+(IF(ArtifactsInput!$M$15,CHOOSE(ArtifactsInput!$N$15+1,25,30,35,40,45,50)/100*(Inputs!$B$11-Inputs!$B$11),0)))/100)/2</f>
        <v>99884720056672.578</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471355993947437.81</v>
      </c>
      <c r="N436">
        <f>L436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471355993947437.81</v>
      </c>
      <c r="O436">
        <f>(1-Summary!$B$11)*S436+Summary!$B$11*U436</f>
        <v>461951818893600.25</v>
      </c>
      <c r="P436">
        <f>IF(B463=0,0,O436/B463)</f>
        <v>1.3940833229257569E-2</v>
      </c>
      <c r="Q436">
        <f>IFERROR(1/(IF(Inputs!$B$38="pvp",15,MAX(0.1,Skills!E14-IF(TRUE=TRUE,Inputs!$B$32,0)))*(1-IF(AND(ArtifactsInput!$M$27,Inputs!$B$4="Chapter Hunt"),CHOOSE(ArtifactsInput!$N$27+1,20,24,28,32,36,40),0)/100)),0)</f>
        <v>10</v>
      </c>
      <c r="R436">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473911736534858.56</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449991901252342</v>
      </c>
    </row>
    <row r="437" spans="1:21" x14ac:dyDescent="0.2">
      <c r="A437" t="str">
        <f>Skills!A15</f>
        <v>FLAME_HAZE_BURST</v>
      </c>
      <c r="B437" t="str">
        <f>Skills!B15</f>
        <v>Flame Haze (burst)</v>
      </c>
      <c r="C437" t="b">
        <f>Inputs!$B$3&gt;=107</f>
        <v>1</v>
      </c>
      <c r="D437">
        <f>IF(Skills!C15=1,60+Inputs!$B$25+Inputs!$B$29,IF(Skills!C15=2,90+Inputs!$B$26+Inputs!$B$29,IF(Skills!C15=3,120+Inputs!$B$27+Inputs!$B$29,MAX(0,(Inputs!$B$3-100)*3)+Inputs!$B$28+Inputs!$B$29)))</f>
        <v>185</v>
      </c>
      <c r="E437">
        <f>INDEX(FactorTable!$B$2:$Y$301, MATCH(ROUND(MIN(300,MAX(1,D437)),0), FactorTable!$A$2:$A$301,0), Skills!M15+1)</f>
        <v>1925</v>
      </c>
      <c r="F437">
        <f>IF(Skills!N15=TRUE,(Skills!L15/10)*(E437/1000),Skills!L15/10)+Skills!O15</f>
        <v>2310</v>
      </c>
      <c r="G437">
        <f>Calc!G15</f>
        <v>3</v>
      </c>
      <c r="H437">
        <f>Calc!H15</f>
        <v>1</v>
      </c>
      <c r="I437">
        <f>IF(Skills!X15&lt;&gt;"",1+(Skills!X15/10)*(Z425/1000)/100,1)</f>
        <v>1</v>
      </c>
      <c r="J437">
        <f>((Inputs!$B$6*(1+Inputs!$B$7/100))+(((Inputs!$B$12*(1+Inputs!$B$13/100))-(Inputs!$B$12*(1+Inputs!$B$13/100)))+0.25*(Inputs!$B$14-Inputs!$B$14))*(1+Inputs!$B$7/100))*(F437/100)</f>
        <v>8342207444.1321011</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41917362613232.781</v>
      </c>
      <c r="L437">
        <f>K437*(MIN(Inputs!$B$22+(F444-Calc!F22),((Inputs!$B$23+1)+(IF(ArtifactsInput!$M$15,CHOOSE(ArtifactsInput!$N$15+1,25,30,35,40,45,50)/100*(Inputs!$B$11-Inputs!$B$11),0))))/100+((Inputs!$B$23+1)+(IF(ArtifactsInput!$M$15,CHOOSE(ArtifactsInput!$N$15+1,25,30,35,40,45,50)/100*(Inputs!$B$11-Inputs!$B$11),0)))/100)/2</f>
        <v>139584817502065.17</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658700753792245.5</v>
      </c>
      <c r="N437">
        <f>L437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658700753792245.5</v>
      </c>
      <c r="O437">
        <f>(1-Summary!$B$11)*S437+Summary!$B$11*U437</f>
        <v>1643623055900100.5</v>
      </c>
      <c r="P437">
        <f>IF(B463=0,0,O437/B463)</f>
        <v>4.9601438888031681E-2</v>
      </c>
      <c r="Q437">
        <f>IFERROR(1/(IF(Inputs!$B$38="pvp",15,MAX(0.1,Skills!E15-IF(TRUE=TRUE,Inputs!$B$32,0)))*(1-IF(AND(ArtifactsInput!$M$27,Inputs!$B$4="Chapter Hunt"),CHOOSE(ArtifactsInput!$N$27+1,20,24,28,32,36,40),0)/100)),0)</f>
        <v>0.04</v>
      </c>
      <c r="R437">
        <f>IF(AND(Inputs!$B$38&lt;&gt;"pvp",Inputs!$B$43&gt;0),IF(MAX(0,Inputs!$B$43-B460)&lt;=0,0,(INT(MAX(0,Inputs!$B$43-B460)/(IF(Inputs!$B$38="pvp",15,MAX(0.1,Skills!E15-IF(TRUE=TRUE,Inputs!$B$32,0)))*(1-IF(AND(ArtifactsInput!$M$27,Inputs!$B$4="Chapter Hunt"),CHOOSE(ArtifactsInput!$N$27+1,20,24,28,32,36,40),0)/100)))+1)),0)</f>
        <v>2</v>
      </c>
      <c r="S437">
        <f>IF(C437,(H437*N437*IF(AND(Inputs!$B$38&lt;&gt;"pvp",Inputs!$B$43&gt;0),((Skills!G15*((R437-1)*IF(Skills!H15&gt;0,Skills!I15/Skills!H15,1)+IF(Skills!H15&gt;0,MIN(Skills!I15,MAX(0,MAX(0,Inputs!$B$43-B460)-((R437-1)*(IF(Inputs!$B$38="pvp",15,MAX(0.1,Skills!E15-IF(TRUE=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313212208428212.75</v>
      </c>
      <c r="U437">
        <f>IF(C437,(H437*N437*IF(AND(Inputs!$B$38&lt;&gt;"pvp",Inputs!$B$43&gt;0),((Skills!G15*((R437-1)*IF(Skills!H15&gt;0,Skills!I15/Skills!H15,1)+IF(Skills!H15&gt;0,MIN(Skills!I15,MAX(0,MAX(0,Inputs!$B$43-B460)-((R437-1)*(IF(Inputs!$B$38="pvp",15,MAX(0.1,Skills!E15-IF(TRUE=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2974033903371988.5</v>
      </c>
    </row>
    <row r="438" spans="1:21" x14ac:dyDescent="0.2">
      <c r="A438" t="str">
        <f>Skills!A16</f>
        <v>FLAME_HAZE_DOT</v>
      </c>
      <c r="B438" t="str">
        <f>Skills!B16</f>
        <v>Flame Haze (burn DoT)</v>
      </c>
      <c r="C438" t="b">
        <f>Inputs!$B$3&gt;=107</f>
        <v>1</v>
      </c>
      <c r="D438">
        <f>IF(Skills!C16=1,60+Inputs!$B$25+Inputs!$B$29,IF(Skills!C16=2,90+Inputs!$B$26+Inputs!$B$29,IF(Skills!C16=3,120+Inputs!$B$27+Inputs!$B$29,MAX(0,(Inputs!$B$3-100)*3)+Inputs!$B$28+Inputs!$B$29)))</f>
        <v>185</v>
      </c>
      <c r="E438">
        <f>INDEX(FactorTable!$B$2:$Y$301, MATCH(ROUND(MIN(300,MAX(1,D438)),0), FactorTable!$A$2:$A$301,0), Skills!M16+1)</f>
        <v>1925</v>
      </c>
      <c r="F438">
        <f>IF(Skills!N16=TRUE,(Skills!L16/10)*(E438/1000),Skills!L16/10)+Skills!O16</f>
        <v>288.75</v>
      </c>
      <c r="G438">
        <f>Calc!G16</f>
        <v>30</v>
      </c>
      <c r="H438">
        <f>Calc!H16</f>
        <v>1</v>
      </c>
      <c r="I438">
        <f>IF(Skills!X16&lt;&gt;"",1+(Skills!X16/10)*(Z425/1000)/100,1)</f>
        <v>1</v>
      </c>
      <c r="J438">
        <f>((Inputs!$B$6*(1+Inputs!$B$7/100))+(((Inputs!$B$12*(1+Inputs!$B$13/100))-(Inputs!$B$12*(1+Inputs!$B$13/100)))+0.25*(Inputs!$B$14-Inputs!$B$14))*(1+Inputs!$B$7/100))*(F438/100)</f>
        <v>1042775930.5165126</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5239670326654.0977</v>
      </c>
      <c r="L438">
        <f>K438*(MIN(Inputs!$B$22+(F444-Calc!F22),((Inputs!$B$23+1)+(IF(ArtifactsInput!$M$15,CHOOSE(ArtifactsInput!$N$15+1,25,30,35,40,45,50)/100*(Inputs!$B$11-Inputs!$B$11),0))))/100+((Inputs!$B$23+1)+(IF(ArtifactsInput!$M$15,CHOOSE(ArtifactsInput!$N$15+1,25,30,35,40,45,50)/100*(Inputs!$B$11-Inputs!$B$11),0)))/100)/2</f>
        <v>17448102187758.146</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82337594224030.688</v>
      </c>
      <c r="N438">
        <f>L438*(1-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82337594224030.688</v>
      </c>
      <c r="O438">
        <f>(1-Summary!$B$11)*S438+Summary!$B$11*U438</f>
        <v>1893227611990280.8</v>
      </c>
      <c r="P438">
        <f>IF(B463=0,0,O438/B463)</f>
        <v>5.7134032867313174E-2</v>
      </c>
      <c r="Q438">
        <f>IFERROR(1/(IF(Inputs!$B$38="pvp",15,MAX(0.1,Skills!E16-IF(TRUE=TRUE,Inputs!$B$32,0)))*(1-IF(AND(ArtifactsInput!$M$27,Inputs!$B$4="Chapter Hunt"),CHOOSE(ArtifactsInput!$N$27+1,20,24,28,32,36,40),0)/100)),0)</f>
        <v>0.04</v>
      </c>
      <c r="R438">
        <f>IF(AND(Inputs!$B$38&lt;&gt;"pvp",Inputs!$B$43&gt;0),IF(MAX(0,Inputs!$B$43-B460)&lt;=0,0,(INT(MAX(0,Inputs!$B$43-B460)/(IF(Inputs!$B$38="pvp",15,MAX(0.1,Skills!E16-IF(TRUE=TRUE,Inputs!$B$32,0)))*(1-IF(AND(ArtifactsInput!$M$27,Inputs!$B$4="Chapter Hunt"),CHOOSE(ArtifactsInput!$N$27+1,20,24,28,32,36,40),0)/100)))+1)),0)</f>
        <v>2</v>
      </c>
      <c r="S438">
        <f>IF(C438,(H438*N438*IF(AND(Inputs!$B$38&lt;&gt;"pvp",Inputs!$B$43&gt;0),((Skills!G16*((R438-1)*IF(Skills!H16&gt;0,Skills!I16/Skills!H16,1)+IF(Skills!H16&gt;0,MIN(Skills!I16,MAX(0,MAX(0,Inputs!$B$43-B460)-((R438-1)*(IF(Inputs!$B$38="pvp",15,MAX(0.1,Skills!E16-IF(TRUE=TRUE,Inputs!$B$32,0)))*(1-IF(AND(ArtifactsInput!$M$27,Inputs!$B$4="Chapter Hunt"),CHOOSE(ArtifactsInput!$N$27+1,20,24,28,32,36,40),0)/100)))))/Skills!H16,1)))/Inputs!$B$43),G438*Q438)*(1+IF(Inputs!$B$3&gt;=126,0.05*(B458+Q435+(H436*B459)/(1+Skills!H14*H436*B459)+Q446),0)*(1/Q437)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360777368801273.81</v>
      </c>
      <c r="U438">
        <f>IF(C438,(H438*N438*IF(AND(Inputs!$B$38&lt;&gt;"pvp",Inputs!$B$43&gt;0),((Skills!G16*((R438-1)*IF(Skills!H16&gt;0,Skills!I16/Skills!H16,1)+IF(Skills!H16&gt;0,MIN(Skills!I16,MAX(0,MAX(0,Inputs!$B$43-B460)-((R438-1)*(IF(Inputs!$B$38="pvp",15,MAX(0.1,Skills!E16-IF(TRUE=TRUE,Inputs!$B$32,0)))*(1-IF(AND(ArtifactsInput!$M$27,Inputs!$B$4="Chapter Hunt"),CHOOSE(ArtifactsInput!$N$27+1,20,24,28,32,36,40),0)/100)))))/Skills!H16,1)))/Inputs!$B$43),G438*Q438)*(1+IF(Inputs!$B$3&gt;=126,0.05*(B458+Q435+(H436*B459)/(1+Skills!H14*H436*B459)+Q446),0)*(1/Q437)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3425677855179287.5</v>
      </c>
    </row>
    <row r="439" spans="1:21" x14ac:dyDescent="0.2">
      <c r="A439" t="str">
        <f>Skills!A17</f>
        <v>MAGIC_GUARD</v>
      </c>
      <c r="B439" t="str">
        <f>Skills!B17</f>
        <v>Magic Guard</v>
      </c>
      <c r="C439" t="b">
        <f>TRUE</f>
        <v>1</v>
      </c>
      <c r="D439">
        <f>IF(Skills!C17=1,60+Inputs!$B$25+Inputs!$B$29,IF(Skills!C17=2,90+Inputs!$B$26+Inputs!$B$29,IF(Skills!C17=3,120+Inputs!$B$27+Inputs!$B$29,MAX(0,(Inputs!$B$3-100)*3)+Inputs!$B$28+Inputs!$B$29)))</f>
        <v>127</v>
      </c>
      <c r="E439">
        <f>INDEX(FactorTable!$B$2:$Y$301, MATCH(ROUND(MIN(300,MAX(1,D439)),0), FactorTable!$A$2:$A$301,0), Skills!M17+1)</f>
        <v>1508</v>
      </c>
      <c r="F439">
        <f>IF(Skills!N17=TRUE,(Skills!L17/10)*(E439/1000),Skills!L17/10)+Skills!O17</f>
        <v>18.096</v>
      </c>
      <c r="G439">
        <f>Calc!G17</f>
        <v>1</v>
      </c>
      <c r="H439">
        <f>Calc!H17</f>
        <v>1</v>
      </c>
      <c r="I439">
        <f>IF(Skills!X17&lt;&gt;"",1+(Skills!X17/10)*(Z425/1000)/100,1)</f>
        <v>1</v>
      </c>
      <c r="O439">
        <f>(1-Summary!$B$11)*S439+Summary!$B$11*U439</f>
        <v>0</v>
      </c>
      <c r="P439">
        <f>IF(B463=0,0,O439/B463)</f>
        <v>0</v>
      </c>
      <c r="Q439">
        <f>IFERROR(1/(IF(Inputs!$B$38="pvp",15,MAX(0.1,Skills!E17-IF(TRUE=TRUE,Inputs!$B$32,0)))*(1-IF(AND(ArtifactsInput!$M$27,Inputs!$B$4="Chapter Hunt"),CHOOSE(ArtifactsInput!$N$27+1,20,24,28,32,36,40),0)/100)),0)</f>
        <v>4.7619047619047616E-2</v>
      </c>
      <c r="R439">
        <f>IF(AND(Inputs!$B$38&lt;&gt;"pvp",Inputs!$B$43&gt;0),IF(Inputs!$B$43&lt;=0,0,(INT(Inputs!$B$43/(IF(Inputs!$B$38="pvp",15,MAX(0.1,Skills!E17-IF(TRUE=TRUE,Inputs!$B$32,0)))*(1-IF(AND(ArtifactsInput!$M$27,Inputs!$B$4="Chapter Hunt"),CHOOSE(ArtifactsInput!$N$27+1,20,24,28,32,36,40),0)/100)))+1)),0)</f>
        <v>2</v>
      </c>
      <c r="S439">
        <v>0</v>
      </c>
      <c r="U439">
        <v>0</v>
      </c>
    </row>
    <row r="440" spans="1:21" x14ac:dyDescent="0.2">
      <c r="A440" t="str">
        <f>Skills!A18</f>
        <v>NIMBLE_FEET</v>
      </c>
      <c r="B440" t="str">
        <f>Skills!B18</f>
        <v>Nimble Feet</v>
      </c>
      <c r="C440" t="b">
        <f>TRUE</f>
        <v>1</v>
      </c>
      <c r="D440">
        <f>IF(Skills!C18=1,60+Inputs!$B$25+Inputs!$B$29,IF(Skills!C18=2,90+Inputs!$B$26+Inputs!$B$29,IF(Skills!C18=3,120+Inputs!$B$27+Inputs!$B$29,MAX(0,(Inputs!$B$3-100)*3)+Inputs!$B$28+Inputs!$B$29)))</f>
        <v>127</v>
      </c>
      <c r="E440">
        <f>INDEX(FactorTable!$B$2:$Y$301, MATCH(ROUND(MIN(300,MAX(1,D440)),0), FactorTable!$A$2:$A$301,0), Skills!M18+1)</f>
        <v>0</v>
      </c>
      <c r="F440">
        <f>IF(Skills!N18=TRUE,(Skills!L18/10)*(E440/1000),Skills!L18/10)+Skills!O18</f>
        <v>15</v>
      </c>
      <c r="G440">
        <f>Calc!G18</f>
        <v>1</v>
      </c>
      <c r="H440">
        <f>Calc!H18</f>
        <v>1</v>
      </c>
      <c r="I440">
        <f>IF(Skills!X18&lt;&gt;"",1+(Skills!X18/10)*(Z425/1000)/100,1)</f>
        <v>1</v>
      </c>
      <c r="O440">
        <f>(1-Summary!$B$11)*S440+Summary!$B$11*U440</f>
        <v>0</v>
      </c>
      <c r="P440">
        <f>IF(B463=0,0,O440/B463)</f>
        <v>0</v>
      </c>
      <c r="Q440">
        <f>IFERROR(1/(IF(Inputs!$B$38="pvp",15,MAX(0.1,Skills!E18-IF(TRUE=TRUE,Inputs!$B$32,0)))*(1-IF(AND(ArtifactsInput!$M$27,Inputs!$B$4="Chapter Hunt"),CHOOSE(ArtifactsInput!$N$27+1,20,24,28,32,36,40),0)/100)),0)</f>
        <v>1.6666666666666666E-2</v>
      </c>
      <c r="R440">
        <f>IF(AND(Inputs!$B$38&lt;&gt;"pvp",Inputs!$B$43&gt;0),IF(Inputs!$B$43&lt;=0,0,(INT(Inputs!$B$43/(IF(Inputs!$B$38="pvp",15,MAX(0.1,Skills!E18-IF(TRUE=TRUE,Inputs!$B$32,0)))*(1-IF(AND(ArtifactsInput!$M$27,Inputs!$B$4="Chapter Hunt"),CHOOSE(ArtifactsInput!$N$27+1,20,24,28,32,36,40),0)/100)))+1)),0)</f>
        <v>1</v>
      </c>
      <c r="S440">
        <v>0</v>
      </c>
      <c r="U440">
        <v>0</v>
      </c>
    </row>
    <row r="441" spans="1:21" x14ac:dyDescent="0.2">
      <c r="A441" t="str">
        <f>Skills!A19</f>
        <v>INFINITY</v>
      </c>
      <c r="B441" t="str">
        <f>Skills!B19</f>
        <v>Infinity</v>
      </c>
      <c r="C441" t="b">
        <f>Inputs!$B$3&gt;=110</f>
        <v>1</v>
      </c>
      <c r="D441">
        <f>IF(Skills!C19=1,60+Inputs!$B$25+Inputs!$B$29,IF(Skills!C19=2,90+Inputs!$B$26+Inputs!$B$29,IF(Skills!C19=3,120+Inputs!$B$27+Inputs!$B$29,MAX(0,(Inputs!$B$3-100)*3)+Inputs!$B$28+Inputs!$B$29)))</f>
        <v>185</v>
      </c>
      <c r="E441">
        <f>INDEX(FactorTable!$B$2:$Y$301, MATCH(ROUND(MIN(300,MAX(1,D441)),0), FactorTable!$A$2:$A$301,0), Skills!M19+1)</f>
        <v>1740</v>
      </c>
      <c r="F441">
        <f>IF(Skills!N19=TRUE,(Skills!L19/10)*(E441/1000),Skills!L19/10)+Skills!O19</f>
        <v>37.700579999999995</v>
      </c>
      <c r="G441">
        <f>Calc!G19</f>
        <v>1</v>
      </c>
      <c r="H441">
        <f>Calc!H19</f>
        <v>1</v>
      </c>
      <c r="I441">
        <f>IF(Skills!X19&lt;&gt;"",1+(Skills!X19/10)*(Z425/1000)/100,1)</f>
        <v>1</v>
      </c>
      <c r="O441">
        <f>(1-Summary!$B$11)*S441+Summary!$B$11*U441</f>
        <v>0</v>
      </c>
      <c r="P441">
        <f>IF(B463=0,0,O441/B463)</f>
        <v>0</v>
      </c>
      <c r="Q441">
        <f>IFERROR(1/(IF(Inputs!$B$38="pvp",15,MAX(0.1,Skills!E19-IF(TRUE=TRUE,Inputs!$B$32,0)))*(1-IF(AND(ArtifactsInput!$M$27,Inputs!$B$4="Chapter Hunt"),CHOOSE(ArtifactsInput!$N$27+1,20,24,28,32,36,40),0)/100)),0)</f>
        <v>3.3333333333333333E-2</v>
      </c>
      <c r="R441">
        <f>IF(AND(Inputs!$B$38&lt;&gt;"pvp",Inputs!$B$43&gt;0),IF(Inputs!$B$43&lt;=0,0,(INT(Inputs!$B$43/(IF(Inputs!$B$38="pvp",15,MAX(0.1,Skills!E19-IF(TRUE=TRUE,Inputs!$B$32,0)))*(1-IF(AND(ArtifactsInput!$M$27,Inputs!$B$4="Chapter Hunt"),CHOOSE(ArtifactsInput!$N$27+1,20,24,28,32,36,40),0)/100)))+1)),0)</f>
        <v>2</v>
      </c>
      <c r="S441">
        <v>0</v>
      </c>
      <c r="U441">
        <v>0</v>
      </c>
    </row>
    <row r="442" spans="1:21" x14ac:dyDescent="0.2">
      <c r="A442" t="str">
        <f>Skills!A20</f>
        <v>MAGIC_CRITICAL_RATE</v>
      </c>
      <c r="B442" t="str">
        <f>Skills!B20</f>
        <v>Magic Critical (Crit Rate)</v>
      </c>
      <c r="C442" t="b">
        <f>TRUE</f>
        <v>1</v>
      </c>
      <c r="D442">
        <f>IF(Skills!C20=1,60+Inputs!$B$25+Inputs!$B$29,IF(Skills!C20=2,90+Inputs!$B$26+Inputs!$B$29,IF(Skills!C20=3,120+Inputs!$B$27+Inputs!$B$29,MAX(0,(Inputs!$B$3-100)*3)+Inputs!$B$28+Inputs!$B$29)))</f>
        <v>184</v>
      </c>
      <c r="E442">
        <f>INDEX(FactorTable!$B$2:$Y$301, MATCH(ROUND(MIN(300,MAX(1,D442)),0), FactorTable!$A$2:$A$301,0), Skills!M20+1)</f>
        <v>1552</v>
      </c>
      <c r="F442">
        <f>IF(Skills!N20=TRUE,(Skills!L20/10)*(E442/1000),Skills!L20/10)+Skills!O20</f>
        <v>12.416</v>
      </c>
      <c r="G442">
        <f>Calc!G20</f>
        <v>1</v>
      </c>
      <c r="H442">
        <f>Calc!H20</f>
        <v>1</v>
      </c>
      <c r="I442">
        <f>IF(Skills!X20&lt;&gt;"",1+(Skills!X20/10)*(Z425/1000)/100,1)</f>
        <v>1</v>
      </c>
      <c r="O442">
        <f>(1-Summary!$B$11)*S442+Summary!$B$11*U442</f>
        <v>0</v>
      </c>
      <c r="P442">
        <f>IF(B463=0,0,O442/B463)</f>
        <v>0</v>
      </c>
      <c r="Q442">
        <f>IFERROR(1/(IF(Inputs!$B$38="pvp",15,MAX(0.1,Skills!E20-IF(TRUE=TRUE,Inputs!$B$32,0)))*(1-IF(AND(ArtifactsInput!$M$27,Inputs!$B$4="Chapter Hunt"),CHOOSE(ArtifactsInput!$N$27+1,20,24,28,32,36,40),0)/100)),0)</f>
        <v>10</v>
      </c>
      <c r="R442">
        <v>0</v>
      </c>
      <c r="S442">
        <v>0</v>
      </c>
      <c r="U442">
        <v>0</v>
      </c>
    </row>
    <row r="443" spans="1:21" x14ac:dyDescent="0.2">
      <c r="A443" t="str">
        <f>Skills!A21</f>
        <v>MAGIC_CRITICAL_DAMAGE</v>
      </c>
      <c r="B443" t="str">
        <f>Skills!B21</f>
        <v>Magic Critical (Crit Damage)</v>
      </c>
      <c r="C443" t="b">
        <f>TRUE</f>
        <v>1</v>
      </c>
      <c r="D443">
        <f>IF(Skills!C21=1,60+Inputs!$B$25+Inputs!$B$29,IF(Skills!C21=2,90+Inputs!$B$26+Inputs!$B$29,IF(Skills!C21=3,120+Inputs!$B$27+Inputs!$B$29,MAX(0,(Inputs!$B$3-100)*3)+Inputs!$B$28+Inputs!$B$29)))</f>
        <v>184</v>
      </c>
      <c r="E443">
        <f>INDEX(FactorTable!$B$2:$Y$301, MATCH(ROUND(MIN(300,MAX(1,D443)),0), FactorTable!$A$2:$A$301,0), Skills!M21+1)</f>
        <v>1552</v>
      </c>
      <c r="F443">
        <f>IF(Skills!N21=TRUE,(Skills!L21/10)*(E443/1000),Skills!L21/10)+Skills!O21</f>
        <v>18.624000000000002</v>
      </c>
      <c r="G443">
        <f>Calc!G21</f>
        <v>1</v>
      </c>
      <c r="H443">
        <f>Calc!H21</f>
        <v>1</v>
      </c>
      <c r="I443">
        <f>IF(Skills!X21&lt;&gt;"",1+(Skills!X21/10)*(Z425/1000)/100,1)</f>
        <v>1</v>
      </c>
      <c r="O443">
        <f>(1-Summary!$B$11)*S443+Summary!$B$11*U443</f>
        <v>0</v>
      </c>
      <c r="P443">
        <f>IF(B463=0,0,O443/B463)</f>
        <v>0</v>
      </c>
      <c r="Q443">
        <f>IFERROR(1/(IF(Inputs!$B$38="pvp",15,MAX(0.1,Skills!E21-IF(TRUE=TRUE,Inputs!$B$32,0)))*(1-IF(AND(ArtifactsInput!$M$27,Inputs!$B$4="Chapter Hunt"),CHOOSE(ArtifactsInput!$N$27+1,20,24,28,32,36,40),0)/100)),0)</f>
        <v>10</v>
      </c>
      <c r="R443">
        <v>0</v>
      </c>
      <c r="S443">
        <v>0</v>
      </c>
      <c r="U443">
        <v>0</v>
      </c>
    </row>
    <row r="444" spans="1:21" x14ac:dyDescent="0.2">
      <c r="A444" t="str">
        <f>Skills!A22</f>
        <v>SPELL_MASTERY</v>
      </c>
      <c r="B444" t="str">
        <f>Skills!B22</f>
        <v>Spell Mastery</v>
      </c>
      <c r="C444" t="b">
        <f>TRUE</f>
        <v>1</v>
      </c>
      <c r="D444">
        <f>IF(Skills!C22=1,60+Inputs!$B$25+Inputs!$B$29,IF(Skills!C22=2,90+Inputs!$B$26+Inputs!$B$29,IF(Skills!C22=3,120+Inputs!$B$27+Inputs!$B$29,MAX(0,(Inputs!$B$3-100)*3)+Inputs!$B$28+Inputs!$B$29)))</f>
        <v>168</v>
      </c>
      <c r="E444">
        <f>INDEX(FactorTable!$B$2:$Y$301, MATCH(ROUND(MIN(300,MAX(1,D444)),0), FactorTable!$A$2:$A$301,0), Skills!M22+1)</f>
        <v>1504</v>
      </c>
      <c r="F444">
        <f>IF(Skills!N22=TRUE,(Skills!L22/10)*(E444/1000),Skills!L22/10)+Skills!O22</f>
        <v>22.56</v>
      </c>
      <c r="G444">
        <f>Calc!G22</f>
        <v>1</v>
      </c>
      <c r="H444">
        <f>Calc!H22</f>
        <v>1</v>
      </c>
      <c r="I444">
        <f>IF(Skills!X22&lt;&gt;"",1+(Skills!X22/10)*(Z425/1000)/100,1)</f>
        <v>1</v>
      </c>
      <c r="O444">
        <f>(1-Summary!$B$11)*S444+Summary!$B$11*U444</f>
        <v>0</v>
      </c>
      <c r="P444">
        <f>IF(B463=0,0,O444/B463)</f>
        <v>0</v>
      </c>
      <c r="Q444">
        <f>IFERROR(1/(IF(Inputs!$B$38="pvp",15,MAX(0.1,Skills!E22-IF(TRUE=TRUE,Inputs!$B$32,0)))*(1-IF(AND(ArtifactsInput!$M$27,Inputs!$B$4="Chapter Hunt"),CHOOSE(ArtifactsInput!$N$27+1,20,24,28,32,36,40),0)/100)),0)</f>
        <v>10</v>
      </c>
      <c r="R444">
        <v>0</v>
      </c>
      <c r="S444">
        <v>0</v>
      </c>
      <c r="U444">
        <v>0</v>
      </c>
    </row>
    <row r="445" spans="1:21" x14ac:dyDescent="0.2">
      <c r="A445" t="str">
        <f>Skills!A23</f>
        <v>ELEMENT_AMPLIFICATION</v>
      </c>
      <c r="B445" t="str">
        <f>Skills!B23</f>
        <v>Element Amplification</v>
      </c>
      <c r="C445" t="b">
        <f>TRUE</f>
        <v>1</v>
      </c>
      <c r="D445">
        <f>IF(Skills!C23=1,60+Inputs!$B$25+Inputs!$B$29,IF(Skills!C23=2,90+Inputs!$B$26+Inputs!$B$29,IF(Skills!C23=3,120+Inputs!$B$27+Inputs!$B$29,MAX(0,(Inputs!$B$3-100)*3)+Inputs!$B$28+Inputs!$B$29)))</f>
        <v>185</v>
      </c>
      <c r="E445">
        <f>INDEX(FactorTable!$B$2:$Y$301, MATCH(ROUND(MIN(300,MAX(1,D445)),0), FactorTable!$A$2:$A$301,0), Skills!M23+1)</f>
        <v>1555</v>
      </c>
      <c r="F445">
        <f>IF(Skills!N23=TRUE,(Skills!L23/10)*(E445/1000),Skills!L23/10)+Skills!O23</f>
        <v>23.324999999999999</v>
      </c>
      <c r="G445">
        <f>Calc!G23</f>
        <v>1</v>
      </c>
      <c r="H445">
        <f>Calc!H23</f>
        <v>1</v>
      </c>
      <c r="I445">
        <f>IF(Skills!X23&lt;&gt;"",1+(Skills!X23/10)*(Z425/1000)/100,1)</f>
        <v>1</v>
      </c>
      <c r="O445">
        <f>(1-Summary!$B$11)*S445+Summary!$B$11*U445</f>
        <v>0</v>
      </c>
      <c r="P445">
        <f>IF(B463=0,0,O445/B463)</f>
        <v>0</v>
      </c>
      <c r="Q445">
        <f>IFERROR(1/(IF(Inputs!$B$38="pvp",15,MAX(0.1,Skills!E23-IF(TRUE=TRUE,Inputs!$B$32,0)))*(1-IF(AND(ArtifactsInput!$M$27,Inputs!$B$4="Chapter Hunt"),CHOOSE(ArtifactsInput!$N$27+1,20,24,28,32,36,40),0)/100)),0)</f>
        <v>10</v>
      </c>
      <c r="R445">
        <v>0</v>
      </c>
      <c r="S445">
        <v>0</v>
      </c>
      <c r="U445">
        <v>0</v>
      </c>
    </row>
    <row r="446" spans="1:21" x14ac:dyDescent="0.2">
      <c r="A446" t="str">
        <f>Skills!A24</f>
        <v>IFRIT</v>
      </c>
      <c r="B446" t="str">
        <f>Skills!B24</f>
        <v>Ifrit</v>
      </c>
      <c r="C446" t="b">
        <f>Inputs!$B$3&gt;=115</f>
        <v>1</v>
      </c>
      <c r="D446">
        <f>IF(Skills!C24=1,60+Inputs!$B$25+Inputs!$B$29,IF(Skills!C24=2,90+Inputs!$B$26+Inputs!$B$29,IF(Skills!C24=3,120+Inputs!$B$27+Inputs!$B$29,MAX(0,(Inputs!$B$3-100)*3)+Inputs!$B$28+Inputs!$B$29)))</f>
        <v>185</v>
      </c>
      <c r="E446">
        <f>INDEX(FactorTable!$B$2:$Y$301, MATCH(ROUND(MIN(300,MAX(1,D446)),0), FactorTable!$A$2:$A$301,0), Skills!M24+1)</f>
        <v>1925</v>
      </c>
      <c r="F446">
        <f>IF(Skills!N24=TRUE,(Skills!L24/10)*(E446/1000),Skills!L24/10)+Skills!O24</f>
        <v>6737.5</v>
      </c>
      <c r="G446">
        <f>Calc!G24</f>
        <v>7.5</v>
      </c>
      <c r="H446">
        <f>Calc!H24</f>
        <v>1</v>
      </c>
      <c r="I446">
        <f>IF(Skills!X24&lt;&gt;"",1+(Skills!X24/10)*(Z425/1000)/100,1)</f>
        <v>1</v>
      </c>
      <c r="J446">
        <f>((Inputs!$B$6*(1+Inputs!$B$7/100))+(((Inputs!$B$12*(1+Inputs!$B$13/100))-(Inputs!$B$12*(1+Inputs!$B$13/100)))+0.25*(Inputs!$B$14-Inputs!$B$14))*(1+Inputs!$B$7/100))*(F446/100)</f>
        <v>24331438378.718628</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122258974288595.61</v>
      </c>
      <c r="L446">
        <f>K446*(MIN(Inputs!$B$22+(F444-Calc!F22),((Inputs!$B$23+1)+(IF(ArtifactsInput!$M$15,CHOOSE(ArtifactsInput!$N$15+1,25,30,35,40,45,50)/100*(Inputs!$B$11-Inputs!$B$11),0))))/100+((Inputs!$B$23+1)+(IF(ArtifactsInput!$M$15,CHOOSE(ArtifactsInput!$N$15+1,25,30,35,40,45,50)/100*(Inputs!$B$11-Inputs!$B$11),0)))/100)/2</f>
        <v>407122384381023.38</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1921210531894049</v>
      </c>
      <c r="N446">
        <f>L446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1921210531894049</v>
      </c>
      <c r="O446">
        <f>(1-Summary!$B$11)*S446+Summary!$B$11*U446</f>
        <v>2197384545853818.5</v>
      </c>
      <c r="P446">
        <f>IF(B463=0,0,O446/B463)</f>
        <v>6.6312914553869617E-2</v>
      </c>
      <c r="Q446">
        <f>IFERROR(1/(IF(Inputs!$B$38="pvp",15,MAX(0.1,Skills!E24-IF(TRUE=TRUE,Inputs!$B$32,0)))*(1-IF(AND(ArtifactsInput!$M$27,Inputs!$B$4="Chapter Hunt"),CHOOSE(ArtifactsInput!$N$27+1,20,24,28,32,36,40),0)/100)),0)</f>
        <v>1.2500000000000001E-2</v>
      </c>
      <c r="R446">
        <f>IF(AND(Inputs!$B$38&lt;&gt;"pvp",Inputs!$B$43&gt;0),IF(MAX(0,Inputs!$B$43-B460)&lt;=0,0,(INT(MAX(0,Inputs!$B$43-B460)/(IF(Inputs!$B$38="pvp",15,MAX(0.1,Skills!E24-IF(TRUE=TRUE,Inputs!$B$32,0)))*(1-IF(AND(ArtifactsInput!$M$27,Inputs!$B$4="Chapter Hunt"),CHOOSE(ArtifactsInput!$N$27+1,20,24,28,32,36,40),0)/100)))+1)),0)</f>
        <v>1</v>
      </c>
      <c r="S446">
        <f>IF(C446,(H446*N446*IF(AND(Inputs!$B$38&lt;&gt;"pvp",Inputs!$B$43&gt;0),((Skills!G24*((R446-1)*IF(Skills!H24&gt;0,Skills!I24/Skills!H24,1)+IF(Skills!H24&gt;0,MIN(Skills!I24,MAX(0,MAX(0,Inputs!$B$43-B460)-((R446-1)*(IF(Inputs!$B$38="pvp",15,MAX(0.1,Skills!E24-IF(TRUE=TRUE,Inputs!$B$32,0)))*(1-IF(AND(ArtifactsInput!$M$27,Inputs!$B$4="Chapter Hunt"),CHOOSE(ArtifactsInput!$N$27+1,20,24,28,32,36,40),0)/100)))))/Skills!H24,1)))/Inputs!$B$43),G446*Q446)*(1+IF(Inputs!$B$3&gt;=130,0.2*(Skills!I16/(1/Q437)+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1141919509894525.2</v>
      </c>
      <c r="U446">
        <f>IF(C446,(H446*N446*IF(AND(Inputs!$B$38&lt;&gt;"pvp",Inputs!$B$43&gt;0),((Skills!G24*((R446-1)*IF(Skills!H24&gt;0,Skills!I24/Skills!H24,1)+IF(Skills!H24&gt;0,MIN(Skills!I24,MAX(0,MAX(0,Inputs!$B$43-B460)-((R446-1)*(IF(Inputs!$B$38="pvp",15,MAX(0.1,Skills!E24-IF(TRUE=TRUE,Inputs!$B$32,0)))*(1-IF(AND(ArtifactsInput!$M$27,Inputs!$B$4="Chapter Hunt"),CHOOSE(ArtifactsInput!$N$27+1,20,24,28,32,36,40),0)/100)))))/Skills!H24,1)))/Inputs!$B$43),G446*Q446)*(1+IF(Inputs!$B$3&gt;=130,0.2*(Skills!I16/(1/Q437)+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3252849581813111.5</v>
      </c>
    </row>
    <row r="447" spans="1:21" x14ac:dyDescent="0.2">
      <c r="A447" t="str">
        <f>Skills!A25</f>
        <v>BUFF_MASTERY</v>
      </c>
      <c r="B447" t="str">
        <f>Skills!B25</f>
        <v>Buff Mastery</v>
      </c>
      <c r="C447" t="b">
        <f>Inputs!$B$3&gt;=117</f>
        <v>1</v>
      </c>
      <c r="D447">
        <f>IF(Skills!C25=1,60+Inputs!$B$25+Inputs!$B$29,IF(Skills!C25=2,90+Inputs!$B$26+Inputs!$B$29,IF(Skills!C25=3,120+Inputs!$B$27+Inputs!$B$29,MAX(0,(Inputs!$B$3-100)*3)+Inputs!$B$28+Inputs!$B$29)))</f>
        <v>185</v>
      </c>
      <c r="E447">
        <f>INDEX(FactorTable!$B$2:$Y$301, MATCH(ROUND(MIN(300,MAX(1,D447)),0), FactorTable!$A$2:$A$301,0), Skills!M25+1)</f>
        <v>1555</v>
      </c>
      <c r="F447">
        <f>IF(Skills!N25=TRUE,(Skills!L25/10)*(E447/1000),Skills!L25/10)+Skills!O25</f>
        <v>15.549999999999999</v>
      </c>
      <c r="G447">
        <f>Calc!G25</f>
        <v>1</v>
      </c>
      <c r="H447">
        <f>Calc!H25</f>
        <v>1</v>
      </c>
      <c r="I447">
        <f>IF(Skills!X25&lt;&gt;"",1+(Skills!X25/10)*(Z425/1000)/100,1)</f>
        <v>1</v>
      </c>
      <c r="O447">
        <f>(1-Summary!$B$11)*S447+Summary!$B$11*U447</f>
        <v>0</v>
      </c>
      <c r="P447">
        <f>IF(B463=0,0,O447/B463)</f>
        <v>0</v>
      </c>
      <c r="Q447">
        <f>IFERROR(1/(IF(Inputs!$B$38="pvp",15,MAX(0.1,Skills!E25-IF(TRUE=TRUE,Inputs!$B$32,0)))*(1-IF(AND(ArtifactsInput!$M$27,Inputs!$B$4="Chapter Hunt"),CHOOSE(ArtifactsInput!$N$27+1,20,24,28,32,36,40),0)/100)),0)</f>
        <v>10</v>
      </c>
      <c r="R447">
        <v>0</v>
      </c>
      <c r="S447">
        <v>0</v>
      </c>
      <c r="U447">
        <v>0</v>
      </c>
    </row>
    <row r="448" spans="1:21" x14ac:dyDescent="0.2">
      <c r="A448" t="str">
        <f>Skills!A26</f>
        <v>ARCANE_AIM</v>
      </c>
      <c r="B448" t="str">
        <f>Skills!B26</f>
        <v>Arcane Aim</v>
      </c>
      <c r="C448" t="b">
        <f>Inputs!$B$3&gt;=120</f>
        <v>0</v>
      </c>
      <c r="D448">
        <f>IF(Skills!C26=1,60+Inputs!$B$25+Inputs!$B$29,IF(Skills!C26=2,90+Inputs!$B$26+Inputs!$B$29,IF(Skills!C26=3,120+Inputs!$B$27+Inputs!$B$29,MAX(0,(Inputs!$B$3-100)*3)+Inputs!$B$28+Inputs!$B$29)))</f>
        <v>185</v>
      </c>
      <c r="E448">
        <f>INDEX(FactorTable!$B$2:$Y$301, MATCH(ROUND(MIN(300,MAX(1,D448)),0), FactorTable!$A$2:$A$301,0), Skills!M26+1)</f>
        <v>1555</v>
      </c>
      <c r="F448">
        <f>IF(Skills!N26=TRUE,(Skills!L26/10)*(E448/1000),Skills!L26/10)+Skills!O26</f>
        <v>4.665</v>
      </c>
      <c r="G448">
        <f>Calc!G26</f>
        <v>1</v>
      </c>
      <c r="H448">
        <f>Calc!H26</f>
        <v>1</v>
      </c>
      <c r="I448">
        <f>IF(Skills!X26&lt;&gt;"",1+(Skills!X26/10)*(Z425/1000)/100,1)</f>
        <v>1</v>
      </c>
      <c r="O448">
        <f>(1-Summary!$B$11)*S448+Summary!$B$11*U448</f>
        <v>0</v>
      </c>
      <c r="P448">
        <f>IF(B463=0,0,O448/B463)</f>
        <v>0</v>
      </c>
      <c r="Q448">
        <f>IFERROR(1/(IF(Inputs!$B$38="pvp",15,MAX(0.1,Skills!E26-IF(TRUE=TRUE,Inputs!$B$32,0)))*(1-IF(AND(ArtifactsInput!$M$27,Inputs!$B$4="Chapter Hunt"),CHOOSE(ArtifactsInput!$N$27+1,20,24,28,32,36,40),0)/100)),0)</f>
        <v>10</v>
      </c>
      <c r="R448">
        <v>0</v>
      </c>
      <c r="S448">
        <v>0</v>
      </c>
      <c r="U448">
        <v>0</v>
      </c>
    </row>
    <row r="449" spans="1:21" x14ac:dyDescent="0.2">
      <c r="A449" t="str">
        <f>Skills!A27</f>
        <v>FERVENT_DRAIN</v>
      </c>
      <c r="B449" t="str">
        <f>Skills!B27</f>
        <v>Fervent Drain</v>
      </c>
      <c r="C449" t="b">
        <f>Inputs!$B$3&gt;=125</f>
        <v>0</v>
      </c>
      <c r="D449">
        <f>IF(Skills!C27=1,60+Inputs!$B$25+Inputs!$B$29,IF(Skills!C27=2,90+Inputs!$B$26+Inputs!$B$29,IF(Skills!C27=3,120+Inputs!$B$27+Inputs!$B$29,MAX(0,(Inputs!$B$3-100)*3)+Inputs!$B$28+Inputs!$B$29)))</f>
        <v>185</v>
      </c>
      <c r="E449">
        <f>INDEX(FactorTable!$B$2:$Y$301, MATCH(ROUND(MIN(300,MAX(1,D449)),0), FactorTable!$A$2:$A$301,0), Skills!M27+1)</f>
        <v>1555</v>
      </c>
      <c r="F449">
        <f>IF(Skills!N27=TRUE,(Skills!L27/10)*(E449/1000),Skills!L27/10)+Skills!O27</f>
        <v>6.22</v>
      </c>
      <c r="G449">
        <f>Calc!G27</f>
        <v>1</v>
      </c>
      <c r="H449">
        <f>Calc!H27</f>
        <v>1</v>
      </c>
      <c r="I449">
        <f>IF(Skills!X27&lt;&gt;"",1+(Skills!X27/10)*(Z425/1000)/100,1)</f>
        <v>1</v>
      </c>
      <c r="O449">
        <f>(1-Summary!$B$11)*S449+Summary!$B$11*U449</f>
        <v>0</v>
      </c>
      <c r="P449">
        <f>IF(B463=0,0,O449/B463)</f>
        <v>0</v>
      </c>
      <c r="Q449">
        <f>IFERROR(1/(IF(Inputs!$B$38="pvp",15,MAX(0.1,Skills!E27-IF(TRUE=TRUE,Inputs!$B$32,0)))*(1-IF(AND(ArtifactsInput!$M$27,Inputs!$B$4="Chapter Hunt"),CHOOSE(ArtifactsInput!$N$27+1,20,24,28,32,36,40),0)/100)),0)</f>
        <v>10</v>
      </c>
      <c r="R449">
        <v>0</v>
      </c>
      <c r="S449">
        <v>0</v>
      </c>
      <c r="U449">
        <v>0</v>
      </c>
    </row>
    <row r="450" spans="1:21" x14ac:dyDescent="0.2">
      <c r="A450" t="str">
        <f>Skills!A28</f>
        <v>FLAME_HAZE_FOG</v>
      </c>
      <c r="B450" t="str">
        <f>Skills!B28</f>
        <v>Flame Haze (poison fog DoT)</v>
      </c>
      <c r="C450" t="b">
        <f>Inputs!$B$3&gt;=118</f>
        <v>0</v>
      </c>
      <c r="D450">
        <f>IF(Skills!C28=1,60+Inputs!$B$25+Inputs!$B$29,IF(Skills!C28=2,90+Inputs!$B$26+Inputs!$B$29,IF(Skills!C28=3,120+Inputs!$B$27+Inputs!$B$29,MAX(0,(Inputs!$B$3-100)*3)+Inputs!$B$28+Inputs!$B$29)))</f>
        <v>185</v>
      </c>
      <c r="E450">
        <f>INDEX(FactorTable!$B$2:$Y$301, MATCH(ROUND(MIN(300,MAX(1,D450)),0), FactorTable!$A$2:$A$301,0), Skills!M28+1)</f>
        <v>1925</v>
      </c>
      <c r="F450">
        <f>IF(Skills!N28=TRUE,(Skills!L28/10)*(E450/1000),Skills!L28/10)+Skills!O28</f>
        <v>134.75</v>
      </c>
      <c r="G450">
        <f>Calc!G28</f>
        <v>50</v>
      </c>
      <c r="H450">
        <f>Calc!H28</f>
        <v>1</v>
      </c>
      <c r="I450">
        <f>IF(Skills!X28&lt;&gt;"",1+(Skills!X28/10)*(Z425/1000)/100,1)</f>
        <v>1</v>
      </c>
      <c r="J450">
        <f>((Inputs!$B$6*(1+Inputs!$B$7/100))+(((Inputs!$B$12*(1+Inputs!$B$13/100))-(Inputs!$B$12*(1+Inputs!$B$13/100)))+0.25*(Inputs!$B$14-Inputs!$B$14))*(1+Inputs!$B$7/100))*(F450/100)</f>
        <v>486628767.57437253</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2445179485771.9116</v>
      </c>
      <c r="L450">
        <f>K450*(MIN(Inputs!$B$22+(F444-Calc!F22),((Inputs!$B$23+1)+(IF(ArtifactsInput!$M$15,CHOOSE(ArtifactsInput!$N$15+1,25,30,35,40,45,50)/100*(Inputs!$B$11-Inputs!$B$11),0))))/100+((Inputs!$B$23+1)+(IF(ArtifactsInput!$M$15,CHOOSE(ArtifactsInput!$N$15+1,25,30,35,40,45,50)/100*(Inputs!$B$11-Inputs!$B$11),0)))/100)/2</f>
        <v>8142447687620.4658</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38424210637880.977</v>
      </c>
      <c r="N450">
        <f>L450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38424210637880.977</v>
      </c>
      <c r="O450">
        <f>(1-Summary!$B$11)*S450+Summary!$B$11*U450</f>
        <v>0</v>
      </c>
      <c r="P450">
        <f>IF(B463=0,0,O450/B463)</f>
        <v>0</v>
      </c>
      <c r="Q450">
        <f>IFERROR(1/(IF(Inputs!$B$38="pvp",15,MAX(0.1,Skills!E28-IF(TRUE=TRUE,Inputs!$B$32,0)))*(1-IF(AND(ArtifactsInput!$M$27,Inputs!$B$4="Chapter Hunt"),CHOOSE(ArtifactsInput!$N$27+1,20,24,28,32,36,40),0)/100)),0)</f>
        <v>0.04</v>
      </c>
      <c r="R450">
        <f>IF(AND(Inputs!$B$38&lt;&gt;"pvp",Inputs!$B$43&gt;0),IF(MAX(0,Inputs!$B$43-B460)&lt;=0,0,(INT(MAX(0,Inputs!$B$43-B460)/(IF(Inputs!$B$38="pvp",15,MAX(0.1,Skills!E28-IF(TRUE=TRUE,Inputs!$B$32,0)))*(1-IF(AND(ArtifactsInput!$M$27,Inputs!$B$4="Chapter Hunt"),CHOOSE(ArtifactsInput!$N$27+1,20,24,28,32,36,40),0)/100)))+1)),0)</f>
        <v>2</v>
      </c>
      <c r="S450">
        <f>IF(C450,(H450*N450*IF(AND(Inputs!$B$38&lt;&gt;"pvp",Inputs!$B$43&gt;0),((Skills!G28*((R450-1)*IF(Skills!H28&gt;0,Skills!I28/Skills!H28,1)+IF(Skills!H28&gt;0,MIN(Skills!I28,MAX(0,MAX(0,Inputs!$B$43-B460)-((R450-1)*(IF(Inputs!$B$38="pvp",15,MAX(0.1,Skills!E28-IF(TRUE=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50">
        <f>IF(C450,(H450*N450*IF(AND(Inputs!$B$38&lt;&gt;"pvp",Inputs!$B$43&gt;0),((Skills!G28*((R450-1)*IF(Skills!H28&gt;0,Skills!I28/Skills!H28,1)+IF(Skills!H28&gt;0,MIN(Skills!I28,MAX(0,MAX(0,Inputs!$B$43-B460)-((R450-1)*(IF(Inputs!$B$38="pvp",15,MAX(0.1,Skills!E28-IF(TRUE=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52" spans="1:21" x14ac:dyDescent="0.2">
      <c r="A452" t="s">
        <v>356</v>
      </c>
      <c r="B452">
        <f>1+(F433*Skills!Z11)/100</f>
        <v>1.25</v>
      </c>
    </row>
    <row r="453" spans="1:21" x14ac:dyDescent="0.2">
      <c r="A453" t="s">
        <v>435</v>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1.18624</v>
      </c>
    </row>
    <row r="454" spans="1:21" x14ac:dyDescent="0.2">
      <c r="A454" t="s">
        <v>358</v>
      </c>
      <c r="B454">
        <f>(1+(F428*IF(AND(Inputs!$B$38&lt;&gt;"pvp",Inputs!$B$43&gt;0),(((R428-1)*MIN((Skills!T6*(1+((Inputs!$B$34+(ArtifactsInput!$M$7-ArtifactsInput!$M$7)*CHOOSE(ArtifactsInput!$N$7+1,6,7.2,8.4,9.6,10.8,12)))/100)),(1/Q428))+MIN((Skills!T6*(1+((Inputs!$B$34+(ArtifactsInput!$M$7-ArtifactsInput!$M$7)*CHOOSE(ArtifactsInput!$N$7+1,6,7.2,8.4,9.6,10.8,12)))/100)),MAX(0,Inputs!$B$43-((R428-1)*(1/Q428)))))/Inputs!$B$43),IF(Inputs!$B$38="pvp",MIN((Skills!T6*(1+((Inputs!$B$34+(ArtifactsInput!$M$7-ArtifactsInput!$M$7)*CHOOSE(ArtifactsInput!$N$7+1,6,7.2,8.4,9.6,10.8,12)))/100)),15)/15,MIN(1,(Skills!T6*(1+((Inputs!$B$34+(ArtifactsInput!$M$7-ArtifactsInput!$M$7)*CHOOSE(ArtifactsInput!$N$7+1,6,7.2,8.4,9.6,10.8,12)))/100))/(1/Q428))))+F439*IF(AND(Inputs!$B$38&lt;&gt;"pvp",Inputs!$B$43&gt;0),(((R439-1)*MIN((Skills!T17*(1+((Inputs!$B$34+(ArtifactsInput!$M$7-ArtifactsInput!$M$7)*CHOOSE(ArtifactsInput!$N$7+1,6,7.2,8.4,9.6,10.8,12)))/100)),(1/Q439))+MIN((Skills!T17*(1+((Inputs!$B$34+(ArtifactsInput!$M$7-ArtifactsInput!$M$7)*CHOOSE(ArtifactsInput!$N$7+1,6,7.2,8.4,9.6,10.8,12)))/100)),MAX(0,Inputs!$B$43-((R439-1)*(1/Q439)))))/Inputs!$B$43),IF(Inputs!$B$38="pvp",MIN((Skills!T17*(1+((Inputs!$B$34+(ArtifactsInput!$M$7-ArtifactsInput!$M$7)*CHOOSE(ArtifactsInput!$N$7+1,6,7.2,8.4,9.6,10.8,12)))/100)),15)/15,MIN(1,(Skills!T17*(1+((Inputs!$B$34+(ArtifactsInput!$M$7-ArtifactsInput!$M$7)*CHOOSE(ArtifactsInput!$N$7+1,6,7.2,8.4,9.6,10.8,12)))/100))/(1/Q439)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MIN((Skills!T19*(1+((Inputs!$B$34+(ArtifactsInput!$M$7-ArtifactsInput!$M$7)*CHOOSE(ArtifactsInput!$N$7+1,6,7.2,8.4,9.6,10.8,12)))/100)),(1/Q441))+MIN((Skills!T19*(1+((Inputs!$B$34+(ArtifactsInput!$M$7-ArtifactsInput!$M$7)*CHOOSE(ArtifactsInput!$N$7+1,6,7.2,8.4,9.6,10.8,12)))/100)),MAX(0,Inputs!$B$43-((R441-1)*(1/Q441)))))/Inputs!$B$43),IF(Inputs!$B$38="pvp",MIN((Skills!T19*(1+((Inputs!$B$34+(ArtifactsInput!$M$7-ArtifactsInput!$M$7)*CHOOSE(ArtifactsInput!$N$7+1,6,7.2,8.4,9.6,10.8,12)))/100)),15)/15,MIN(1,(Skills!T19*(1+((Inputs!$B$34+(ArtifactsInput!$M$7-ArtifactsInput!$M$7)*CHOOSE(ArtifactsInput!$N$7+1,6,7.2,8.4,9.6,10.8,12)))/100))/(1/Q441))))/100),1)</f>
        <v>1.7965808377980694</v>
      </c>
    </row>
    <row r="455" spans="1:21" x14ac:dyDescent="0.2">
      <c r="A455" t="s">
        <v>359</v>
      </c>
      <c r="B455">
        <f>F440*IF(AND(Inputs!$B$38&lt;&gt;"pvp",Inputs!$B$43&gt;0),(((R440-1)*MIN((Skills!T18*(1+((Inputs!$B$34+(ArtifactsInput!$M$7-ArtifactsInput!$M$7)*CHOOSE(ArtifactsInput!$N$7+1,6,7.2,8.4,9.6,10.8,12)))/100)),(1/Q440))+MIN((Skills!T18*(1+((Inputs!$B$34+(ArtifactsInput!$M$7-ArtifactsInput!$M$7)*CHOOSE(ArtifactsInput!$N$7+1,6,7.2,8.4,9.6,10.8,12)))/100)),MAX(0,Inputs!$B$43-((R440-1)*(1/Q440)))))/Inputs!$B$43),IF(Inputs!$B$38="pvp",MIN((Skills!T18*(1+((Inputs!$B$34+(ArtifactsInput!$M$7-ArtifactsInput!$M$7)*CHOOSE(ArtifactsInput!$N$7+1,6,7.2,8.4,9.6,10.8,12)))/100)),15)/15,MIN(1,(Skills!T18*(1+((Inputs!$B$34+(ArtifactsInput!$M$7-ArtifactsInput!$M$7)*CHOOSE(ArtifactsInput!$N$7+1,6,7.2,8.4,9.6,10.8,12)))/100))/(1/Q440))))</f>
        <v>6.4968749999999993</v>
      </c>
    </row>
    <row r="456" spans="1:21" x14ac:dyDescent="0.2">
      <c r="A456" t="s">
        <v>436</v>
      </c>
      <c r="B456">
        <f>1+MIN(150,150*(1-(1-(Inputs!$B$11+(ArtifactsInput!$M$15-ArtifactsInput!$M$15)*CHOOSE(ArtifactsInput!$N$15+1,8,9.6,11.2,12.8,14.4,16))/150)*(1-B455/150)))/100</f>
        <v>1.6982958749999999</v>
      </c>
    </row>
    <row r="457" spans="1:21" x14ac:dyDescent="0.2">
      <c r="A457" t="s">
        <v>437</v>
      </c>
      <c r="B457">
        <f>IF(AND(Inputs!$B$38&lt;&gt;"pvp",Inputs!$B$43&gt;0),SUMPRODUCT((Skills!F2:F28=TRUE)*(C424:C450=TRUE)*R424:R450)/Inputs!$B$43,SUMPRODUCT((Skills!F2:F28=TRUE)*(C424:C450=TRUE)*Q424:Q450))</f>
        <v>0.47499999999999998</v>
      </c>
    </row>
    <row r="458" spans="1:21" x14ac:dyDescent="0.2">
      <c r="A458" t="s">
        <v>362</v>
      </c>
      <c r="B458">
        <f>MAX(0,B456-B457)</f>
        <v>1.2232958749999998</v>
      </c>
    </row>
    <row r="459" spans="1:21" x14ac:dyDescent="0.2">
      <c r="A459" t="s">
        <v>438</v>
      </c>
      <c r="B459">
        <f>IF(AND(Inputs!$B$38&lt;&gt;"pvp",Inputs!$B$43&gt;0),SUMPRODUCT((Skills!V2:V28=TRUE)*(C424:C450=TRUE)*R424:R450*Skills!W2:W28)/Inputs!$B$43,SUMPRODUCT((Skills!V2:V28=TRUE)*(C424:C450=TRUE)*Q424:Q450*Skills!W2:W28))+B458</f>
        <v>1.5482958749999998</v>
      </c>
    </row>
    <row r="460" spans="1:21" x14ac:dyDescent="0.2">
      <c r="A460" t="s">
        <v>439</v>
      </c>
      <c r="B460">
        <f>IF(AND(Inputs!$B$38&lt;&gt;"pvp",Inputs!$B$43&gt;0),SUMPRODUCT((Skills!T2:T28&gt;0)*(Skills!F2:F28=TRUE)*(C424:C450=TRUE))/B456,0)</f>
        <v>2.3553021937358238</v>
      </c>
    </row>
    <row r="461" spans="1:21" x14ac:dyDescent="0.2">
      <c r="A461" t="s">
        <v>440</v>
      </c>
      <c r="B461">
        <f>SUM(S424:S450)</f>
        <v>9531574752736200</v>
      </c>
    </row>
    <row r="462" spans="1:21" x14ac:dyDescent="0.2">
      <c r="A462" t="s">
        <v>441</v>
      </c>
      <c r="B462">
        <f>SUM(U424:U450)</f>
        <v>5.6741625894138176E+16</v>
      </c>
    </row>
    <row r="463" spans="1:21" x14ac:dyDescent="0.2">
      <c r="A463" s="6" t="s">
        <v>348</v>
      </c>
      <c r="B463" s="6">
        <f>SUM(O424:O450)</f>
        <v>3.3136600323437188E+16</v>
      </c>
    </row>
    <row r="466" spans="1:26" x14ac:dyDescent="0.2">
      <c r="A466" s="6" t="s">
        <v>450</v>
      </c>
    </row>
    <row r="467" spans="1:26" x14ac:dyDescent="0.2">
      <c r="A467" s="5" t="s">
        <v>136</v>
      </c>
      <c r="B467" s="5" t="s">
        <v>137</v>
      </c>
      <c r="C467" s="5" t="s">
        <v>328</v>
      </c>
      <c r="D467" s="5" t="s">
        <v>329</v>
      </c>
      <c r="E467" s="5" t="s">
        <v>330</v>
      </c>
      <c r="F467" s="5" t="s">
        <v>331</v>
      </c>
      <c r="G467" s="5" t="s">
        <v>332</v>
      </c>
      <c r="H467" s="5" t="s">
        <v>333</v>
      </c>
      <c r="I467" s="5" t="s">
        <v>334</v>
      </c>
      <c r="J467" s="5" t="s">
        <v>335</v>
      </c>
      <c r="K467" s="5" t="s">
        <v>336</v>
      </c>
      <c r="L467" s="5" t="s">
        <v>337</v>
      </c>
      <c r="M467" s="5" t="s">
        <v>338</v>
      </c>
      <c r="N467" s="5" t="s">
        <v>339</v>
      </c>
      <c r="O467" s="5" t="s">
        <v>340</v>
      </c>
      <c r="P467" s="5" t="s">
        <v>341</v>
      </c>
      <c r="R467" t="s">
        <v>434</v>
      </c>
    </row>
    <row r="468" spans="1:26" x14ac:dyDescent="0.2">
      <c r="A468" t="str">
        <f>Skills!A2</f>
        <v>BASIC_ATTACK</v>
      </c>
      <c r="B468" t="str">
        <f>Skills!B2</f>
        <v>Basic Attack</v>
      </c>
      <c r="C468" t="b">
        <f>TRUE</f>
        <v>1</v>
      </c>
      <c r="F468">
        <f>T470+Skills!O2</f>
        <v>537.6</v>
      </c>
      <c r="G468">
        <f>Calc!G2</f>
        <v>5</v>
      </c>
      <c r="H468">
        <f>Calc!H2</f>
        <v>1</v>
      </c>
      <c r="I468">
        <f>IF(Skills!X2&lt;&gt;"",1+(Skills!X2/10)*(Z469/1000)/100,1)</f>
        <v>1</v>
      </c>
      <c r="J468">
        <f>((Inputs!$B$6*(1+Inputs!$B$7/100))+(((Inputs!$B$12*(1+Inputs!$B$13/100))-(Inputs!$B$12*(1+Inputs!$B$13/100)))+0.25*(Inputs!$B$14-Inputs!$B$14))*(1+Inputs!$B$7/100))*(F468/100)</f>
        <v>1941459186.9980164</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6646409297245.4277</v>
      </c>
      <c r="L468">
        <f>K468*(MIN(Inputs!$B$22+(F488-Calc!F22),(Inputs!$B$23+(IF(ArtifactsInput!$M$15,CHOOSE(ArtifactsInput!$N$15+1,25,30,35,40,45,50)/100*(Inputs!$B$11-Inputs!$B$11),0))))/100+(Inputs!$B$23+(IF(ArtifactsInput!$M$15,CHOOSE(ArtifactsInput!$N$15+1,25,30,35,40,45,50)/100*(Inputs!$B$11-Inputs!$B$11),0)))/100)/2</f>
        <v>22099310913341.047</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104366205719344.42</v>
      </c>
      <c r="N468">
        <f>L468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104366205719344.42</v>
      </c>
      <c r="O468">
        <f>(1-Summary!$B$11)*S468+Summary!$B$11*U468</f>
        <v>1.2572377002445082E+16</v>
      </c>
      <c r="P468">
        <f>IF(B507=0,0,O468/B507)</f>
        <v>0.37912578564837429</v>
      </c>
      <c r="Q468">
        <f>IFERROR(1/(IF(Inputs!$B$38="pvp",15,MAX(0.1,Skills!E2-IF(TRUE=TRUE,Inputs!$B$32,0)))*(1-IF(AND(ArtifactsInput!$M$27,Inputs!$B$4="Chapter Hunt"),CHOOSE(ArtifactsInput!$N$27+1,20,24,28,32,36,40),0)/100)),0)</f>
        <v>10</v>
      </c>
      <c r="R468">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2087416745265063.2</v>
      </c>
      <c r="T468">
        <f>MAX(0,(Inputs!$B$3-100)*3)+Inputs!$B$28+Inputs!$B$29</f>
        <v>185</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2.30573372596251E+16</v>
      </c>
      <c r="Z468">
        <f>MAX(0,(Inputs!$B$3-100)*3)+Inputs!$B$28+Inputs!$B$29</f>
        <v>185</v>
      </c>
    </row>
    <row r="469" spans="1:26" x14ac:dyDescent="0.2">
      <c r="A469" t="str">
        <f>Skills!A3</f>
        <v>IGNITE</v>
      </c>
      <c r="B469" t="str">
        <f>Skills!B3</f>
        <v>Ignite</v>
      </c>
      <c r="C469" t="b">
        <f>TRUE</f>
        <v>1</v>
      </c>
      <c r="D469">
        <f>IF(Skills!C3=1,60+Inputs!$B$25+Inputs!$B$29,IF(Skills!C3=2,90+Inputs!$B$26+Inputs!$B$29,IF(Skills!C3=3,120+Inputs!$B$27+Inputs!$B$29,MAX(0,(Inputs!$B$3-100)*3)+Inputs!$B$28+Inputs!$B$29)))</f>
        <v>168</v>
      </c>
      <c r="E469">
        <f>INDEX(FactorTable!$B$2:$Y$301, MATCH(ROUND(MIN(300,MAX(1,D469)),0), FactorTable!$A$2:$A$301,0), Skills!M3+1)</f>
        <v>1672</v>
      </c>
      <c r="F469">
        <f>IF(Skills!N3=TRUE,(Skills!L3/10)*(E469/1000),Skills!L3/10)+Skills!O3</f>
        <v>121.736</v>
      </c>
      <c r="G469">
        <f>Calc!G3</f>
        <v>3</v>
      </c>
      <c r="H469">
        <f>Calc!H3</f>
        <v>1</v>
      </c>
      <c r="I469">
        <f>IF(Skills!X3&lt;&gt;"",1+(Skills!X3/10)*(Z469/1000)/100,1)</f>
        <v>4.8250000000000002</v>
      </c>
      <c r="J469">
        <f>((Inputs!$B$6*(1+Inputs!$B$7/100))+(((Inputs!$B$12*(1+Inputs!$B$13/100))-(Inputs!$B$12*(1+Inputs!$B$13/100)))+0.25*(Inputs!$B$14-Inputs!$B$14))*(1+Inputs!$B$7/100))*(F469/100)</f>
        <v>439630720.9605478</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10658554617221.965</v>
      </c>
      <c r="L469">
        <f>K469*(MIN(Inputs!$B$22+(F488-Calc!F22),(Inputs!$B$23+(IF(ArtifactsInput!$M$15,CHOOSE(ArtifactsInput!$N$15+1,25,30,35,40,45,50)/100*(Inputs!$B$11-Inputs!$B$11),0))))/100+(Inputs!$B$23+(IF(ArtifactsInput!$M$15,CHOOSE(ArtifactsInput!$N$15+1,25,30,35,40,45,50)/100*(Inputs!$B$11-Inputs!$B$11),0)))/100)/2</f>
        <v>35439694102263.031</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167367499367347.38</v>
      </c>
      <c r="N469">
        <f>L469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167367499367347.38</v>
      </c>
      <c r="O469">
        <f>(1-Summary!$B$11)*S469+Summary!$B$11*U469</f>
        <v>2909683976501334</v>
      </c>
      <c r="P469">
        <f>IF(B507=0,0,O469/B507)</f>
        <v>8.7742852713135755E-2</v>
      </c>
      <c r="Q469">
        <f>IFERROR(1/(IF(Inputs!$B$38="pvp",15,MAX(0.1,Skills!E3-IF(FALSE=TRUE,Inputs!$B$32,0)))*(1-IF(AND(ArtifactsInput!$M$27,Inputs!$B$4="Chapter Hunt"),CHOOSE(ArtifactsInput!$N$27+1,20,24,28,32,36,40),0)/100)),0)</f>
        <v>1</v>
      </c>
      <c r="R469">
        <f>IF(AND(Inputs!$B$38&lt;&gt;"pvp",Inputs!$B$43&gt;0),IF(MAX(0,Inputs!$B$43-B504)&lt;=0,0,(INT(MAX(0,Inputs!$B$43-B504)/(IF(Inputs!$B$38="pvp",15,MAX(0.1,Skills!E3-IF(FALSE=TRUE,Inputs!$B$32,0)))*(1-IF(AND(ArtifactsInput!$M$27,Inputs!$B$4="Chapter Hunt"),CHOOSE(ArtifactsInput!$N$27+1,20,24,28,32,36,40),0)/100)))+1)),0)</f>
        <v>38</v>
      </c>
      <c r="S469">
        <f>IF(C469,(H469*N469*IF(AND(Inputs!$B$38&lt;&gt;"pvp",Inputs!$B$43&gt;0),((Skills!G3*((R469-1)*IF(Skills!H3&gt;0,Skills!I3/Skills!H3,1)+IF(Skills!H3&gt;0,MIN(Skills!I3,MAX(0,MAX(0,Inputs!$B$43-B504)-((R469-1)*(IF(Inputs!$B$38="pvp",15,MAX(0.1,Skills!E3-IF(FALSE=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1512081673034300</v>
      </c>
      <c r="T469">
        <f>INDEX(FactorTable!$B$2:$Y$301, MATCH(ROUND(MIN(300,MAX(1,T468)),0), FactorTable!$A$2:$A$301,0), 22)</f>
        <v>1740</v>
      </c>
      <c r="U469">
        <f>IF(C469,(H469*N469*IF(AND(Inputs!$B$38&lt;&gt;"pvp",Inputs!$B$43&gt;0),((Skills!G3*((R469-1)*IF(Skills!H3&gt;0,Skills!I3/Skills!H3,1)+IF(Skills!H3&gt;0,MIN(Skills!I3,MAX(0,MAX(0,Inputs!$B$43-B504)-((R469-1)*(IF(Inputs!$B$38="pvp",15,MAX(0.1,Skills!E3-IF(FALSE=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4307286279968368.5</v>
      </c>
      <c r="Z469">
        <f>INDEX(FactorTable!$B$2:$Y$301, MATCH(ROUND(MIN(300,MAX(1,Z468)),0), FactorTable!$A$2:$A$301,0), 24)</f>
        <v>7650</v>
      </c>
    </row>
    <row r="470" spans="1:26" x14ac:dyDescent="0.2">
      <c r="A470" t="str">
        <f>Skills!A4</f>
        <v>POISON_BREATH</v>
      </c>
      <c r="B470" t="str">
        <f>Skills!B4</f>
        <v>Poison Breath</v>
      </c>
      <c r="C470" t="b">
        <f>TRUE</f>
        <v>1</v>
      </c>
      <c r="D470">
        <f>IF(Skills!C4=1,60+Inputs!$B$25+Inputs!$B$29,IF(Skills!C4=2,90+Inputs!$B$26+Inputs!$B$29,IF(Skills!C4=3,120+Inputs!$B$27+Inputs!$B$29,MAX(0,(Inputs!$B$3-100)*3)+Inputs!$B$28+Inputs!$B$29)))</f>
        <v>168</v>
      </c>
      <c r="E470">
        <f>INDEX(FactorTable!$B$2:$Y$301, MATCH(ROUND(MIN(300,MAX(1,D470)),0), FactorTable!$A$2:$A$301,0), Skills!M4+1)</f>
        <v>1840</v>
      </c>
      <c r="F470">
        <f>IF(Skills!N4=TRUE,(Skills!L4/10)*(E470/1000),Skills!L4/10)+Skills!O4</f>
        <v>438</v>
      </c>
      <c r="G470">
        <f>Calc!G4</f>
        <v>3</v>
      </c>
      <c r="H470">
        <f>Calc!H4</f>
        <v>1</v>
      </c>
      <c r="I470">
        <f>IF(Skills!X4&lt;&gt;"",1+(Skills!X4/10)*(Z469/1000)/100,1)</f>
        <v>7.12</v>
      </c>
      <c r="J470">
        <f>((Inputs!$B$6*(1+Inputs!$B$7/100))+(((Inputs!$B$12*(1+Inputs!$B$13/100))-(Inputs!$B$12*(1+Inputs!$B$13/100)))+0.25*(Inputs!$B$14-Inputs!$B$14))*(1+Inputs!$B$7/100))*(F470/100)</f>
        <v>1581769203.69258</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56589528290529.523</v>
      </c>
      <c r="L470">
        <f>K470*(MIN(Inputs!$B$22+(F488-Calc!F22),(Inputs!$B$23+(IF(ArtifactsInput!$M$15,CHOOSE(ArtifactsInput!$N$15+1,25,30,35,40,45,50)/100*(Inputs!$B$11-Inputs!$B$11),0))))/100+(Inputs!$B$23+(IF(ArtifactsInput!$M$15,CHOOSE(ArtifactsInput!$N$15+1,25,30,35,40,45,50)/100*(Inputs!$B$11-Inputs!$B$11),0)))/100)/2</f>
        <v>188160181566010.69</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888605273463642</v>
      </c>
      <c r="N470">
        <f>L470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888605273463642</v>
      </c>
      <c r="O470">
        <f>(1-Summary!$B$11)*S470+Summary!$B$11*U470</f>
        <v>2122322620008726</v>
      </c>
      <c r="P470">
        <f>IF(B507=0,0,O470/B507)</f>
        <v>6.3999610459791342E-2</v>
      </c>
      <c r="Q470">
        <f>IFERROR(1/(IF(Inputs!$B$38="pvp",15,MAX(0.1,Skills!E4-IF(TRUE=TRUE,Inputs!$B$32,0)))*(1-IF(AND(ArtifactsInput!$M$27,Inputs!$B$4="Chapter Hunt"),CHOOSE(ArtifactsInput!$N$27+1,20,24,28,32,36,40),0)/100)),0)</f>
        <v>5.5555555555555552E-2</v>
      </c>
      <c r="R470">
        <f>IF(AND(Inputs!$B$38&lt;&gt;"pvp",Inputs!$B$43&gt;0),IF(MAX(0,Inputs!$B$43-B504)&lt;=0,0,(INT(MAX(0,Inputs!$B$43-B504)/(IF(Inputs!$B$38="pvp",15,MAX(0.1,Skills!E4-IF(TRUE=TRUE,Inputs!$B$32,0)))*(1-IF(AND(ArtifactsInput!$M$27,Inputs!$B$4="Chapter Hunt"),CHOOSE(ArtifactsInput!$N$27+1,20,24,28,32,36,40),0)/100)))+1)),0)</f>
        <v>3</v>
      </c>
      <c r="S470">
        <f>IF(C470,(H470*N470*IF(AND(Inputs!$B$38&lt;&gt;"pvp",Inputs!$B$43&gt;0),((Skills!G4*((R470-1)*IF(Skills!H4&gt;0,Skills!I4/Skills!H4,1)+IF(Skills!H4&gt;0,MIN(Skills!I4,MAX(0,MAX(0,Inputs!$B$43-B504)-((R470-1)*(IF(Inputs!$B$38="pvp",15,MAX(0.1,Skills!E4-IF(TRUE=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633797711297942.75</v>
      </c>
      <c r="T470">
        <f>290*T469/1000</f>
        <v>504.6</v>
      </c>
      <c r="U470">
        <f>IF(C470,(H470*N470*IF(AND(Inputs!$B$38&lt;&gt;"pvp",Inputs!$B$43&gt;0),((Skills!G4*((R470-1)*IF(Skills!H4&gt;0,Skills!I4/Skills!H4,1)+IF(Skills!H4&gt;0,MIN(Skills!I4,MAX(0,MAX(0,Inputs!$B$43-B504)-((R470-1)*(IF(Inputs!$B$38="pvp",15,MAX(0.1,Skills!E4-IF(TRUE=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3610847528719509.5</v>
      </c>
    </row>
    <row r="471" spans="1:26" x14ac:dyDescent="0.2">
      <c r="A471" t="str">
        <f>Skills!A5</f>
        <v>ELEMENTAL_DRAIN</v>
      </c>
      <c r="B471" t="str">
        <f>Skills!B5</f>
        <v>Elemental Drain</v>
      </c>
      <c r="C471" t="b">
        <f>TRUE</f>
        <v>1</v>
      </c>
      <c r="D471">
        <f>IF(Skills!C5=1,60+Inputs!$B$25+Inputs!$B$29,IF(Skills!C5=2,90+Inputs!$B$26+Inputs!$B$29,IF(Skills!C5=3,120+Inputs!$B$27+Inputs!$B$29,MAX(0,(Inputs!$B$3-100)*3)+Inputs!$B$28+Inputs!$B$29)))</f>
        <v>168</v>
      </c>
      <c r="E471">
        <f>INDEX(FactorTable!$B$2:$Y$301, MATCH(ROUND(MIN(300,MAX(1,D471)),0), FactorTable!$A$2:$A$301,0), Skills!M5+1)</f>
        <v>1672</v>
      </c>
      <c r="F471">
        <f>IF(Skills!N5=TRUE,(Skills!L5/10)*(E471/1000),Skills!L5/10)+Skills!O5</f>
        <v>20.064</v>
      </c>
      <c r="G471">
        <f>Calc!G5</f>
        <v>5</v>
      </c>
      <c r="H471">
        <f>Calc!H5</f>
        <v>1</v>
      </c>
      <c r="I471">
        <f>IF(Skills!X5&lt;&gt;"",1+(Skills!X5/10)*(Z469/1000)/100,1)</f>
        <v>12.475</v>
      </c>
      <c r="J471">
        <f>((Inputs!$B$6*(1+Inputs!$B$7/100))+(((Inputs!$B$12*(1+Inputs!$B$13/100))-(Inputs!$B$12*(1+Inputs!$B$13/100)))+0.25*(Inputs!$B$14-Inputs!$B$14))*(1+Inputs!$B$7/100))*(F471/100)</f>
        <v>72458030.371890247</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4541925884983.542</v>
      </c>
      <c r="L471">
        <f>K471*(MIN(Inputs!$B$22+(F488-Calc!F22),(Inputs!$B$23+(IF(ArtifactsInput!$M$15,CHOOSE(ArtifactsInput!$N$15+1,25,30,35,40,45,50)/100*(Inputs!$B$11-Inputs!$B$11),0))))/100+(Inputs!$B$23+(IF(ArtifactsInput!$M$15,CHOOSE(ArtifactsInput!$N$15+1,25,30,35,40,45,50)/100*(Inputs!$B$11-Inputs!$B$11),0)))/100)/2</f>
        <v>15101903567570.277</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71320249788207.391</v>
      </c>
      <c r="N471">
        <f>L471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71320249788207.391</v>
      </c>
      <c r="O471">
        <f>(1-Summary!$B$11)*S471+Summary!$B$11*U471</f>
        <v>1046802966266414</v>
      </c>
      <c r="P471">
        <f>IF(B507=0,0,O471/B507)</f>
        <v>3.1566822799508745E-2</v>
      </c>
      <c r="Q471">
        <f>IFERROR(1/(IF(Inputs!$B$38="pvp",15,MAX(0.1,Skills!E5-IF(FALSE=TRUE,Inputs!$B$32,0)))*(1-IF(AND(ArtifactsInput!$M$27,Inputs!$B$4="Chapter Hunt"),CHOOSE(ArtifactsInput!$N$27+1,20,24,28,32,36,40),0)/100)),0)</f>
        <v>1</v>
      </c>
      <c r="R471">
        <f>IF(AND(Inputs!$B$38&lt;&gt;"pvp",Inputs!$B$43&gt;0),IF(MAX(0,Inputs!$B$43-B504)&lt;=0,0,(INT(MAX(0,Inputs!$B$43-B504)/(IF(Inputs!$B$38="pvp",15,MAX(0.1,Skills!E5-IF(FALSE=TRUE,Inputs!$B$32,0)))*(1-IF(AND(ArtifactsInput!$M$27,Inputs!$B$4="Chapter Hunt"),CHOOSE(ArtifactsInput!$N$27+1,20,24,28,32,36,40),0)/100)))+1)),0)</f>
        <v>38</v>
      </c>
      <c r="S471">
        <f>IF(C471,(H471*N471*IF(AND(Inputs!$B$38&lt;&gt;"pvp",Inputs!$B$43&gt;0),((Skills!G5*((R471-1)*IF(Skills!H5&gt;0,Skills!I5/Skills!H5,1)+IF(Skills!H5&gt;0,MIN(Skills!I5,MAX(0,MAX(0,Inputs!$B$43-B504)-((R471-1)*(IF(Inputs!$B$38="pvp",15,MAX(0.1,Skills!E5-IF(FALSE=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1073904661185932.9</v>
      </c>
      <c r="U471">
        <f>IF(C471,(H471*N471*IF(AND(Inputs!$B$38&lt;&gt;"pvp",Inputs!$B$43&gt;0),((Skills!G5*((R471-1)*IF(Skills!H5&gt;0,Skills!I5/Skills!H5,1)+IF(Skills!H5&gt;0,MIN(Skills!I5,MAX(0,MAX(0,Inputs!$B$43-B504)-((R471-1)*(IF(Inputs!$B$38="pvp",15,MAX(0.1,Skills!E5-IF(FALSE=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1019701271346895.1</v>
      </c>
    </row>
    <row r="472" spans="1:26" x14ac:dyDescent="0.2">
      <c r="A472" t="str">
        <f>Skills!A6</f>
        <v>MEDITATION</v>
      </c>
      <c r="B472" t="str">
        <f>Skills!B6</f>
        <v>Meditation</v>
      </c>
      <c r="C472" t="b">
        <f>TRUE</f>
        <v>1</v>
      </c>
      <c r="D472">
        <f>IF(Skills!C6=1,60+Inputs!$B$25+Inputs!$B$29,IF(Skills!C6=2,90+Inputs!$B$26+Inputs!$B$29,IF(Skills!C6=3,120+Inputs!$B$27+Inputs!$B$29,MAX(0,(Inputs!$B$3-100)*3)+Inputs!$B$28+Inputs!$B$29)))</f>
        <v>168</v>
      </c>
      <c r="E472">
        <f>INDEX(FactorTable!$B$2:$Y$301, MATCH(ROUND(MIN(300,MAX(1,D472)),0), FactorTable!$A$2:$A$301,0), Skills!M6+1)</f>
        <v>1672</v>
      </c>
      <c r="F472">
        <f>IF(Skills!N6=TRUE,(Skills!L6/10)*(E472/1000),Skills!L6/10)+Skills!O6</f>
        <v>33.44</v>
      </c>
      <c r="G472">
        <f>Calc!G6</f>
        <v>1</v>
      </c>
      <c r="H472">
        <f>Calc!H6</f>
        <v>1</v>
      </c>
      <c r="I472">
        <f>IF(Skills!X6&lt;&gt;"",1+(Skills!X6/10)*(Z469/1000)/100,1)</f>
        <v>1</v>
      </c>
      <c r="O472">
        <f>(1-Summary!$B$11)*S472+Summary!$B$11*U472</f>
        <v>0</v>
      </c>
      <c r="P472">
        <f>IF(B507=0,0,O472/B507)</f>
        <v>0</v>
      </c>
      <c r="Q472">
        <f>IFERROR(1/(IF(Inputs!$B$38="pvp",15,MAX(0.1,Skills!E6-IF(TRUE=TRUE,Inputs!$B$32,0)))*(1-IF(AND(ArtifactsInput!$M$27,Inputs!$B$4="Chapter Hunt"),CHOOSE(ArtifactsInput!$N$27+1,20,24,28,32,36,40),0)/100)),0)</f>
        <v>3.3333333333333333E-2</v>
      </c>
      <c r="R472">
        <f>IF(AND(Inputs!$B$38&lt;&gt;"pvp",Inputs!$B$43&gt;0),IF(Inputs!$B$43&lt;=0,0,(INT(Inputs!$B$43/(IF(Inputs!$B$38="pvp",15,MAX(0.1,Skills!E6-IF(TRUE=TRUE,Inputs!$B$32,0)))*(1-IF(AND(ArtifactsInput!$M$27,Inputs!$B$4="Chapter Hunt"),CHOOSE(ArtifactsInput!$N$27+1,20,24,28,32,36,40),0)/100)))+1)),0)</f>
        <v>2</v>
      </c>
      <c r="S472">
        <v>0</v>
      </c>
      <c r="U472">
        <v>0</v>
      </c>
    </row>
    <row r="473" spans="1:26" x14ac:dyDescent="0.2">
      <c r="A473" t="str">
        <f>Skills!A7</f>
        <v>POISON_MIST_BURST</v>
      </c>
      <c r="B473" t="str">
        <f>Skills!B7</f>
        <v>Poison Mist (burst)</v>
      </c>
      <c r="C473" t="b">
        <f>TRUE</f>
        <v>1</v>
      </c>
      <c r="D473">
        <f>IF(Skills!C7=1,60+Inputs!$B$25+Inputs!$B$29,IF(Skills!C7=2,90+Inputs!$B$26+Inputs!$B$29,IF(Skills!C7=3,120+Inputs!$B$27+Inputs!$B$29,MAX(0,(Inputs!$B$3-100)*3)+Inputs!$B$28+Inputs!$B$29)))</f>
        <v>184</v>
      </c>
      <c r="E473">
        <f>INDEX(FactorTable!$B$2:$Y$301, MATCH(ROUND(MIN(300,MAX(1,D473)),0), FactorTable!$A$2:$A$301,0), Skills!M7+1)</f>
        <v>1920</v>
      </c>
      <c r="F473">
        <f>IF(Skills!N7=TRUE,(Skills!L7/10)*(E473/1000),Skills!L7/10)+Skills!O7</f>
        <v>357.2</v>
      </c>
      <c r="G473">
        <f>Calc!G7</f>
        <v>3</v>
      </c>
      <c r="H473">
        <f>Calc!H7</f>
        <v>1</v>
      </c>
      <c r="I473">
        <f>IF(Skills!X7&lt;&gt;"",1+(Skills!X7/10)*(Z469/1000)/100,1)</f>
        <v>1.7650000000000001</v>
      </c>
      <c r="J473">
        <f>((Inputs!$B$6*(1+Inputs!$B$7/100))+(((Inputs!$B$12*(1+Inputs!$B$13/100))-(Inputs!$B$12*(1+Inputs!$B$13/100)))+0.25*(Inputs!$B$14-Inputs!$B$14))*(1+Inputs!$B$7/100))*(F473/100)</f>
        <v>1289972510.4086521</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11440318873772.086</v>
      </c>
      <c r="L473">
        <f>K473*(MIN(Inputs!$B$22+(F488-Calc!F22),(Inputs!$B$23+(IF(ArtifactsInput!$M$15,CHOOSE(ArtifactsInput!$N$15+1,25,30,35,40,45,50)/100*(Inputs!$B$11-Inputs!$B$11),0))))/100+(Inputs!$B$23+(IF(ArtifactsInput!$M$15,CHOOSE(ArtifactsInput!$N$15+1,25,30,35,40,45,50)/100*(Inputs!$B$11-Inputs!$B$11),0)))/100)/2</f>
        <v>38039060255292.188</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179643265961642.88</v>
      </c>
      <c r="N473">
        <f>L473*(1-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179643265961642.88</v>
      </c>
      <c r="O473">
        <f>(1-Summary!$B$11)*S473+Summary!$B$11*U473</f>
        <v>448254859390789.38</v>
      </c>
      <c r="P473">
        <f>IF(B507=0,0,O473/B507)</f>
        <v>1.3517330549679156E-2</v>
      </c>
      <c r="Q473">
        <f>IFERROR(1/(IF(Inputs!$B$38="pvp",15,MAX(0.1,Skills!E7-IF(TRUE=TRUE,Inputs!$B$32,0)))*(1-IF(AND(ArtifactsInput!$M$27,Inputs!$B$4="Chapter Hunt"),CHOOSE(ArtifactsInput!$N$27+1,20,24,28,32,36,40),0)/100)),0)</f>
        <v>4.0816326530612242E-2</v>
      </c>
      <c r="R473">
        <f>IF(AND(Inputs!$B$38&lt;&gt;"pvp",Inputs!$B$43&gt;0),IF(MAX(0,Inputs!$B$43-B504)&lt;=0,0,(INT(MAX(0,Inputs!$B$43-B504)/(IF(Inputs!$B$38="pvp",15,MAX(0.1,Skills!E7-IF(TRUE=TRUE,Inputs!$B$32,0)))*(1-IF(AND(ArtifactsInput!$M$27,Inputs!$B$4="Chapter Hunt"),CHOOSE(ArtifactsInput!$N$27+1,20,24,28,32,36,40),0)/100)))+1)),0)</f>
        <v>2</v>
      </c>
      <c r="S473">
        <f>IF(C473,(H473*N473*IF(AND(Inputs!$B$38&lt;&gt;"pvp",Inputs!$B$43&gt;0),((Skills!G7*((R473-1)*IF(Skills!H7&gt;0,Skills!I7/Skills!H7,1)+IF(Skills!H7&gt;0,MIN(Skills!I7,MAX(0,MAX(0,Inputs!$B$43-B504)-((R473-1)*(IF(Inputs!$B$38="pvp",15,MAX(0.1,Skills!E7-IF(TRUE=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85420372964761.188</v>
      </c>
      <c r="U473">
        <f>IF(C473,(H473*N473*IF(AND(Inputs!$B$38&lt;&gt;"pvp",Inputs!$B$43&gt;0),((Skills!G7*((R473-1)*IF(Skills!H7&gt;0,Skills!I7/Skills!H7,1)+IF(Skills!H7&gt;0,MIN(Skills!I7,MAX(0,MAX(0,Inputs!$B$43-B504)-((R473-1)*(IF(Inputs!$B$38="pvp",15,MAX(0.1,Skills!E7-IF(TRUE=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811089345816817.5</v>
      </c>
    </row>
    <row r="474" spans="1:26" x14ac:dyDescent="0.2">
      <c r="A474" t="str">
        <f>Skills!A8</f>
        <v>POISON_MIST_DOT</v>
      </c>
      <c r="B474" t="str">
        <f>Skills!B8</f>
        <v>Poison Mist (fog DoT)</v>
      </c>
      <c r="C474" t="b">
        <f>TRUE</f>
        <v>1</v>
      </c>
      <c r="D474">
        <f>IF(Skills!C8=1,60+Inputs!$B$25+Inputs!$B$29,IF(Skills!C8=2,90+Inputs!$B$26+Inputs!$B$29,IF(Skills!C8=3,120+Inputs!$B$27+Inputs!$B$29,MAX(0,(Inputs!$B$3-100)*3)+Inputs!$B$28+Inputs!$B$29)))</f>
        <v>184</v>
      </c>
      <c r="E474">
        <f>INDEX(FactorTable!$B$2:$Y$301, MATCH(ROUND(MIN(300,MAX(1,D474)),0), FactorTable!$A$2:$A$301,0), Skills!M8+1)</f>
        <v>1920</v>
      </c>
      <c r="F474">
        <f>IF(Skills!N8=TRUE,(Skills!L8/10)*(E474/1000),Skills!L8/10)+Skills!O8</f>
        <v>134.4</v>
      </c>
      <c r="G474">
        <f>Calc!G8</f>
        <v>50</v>
      </c>
      <c r="H474">
        <f>Calc!H8</f>
        <v>1</v>
      </c>
      <c r="I474">
        <f>IF(Skills!X8&lt;&gt;"",1+(Skills!X8/10)*(Z469/1000)/100,1)</f>
        <v>1.7650000000000001</v>
      </c>
      <c r="J474">
        <f>((Inputs!$B$6*(1+Inputs!$B$7/100))+(((Inputs!$B$12*(1+Inputs!$B$13/100))-(Inputs!$B$12*(1+Inputs!$B$13/100)))+0.25*(Inputs!$B$14-Inputs!$B$14))*(1+Inputs!$B$7/100))*(F474/100)</f>
        <v>485364796.74950409</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4304532073446.1597</v>
      </c>
      <c r="L474">
        <f>K474*(MIN(Inputs!$B$22+(F488-Calc!F22),(Inputs!$B$23+(IF(ArtifactsInput!$M$15,CHOOSE(ArtifactsInput!$N$15+1,25,30,35,40,45,50)/100*(Inputs!$B$11-Inputs!$B$11),0))))/100+(Inputs!$B$23+(IF(ArtifactsInput!$M$15,CHOOSE(ArtifactsInput!$N$15+1,25,30,35,40,45,50)/100*(Inputs!$B$11-Inputs!$B$11),0)))/100)/2</f>
        <v>14312569144208.482</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67592539040438.977</v>
      </c>
      <c r="N474">
        <f>L474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67592539040438.977</v>
      </c>
      <c r="O474">
        <f>(1-Summary!$B$11)*S474+Summary!$B$11*U474</f>
        <v>2329247547208960</v>
      </c>
      <c r="P474">
        <f>IF(B507=0,0,O474/B507)</f>
        <v>7.0239526394523827E-2</v>
      </c>
      <c r="Q474">
        <f>IFERROR(1/(IF(Inputs!$B$38="pvp",15,MAX(0.1,Skills!E8-IF(TRUE=TRUE,Inputs!$B$32,0)))*(1-IF(AND(ArtifactsInput!$M$27,Inputs!$B$4="Chapter Hunt"),CHOOSE(ArtifactsInput!$N$27+1,20,24,28,32,36,40),0)/100)),0)</f>
        <v>4.0816326530612242E-2</v>
      </c>
      <c r="R474">
        <f>IF(AND(Inputs!$B$38&lt;&gt;"pvp",Inputs!$B$43&gt;0),IF(MAX(0,Inputs!$B$43-B504)&lt;=0,0,(INT(MAX(0,Inputs!$B$43-B504)/(IF(Inputs!$B$38="pvp",15,MAX(0.1,Skills!E8-IF(TRUE=TRUE,Inputs!$B$32,0)))*(1-IF(AND(ArtifactsInput!$M$27,Inputs!$B$4="Chapter Hunt"),CHOOSE(ArtifactsInput!$N$27+1,20,24,28,32,36,40),0)/100)))+1)),0)</f>
        <v>2</v>
      </c>
      <c r="S474">
        <f>IF(C474,(H474*N474*IF(AND(Inputs!$B$38&lt;&gt;"pvp",Inputs!$B$43&gt;0),((Skills!G8*((R474-1)*IF(Skills!H8&gt;0,Skills!I8/Skills!H8,1)+IF(Skills!H8&gt;0,MIN(Skills!I8,MAX(0,MAX(0,Inputs!$B$43-B504)-((R474-1)*(IF(Inputs!$B$38="pvp",15,MAX(0.1,Skills!E8-IF(TRUE=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443866229314842.44</v>
      </c>
      <c r="U474">
        <f>IF(C474,(H474*N474*IF(AND(Inputs!$B$38&lt;&gt;"pvp",Inputs!$B$43&gt;0),((Skills!G8*((R474-1)*IF(Skills!H8&gt;0,Skills!I8/Skills!H8,1)+IF(Skills!H8&gt;0,MIN(Skills!I8,MAX(0,MAX(0,Inputs!$B$43-B504)-((R474-1)*(IF(Inputs!$B$38="pvp",15,MAX(0.1,Skills!E8-IF(TRUE=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4214628865103078</v>
      </c>
    </row>
    <row r="475" spans="1:26" x14ac:dyDescent="0.2">
      <c r="A475" t="str">
        <f>Skills!A9</f>
        <v>MIST_ERUPTION</v>
      </c>
      <c r="B475" t="str">
        <f>Skills!B9</f>
        <v>Mist Eruption</v>
      </c>
      <c r="C475" t="b">
        <f>Inputs!$B$3&gt;=103</f>
        <v>1</v>
      </c>
      <c r="D475">
        <f>IF(Skills!C9=1,60+Inputs!$B$25+Inputs!$B$29,IF(Skills!C9=2,90+Inputs!$B$26+Inputs!$B$29,IF(Skills!C9=3,120+Inputs!$B$27+Inputs!$B$29,MAX(0,(Inputs!$B$3-100)*3)+Inputs!$B$28+Inputs!$B$29)))</f>
        <v>185</v>
      </c>
      <c r="E475">
        <f>INDEX(FactorTable!$B$2:$Y$301, MATCH(ROUND(MIN(300,MAX(1,D475)),0), FactorTable!$A$2:$A$301,0), Skills!M9+1)</f>
        <v>1925</v>
      </c>
      <c r="F475">
        <f>IF(Skills!N9=TRUE,(Skills!L9/10)*(E475/1000),Skills!L9/10)+Skills!O9</f>
        <v>5775</v>
      </c>
      <c r="G475">
        <f>Calc!G9</f>
        <v>2.5</v>
      </c>
      <c r="H475">
        <f>Calc!H9</f>
        <v>1</v>
      </c>
      <c r="I475">
        <f>IF(Skills!X9&lt;&gt;"",1+(Skills!X9/10)*(Z469/1000)/100,1)</f>
        <v>1</v>
      </c>
      <c r="J475">
        <f>((Inputs!$B$6*(1+Inputs!$B$7/100))+(((Inputs!$B$12*(1+Inputs!$B$13/100))-(Inputs!$B$12*(1+Inputs!$B$13/100)))+0.25*(Inputs!$B$14-Inputs!$B$14))*(1+Inputs!$B$7/100))*(F475/100)</f>
        <v>20855518610.330254</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104793406533081.95</v>
      </c>
      <c r="L475">
        <f>K475*(MIN(Inputs!$B$22+(F488-Calc!F22),(Inputs!$B$23+(IF(ArtifactsInput!$M$15,CHOOSE(ArtifactsInput!$N$15+1,25,30,35,40,45,50)/100*(Inputs!$B$11-Inputs!$B$11),0))))/100+(Inputs!$B$23+(IF(ArtifactsInput!$M$15,CHOOSE(ArtifactsInput!$N$15+1,25,30,35,40,45,50)/100*(Inputs!$B$11-Inputs!$B$11),0)))/100)/2</f>
        <v>348438076722497.5</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1645533661129666.8</v>
      </c>
      <c r="N475">
        <f>L475*(1-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1645533661129666.8</v>
      </c>
      <c r="O475">
        <f>(1-Summary!$B$11)*S475+Summary!$B$11*U475</f>
        <v>3421681556611500.5</v>
      </c>
      <c r="P475">
        <f>IF(B507=0,0,O475/B507)</f>
        <v>0.10318237419515801</v>
      </c>
      <c r="Q475">
        <f>IFERROR(1/(IF(Inputs!$B$38="pvp",15,MAX(0.1,Skills!E9-IF(TRUE=TRUE,Inputs!$B$32,0)))*(1-IF(AND(ArtifactsInput!$M$27,Inputs!$B$4="Chapter Hunt"),CHOOSE(ArtifactsInput!$N$27+1,20,24,28,32,36,40),0)/100)),0)</f>
        <v>4.0816326530612242E-2</v>
      </c>
      <c r="R475">
        <f>IF(AND(Inputs!$B$38&lt;&gt;"pvp",Inputs!$B$43&gt;0),IF(MAX(0,Inputs!$B$43-B504)&lt;=0,0,(INT(MAX(0,Inputs!$B$43-B504)/(IF(Inputs!$B$38="pvp",15,MAX(0.1,Skills!E9-IF(TRUE=TRUE,Inputs!$B$32,0)))*(1-IF(AND(ArtifactsInput!$M$27,Inputs!$B$4="Chapter Hunt"),CHOOSE(ArtifactsInput!$N$27+1,20,24,28,32,36,40),0)/100)))+1)),0)</f>
        <v>2</v>
      </c>
      <c r="S475">
        <f>IF(C475,(H475*N475*IF(AND(Inputs!$B$38&lt;&gt;"pvp",Inputs!$B$43&gt;0),((Skills!G9*((R475-1)*IF(Skills!H9&gt;0,Skills!I9/Skills!H9,1)+IF(Skills!H9&gt;0,MIN(Skills!I9,MAX(0,MAX(0,Inputs!$B$43-B504)-((R475-1)*(IF(Inputs!$B$38="pvp",15,MAX(0.1,Skills!E9-IF(TRUE=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652042713222630.38</v>
      </c>
      <c r="U475">
        <f>IF(C475,(H475*N475*IF(AND(Inputs!$B$38&lt;&gt;"pvp",Inputs!$B$43&gt;0),((Skills!G9*((R475-1)*IF(Skills!H9&gt;0,Skills!I9/Skills!H9,1)+IF(Skills!H9&gt;0,MIN(Skills!I9,MAX(0,MAX(0,Inputs!$B$43-B504)-((R475-1)*(IF(Inputs!$B$38="pvp",15,MAX(0.1,Skills!E9-IF(TRUE=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6191320400000371</v>
      </c>
    </row>
    <row r="476" spans="1:26" x14ac:dyDescent="0.2">
      <c r="A476" t="str">
        <f>Skills!A10</f>
        <v>CREEPING_TOXIN</v>
      </c>
      <c r="B476" t="str">
        <f>Skills!B10</f>
        <v>Creeping Toxin</v>
      </c>
      <c r="C476" t="b">
        <f>TRUE</f>
        <v>1</v>
      </c>
      <c r="D476">
        <f>IF(Skills!C10=1,60+Inputs!$B$25+Inputs!$B$29,IF(Skills!C10=2,90+Inputs!$B$26+Inputs!$B$29,IF(Skills!C10=3,120+Inputs!$B$27+Inputs!$B$29,MAX(0,(Inputs!$B$3-100)*3)+Inputs!$B$28+Inputs!$B$29)))</f>
        <v>184</v>
      </c>
      <c r="E476">
        <f>INDEX(FactorTable!$B$2:$Y$301, MATCH(ROUND(MIN(300,MAX(1,D476)),0), FactorTable!$A$2:$A$301,0), Skills!M10+1)</f>
        <v>1920</v>
      </c>
      <c r="F476">
        <f>IF(Skills!N10=TRUE,(Skills!L10/10)*(E476/1000),Skills!L10/10)+Skills!O10</f>
        <v>280.39999999999998</v>
      </c>
      <c r="G476">
        <f>Calc!G10</f>
        <v>15</v>
      </c>
      <c r="H476">
        <f>Calc!H10</f>
        <v>1</v>
      </c>
      <c r="I476">
        <f>IF(Skills!X10&lt;&gt;"",1+(Skills!X10/10)*(Z469/1000)/100,1)</f>
        <v>1.7650000000000001</v>
      </c>
      <c r="J476">
        <f>((Inputs!$B$6*(1+Inputs!$B$7/100))+(((Inputs!$B$12*(1+Inputs!$B$13/100))-(Inputs!$B$12*(1+Inputs!$B$13/100)))+0.25*(Inputs!$B$14-Inputs!$B$14))*(1+Inputs!$B$7/100))*(F476/100)</f>
        <v>1012621197.9803641</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8980586260374.2793</v>
      </c>
      <c r="L476">
        <f>K476*(MIN(Inputs!$B$22+(F488-Calc!F22),(Inputs!$B$23+(IF(ArtifactsInput!$M$15,CHOOSE(ArtifactsInput!$N$15+1,25,30,35,40,45,50)/100*(Inputs!$B$11-Inputs!$B$11),0))))/100+(Inputs!$B$23+(IF(ArtifactsInput!$M$15,CHOOSE(ArtifactsInput!$N$15+1,25,30,35,40,45,50)/100*(Inputs!$B$11-Inputs!$B$11),0)))/100)/2</f>
        <v>29860449315744.48</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141018957938534.88</v>
      </c>
      <c r="N476">
        <f>L476*(1-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141018957938534.88</v>
      </c>
      <c r="O476">
        <f>(1-Summary!$B$11)*S476+Summary!$B$11*U476</f>
        <v>324570873375598.5</v>
      </c>
      <c r="P476">
        <f>IF(B507=0,0,O476/B507)</f>
        <v>9.787583314052016E-3</v>
      </c>
      <c r="Q476">
        <f>IFERROR(1/(IF(Inputs!$B$38="pvp",15,MAX(0.1,Skills!E10-IF(TRUE=TRUE,Inputs!$B$32,0)))*(1-IF(AND(ArtifactsInput!$M$27,Inputs!$B$4="Chapter Hunt"),CHOOSE(ArtifactsInput!$N$27+1,20,24,28,32,36,40),0)/100)),0)</f>
        <v>3.7037037037037035E-2</v>
      </c>
      <c r="R476">
        <f>IF(AND(Inputs!$B$38&lt;&gt;"pvp",Inputs!$B$43&gt;0),IF(MAX(0,Inputs!$B$43-B504)&lt;=0,0,(INT(MAX(0,Inputs!$B$43-B504)/(IF(Inputs!$B$38="pvp",15,MAX(0.1,Skills!E10-IF(TRUE=TRUE,Inputs!$B$32,0)))*(1-IF(AND(ArtifactsInput!$M$27,Inputs!$B$4="Chapter Hunt"),CHOOSE(ArtifactsInput!$N$27+1,20,24,28,32,36,40),0)/100)))+1)),0)</f>
        <v>2</v>
      </c>
      <c r="S476">
        <f>IF(C476,(H476*N476*IF(AND(Inputs!$B$38&lt;&gt;"pvp",Inputs!$B$43&gt;0),((Skills!G10*((R476-1)*IF(Skills!H10&gt;0,Skills!I10/Skills!H10,1)+IF(Skills!H10&gt;0,MIN(Skills!I10,MAX(0,MAX(0,Inputs!$B$43-B504)-((R476-1)*(IF(Inputs!$B$38="pvp",15,MAX(0.1,Skills!E10-IF(TRUE=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286598793482074.44</v>
      </c>
      <c r="U476">
        <f>IF(C476,(H476*N476*IF(AND(Inputs!$B$38&lt;&gt;"pvp",Inputs!$B$43&gt;0),((Skills!G10*((R476-1)*IF(Skills!H10&gt;0,Skills!I10/Skills!H10,1)+IF(Skills!H10&gt;0,MIN(Skills!I10,MAX(0,MAX(0,Inputs!$B$43-B504)-((R476-1)*(IF(Inputs!$B$38="pvp",15,MAX(0.1,Skills!E10-IF(TRUE=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362542953269122.56</v>
      </c>
    </row>
    <row r="477" spans="1:26" x14ac:dyDescent="0.2">
      <c r="A477" t="str">
        <f>Skills!A11</f>
        <v>BURNING_MAGIC</v>
      </c>
      <c r="B477" t="str">
        <f>Skills!B11</f>
        <v>Burning Magic</v>
      </c>
      <c r="C477" t="b">
        <f>TRUE</f>
        <v>1</v>
      </c>
      <c r="D477">
        <f>IF(Skills!C11=1,60+Inputs!$B$25+Inputs!$B$29,IF(Skills!C11=2,90+Inputs!$B$26+Inputs!$B$29,IF(Skills!C11=3,120+Inputs!$B$27+Inputs!$B$29,MAX(0,(Inputs!$B$3-100)*3)+Inputs!$B$28+Inputs!$B$29)))</f>
        <v>184</v>
      </c>
      <c r="E477">
        <f>INDEX(FactorTable!$B$2:$Y$301, MATCH(ROUND(MIN(300,MAX(1,D477)),0), FactorTable!$A$2:$A$301,0), Skills!M11+1)</f>
        <v>0</v>
      </c>
      <c r="F477">
        <f>IF(Skills!N11=TRUE,(Skills!L11/10)*(E477/1000),Skills!L11/10)+Skills!O11</f>
        <v>5</v>
      </c>
      <c r="G477">
        <f>Calc!G11</f>
        <v>1</v>
      </c>
      <c r="H477">
        <f>Calc!H11</f>
        <v>1</v>
      </c>
      <c r="I477">
        <f>IF(Skills!X11&lt;&gt;"",1+(Skills!X11/10)*(Z469/1000)/100,1)</f>
        <v>1</v>
      </c>
      <c r="O477">
        <f>(1-Summary!$B$11)*S477+Summary!$B$11*U477</f>
        <v>0</v>
      </c>
      <c r="P477">
        <f>IF(B507=0,0,O477/B507)</f>
        <v>0</v>
      </c>
      <c r="Q477">
        <f>IFERROR(1/(IF(Inputs!$B$38="pvp",15,MAX(0.1,Skills!E11-IF(TRUE=TRUE,Inputs!$B$32,0)))*(1-IF(AND(ArtifactsInput!$M$27,Inputs!$B$4="Chapter Hunt"),CHOOSE(ArtifactsInput!$N$27+1,20,24,28,32,36,40),0)/100)),0)</f>
        <v>10</v>
      </c>
      <c r="R477">
        <v>0</v>
      </c>
      <c r="S477">
        <v>0</v>
      </c>
      <c r="U477">
        <v>0</v>
      </c>
    </row>
    <row r="478" spans="1:26" x14ac:dyDescent="0.2">
      <c r="A478" t="str">
        <f>Skills!A12</f>
        <v>ELEMENTAL_DECREASE</v>
      </c>
      <c r="B478" t="str">
        <f>Skills!B12</f>
        <v>Elemental Decrease</v>
      </c>
      <c r="C478" t="b">
        <f>TRUE</f>
        <v>1</v>
      </c>
      <c r="D478">
        <f>IF(Skills!C12=1,60+Inputs!$B$25+Inputs!$B$29,IF(Skills!C12=2,90+Inputs!$B$26+Inputs!$B$29,IF(Skills!C12=3,120+Inputs!$B$27+Inputs!$B$29,MAX(0,(Inputs!$B$3-100)*3)+Inputs!$B$28+Inputs!$B$29)))</f>
        <v>184</v>
      </c>
      <c r="E478">
        <f>INDEX(FactorTable!$B$2:$Y$301, MATCH(ROUND(MIN(300,MAX(1,D478)),0), FactorTable!$A$2:$A$301,0), Skills!M12+1)</f>
        <v>1552</v>
      </c>
      <c r="F478">
        <f>IF(Skills!N12=TRUE,(Skills!L12/10)*(E478/1000),Skills!L12/10)+Skills!O12</f>
        <v>18.624000000000002</v>
      </c>
      <c r="G478">
        <f>Calc!G12</f>
        <v>1</v>
      </c>
      <c r="H478">
        <f>Calc!H12</f>
        <v>0.5</v>
      </c>
      <c r="I478">
        <f>IF(Skills!X12&lt;&gt;"",1+(Skills!X12/10)*(Z469/1000)/100,1)</f>
        <v>1</v>
      </c>
      <c r="O478">
        <f>(1-Summary!$B$11)*S478+Summary!$B$11*U478</f>
        <v>0</v>
      </c>
      <c r="P478">
        <f>IF(B507=0,0,O478/B507)</f>
        <v>0</v>
      </c>
      <c r="Q478">
        <f>IFERROR(1/(IF(Inputs!$B$38="pvp",15,MAX(0.1,Skills!E12-IF(TRUE=TRUE,Inputs!$B$32,0)))*(1-IF(AND(ArtifactsInput!$M$27,Inputs!$B$4="Chapter Hunt"),CHOOSE(ArtifactsInput!$N$27+1,20,24,28,32,36,40),0)/100)),0)</f>
        <v>10</v>
      </c>
      <c r="R478">
        <v>0</v>
      </c>
      <c r="S478">
        <v>0</v>
      </c>
      <c r="U478">
        <v>0</v>
      </c>
    </row>
    <row r="479" spans="1:26" x14ac:dyDescent="0.2">
      <c r="A479" t="str">
        <f>Skills!A13</f>
        <v>METEOR_SHOWER_BURST</v>
      </c>
      <c r="B479" t="str">
        <f>Skills!B13</f>
        <v>Meteor Shower (burst)</v>
      </c>
      <c r="C479" t="b">
        <f>Inputs!$B$3&gt;=105</f>
        <v>1</v>
      </c>
      <c r="D479">
        <f>IF(Skills!C13=1,60+Inputs!$B$25+Inputs!$B$29,IF(Skills!C13=2,90+Inputs!$B$26+Inputs!$B$29,IF(Skills!C13=3,120+Inputs!$B$27+Inputs!$B$29,MAX(0,(Inputs!$B$3-100)*3)+Inputs!$B$28+Inputs!$B$29)))</f>
        <v>185</v>
      </c>
      <c r="E479">
        <f>INDEX(FactorTable!$B$2:$Y$301, MATCH(ROUND(MIN(300,MAX(1,D479)),0), FactorTable!$A$2:$A$301,0), Skills!M13+1)</f>
        <v>1925</v>
      </c>
      <c r="F479">
        <f>IF(Skills!N13=TRUE,(Skills!L13/10)*(E479/1000),Skills!L13/10)+Skills!O13</f>
        <v>1155</v>
      </c>
      <c r="G479">
        <f>Calc!G13</f>
        <v>9</v>
      </c>
      <c r="H479">
        <f>Calc!H13</f>
        <v>1</v>
      </c>
      <c r="I479">
        <f>IF(Skills!X13&lt;&gt;"",1+(Skills!X13/10)*(Z469/1000)/100,1)</f>
        <v>1</v>
      </c>
      <c r="J479">
        <f>((Inputs!$B$6*(1+Inputs!$B$7/100))+(((Inputs!$B$12*(1+Inputs!$B$13/100))-(Inputs!$B$12*(1+Inputs!$B$13/100)))+0.25*(Inputs!$B$14-Inputs!$B$14))*(1+Inputs!$B$7/100))*(F479/100)</f>
        <v>4171103722.0660505</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20958681306616.391</v>
      </c>
      <c r="L479">
        <f>K479*(MIN(Inputs!$B$22+(F488-Calc!F22),(Inputs!$B$23+(IF(ArtifactsInput!$M$15,CHOOSE(ArtifactsInput!$N$15+1,25,30,35,40,45,50)/100*(Inputs!$B$11-Inputs!$B$11),0))))/100+(Inputs!$B$23+(IF(ArtifactsInput!$M$15,CHOOSE(ArtifactsInput!$N$15+1,25,30,35,40,45,50)/100*(Inputs!$B$11-Inputs!$B$11),0)))/100)/2</f>
        <v>69687615344499.5</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329106732225933.31</v>
      </c>
      <c r="N479">
        <f>L479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329106732225933.31</v>
      </c>
      <c r="O479">
        <f>(1-Summary!$B$11)*S479+Summary!$B$11*U479</f>
        <v>1794948117560240.5</v>
      </c>
      <c r="P479">
        <f>IF(B507=0,0,O479/B507)</f>
        <v>5.4127482427209307E-2</v>
      </c>
      <c r="Q479">
        <f>IFERROR(1/(IF(Inputs!$B$38="pvp",15,MAX(0.1,Skills!E13-IF(TRUE=TRUE,Inputs!$B$32,0)))*(1-IF(AND(ArtifactsInput!$M$27,Inputs!$B$4="Chapter Hunt"),CHOOSE(ArtifactsInput!$N$27+1,20,24,28,32,36,40),0)/100)),0)</f>
        <v>3.0303030303030304E-2</v>
      </c>
      <c r="R479">
        <f>IF(AND(Inputs!$B$38&lt;&gt;"pvp",Inputs!$B$43&gt;0),IF(MAX(0,Inputs!$B$43-B504)&lt;=0,0,(INT(MAX(0,Inputs!$B$43-B504)/(IF(Inputs!$B$38="pvp",15,MAX(0.1,Skills!E13-IF(TRUE=TRUE,Inputs!$B$32,0)))*(1-IF(AND(ArtifactsInput!$M$27,Inputs!$B$4="Chapter Hunt"),CHOOSE(ArtifactsInput!$N$27+1,20,24,28,32,36,40),0)/100)))+1)),0)</f>
        <v>2</v>
      </c>
      <c r="S479">
        <f>IF(C479,(H479*N479*IF(AND(Inputs!$B$38&lt;&gt;"pvp",Inputs!$B$43&gt;0),((Skills!G13*((R479-1)*IF(Skills!H13&gt;0,Skills!I13/Skills!H13,1)+IF(Skills!H13&gt;0,MIN(Skills!I13,MAX(0,MAX(0,Inputs!$B$43-B504)-((R479-1)*(IF(Inputs!$B$38="pvp",15,MAX(0.1,Skills!E13-IF(TRUE=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469470753520293.88</v>
      </c>
      <c r="U479">
        <f>IF(C479,(H479*N479*IF(AND(Inputs!$B$38&lt;&gt;"pvp",Inputs!$B$43&gt;0),((Skills!G13*((R479-1)*IF(Skills!H13&gt;0,Skills!I13/Skills!H13,1)+IF(Skills!H13&gt;0,MIN(Skills!I13,MAX(0,MAX(0,Inputs!$B$43-B504)-((R479-1)*(IF(Inputs!$B$38="pvp",15,MAX(0.1,Skills!E13-IF(TRUE=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3120425481600187</v>
      </c>
    </row>
    <row r="480" spans="1:26" x14ac:dyDescent="0.2">
      <c r="A480" t="str">
        <f>Skills!A14</f>
        <v>METEOR_PROC</v>
      </c>
      <c r="B480" t="str">
        <f>Skills!B14</f>
        <v>Meteor Proc (30% on-hit, 1s ICD)</v>
      </c>
      <c r="C480" t="b">
        <f>Inputs!$B$3&gt;=113</f>
        <v>1</v>
      </c>
      <c r="D480">
        <f>IF(Skills!C14=1,60+Inputs!$B$25+Inputs!$B$29,IF(Skills!C14=2,90+Inputs!$B$26+Inputs!$B$29,IF(Skills!C14=3,120+Inputs!$B$27+Inputs!$B$29,MAX(0,(Inputs!$B$3-100)*3)+Inputs!$B$28+Inputs!$B$29)))</f>
        <v>185</v>
      </c>
      <c r="E480">
        <f>INDEX(FactorTable!$B$2:$Y$301, MATCH(ROUND(MIN(300,MAX(1,D480)),0), FactorTable!$A$2:$A$301,0), Skills!M14+1)</f>
        <v>1740</v>
      </c>
      <c r="F480">
        <f>IF(Skills!N14=TRUE,(Skills!L14/10)*(E480/1000),Skills!L14/10)+Skills!O14</f>
        <v>1653</v>
      </c>
      <c r="G480">
        <f>Calc!G14</f>
        <v>0</v>
      </c>
      <c r="H480">
        <f>Calc!H14</f>
        <v>0.30000000000000004</v>
      </c>
      <c r="I480">
        <f>IF(Skills!X14&lt;&gt;"",1+(Skills!X14/10)*(Z469/1000)/100,1)</f>
        <v>1</v>
      </c>
      <c r="J480">
        <f>((Inputs!$B$6*(1+Inputs!$B$7/100))+(((Inputs!$B$12*(1+Inputs!$B$13/100))-(Inputs!$B$12*(1+Inputs!$B$13/100)))+0.25*(Inputs!$B$14-Inputs!$B$14))*(1+Inputs!$B$7/100))*(F480/100)</f>
        <v>5969553638.5932312</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29995411428430.203</v>
      </c>
      <c r="L480">
        <f>K480*(MIN(Inputs!$B$22+(F488-Calc!F22),(Inputs!$B$23+(IF(ArtifactsInput!$M$15,CHOOSE(ArtifactsInput!$N$15+1,25,30,35,40,45,50)/100*(Inputs!$B$11-Inputs!$B$11),0))))/100+(Inputs!$B$23+(IF(ArtifactsInput!$M$15,CHOOSE(ArtifactsInput!$N$15+1,25,30,35,40,45,50)/100*(Inputs!$B$11-Inputs!$B$11),0)))/100)/2</f>
        <v>99734742999530.438</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471007297289582.44</v>
      </c>
      <c r="N480">
        <f>L480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471007297289582.44</v>
      </c>
      <c r="O480">
        <f>(1-Summary!$B$11)*S480+Summary!$B$11*U480</f>
        <v>461610079194929.12</v>
      </c>
      <c r="P480">
        <f>IF(B507=0,0,O480/B507)</f>
        <v>1.3920063318491807E-2</v>
      </c>
      <c r="Q480">
        <f>IFERROR(1/(IF(Inputs!$B$38="pvp",15,MAX(0.1,Skills!E14-IF(TRUE=TRUE,Inputs!$B$32,0)))*(1-IF(AND(ArtifactsInput!$M$27,Inputs!$B$4="Chapter Hunt"),CHOOSE(ArtifactsInput!$N$27+1,20,24,28,32,36,40),0)/100)),0)</f>
        <v>10</v>
      </c>
      <c r="R480">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473561149206448.38</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449659009183409.94</v>
      </c>
    </row>
    <row r="481" spans="1:21" x14ac:dyDescent="0.2">
      <c r="A481" t="str">
        <f>Skills!A15</f>
        <v>FLAME_HAZE_BURST</v>
      </c>
      <c r="B481" t="str">
        <f>Skills!B15</f>
        <v>Flame Haze (burst)</v>
      </c>
      <c r="C481" t="b">
        <f>Inputs!$B$3&gt;=107</f>
        <v>1</v>
      </c>
      <c r="D481">
        <f>IF(Skills!C15=1,60+Inputs!$B$25+Inputs!$B$29,IF(Skills!C15=2,90+Inputs!$B$26+Inputs!$B$29,IF(Skills!C15=3,120+Inputs!$B$27+Inputs!$B$29,MAX(0,(Inputs!$B$3-100)*3)+Inputs!$B$28+Inputs!$B$29)))</f>
        <v>185</v>
      </c>
      <c r="E481">
        <f>INDEX(FactorTable!$B$2:$Y$301, MATCH(ROUND(MIN(300,MAX(1,D481)),0), FactorTable!$A$2:$A$301,0), Skills!M15+1)</f>
        <v>1925</v>
      </c>
      <c r="F481">
        <f>IF(Skills!N15=TRUE,(Skills!L15/10)*(E481/1000),Skills!L15/10)+Skills!O15</f>
        <v>2310</v>
      </c>
      <c r="G481">
        <f>Calc!G15</f>
        <v>3</v>
      </c>
      <c r="H481">
        <f>Calc!H15</f>
        <v>1</v>
      </c>
      <c r="I481">
        <f>IF(Skills!X15&lt;&gt;"",1+(Skills!X15/10)*(Z469/1000)/100,1)</f>
        <v>1</v>
      </c>
      <c r="J481">
        <f>((Inputs!$B$6*(1+Inputs!$B$7/100))+(((Inputs!$B$12*(1+Inputs!$B$13/100))-(Inputs!$B$12*(1+Inputs!$B$13/100)))+0.25*(Inputs!$B$14-Inputs!$B$14))*(1+Inputs!$B$7/100))*(F481/100)</f>
        <v>8342207444.1321011</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41917362613232.781</v>
      </c>
      <c r="L481">
        <f>K481*(MIN(Inputs!$B$22+(F488-Calc!F22),(Inputs!$B$23+(IF(ArtifactsInput!$M$15,CHOOSE(ArtifactsInput!$N$15+1,25,30,35,40,45,50)/100*(Inputs!$B$11-Inputs!$B$11),0))))/100+(Inputs!$B$23+(IF(ArtifactsInput!$M$15,CHOOSE(ArtifactsInput!$N$15+1,25,30,35,40,45,50)/100*(Inputs!$B$11-Inputs!$B$11),0)))/100)/2</f>
        <v>139375230688999</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658213464451866.62</v>
      </c>
      <c r="N481">
        <f>L481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658213464451866.62</v>
      </c>
      <c r="O481">
        <f>(1-Summary!$B$11)*S481+Summary!$B$11*U481</f>
        <v>1642407147173520</v>
      </c>
      <c r="P481">
        <f>IF(B507=0,0,O481/B507)</f>
        <v>4.9527539613675835E-2</v>
      </c>
      <c r="Q481">
        <f>IFERROR(1/(IF(Inputs!$B$38="pvp",15,MAX(0.1,Skills!E15-IF(TRUE=TRUE,Inputs!$B$32,0)))*(1-IF(AND(ArtifactsInput!$M$27,Inputs!$B$4="Chapter Hunt"),CHOOSE(ArtifactsInput!$N$27+1,20,24,28,32,36,40),0)/100)),0)</f>
        <v>0.04</v>
      </c>
      <c r="R481">
        <f>IF(AND(Inputs!$B$38&lt;&gt;"pvp",Inputs!$B$43&gt;0),IF(MAX(0,Inputs!$B$43-B504)&lt;=0,0,(INT(MAX(0,Inputs!$B$43-B504)/(IF(Inputs!$B$38="pvp",15,MAX(0.1,Skills!E15-IF(TRUE=TRUE,Inputs!$B$32,0)))*(1-IF(AND(ArtifactsInput!$M$27,Inputs!$B$4="Chapter Hunt"),CHOOSE(ArtifactsInput!$N$27+1,20,24,28,32,36,40),0)/100)))+1)),0)</f>
        <v>2</v>
      </c>
      <c r="S481">
        <f>IF(C481,(H481*N481*IF(AND(Inputs!$B$38&lt;&gt;"pvp",Inputs!$B$43&gt;0),((Skills!G15*((R481-1)*IF(Skills!H15&gt;0,Skills!I15/Skills!H15,1)+IF(Skills!H15&gt;0,MIN(Skills!I15,MAX(0,MAX(0,Inputs!$B$43-B504)-((R481-1)*(IF(Inputs!$B$38="pvp",15,MAX(0.1,Skills!E15-IF(TRUE=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312980502346862.56</v>
      </c>
      <c r="U481">
        <f>IF(C481,(H481*N481*IF(AND(Inputs!$B$38&lt;&gt;"pvp",Inputs!$B$43&gt;0),((Skills!G15*((R481-1)*IF(Skills!H15&gt;0,Skills!I15/Skills!H15,1)+IF(Skills!H15&gt;0,MIN(Skills!I15,MAX(0,MAX(0,Inputs!$B$43-B504)-((R481-1)*(IF(Inputs!$B$38="pvp",15,MAX(0.1,Skills!E15-IF(TRUE=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2971833792000177.5</v>
      </c>
    </row>
    <row r="482" spans="1:21" x14ac:dyDescent="0.2">
      <c r="A482" t="str">
        <f>Skills!A16</f>
        <v>FLAME_HAZE_DOT</v>
      </c>
      <c r="B482" t="str">
        <f>Skills!B16</f>
        <v>Flame Haze (burn DoT)</v>
      </c>
      <c r="C482" t="b">
        <f>Inputs!$B$3&gt;=107</f>
        <v>1</v>
      </c>
      <c r="D482">
        <f>IF(Skills!C16=1,60+Inputs!$B$25+Inputs!$B$29,IF(Skills!C16=2,90+Inputs!$B$26+Inputs!$B$29,IF(Skills!C16=3,120+Inputs!$B$27+Inputs!$B$29,MAX(0,(Inputs!$B$3-100)*3)+Inputs!$B$28+Inputs!$B$29)))</f>
        <v>185</v>
      </c>
      <c r="E482">
        <f>INDEX(FactorTable!$B$2:$Y$301, MATCH(ROUND(MIN(300,MAX(1,D482)),0), FactorTable!$A$2:$A$301,0), Skills!M16+1)</f>
        <v>1925</v>
      </c>
      <c r="F482">
        <f>IF(Skills!N16=TRUE,(Skills!L16/10)*(E482/1000),Skills!L16/10)+Skills!O16</f>
        <v>288.75</v>
      </c>
      <c r="G482">
        <f>Calc!G16</f>
        <v>30</v>
      </c>
      <c r="H482">
        <f>Calc!H16</f>
        <v>1</v>
      </c>
      <c r="I482">
        <f>IF(Skills!X16&lt;&gt;"",1+(Skills!X16/10)*(Z469/1000)/100,1)</f>
        <v>1</v>
      </c>
      <c r="J482">
        <f>((Inputs!$B$6*(1+Inputs!$B$7/100))+(((Inputs!$B$12*(1+Inputs!$B$13/100))-(Inputs!$B$12*(1+Inputs!$B$13/100)))+0.25*(Inputs!$B$14-Inputs!$B$14))*(1+Inputs!$B$7/100))*(F482/100)</f>
        <v>1042775930.5165126</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5239670326654.0977</v>
      </c>
      <c r="L482">
        <f>K482*(MIN(Inputs!$B$22+(F488-Calc!F22),(Inputs!$B$23+(IF(ArtifactsInput!$M$15,CHOOSE(ArtifactsInput!$N$15+1,25,30,35,40,45,50)/100*(Inputs!$B$11-Inputs!$B$11),0))))/100+(Inputs!$B$23+(IF(ArtifactsInput!$M$15,CHOOSE(ArtifactsInput!$N$15+1,25,30,35,40,45,50)/100*(Inputs!$B$11-Inputs!$B$11),0)))/100)/2</f>
        <v>17421903836124.875</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82276683056483.328</v>
      </c>
      <c r="N482">
        <f>L482*(1-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82276683056483.328</v>
      </c>
      <c r="O482">
        <f>(1-Summary!$B$11)*S482+Summary!$B$11*U482</f>
        <v>1891827052435851</v>
      </c>
      <c r="P482">
        <f>IF(B507=0,0,O482/B507)</f>
        <v>5.704891107116028E-2</v>
      </c>
      <c r="Q482">
        <f>IFERROR(1/(IF(Inputs!$B$38="pvp",15,MAX(0.1,Skills!E16-IF(TRUE=TRUE,Inputs!$B$32,0)))*(1-IF(AND(ArtifactsInput!$M$27,Inputs!$B$4="Chapter Hunt"),CHOOSE(ArtifactsInput!$N$27+1,20,24,28,32,36,40),0)/100)),0)</f>
        <v>0.04</v>
      </c>
      <c r="R482">
        <f>IF(AND(Inputs!$B$38&lt;&gt;"pvp",Inputs!$B$43&gt;0),IF(MAX(0,Inputs!$B$43-B504)&lt;=0,0,(INT(MAX(0,Inputs!$B$43-B504)/(IF(Inputs!$B$38="pvp",15,MAX(0.1,Skills!E16-IF(TRUE=TRUE,Inputs!$B$32,0)))*(1-IF(AND(ArtifactsInput!$M$27,Inputs!$B$4="Chapter Hunt"),CHOOSE(ArtifactsInput!$N$27+1,20,24,28,32,36,40),0)/100)))+1)),0)</f>
        <v>2</v>
      </c>
      <c r="S482">
        <f>IF(C482,(H482*N482*IF(AND(Inputs!$B$38&lt;&gt;"pvp",Inputs!$B$43&gt;0),((Skills!G16*((R482-1)*IF(Skills!H16&gt;0,Skills!I16/Skills!H16,1)+IF(Skills!H16&gt;0,MIN(Skills!I16,MAX(0,MAX(0,Inputs!$B$43-B504)-((R482-1)*(IF(Inputs!$B$38="pvp",15,MAX(0.1,Skills!E16-IF(TRUE=TRUE,Inputs!$B$32,0)))*(1-IF(AND(ArtifactsInput!$M$27,Inputs!$B$4="Chapter Hunt"),CHOOSE(ArtifactsInput!$N$27+1,20,24,28,32,36,40),0)/100)))))/Skills!H16,1)))/Inputs!$B$43),G482*Q482)*(1+IF(Inputs!$B$3&gt;=126,0.05*(B502+Q479+(H480*B503)/(1+Skills!H14*H480*B503)+Q490),0)*(1/Q481)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360510475276323.88</v>
      </c>
      <c r="U482">
        <f>IF(C482,(H482*N482*IF(AND(Inputs!$B$38&lt;&gt;"pvp",Inputs!$B$43&gt;0),((Skills!G16*((R482-1)*IF(Skills!H16&gt;0,Skills!I16/Skills!H16,1)+IF(Skills!H16&gt;0,MIN(Skills!I16,MAX(0,MAX(0,Inputs!$B$43-B504)-((R482-1)*(IF(Inputs!$B$38="pvp",15,MAX(0.1,Skills!E16-IF(TRUE=TRUE,Inputs!$B$32,0)))*(1-IF(AND(ArtifactsInput!$M$27,Inputs!$B$4="Chapter Hunt"),CHOOSE(ArtifactsInput!$N$27+1,20,24,28,32,36,40),0)/100)))))/Skills!H16,1)))/Inputs!$B$43),G482*Q482)*(1+IF(Inputs!$B$3&gt;=126,0.05*(B502+Q479+(H480*B503)/(1+Skills!H14*H480*B503)+Q490),0)*(1/Q481)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3423143629595378</v>
      </c>
    </row>
    <row r="483" spans="1:21" x14ac:dyDescent="0.2">
      <c r="A483" t="str">
        <f>Skills!A17</f>
        <v>MAGIC_GUARD</v>
      </c>
      <c r="B483" t="str">
        <f>Skills!B17</f>
        <v>Magic Guard</v>
      </c>
      <c r="C483" t="b">
        <f>TRUE</f>
        <v>1</v>
      </c>
      <c r="D483">
        <f>IF(Skills!C17=1,60+Inputs!$B$25+Inputs!$B$29,IF(Skills!C17=2,90+Inputs!$B$26+Inputs!$B$29,IF(Skills!C17=3,120+Inputs!$B$27+Inputs!$B$29,MAX(0,(Inputs!$B$3-100)*3)+Inputs!$B$28+Inputs!$B$29)))</f>
        <v>127</v>
      </c>
      <c r="E483">
        <f>INDEX(FactorTable!$B$2:$Y$301, MATCH(ROUND(MIN(300,MAX(1,D483)),0), FactorTable!$A$2:$A$301,0), Skills!M17+1)</f>
        <v>1508</v>
      </c>
      <c r="F483">
        <f>IF(Skills!N17=TRUE,(Skills!L17/10)*(E483/1000),Skills!L17/10)+Skills!O17</f>
        <v>18.096</v>
      </c>
      <c r="G483">
        <f>Calc!G17</f>
        <v>1</v>
      </c>
      <c r="H483">
        <f>Calc!H17</f>
        <v>1</v>
      </c>
      <c r="I483">
        <f>IF(Skills!X17&lt;&gt;"",1+(Skills!X17/10)*(Z469/1000)/100,1)</f>
        <v>1</v>
      </c>
      <c r="O483">
        <f>(1-Summary!$B$11)*S483+Summary!$B$11*U483</f>
        <v>0</v>
      </c>
      <c r="P483">
        <f>IF(B507=0,0,O483/B507)</f>
        <v>0</v>
      </c>
      <c r="Q483">
        <f>IFERROR(1/(IF(Inputs!$B$38="pvp",15,MAX(0.1,Skills!E17-IF(TRUE=TRUE,Inputs!$B$32,0)))*(1-IF(AND(ArtifactsInput!$M$27,Inputs!$B$4="Chapter Hunt"),CHOOSE(ArtifactsInput!$N$27+1,20,24,28,32,36,40),0)/100)),0)</f>
        <v>4.7619047619047616E-2</v>
      </c>
      <c r="R483">
        <f>IF(AND(Inputs!$B$38&lt;&gt;"pvp",Inputs!$B$43&gt;0),IF(Inputs!$B$43&lt;=0,0,(INT(Inputs!$B$43/(IF(Inputs!$B$38="pvp",15,MAX(0.1,Skills!E17-IF(TRUE=TRUE,Inputs!$B$32,0)))*(1-IF(AND(ArtifactsInput!$M$27,Inputs!$B$4="Chapter Hunt"),CHOOSE(ArtifactsInput!$N$27+1,20,24,28,32,36,40),0)/100)))+1)),0)</f>
        <v>2</v>
      </c>
      <c r="S483">
        <v>0</v>
      </c>
      <c r="U483">
        <v>0</v>
      </c>
    </row>
    <row r="484" spans="1:21" x14ac:dyDescent="0.2">
      <c r="A484" t="str">
        <f>Skills!A18</f>
        <v>NIMBLE_FEET</v>
      </c>
      <c r="B484" t="str">
        <f>Skills!B18</f>
        <v>Nimble Feet</v>
      </c>
      <c r="C484" t="b">
        <f>TRUE</f>
        <v>1</v>
      </c>
      <c r="D484">
        <f>IF(Skills!C18=1,60+Inputs!$B$25+Inputs!$B$29,IF(Skills!C18=2,90+Inputs!$B$26+Inputs!$B$29,IF(Skills!C18=3,120+Inputs!$B$27+Inputs!$B$29,MAX(0,(Inputs!$B$3-100)*3)+Inputs!$B$28+Inputs!$B$29)))</f>
        <v>127</v>
      </c>
      <c r="E484">
        <f>INDEX(FactorTable!$B$2:$Y$301, MATCH(ROUND(MIN(300,MAX(1,D484)),0), FactorTable!$A$2:$A$301,0), Skills!M18+1)</f>
        <v>0</v>
      </c>
      <c r="F484">
        <f>IF(Skills!N18=TRUE,(Skills!L18/10)*(E484/1000),Skills!L18/10)+Skills!O18</f>
        <v>15</v>
      </c>
      <c r="G484">
        <f>Calc!G18</f>
        <v>1</v>
      </c>
      <c r="H484">
        <f>Calc!H18</f>
        <v>1</v>
      </c>
      <c r="I484">
        <f>IF(Skills!X18&lt;&gt;"",1+(Skills!X18/10)*(Z469/1000)/100,1)</f>
        <v>1</v>
      </c>
      <c r="O484">
        <f>(1-Summary!$B$11)*S484+Summary!$B$11*U484</f>
        <v>0</v>
      </c>
      <c r="P484">
        <f>IF(B507=0,0,O484/B507)</f>
        <v>0</v>
      </c>
      <c r="Q484">
        <f>IFERROR(1/(IF(Inputs!$B$38="pvp",15,MAX(0.1,Skills!E18-IF(TRUE=TRUE,Inputs!$B$32,0)))*(1-IF(AND(ArtifactsInput!$M$27,Inputs!$B$4="Chapter Hunt"),CHOOSE(ArtifactsInput!$N$27+1,20,24,28,32,36,40),0)/100)),0)</f>
        <v>1.6666666666666666E-2</v>
      </c>
      <c r="R484">
        <f>IF(AND(Inputs!$B$38&lt;&gt;"pvp",Inputs!$B$43&gt;0),IF(Inputs!$B$43&lt;=0,0,(INT(Inputs!$B$43/(IF(Inputs!$B$38="pvp",15,MAX(0.1,Skills!E18-IF(TRUE=TRUE,Inputs!$B$32,0)))*(1-IF(AND(ArtifactsInput!$M$27,Inputs!$B$4="Chapter Hunt"),CHOOSE(ArtifactsInput!$N$27+1,20,24,28,32,36,40),0)/100)))+1)),0)</f>
        <v>1</v>
      </c>
      <c r="S484">
        <v>0</v>
      </c>
      <c r="U484">
        <v>0</v>
      </c>
    </row>
    <row r="485" spans="1:21" x14ac:dyDescent="0.2">
      <c r="A485" t="str">
        <f>Skills!A19</f>
        <v>INFINITY</v>
      </c>
      <c r="B485" t="str">
        <f>Skills!B19</f>
        <v>Infinity</v>
      </c>
      <c r="C485" t="b">
        <f>Inputs!$B$3&gt;=110</f>
        <v>1</v>
      </c>
      <c r="D485">
        <f>IF(Skills!C19=1,60+Inputs!$B$25+Inputs!$B$29,IF(Skills!C19=2,90+Inputs!$B$26+Inputs!$B$29,IF(Skills!C19=3,120+Inputs!$B$27+Inputs!$B$29,MAX(0,(Inputs!$B$3-100)*3)+Inputs!$B$28+Inputs!$B$29)))</f>
        <v>185</v>
      </c>
      <c r="E485">
        <f>INDEX(FactorTable!$B$2:$Y$301, MATCH(ROUND(MIN(300,MAX(1,D485)),0), FactorTable!$A$2:$A$301,0), Skills!M19+1)</f>
        <v>1740</v>
      </c>
      <c r="F485">
        <f>IF(Skills!N19=TRUE,(Skills!L19/10)*(E485/1000),Skills!L19/10)+Skills!O19</f>
        <v>37.700579999999995</v>
      </c>
      <c r="G485">
        <f>Calc!G19</f>
        <v>1</v>
      </c>
      <c r="H485">
        <f>Calc!H19</f>
        <v>1</v>
      </c>
      <c r="I485">
        <f>IF(Skills!X19&lt;&gt;"",1+(Skills!X19/10)*(Z469/1000)/100,1)</f>
        <v>1</v>
      </c>
      <c r="O485">
        <f>(1-Summary!$B$11)*S485+Summary!$B$11*U485</f>
        <v>0</v>
      </c>
      <c r="P485">
        <f>IF(B507=0,0,O485/B507)</f>
        <v>0</v>
      </c>
      <c r="Q485">
        <f>IFERROR(1/(IF(Inputs!$B$38="pvp",15,MAX(0.1,Skills!E19-IF(TRUE=TRUE,Inputs!$B$32,0)))*(1-IF(AND(ArtifactsInput!$M$27,Inputs!$B$4="Chapter Hunt"),CHOOSE(ArtifactsInput!$N$27+1,20,24,28,32,36,40),0)/100)),0)</f>
        <v>3.3333333333333333E-2</v>
      </c>
      <c r="R485">
        <f>IF(AND(Inputs!$B$38&lt;&gt;"pvp",Inputs!$B$43&gt;0),IF(Inputs!$B$43&lt;=0,0,(INT(Inputs!$B$43/(IF(Inputs!$B$38="pvp",15,MAX(0.1,Skills!E19-IF(TRUE=TRUE,Inputs!$B$32,0)))*(1-IF(AND(ArtifactsInput!$M$27,Inputs!$B$4="Chapter Hunt"),CHOOSE(ArtifactsInput!$N$27+1,20,24,28,32,36,40),0)/100)))+1)),0)</f>
        <v>2</v>
      </c>
      <c r="S485">
        <v>0</v>
      </c>
      <c r="U485">
        <v>0</v>
      </c>
    </row>
    <row r="486" spans="1:21" x14ac:dyDescent="0.2">
      <c r="A486" t="str">
        <f>Skills!A20</f>
        <v>MAGIC_CRITICAL_RATE</v>
      </c>
      <c r="B486" t="str">
        <f>Skills!B20</f>
        <v>Magic Critical (Crit Rate)</v>
      </c>
      <c r="C486" t="b">
        <f>TRUE</f>
        <v>1</v>
      </c>
      <c r="D486">
        <f>IF(Skills!C20=1,60+Inputs!$B$25+Inputs!$B$29,IF(Skills!C20=2,90+Inputs!$B$26+Inputs!$B$29,IF(Skills!C20=3,120+Inputs!$B$27+Inputs!$B$29,MAX(0,(Inputs!$B$3-100)*3)+Inputs!$B$28+Inputs!$B$29)))</f>
        <v>184</v>
      </c>
      <c r="E486">
        <f>INDEX(FactorTable!$B$2:$Y$301, MATCH(ROUND(MIN(300,MAX(1,D486)),0), FactorTable!$A$2:$A$301,0), Skills!M20+1)</f>
        <v>1552</v>
      </c>
      <c r="F486">
        <f>IF(Skills!N20=TRUE,(Skills!L20/10)*(E486/1000),Skills!L20/10)+Skills!O20</f>
        <v>12.416</v>
      </c>
      <c r="G486">
        <f>Calc!G20</f>
        <v>1</v>
      </c>
      <c r="H486">
        <f>Calc!H20</f>
        <v>1</v>
      </c>
      <c r="I486">
        <f>IF(Skills!X20&lt;&gt;"",1+(Skills!X20/10)*(Z469/1000)/100,1)</f>
        <v>1</v>
      </c>
      <c r="O486">
        <f>(1-Summary!$B$11)*S486+Summary!$B$11*U486</f>
        <v>0</v>
      </c>
      <c r="P486">
        <f>IF(B507=0,0,O486/B507)</f>
        <v>0</v>
      </c>
      <c r="Q486">
        <f>IFERROR(1/(IF(Inputs!$B$38="pvp",15,MAX(0.1,Skills!E20-IF(TRUE=TRUE,Inputs!$B$32,0)))*(1-IF(AND(ArtifactsInput!$M$27,Inputs!$B$4="Chapter Hunt"),CHOOSE(ArtifactsInput!$N$27+1,20,24,28,32,36,40),0)/100)),0)</f>
        <v>10</v>
      </c>
      <c r="R486">
        <v>0</v>
      </c>
      <c r="S486">
        <v>0</v>
      </c>
      <c r="U486">
        <v>0</v>
      </c>
    </row>
    <row r="487" spans="1:21" x14ac:dyDescent="0.2">
      <c r="A487" t="str">
        <f>Skills!A21</f>
        <v>MAGIC_CRITICAL_DAMAGE</v>
      </c>
      <c r="B487" t="str">
        <f>Skills!B21</f>
        <v>Magic Critical (Crit Damage)</v>
      </c>
      <c r="C487" t="b">
        <f>TRUE</f>
        <v>1</v>
      </c>
      <c r="D487">
        <f>IF(Skills!C21=1,60+Inputs!$B$25+Inputs!$B$29,IF(Skills!C21=2,90+Inputs!$B$26+Inputs!$B$29,IF(Skills!C21=3,120+Inputs!$B$27+Inputs!$B$29,MAX(0,(Inputs!$B$3-100)*3)+Inputs!$B$28+Inputs!$B$29)))</f>
        <v>184</v>
      </c>
      <c r="E487">
        <f>INDEX(FactorTable!$B$2:$Y$301, MATCH(ROUND(MIN(300,MAX(1,D487)),0), FactorTable!$A$2:$A$301,0), Skills!M21+1)</f>
        <v>1552</v>
      </c>
      <c r="F487">
        <f>IF(Skills!N21=TRUE,(Skills!L21/10)*(E487/1000),Skills!L21/10)+Skills!O21</f>
        <v>18.624000000000002</v>
      </c>
      <c r="G487">
        <f>Calc!G21</f>
        <v>1</v>
      </c>
      <c r="H487">
        <f>Calc!H21</f>
        <v>1</v>
      </c>
      <c r="I487">
        <f>IF(Skills!X21&lt;&gt;"",1+(Skills!X21/10)*(Z469/1000)/100,1)</f>
        <v>1</v>
      </c>
      <c r="O487">
        <f>(1-Summary!$B$11)*S487+Summary!$B$11*U487</f>
        <v>0</v>
      </c>
      <c r="P487">
        <f>IF(B507=0,0,O487/B507)</f>
        <v>0</v>
      </c>
      <c r="Q487">
        <f>IFERROR(1/(IF(Inputs!$B$38="pvp",15,MAX(0.1,Skills!E21-IF(TRUE=TRUE,Inputs!$B$32,0)))*(1-IF(AND(ArtifactsInput!$M$27,Inputs!$B$4="Chapter Hunt"),CHOOSE(ArtifactsInput!$N$27+1,20,24,28,32,36,40),0)/100)),0)</f>
        <v>10</v>
      </c>
      <c r="R487">
        <v>0</v>
      </c>
      <c r="S487">
        <v>0</v>
      </c>
      <c r="U487">
        <v>0</v>
      </c>
    </row>
    <row r="488" spans="1:21" x14ac:dyDescent="0.2">
      <c r="A488" t="str">
        <f>Skills!A22</f>
        <v>SPELL_MASTERY</v>
      </c>
      <c r="B488" t="str">
        <f>Skills!B22</f>
        <v>Spell Mastery</v>
      </c>
      <c r="C488" t="b">
        <f>TRUE</f>
        <v>1</v>
      </c>
      <c r="D488">
        <f>IF(Skills!C22=1,60+Inputs!$B$25+Inputs!$B$29,IF(Skills!C22=2,90+Inputs!$B$26+Inputs!$B$29,IF(Skills!C22=3,120+Inputs!$B$27+Inputs!$B$29,MAX(0,(Inputs!$B$3-100)*3)+Inputs!$B$28+Inputs!$B$29)))</f>
        <v>168</v>
      </c>
      <c r="E488">
        <f>INDEX(FactorTable!$B$2:$Y$301, MATCH(ROUND(MIN(300,MAX(1,D488)),0), FactorTable!$A$2:$A$301,0), Skills!M22+1)</f>
        <v>1504</v>
      </c>
      <c r="F488">
        <f>IF(Skills!N22=TRUE,(Skills!L22/10)*(E488/1000),Skills!L22/10)+Skills!O22</f>
        <v>22.56</v>
      </c>
      <c r="G488">
        <f>Calc!G22</f>
        <v>1</v>
      </c>
      <c r="H488">
        <f>Calc!H22</f>
        <v>1</v>
      </c>
      <c r="I488">
        <f>IF(Skills!X22&lt;&gt;"",1+(Skills!X22/10)*(Z469/1000)/100,1)</f>
        <v>1</v>
      </c>
      <c r="O488">
        <f>(1-Summary!$B$11)*S488+Summary!$B$11*U488</f>
        <v>0</v>
      </c>
      <c r="P488">
        <f>IF(B507=0,0,O488/B507)</f>
        <v>0</v>
      </c>
      <c r="Q488">
        <f>IFERROR(1/(IF(Inputs!$B$38="pvp",15,MAX(0.1,Skills!E22-IF(TRUE=TRUE,Inputs!$B$32,0)))*(1-IF(AND(ArtifactsInput!$M$27,Inputs!$B$4="Chapter Hunt"),CHOOSE(ArtifactsInput!$N$27+1,20,24,28,32,36,40),0)/100)),0)</f>
        <v>10</v>
      </c>
      <c r="R488">
        <v>0</v>
      </c>
      <c r="S488">
        <v>0</v>
      </c>
      <c r="U488">
        <v>0</v>
      </c>
    </row>
    <row r="489" spans="1:21" x14ac:dyDescent="0.2">
      <c r="A489" t="str">
        <f>Skills!A23</f>
        <v>ELEMENT_AMPLIFICATION</v>
      </c>
      <c r="B489" t="str">
        <f>Skills!B23</f>
        <v>Element Amplification</v>
      </c>
      <c r="C489" t="b">
        <f>TRUE</f>
        <v>1</v>
      </c>
      <c r="D489">
        <f>IF(Skills!C23=1,60+Inputs!$B$25+Inputs!$B$29,IF(Skills!C23=2,90+Inputs!$B$26+Inputs!$B$29,IF(Skills!C23=3,120+Inputs!$B$27+Inputs!$B$29,MAX(0,(Inputs!$B$3-100)*3)+Inputs!$B$28+Inputs!$B$29)))</f>
        <v>185</v>
      </c>
      <c r="E489">
        <f>INDEX(FactorTable!$B$2:$Y$301, MATCH(ROUND(MIN(300,MAX(1,D489)),0), FactorTable!$A$2:$A$301,0), Skills!M23+1)</f>
        <v>1555</v>
      </c>
      <c r="F489">
        <f>IF(Skills!N23=TRUE,(Skills!L23/10)*(E489/1000),Skills!L23/10)+Skills!O23</f>
        <v>23.324999999999999</v>
      </c>
      <c r="G489">
        <f>Calc!G23</f>
        <v>1</v>
      </c>
      <c r="H489">
        <f>Calc!H23</f>
        <v>1</v>
      </c>
      <c r="I489">
        <f>IF(Skills!X23&lt;&gt;"",1+(Skills!X23/10)*(Z469/1000)/100,1)</f>
        <v>1</v>
      </c>
      <c r="O489">
        <f>(1-Summary!$B$11)*S489+Summary!$B$11*U489</f>
        <v>0</v>
      </c>
      <c r="P489">
        <f>IF(B507=0,0,O489/B507)</f>
        <v>0</v>
      </c>
      <c r="Q489">
        <f>IFERROR(1/(IF(Inputs!$B$38="pvp",15,MAX(0.1,Skills!E23-IF(TRUE=TRUE,Inputs!$B$32,0)))*(1-IF(AND(ArtifactsInput!$M$27,Inputs!$B$4="Chapter Hunt"),CHOOSE(ArtifactsInput!$N$27+1,20,24,28,32,36,40),0)/100)),0)</f>
        <v>10</v>
      </c>
      <c r="R489">
        <v>0</v>
      </c>
      <c r="S489">
        <v>0</v>
      </c>
      <c r="U489">
        <v>0</v>
      </c>
    </row>
    <row r="490" spans="1:21" x14ac:dyDescent="0.2">
      <c r="A490" t="str">
        <f>Skills!A24</f>
        <v>IFRIT</v>
      </c>
      <c r="B490" t="str">
        <f>Skills!B24</f>
        <v>Ifrit</v>
      </c>
      <c r="C490" t="b">
        <f>Inputs!$B$3&gt;=115</f>
        <v>1</v>
      </c>
      <c r="D490">
        <f>IF(Skills!C24=1,60+Inputs!$B$25+Inputs!$B$29,IF(Skills!C24=2,90+Inputs!$B$26+Inputs!$B$29,IF(Skills!C24=3,120+Inputs!$B$27+Inputs!$B$29,MAX(0,(Inputs!$B$3-100)*3)+Inputs!$B$28+Inputs!$B$29)))</f>
        <v>185</v>
      </c>
      <c r="E490">
        <f>INDEX(FactorTable!$B$2:$Y$301, MATCH(ROUND(MIN(300,MAX(1,D490)),0), FactorTable!$A$2:$A$301,0), Skills!M24+1)</f>
        <v>1925</v>
      </c>
      <c r="F490">
        <f>IF(Skills!N24=TRUE,(Skills!L24/10)*(E490/1000),Skills!L24/10)+Skills!O24</f>
        <v>6737.5</v>
      </c>
      <c r="G490">
        <f>Calc!G24</f>
        <v>7.5</v>
      </c>
      <c r="H490">
        <f>Calc!H24</f>
        <v>1</v>
      </c>
      <c r="I490">
        <f>IF(Skills!X24&lt;&gt;"",1+(Skills!X24/10)*(Z469/1000)/100,1)</f>
        <v>1</v>
      </c>
      <c r="J490">
        <f>((Inputs!$B$6*(1+Inputs!$B$7/100))+(((Inputs!$B$12*(1+Inputs!$B$13/100))-(Inputs!$B$12*(1+Inputs!$B$13/100)))+0.25*(Inputs!$B$14-Inputs!$B$14))*(1+Inputs!$B$7/100))*(F490/100)</f>
        <v>24331438378.718628</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122258974288595.61</v>
      </c>
      <c r="L490">
        <f>K490*(MIN(Inputs!$B$22+(F488-Calc!F22),(Inputs!$B$23+(IF(ArtifactsInput!$M$15,CHOOSE(ArtifactsInput!$N$15+1,25,30,35,40,45,50)/100*(Inputs!$B$11-Inputs!$B$11),0))))/100+(Inputs!$B$23+(IF(ArtifactsInput!$M$15,CHOOSE(ArtifactsInput!$N$15+1,25,30,35,40,45,50)/100*(Inputs!$B$11-Inputs!$B$11),0)))/100)/2</f>
        <v>406511089509580.44</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1919789271317944.5</v>
      </c>
      <c r="N490">
        <f>L490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1919789271317944.5</v>
      </c>
      <c r="O490">
        <f>(1-Summary!$B$11)*S490+Summary!$B$11*U490</f>
        <v>2195758979069899</v>
      </c>
      <c r="P490">
        <f>IF(B507=0,0,O490/B507)</f>
        <v>6.6214117495239658E-2</v>
      </c>
      <c r="Q490">
        <f>IFERROR(1/(IF(Inputs!$B$38="pvp",15,MAX(0.1,Skills!E24-IF(TRUE=TRUE,Inputs!$B$32,0)))*(1-IF(AND(ArtifactsInput!$M$27,Inputs!$B$4="Chapter Hunt"),CHOOSE(ArtifactsInput!$N$27+1,20,24,28,32,36,40),0)/100)),0)</f>
        <v>1.2500000000000001E-2</v>
      </c>
      <c r="R490">
        <f>IF(AND(Inputs!$B$38&lt;&gt;"pvp",Inputs!$B$43&gt;0),IF(MAX(0,Inputs!$B$43-B504)&lt;=0,0,(INT(MAX(0,Inputs!$B$43-B504)/(IF(Inputs!$B$38="pvp",15,MAX(0.1,Skills!E24-IF(TRUE=TRUE,Inputs!$B$32,0)))*(1-IF(AND(ArtifactsInput!$M$27,Inputs!$B$4="Chapter Hunt"),CHOOSE(ArtifactsInput!$N$27+1,20,24,28,32,36,40),0)/100)))+1)),0)</f>
        <v>1</v>
      </c>
      <c r="S490">
        <f>IF(C490,(H490*N490*IF(AND(Inputs!$B$38&lt;&gt;"pvp",Inputs!$B$43&gt;0),((Skills!G24*((R490-1)*IF(Skills!H24&gt;0,Skills!I24/Skills!H24,1)+IF(Skills!H24&gt;0,MIN(Skills!I24,MAX(0,MAX(0,Inputs!$B$43-B504)-((R490-1)*(IF(Inputs!$B$38="pvp",15,MAX(0.1,Skills!E24-IF(TRUE=TRUE,Inputs!$B$32,0)))*(1-IF(AND(ArtifactsInput!$M$27,Inputs!$B$4="Chapter Hunt"),CHOOSE(ArtifactsInput!$N$27+1,20,24,28,32,36,40),0)/100)))))/Skills!H24,1)))/Inputs!$B$43),G490*Q490)*(1+IF(Inputs!$B$3&gt;=130,0.2*(Skills!I16/(1/Q481)+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1141074748139603.2</v>
      </c>
      <c r="U490">
        <f>IF(C490,(H490*N490*IF(AND(Inputs!$B$38&lt;&gt;"pvp",Inputs!$B$43&gt;0),((Skills!G24*((R490-1)*IF(Skills!H24&gt;0,Skills!I24/Skills!H24,1)+IF(Skills!H24&gt;0,MIN(Skills!I24,MAX(0,MAX(0,Inputs!$B$43-B504)-((R490-1)*(IF(Inputs!$B$38="pvp",15,MAX(0.1,Skills!E24-IF(TRUE=TRUE,Inputs!$B$32,0)))*(1-IF(AND(ArtifactsInput!$M$27,Inputs!$B$4="Chapter Hunt"),CHOOSE(ArtifactsInput!$N$27+1,20,24,28,32,36,40),0)/100)))))/Skills!H24,1)))/Inputs!$B$43),G490*Q490)*(1+IF(Inputs!$B$3&gt;=130,0.2*(Skills!I16/(1/Q481)+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3250443210000195</v>
      </c>
    </row>
    <row r="491" spans="1:21" x14ac:dyDescent="0.2">
      <c r="A491" t="str">
        <f>Skills!A25</f>
        <v>BUFF_MASTERY</v>
      </c>
      <c r="B491" t="str">
        <f>Skills!B25</f>
        <v>Buff Mastery</v>
      </c>
      <c r="C491" t="b">
        <f>Inputs!$B$3&gt;=117</f>
        <v>1</v>
      </c>
      <c r="D491">
        <f>IF(Skills!C25=1,60+Inputs!$B$25+Inputs!$B$29,IF(Skills!C25=2,90+Inputs!$B$26+Inputs!$B$29,IF(Skills!C25=3,120+Inputs!$B$27+Inputs!$B$29,MAX(0,(Inputs!$B$3-100)*3)+Inputs!$B$28+Inputs!$B$29)))</f>
        <v>185</v>
      </c>
      <c r="E491">
        <f>INDEX(FactorTable!$B$2:$Y$301, MATCH(ROUND(MIN(300,MAX(1,D491)),0), FactorTable!$A$2:$A$301,0), Skills!M25+1)</f>
        <v>1555</v>
      </c>
      <c r="F491">
        <f>IF(Skills!N25=TRUE,(Skills!L25/10)*(E491/1000),Skills!L25/10)+Skills!O25</f>
        <v>15.549999999999999</v>
      </c>
      <c r="G491">
        <f>Calc!G25</f>
        <v>1</v>
      </c>
      <c r="H491">
        <f>Calc!H25</f>
        <v>1</v>
      </c>
      <c r="I491">
        <f>IF(Skills!X25&lt;&gt;"",1+(Skills!X25/10)*(Z469/1000)/100,1)</f>
        <v>1</v>
      </c>
      <c r="O491">
        <f>(1-Summary!$B$11)*S491+Summary!$B$11*U491</f>
        <v>0</v>
      </c>
      <c r="P491">
        <f>IF(B507=0,0,O491/B507)</f>
        <v>0</v>
      </c>
      <c r="Q491">
        <f>IFERROR(1/(IF(Inputs!$B$38="pvp",15,MAX(0.1,Skills!E25-IF(TRUE=TRUE,Inputs!$B$32,0)))*(1-IF(AND(ArtifactsInput!$M$27,Inputs!$B$4="Chapter Hunt"),CHOOSE(ArtifactsInput!$N$27+1,20,24,28,32,36,40),0)/100)),0)</f>
        <v>10</v>
      </c>
      <c r="R491">
        <v>0</v>
      </c>
      <c r="S491">
        <v>0</v>
      </c>
      <c r="U491">
        <v>0</v>
      </c>
    </row>
    <row r="492" spans="1:21" x14ac:dyDescent="0.2">
      <c r="A492" t="str">
        <f>Skills!A26</f>
        <v>ARCANE_AIM</v>
      </c>
      <c r="B492" t="str">
        <f>Skills!B26</f>
        <v>Arcane Aim</v>
      </c>
      <c r="C492" t="b">
        <f>Inputs!$B$3&gt;=120</f>
        <v>0</v>
      </c>
      <c r="D492">
        <f>IF(Skills!C26=1,60+Inputs!$B$25+Inputs!$B$29,IF(Skills!C26=2,90+Inputs!$B$26+Inputs!$B$29,IF(Skills!C26=3,120+Inputs!$B$27+Inputs!$B$29,MAX(0,(Inputs!$B$3-100)*3)+Inputs!$B$28+Inputs!$B$29)))</f>
        <v>185</v>
      </c>
      <c r="E492">
        <f>INDEX(FactorTable!$B$2:$Y$301, MATCH(ROUND(MIN(300,MAX(1,D492)),0), FactorTable!$A$2:$A$301,0), Skills!M26+1)</f>
        <v>1555</v>
      </c>
      <c r="F492">
        <f>IF(Skills!N26=TRUE,(Skills!L26/10)*(E492/1000),Skills!L26/10)+Skills!O26</f>
        <v>4.665</v>
      </c>
      <c r="G492">
        <f>Calc!G26</f>
        <v>1</v>
      </c>
      <c r="H492">
        <f>Calc!H26</f>
        <v>1</v>
      </c>
      <c r="I492">
        <f>IF(Skills!X26&lt;&gt;"",1+(Skills!X26/10)*(Z469/1000)/100,1)</f>
        <v>1</v>
      </c>
      <c r="O492">
        <f>(1-Summary!$B$11)*S492+Summary!$B$11*U492</f>
        <v>0</v>
      </c>
      <c r="P492">
        <f>IF(B507=0,0,O492/B507)</f>
        <v>0</v>
      </c>
      <c r="Q492">
        <f>IFERROR(1/(IF(Inputs!$B$38="pvp",15,MAX(0.1,Skills!E26-IF(TRUE=TRUE,Inputs!$B$32,0)))*(1-IF(AND(ArtifactsInput!$M$27,Inputs!$B$4="Chapter Hunt"),CHOOSE(ArtifactsInput!$N$27+1,20,24,28,32,36,40),0)/100)),0)</f>
        <v>10</v>
      </c>
      <c r="R492">
        <v>0</v>
      </c>
      <c r="S492">
        <v>0</v>
      </c>
      <c r="U492">
        <v>0</v>
      </c>
    </row>
    <row r="493" spans="1:21" x14ac:dyDescent="0.2">
      <c r="A493" t="str">
        <f>Skills!A27</f>
        <v>FERVENT_DRAIN</v>
      </c>
      <c r="B493" t="str">
        <f>Skills!B27</f>
        <v>Fervent Drain</v>
      </c>
      <c r="C493" t="b">
        <f>Inputs!$B$3&gt;=125</f>
        <v>0</v>
      </c>
      <c r="D493">
        <f>IF(Skills!C27=1,60+Inputs!$B$25+Inputs!$B$29,IF(Skills!C27=2,90+Inputs!$B$26+Inputs!$B$29,IF(Skills!C27=3,120+Inputs!$B$27+Inputs!$B$29,MAX(0,(Inputs!$B$3-100)*3)+Inputs!$B$28+Inputs!$B$29)))</f>
        <v>185</v>
      </c>
      <c r="E493">
        <f>INDEX(FactorTable!$B$2:$Y$301, MATCH(ROUND(MIN(300,MAX(1,D493)),0), FactorTable!$A$2:$A$301,0), Skills!M27+1)</f>
        <v>1555</v>
      </c>
      <c r="F493">
        <f>IF(Skills!N27=TRUE,(Skills!L27/10)*(E493/1000),Skills!L27/10)+Skills!O27</f>
        <v>6.22</v>
      </c>
      <c r="G493">
        <f>Calc!G27</f>
        <v>1</v>
      </c>
      <c r="H493">
        <f>Calc!H27</f>
        <v>1</v>
      </c>
      <c r="I493">
        <f>IF(Skills!X27&lt;&gt;"",1+(Skills!X27/10)*(Z469/1000)/100,1)</f>
        <v>1</v>
      </c>
      <c r="O493">
        <f>(1-Summary!$B$11)*S493+Summary!$B$11*U493</f>
        <v>0</v>
      </c>
      <c r="P493">
        <f>IF(B507=0,0,O493/B507)</f>
        <v>0</v>
      </c>
      <c r="Q493">
        <f>IFERROR(1/(IF(Inputs!$B$38="pvp",15,MAX(0.1,Skills!E27-IF(TRUE=TRUE,Inputs!$B$32,0)))*(1-IF(AND(ArtifactsInput!$M$27,Inputs!$B$4="Chapter Hunt"),CHOOSE(ArtifactsInput!$N$27+1,20,24,28,32,36,40),0)/100)),0)</f>
        <v>10</v>
      </c>
      <c r="R493">
        <v>0</v>
      </c>
      <c r="S493">
        <v>0</v>
      </c>
      <c r="U493">
        <v>0</v>
      </c>
    </row>
    <row r="494" spans="1:21" x14ac:dyDescent="0.2">
      <c r="A494" t="str">
        <f>Skills!A28</f>
        <v>FLAME_HAZE_FOG</v>
      </c>
      <c r="B494" t="str">
        <f>Skills!B28</f>
        <v>Flame Haze (poison fog DoT)</v>
      </c>
      <c r="C494" t="b">
        <f>Inputs!$B$3&gt;=118</f>
        <v>0</v>
      </c>
      <c r="D494">
        <f>IF(Skills!C28=1,60+Inputs!$B$25+Inputs!$B$29,IF(Skills!C28=2,90+Inputs!$B$26+Inputs!$B$29,IF(Skills!C28=3,120+Inputs!$B$27+Inputs!$B$29,MAX(0,(Inputs!$B$3-100)*3)+Inputs!$B$28+Inputs!$B$29)))</f>
        <v>185</v>
      </c>
      <c r="E494">
        <f>INDEX(FactorTable!$B$2:$Y$301, MATCH(ROUND(MIN(300,MAX(1,D494)),0), FactorTable!$A$2:$A$301,0), Skills!M28+1)</f>
        <v>1925</v>
      </c>
      <c r="F494">
        <f>IF(Skills!N28=TRUE,(Skills!L28/10)*(E494/1000),Skills!L28/10)+Skills!O28</f>
        <v>134.75</v>
      </c>
      <c r="G494">
        <f>Calc!G28</f>
        <v>50</v>
      </c>
      <c r="H494">
        <f>Calc!H28</f>
        <v>1</v>
      </c>
      <c r="I494">
        <f>IF(Skills!X28&lt;&gt;"",1+(Skills!X28/10)*(Z469/1000)/100,1)</f>
        <v>1</v>
      </c>
      <c r="J494">
        <f>((Inputs!$B$6*(1+Inputs!$B$7/100))+(((Inputs!$B$12*(1+Inputs!$B$13/100))-(Inputs!$B$12*(1+Inputs!$B$13/100)))+0.25*(Inputs!$B$14-Inputs!$B$14))*(1+Inputs!$B$7/100))*(F494/100)</f>
        <v>486628767.57437253</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2445179485771.9116</v>
      </c>
      <c r="L494">
        <f>K494*(MIN(Inputs!$B$22+(F488-Calc!F22),(Inputs!$B$23+(IF(ArtifactsInput!$M$15,CHOOSE(ArtifactsInput!$N$15+1,25,30,35,40,45,50)/100*(Inputs!$B$11-Inputs!$B$11),0))))/100+(Inputs!$B$23+(IF(ArtifactsInput!$M$15,CHOOSE(ArtifactsInput!$N$15+1,25,30,35,40,45,50)/100*(Inputs!$B$11-Inputs!$B$11),0)))/100)/2</f>
        <v>8130221790191.6064</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38395785426358.883</v>
      </c>
      <c r="N494">
        <f>L494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38395785426358.883</v>
      </c>
      <c r="O494">
        <f>(1-Summary!$B$11)*S494+Summary!$B$11*U494</f>
        <v>0</v>
      </c>
      <c r="P494">
        <f>IF(B507=0,0,O494/B507)</f>
        <v>0</v>
      </c>
      <c r="Q494">
        <f>IFERROR(1/(IF(Inputs!$B$38="pvp",15,MAX(0.1,Skills!E28-IF(TRUE=TRUE,Inputs!$B$32,0)))*(1-IF(AND(ArtifactsInput!$M$27,Inputs!$B$4="Chapter Hunt"),CHOOSE(ArtifactsInput!$N$27+1,20,24,28,32,36,40),0)/100)),0)</f>
        <v>0.04</v>
      </c>
      <c r="R494">
        <f>IF(AND(Inputs!$B$38&lt;&gt;"pvp",Inputs!$B$43&gt;0),IF(MAX(0,Inputs!$B$43-B504)&lt;=0,0,(INT(MAX(0,Inputs!$B$43-B504)/(IF(Inputs!$B$38="pvp",15,MAX(0.1,Skills!E28-IF(TRUE=TRUE,Inputs!$B$32,0)))*(1-IF(AND(ArtifactsInput!$M$27,Inputs!$B$4="Chapter Hunt"),CHOOSE(ArtifactsInput!$N$27+1,20,24,28,32,36,40),0)/100)))+1)),0)</f>
        <v>2</v>
      </c>
      <c r="S494">
        <f>IF(C494,(H494*N494*IF(AND(Inputs!$B$38&lt;&gt;"pvp",Inputs!$B$43&gt;0),((Skills!G28*((R494-1)*IF(Skills!H28&gt;0,Skills!I28/Skills!H28,1)+IF(Skills!H28&gt;0,MIN(Skills!I28,MAX(0,MAX(0,Inputs!$B$43-B504)-((R494-1)*(IF(Inputs!$B$38="pvp",15,MAX(0.1,Skills!E28-IF(TRUE=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94">
        <f>IF(C494,(H494*N494*IF(AND(Inputs!$B$38&lt;&gt;"pvp",Inputs!$B$43&gt;0),((Skills!G28*((R494-1)*IF(Skills!H28&gt;0,Skills!I28/Skills!H28,1)+IF(Skills!H28&gt;0,MIN(Skills!I28,MAX(0,MAX(0,Inputs!$B$43-B504)-((R494-1)*(IF(Inputs!$B$38="pvp",15,MAX(0.1,Skills!E28-IF(TRUE=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96" spans="1:21" x14ac:dyDescent="0.2">
      <c r="A496" t="s">
        <v>356</v>
      </c>
      <c r="B496">
        <f>1+(F477*Skills!Z11)/100</f>
        <v>1.25</v>
      </c>
    </row>
    <row r="497" spans="1:26" x14ac:dyDescent="0.2">
      <c r="A497" t="s">
        <v>435</v>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1.18624</v>
      </c>
    </row>
    <row r="498" spans="1:26" x14ac:dyDescent="0.2">
      <c r="A498" t="s">
        <v>358</v>
      </c>
      <c r="B498">
        <f>(1+(F472*IF(AND(Inputs!$B$38&lt;&gt;"pvp",Inputs!$B$43&gt;0),(((R472-1)*MIN((Skills!T6*(1+((Inputs!$B$34+(ArtifactsInput!$M$7-ArtifactsInput!$M$7)*CHOOSE(ArtifactsInput!$N$7+1,6,7.2,8.4,9.6,10.8,12)))/100)),(1/Q472))+MIN((Skills!T6*(1+((Inputs!$B$34+(ArtifactsInput!$M$7-ArtifactsInput!$M$7)*CHOOSE(ArtifactsInput!$N$7+1,6,7.2,8.4,9.6,10.8,12)))/100)),MAX(0,Inputs!$B$43-((R472-1)*(1/Q472)))))/Inputs!$B$43),IF(Inputs!$B$38="pvp",MIN((Skills!T6*(1+((Inputs!$B$34+(ArtifactsInput!$M$7-ArtifactsInput!$M$7)*CHOOSE(ArtifactsInput!$N$7+1,6,7.2,8.4,9.6,10.8,12)))/100)),15)/15,MIN(1,(Skills!T6*(1+((Inputs!$B$34+(ArtifactsInput!$M$7-ArtifactsInput!$M$7)*CHOOSE(ArtifactsInput!$N$7+1,6,7.2,8.4,9.6,10.8,12)))/100))/(1/Q472))))+F483*IF(AND(Inputs!$B$38&lt;&gt;"pvp",Inputs!$B$43&gt;0),(((R483-1)*MIN((Skills!T17*(1+((Inputs!$B$34+(ArtifactsInput!$M$7-ArtifactsInput!$M$7)*CHOOSE(ArtifactsInput!$N$7+1,6,7.2,8.4,9.6,10.8,12)))/100)),(1/Q483))+MIN((Skills!T17*(1+((Inputs!$B$34+(ArtifactsInput!$M$7-ArtifactsInput!$M$7)*CHOOSE(ArtifactsInput!$N$7+1,6,7.2,8.4,9.6,10.8,12)))/100)),MAX(0,Inputs!$B$43-((R483-1)*(1/Q483)))))/Inputs!$B$43),IF(Inputs!$B$38="pvp",MIN((Skills!T17*(1+((Inputs!$B$34+(ArtifactsInput!$M$7-ArtifactsInput!$M$7)*CHOOSE(ArtifactsInput!$N$7+1,6,7.2,8.4,9.6,10.8,12)))/100)),15)/15,MIN(1,(Skills!T17*(1+((Inputs!$B$34+(ArtifactsInput!$M$7-ArtifactsInput!$M$7)*CHOOSE(ArtifactsInput!$N$7+1,6,7.2,8.4,9.6,10.8,12)))/100))/(1/Q483)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MIN((Skills!T19*(1+((Inputs!$B$34+(ArtifactsInput!$M$7-ArtifactsInput!$M$7)*CHOOSE(ArtifactsInput!$N$7+1,6,7.2,8.4,9.6,10.8,12)))/100)),(1/Q485))+MIN((Skills!T19*(1+((Inputs!$B$34+(ArtifactsInput!$M$7-ArtifactsInput!$M$7)*CHOOSE(ArtifactsInput!$N$7+1,6,7.2,8.4,9.6,10.8,12)))/100)),MAX(0,Inputs!$B$43-((R485-1)*(1/Q485)))))/Inputs!$B$43),IF(Inputs!$B$38="pvp",MIN((Skills!T19*(1+((Inputs!$B$34+(ArtifactsInput!$M$7-ArtifactsInput!$M$7)*CHOOSE(ArtifactsInput!$N$7+1,6,7.2,8.4,9.6,10.8,12)))/100)),15)/15,MIN(1,(Skills!T19*(1+((Inputs!$B$34+(ArtifactsInput!$M$7-ArtifactsInput!$M$7)*CHOOSE(ArtifactsInput!$N$7+1,6,7.2,8.4,9.6,10.8,12)))/100))/(1/Q485))))/100),1)</f>
        <v>1.7965808377980694</v>
      </c>
    </row>
    <row r="499" spans="1:26" x14ac:dyDescent="0.2">
      <c r="A499" t="s">
        <v>359</v>
      </c>
      <c r="B499">
        <f>F484*IF(AND(Inputs!$B$38&lt;&gt;"pvp",Inputs!$B$43&gt;0),(((R484-1)*MIN((Skills!T18*(1+((Inputs!$B$34+(ArtifactsInput!$M$7-ArtifactsInput!$M$7)*CHOOSE(ArtifactsInput!$N$7+1,6,7.2,8.4,9.6,10.8,12)))/100)),(1/Q484))+MIN((Skills!T18*(1+((Inputs!$B$34+(ArtifactsInput!$M$7-ArtifactsInput!$M$7)*CHOOSE(ArtifactsInput!$N$7+1,6,7.2,8.4,9.6,10.8,12)))/100)),MAX(0,Inputs!$B$43-((R484-1)*(1/Q484)))))/Inputs!$B$43),IF(Inputs!$B$38="pvp",MIN((Skills!T18*(1+((Inputs!$B$34+(ArtifactsInput!$M$7-ArtifactsInput!$M$7)*CHOOSE(ArtifactsInput!$N$7+1,6,7.2,8.4,9.6,10.8,12)))/100)),15)/15,MIN(1,(Skills!T18*(1+((Inputs!$B$34+(ArtifactsInput!$M$7-ArtifactsInput!$M$7)*CHOOSE(ArtifactsInput!$N$7+1,6,7.2,8.4,9.6,10.8,12)))/100))/(1/Q484))))</f>
        <v>6.4968749999999993</v>
      </c>
    </row>
    <row r="500" spans="1:26" x14ac:dyDescent="0.2">
      <c r="A500" t="s">
        <v>436</v>
      </c>
      <c r="B500">
        <f>1+MIN(150,150*(1-(1-(Inputs!$B$11+(ArtifactsInput!$M$15-ArtifactsInput!$M$15)*CHOOSE(ArtifactsInput!$N$15+1,8,9.6,11.2,12.8,14.4,16))/150)*(1-B499/150)))/100</f>
        <v>1.6982958749999999</v>
      </c>
    </row>
    <row r="501" spans="1:26" x14ac:dyDescent="0.2">
      <c r="A501" t="s">
        <v>437</v>
      </c>
      <c r="B501">
        <f>IF(AND(Inputs!$B$38&lt;&gt;"pvp",Inputs!$B$43&gt;0),SUMPRODUCT((Skills!F2:F28=TRUE)*(C468:C494=TRUE)*R468:R494)/Inputs!$B$43,SUMPRODUCT((Skills!F2:F28=TRUE)*(C468:C494=TRUE)*Q468:Q494))</f>
        <v>0.47499999999999998</v>
      </c>
    </row>
    <row r="502" spans="1:26" x14ac:dyDescent="0.2">
      <c r="A502" t="s">
        <v>362</v>
      </c>
      <c r="B502">
        <f>MAX(0,B500-B501)</f>
        <v>1.2232958749999998</v>
      </c>
    </row>
    <row r="503" spans="1:26" x14ac:dyDescent="0.2">
      <c r="A503" t="s">
        <v>438</v>
      </c>
      <c r="B503">
        <f>IF(AND(Inputs!$B$38&lt;&gt;"pvp",Inputs!$B$43&gt;0),SUMPRODUCT((Skills!V2:V28=TRUE)*(C468:C494=TRUE)*R468:R494*Skills!W2:W28)/Inputs!$B$43,SUMPRODUCT((Skills!V2:V28=TRUE)*(C468:C494=TRUE)*Q468:Q494*Skills!W2:W28))+B502</f>
        <v>1.5482958749999998</v>
      </c>
    </row>
    <row r="504" spans="1:26" x14ac:dyDescent="0.2">
      <c r="A504" t="s">
        <v>439</v>
      </c>
      <c r="B504">
        <f>IF(AND(Inputs!$B$38&lt;&gt;"pvp",Inputs!$B$43&gt;0),SUMPRODUCT((Skills!T2:T28&gt;0)*(Skills!F2:F28=TRUE)*(C468:C494=TRUE))/B500,0)</f>
        <v>2.3553021937358238</v>
      </c>
    </row>
    <row r="505" spans="1:26" x14ac:dyDescent="0.2">
      <c r="A505" t="s">
        <v>440</v>
      </c>
      <c r="B505">
        <f>SUM(S468:S494)</f>
        <v>9532726528257078</v>
      </c>
    </row>
    <row r="506" spans="1:26" x14ac:dyDescent="0.2">
      <c r="A506" t="s">
        <v>441</v>
      </c>
      <c r="B506">
        <f>SUM(U468:U494)</f>
        <v>5.6790259026228592E+16</v>
      </c>
    </row>
    <row r="507" spans="1:26" x14ac:dyDescent="0.2">
      <c r="A507" s="6" t="s">
        <v>348</v>
      </c>
      <c r="B507" s="6">
        <f>SUM(O468:O494)</f>
        <v>3.3161492777242844E+16</v>
      </c>
    </row>
    <row r="510" spans="1:26" x14ac:dyDescent="0.2">
      <c r="A510" s="6" t="s">
        <v>451</v>
      </c>
    </row>
    <row r="511" spans="1:26" x14ac:dyDescent="0.2">
      <c r="A511" s="5" t="s">
        <v>136</v>
      </c>
      <c r="B511" s="5" t="s">
        <v>137</v>
      </c>
      <c r="C511" s="5" t="s">
        <v>328</v>
      </c>
      <c r="D511" s="5" t="s">
        <v>329</v>
      </c>
      <c r="E511" s="5" t="s">
        <v>330</v>
      </c>
      <c r="F511" s="5" t="s">
        <v>331</v>
      </c>
      <c r="G511" s="5" t="s">
        <v>332</v>
      </c>
      <c r="H511" s="5" t="s">
        <v>333</v>
      </c>
      <c r="I511" s="5" t="s">
        <v>334</v>
      </c>
      <c r="J511" s="5" t="s">
        <v>335</v>
      </c>
      <c r="K511" s="5" t="s">
        <v>336</v>
      </c>
      <c r="L511" s="5" t="s">
        <v>337</v>
      </c>
      <c r="M511" s="5" t="s">
        <v>338</v>
      </c>
      <c r="N511" s="5" t="s">
        <v>339</v>
      </c>
      <c r="O511" s="5" t="s">
        <v>340</v>
      </c>
      <c r="P511" s="5" t="s">
        <v>341</v>
      </c>
      <c r="R511" t="s">
        <v>434</v>
      </c>
    </row>
    <row r="512" spans="1:26" x14ac:dyDescent="0.2">
      <c r="A512" t="str">
        <f>Skills!A2</f>
        <v>BASIC_ATTACK</v>
      </c>
      <c r="B512" t="str">
        <f>Skills!B2</f>
        <v>Basic Attack</v>
      </c>
      <c r="C512" t="b">
        <f>TRUE</f>
        <v>1</v>
      </c>
      <c r="F512">
        <f>T514+Skills!O2</f>
        <v>537.6</v>
      </c>
      <c r="G512">
        <f>Calc!G2</f>
        <v>5</v>
      </c>
      <c r="H512">
        <f>Calc!H2</f>
        <v>1</v>
      </c>
      <c r="I512">
        <f>IF(Skills!X2&lt;&gt;"",1+(Skills!X2/10)*(Z513/1000)/100,1)</f>
        <v>1</v>
      </c>
      <c r="J512">
        <f>((Inputs!$B$6*(1+Inputs!$B$7/100))+(((Inputs!$B$12*(1+Inputs!$B$13/100))-(Inputs!$B$12*(1+Inputs!$B$13/100)))+0.25*(Inputs!$B$14-Inputs!$B$14))*(1+Inputs!$B$7/100))*(F512/100)</f>
        <v>1941459186.9980164</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6620290711466.1074</v>
      </c>
      <c r="L512">
        <f>K512*(MIN(Inputs!$B$22+(F532-Calc!F22),(Inputs!$B$23+(IF(ArtifactsInput!$M$15,CHOOSE(ArtifactsInput!$N$15+1,25,30,35,40,45,50)/100*(Inputs!$B$11-Inputs!$B$11),0))))/100+(Inputs!$B$23+(IF(ArtifactsInput!$M$15,CHOOSE(ArtifactsInput!$N$15+1,25,30,35,40,45,50)/100*(Inputs!$B$11-Inputs!$B$11),0)))/100)/2</f>
        <v>22012466615624.809</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104096954625289.7</v>
      </c>
      <c r="N512">
        <f>L512*(1-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104096954625289.7</v>
      </c>
      <c r="O512">
        <f>(1-Summary!$B$11)*S512+Summary!$B$11*U512</f>
        <v>1.2539941922148306E+16</v>
      </c>
      <c r="P512">
        <f>IF(B551=0,0,O512/B551)</f>
        <v>0.37819938885449506</v>
      </c>
      <c r="Q512">
        <f>IFERROR(1/(IF(Inputs!$B$38="pvp",15,MAX(0.1,Skills!E2-IF(TRUE=TRUE,Inputs!$B$32,0)))*(1-IF(AND(ArtifactsInput!$M$27,Inputs!$B$4="Chapter Hunt"),CHOOSE(ArtifactsInput!$N$27+1,20,24,28,32,36,40),0)/100)),0)</f>
        <v>10</v>
      </c>
      <c r="R512">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2082031484408477.5</v>
      </c>
      <c r="T512">
        <f>MAX(0,(Inputs!$B$3-100)*3)+Inputs!$B$28+Inputs!$B$29</f>
        <v>185</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2.2997852359888136E+16</v>
      </c>
      <c r="Z512">
        <f>MAX(0,(Inputs!$B$3-100)*3)+Inputs!$B$28+Inputs!$B$29</f>
        <v>185</v>
      </c>
    </row>
    <row r="513" spans="1:26" x14ac:dyDescent="0.2">
      <c r="A513" t="str">
        <f>Skills!A3</f>
        <v>IGNITE</v>
      </c>
      <c r="B513" t="str">
        <f>Skills!B3</f>
        <v>Ignite</v>
      </c>
      <c r="C513" t="b">
        <f>TRUE</f>
        <v>1</v>
      </c>
      <c r="D513">
        <f>IF(Skills!C3=1,60+Inputs!$B$25+Inputs!$B$29,IF(Skills!C3=2,90+Inputs!$B$26+Inputs!$B$29,IF(Skills!C3=3,120+Inputs!$B$27+Inputs!$B$29,MAX(0,(Inputs!$B$3-100)*3)+Inputs!$B$28+Inputs!$B$29)))</f>
        <v>168</v>
      </c>
      <c r="E513">
        <f>INDEX(FactorTable!$B$2:$Y$301, MATCH(ROUND(MIN(300,MAX(1,D513)),0), FactorTable!$A$2:$A$301,0), Skills!M3+1)</f>
        <v>1672</v>
      </c>
      <c r="F513">
        <f>IF(Skills!N3=TRUE,(Skills!L3/10)*(E513/1000),Skills!L3/10)+Skills!O3</f>
        <v>121.736</v>
      </c>
      <c r="G513">
        <f>Calc!G3</f>
        <v>3</v>
      </c>
      <c r="H513">
        <f>Calc!H3</f>
        <v>1</v>
      </c>
      <c r="I513">
        <f>IF(Skills!X3&lt;&gt;"",1+(Skills!X3/10)*(Z513/1000)/100,1)</f>
        <v>4.8250000000000002</v>
      </c>
      <c r="J513">
        <f>((Inputs!$B$6*(1+Inputs!$B$7/100))+(((Inputs!$B$12*(1+Inputs!$B$13/100))-(Inputs!$B$12*(1+Inputs!$B$13/100)))+0.25*(Inputs!$B$14-Inputs!$B$14))*(1+Inputs!$B$7/100))*(F513/100)</f>
        <v>439630720.9605478</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10658554617221.965</v>
      </c>
      <c r="L513">
        <f>K513*(MIN(Inputs!$B$22+(F532-Calc!F22),(Inputs!$B$23+(IF(ArtifactsInput!$M$15,CHOOSE(ArtifactsInput!$N$15+1,25,30,35,40,45,50)/100*(Inputs!$B$11-Inputs!$B$11),0))))/100+(Inputs!$B$23+(IF(ArtifactsInput!$M$15,CHOOSE(ArtifactsInput!$N$15+1,25,30,35,40,45,50)/100*(Inputs!$B$11-Inputs!$B$11),0)))/100)/2</f>
        <v>35439694102263.031</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167594313409601.84</v>
      </c>
      <c r="N513">
        <f>L513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167594313409601.84</v>
      </c>
      <c r="O513">
        <f>(1-Summary!$B$11)*S513+Summary!$B$11*U513</f>
        <v>2913627138625928</v>
      </c>
      <c r="P513">
        <f>IF(B551=0,0,O513/B551)</f>
        <v>8.7873772463965077E-2</v>
      </c>
      <c r="Q513">
        <f>IFERROR(1/(IF(Inputs!$B$38="pvp",15,MAX(0.1,Skills!E3-IF(FALSE=TRUE,Inputs!$B$32,0)))*(1-IF(AND(ArtifactsInput!$M$27,Inputs!$B$4="Chapter Hunt"),CHOOSE(ArtifactsInput!$N$27+1,20,24,28,32,36,40),0)/100)),0)</f>
        <v>1</v>
      </c>
      <c r="R513">
        <f>IF(AND(Inputs!$B$38&lt;&gt;"pvp",Inputs!$B$43&gt;0),IF(MAX(0,Inputs!$B$43-B548)&lt;=0,0,(INT(MAX(0,Inputs!$B$43-B548)/(IF(Inputs!$B$38="pvp",15,MAX(0.1,Skills!E3-IF(FALSE=TRUE,Inputs!$B$32,0)))*(1-IF(AND(ArtifactsInput!$M$27,Inputs!$B$4="Chapter Hunt"),CHOOSE(ArtifactsInput!$N$27+1,20,24,28,32,36,40),0)/100)))+1)),0)</f>
        <v>38</v>
      </c>
      <c r="S513">
        <f>IF(C513,(H513*N513*IF(AND(Inputs!$B$38&lt;&gt;"pvp",Inputs!$B$43&gt;0),((Skills!G3*((R513-1)*IF(Skills!H3&gt;0,Skills!I3/Skills!H3,1)+IF(Skills!H3&gt;0,MIN(Skills!I3,MAX(0,MAX(0,Inputs!$B$43-B548)-((R513-1)*(IF(Inputs!$B$38="pvp",15,MAX(0.1,Skills!E3-IF(FALSE=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1514130824499047.8</v>
      </c>
      <c r="T513">
        <f>INDEX(FactorTable!$B$2:$Y$301, MATCH(ROUND(MIN(300,MAX(1,T512)),0), FactorTable!$A$2:$A$301,0), 22)</f>
        <v>1740</v>
      </c>
      <c r="U513">
        <f>IF(C513,(H513*N513*IF(AND(Inputs!$B$38&lt;&gt;"pvp",Inputs!$B$43&gt;0),((Skills!G3*((R513-1)*IF(Skills!H3&gt;0,Skills!I3/Skills!H3,1)+IF(Skills!H3&gt;0,MIN(Skills!I3,MAX(0,MAX(0,Inputs!$B$43-B548)-((R513-1)*(IF(Inputs!$B$38="pvp",15,MAX(0.1,Skills!E3-IF(FALSE=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4313123452752808</v>
      </c>
      <c r="Z513">
        <f>INDEX(FactorTable!$B$2:$Y$301, MATCH(ROUND(MIN(300,MAX(1,Z512)),0), FactorTable!$A$2:$A$301,0), 24)</f>
        <v>7650</v>
      </c>
    </row>
    <row r="514" spans="1:26" x14ac:dyDescent="0.2">
      <c r="A514" t="str">
        <f>Skills!A4</f>
        <v>POISON_BREATH</v>
      </c>
      <c r="B514" t="str">
        <f>Skills!B4</f>
        <v>Poison Breath</v>
      </c>
      <c r="C514" t="b">
        <f>TRUE</f>
        <v>1</v>
      </c>
      <c r="D514">
        <f>IF(Skills!C4=1,60+Inputs!$B$25+Inputs!$B$29,IF(Skills!C4=2,90+Inputs!$B$26+Inputs!$B$29,IF(Skills!C4=3,120+Inputs!$B$27+Inputs!$B$29,MAX(0,(Inputs!$B$3-100)*3)+Inputs!$B$28+Inputs!$B$29)))</f>
        <v>168</v>
      </c>
      <c r="E514">
        <f>INDEX(FactorTable!$B$2:$Y$301, MATCH(ROUND(MIN(300,MAX(1,D514)),0), FactorTable!$A$2:$A$301,0), Skills!M4+1)</f>
        <v>1840</v>
      </c>
      <c r="F514">
        <f>IF(Skills!N4=TRUE,(Skills!L4/10)*(E514/1000),Skills!L4/10)+Skills!O4</f>
        <v>438</v>
      </c>
      <c r="G514">
        <f>Calc!G4</f>
        <v>3</v>
      </c>
      <c r="H514">
        <f>Calc!H4</f>
        <v>1</v>
      </c>
      <c r="I514">
        <f>IF(Skills!X4&lt;&gt;"",1+(Skills!X4/10)*(Z513/1000)/100,1)</f>
        <v>7.12</v>
      </c>
      <c r="J514">
        <f>((Inputs!$B$6*(1+Inputs!$B$7/100))+(((Inputs!$B$12*(1+Inputs!$B$13/100))-(Inputs!$B$12*(1+Inputs!$B$13/100)))+0.25*(Inputs!$B$14-Inputs!$B$14))*(1+Inputs!$B$7/100))*(F514/100)</f>
        <v>1581769203.69258</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56589528290529.523</v>
      </c>
      <c r="L514">
        <f>K514*(MIN(Inputs!$B$22+(F532-Calc!F22),(Inputs!$B$23+(IF(ArtifactsInput!$M$15,CHOOSE(ArtifactsInput!$N$15+1,25,30,35,40,45,50)/100*(Inputs!$B$11-Inputs!$B$11),0))))/100+(Inputs!$B$23+(IF(ArtifactsInput!$M$15,CHOOSE(ArtifactsInput!$N$15+1,25,30,35,40,45,50)/100*(Inputs!$B$11-Inputs!$B$11),0)))/100)/2</f>
        <v>188160181566010.69</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889809498625664.38</v>
      </c>
      <c r="N514">
        <f>L514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889809498625664.38</v>
      </c>
      <c r="O514">
        <f>(1-Summary!$B$11)*S514+Summary!$B$11*U514</f>
        <v>2125198761280071</v>
      </c>
      <c r="P514">
        <f>IF(B551=0,0,O514/B551)</f>
        <v>6.4095103286790731E-2</v>
      </c>
      <c r="Q514">
        <f>IFERROR(1/(IF(Inputs!$B$38="pvp",15,MAX(0.1,Skills!E4-IF(TRUE=TRUE,Inputs!$B$32,0)))*(1-IF(AND(ArtifactsInput!$M$27,Inputs!$B$4="Chapter Hunt"),CHOOSE(ArtifactsInput!$N$27+1,20,24,28,32,36,40),0)/100)),0)</f>
        <v>5.5555555555555552E-2</v>
      </c>
      <c r="R514">
        <f>IF(AND(Inputs!$B$38&lt;&gt;"pvp",Inputs!$B$43&gt;0),IF(MAX(0,Inputs!$B$43-B548)&lt;=0,0,(INT(MAX(0,Inputs!$B$43-B548)/(IF(Inputs!$B$38="pvp",15,MAX(0.1,Skills!E4-IF(TRUE=TRUE,Inputs!$B$32,0)))*(1-IF(AND(ArtifactsInput!$M$27,Inputs!$B$4="Chapter Hunt"),CHOOSE(ArtifactsInput!$N$27+1,20,24,28,32,36,40),0)/100)))+1)),0)</f>
        <v>3</v>
      </c>
      <c r="S514">
        <f>IF(C514,(H514*N514*IF(AND(Inputs!$B$38&lt;&gt;"pvp",Inputs!$B$43&gt;0),((Skills!G4*((R514-1)*IF(Skills!H4&gt;0,Skills!I4/Skills!H4,1)+IF(Skills!H4&gt;0,MIN(Skills!I4,MAX(0,MAX(0,Inputs!$B$43-B548)-((R514-1)*(IF(Inputs!$B$38="pvp",15,MAX(0.1,Skills!E4-IF(TRUE=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634656624894755.12</v>
      </c>
      <c r="T514">
        <f>290*T513/1000</f>
        <v>504.6</v>
      </c>
      <c r="U514">
        <f>IF(C514,(H514*N514*IF(AND(Inputs!$B$38&lt;&gt;"pvp",Inputs!$B$43&gt;0),((Skills!G4*((R514-1)*IF(Skills!H4&gt;0,Skills!I4/Skills!H4,1)+IF(Skills!H4&gt;0,MIN(Skills!I4,MAX(0,MAX(0,Inputs!$B$43-B548)-((R514-1)*(IF(Inputs!$B$38="pvp",15,MAX(0.1,Skills!E4-IF(TRUE=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3615740897665387</v>
      </c>
    </row>
    <row r="515" spans="1:26" x14ac:dyDescent="0.2">
      <c r="A515" t="str">
        <f>Skills!A5</f>
        <v>ELEMENTAL_DRAIN</v>
      </c>
      <c r="B515" t="str">
        <f>Skills!B5</f>
        <v>Elemental Drain</v>
      </c>
      <c r="C515" t="b">
        <f>TRUE</f>
        <v>1</v>
      </c>
      <c r="D515">
        <f>IF(Skills!C5=1,60+Inputs!$B$25+Inputs!$B$29,IF(Skills!C5=2,90+Inputs!$B$26+Inputs!$B$29,IF(Skills!C5=3,120+Inputs!$B$27+Inputs!$B$29,MAX(0,(Inputs!$B$3-100)*3)+Inputs!$B$28+Inputs!$B$29)))</f>
        <v>168</v>
      </c>
      <c r="E515">
        <f>INDEX(FactorTable!$B$2:$Y$301, MATCH(ROUND(MIN(300,MAX(1,D515)),0), FactorTable!$A$2:$A$301,0), Skills!M5+1)</f>
        <v>1672</v>
      </c>
      <c r="F515">
        <f>IF(Skills!N5=TRUE,(Skills!L5/10)*(E515/1000),Skills!L5/10)+Skills!O5</f>
        <v>20.064</v>
      </c>
      <c r="G515">
        <f>Calc!G5</f>
        <v>5</v>
      </c>
      <c r="H515">
        <f>Calc!H5</f>
        <v>1</v>
      </c>
      <c r="I515">
        <f>IF(Skills!X5&lt;&gt;"",1+(Skills!X5/10)*(Z513/1000)/100,1)</f>
        <v>12.475</v>
      </c>
      <c r="J515">
        <f>((Inputs!$B$6*(1+Inputs!$B$7/100))+(((Inputs!$B$12*(1+Inputs!$B$13/100))-(Inputs!$B$12*(1+Inputs!$B$13/100)))+0.25*(Inputs!$B$14-Inputs!$B$14))*(1+Inputs!$B$7/100))*(F515/100)</f>
        <v>72458030.371890247</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4541925884983.542</v>
      </c>
      <c r="L515">
        <f>K515*(MIN(Inputs!$B$22+(F532-Calc!F22),(Inputs!$B$23+(IF(ArtifactsInput!$M$15,CHOOSE(ArtifactsInput!$N$15+1,25,30,35,40,45,50)/100*(Inputs!$B$11-Inputs!$B$11),0))))/100+(Inputs!$B$23+(IF(ArtifactsInput!$M$15,CHOOSE(ArtifactsInput!$N$15+1,25,30,35,40,45,50)/100*(Inputs!$B$11-Inputs!$B$11),0)))/100)/2</f>
        <v>15101903567570.277</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71416901971039.828</v>
      </c>
      <c r="N515">
        <f>L515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71416901971039.828</v>
      </c>
      <c r="O515">
        <f>(1-Summary!$B$11)*S515+Summary!$B$11*U515</f>
        <v>1048221578679937</v>
      </c>
      <c r="P515">
        <f>IF(B551=0,0,O515/B551)</f>
        <v>3.1613923166633758E-2</v>
      </c>
      <c r="Q515">
        <f>IFERROR(1/(IF(Inputs!$B$38="pvp",15,MAX(0.1,Skills!E5-IF(FALSE=TRUE,Inputs!$B$32,0)))*(1-IF(AND(ArtifactsInput!$M$27,Inputs!$B$4="Chapter Hunt"),CHOOSE(ArtifactsInput!$N$27+1,20,24,28,32,36,40),0)/100)),0)</f>
        <v>1</v>
      </c>
      <c r="R515">
        <f>IF(AND(Inputs!$B$38&lt;&gt;"pvp",Inputs!$B$43&gt;0),IF(MAX(0,Inputs!$B$43-B548)&lt;=0,0,(INT(MAX(0,Inputs!$B$43-B548)/(IF(Inputs!$B$38="pvp",15,MAX(0.1,Skills!E5-IF(FALSE=TRUE,Inputs!$B$32,0)))*(1-IF(AND(ArtifactsInput!$M$27,Inputs!$B$4="Chapter Hunt"),CHOOSE(ArtifactsInput!$N$27+1,20,24,28,32,36,40),0)/100)))+1)),0)</f>
        <v>38</v>
      </c>
      <c r="S515">
        <f>IF(C515,(H515*N515*IF(AND(Inputs!$B$38&lt;&gt;"pvp",Inputs!$B$43&gt;0),((Skills!G5*((R515-1)*IF(Skills!H5&gt;0,Skills!I5/Skills!H5,1)+IF(Skills!H5&gt;0,MIN(Skills!I5,MAX(0,MAX(0,Inputs!$B$43-B548)-((R515-1)*(IF(Inputs!$B$38="pvp",15,MAX(0.1,Skills!E5-IF(FALSE=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1075360001428932.2</v>
      </c>
      <c r="U515">
        <f>IF(C515,(H515*N515*IF(AND(Inputs!$B$38&lt;&gt;"pvp",Inputs!$B$43&gt;0),((Skills!G5*((R515-1)*IF(Skills!H5&gt;0,Skills!I5/Skills!H5,1)+IF(Skills!H5&gt;0,MIN(Skills!I5,MAX(0,MAX(0,Inputs!$B$43-B548)-((R515-1)*(IF(Inputs!$B$38="pvp",15,MAX(0.1,Skills!E5-IF(FALSE=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1021083155930941.9</v>
      </c>
    </row>
    <row r="516" spans="1:26" x14ac:dyDescent="0.2">
      <c r="A516" t="str">
        <f>Skills!A6</f>
        <v>MEDITATION</v>
      </c>
      <c r="B516" t="str">
        <f>Skills!B6</f>
        <v>Meditation</v>
      </c>
      <c r="C516" t="b">
        <f>TRUE</f>
        <v>1</v>
      </c>
      <c r="D516">
        <f>IF(Skills!C6=1,60+Inputs!$B$25+Inputs!$B$29,IF(Skills!C6=2,90+Inputs!$B$26+Inputs!$B$29,IF(Skills!C6=3,120+Inputs!$B$27+Inputs!$B$29,MAX(0,(Inputs!$B$3-100)*3)+Inputs!$B$28+Inputs!$B$29)))</f>
        <v>168</v>
      </c>
      <c r="E516">
        <f>INDEX(FactorTable!$B$2:$Y$301, MATCH(ROUND(MIN(300,MAX(1,D516)),0), FactorTable!$A$2:$A$301,0), Skills!M6+1)</f>
        <v>1672</v>
      </c>
      <c r="F516">
        <f>IF(Skills!N6=TRUE,(Skills!L6/10)*(E516/1000),Skills!L6/10)+Skills!O6</f>
        <v>33.44</v>
      </c>
      <c r="G516">
        <f>Calc!G6</f>
        <v>1</v>
      </c>
      <c r="H516">
        <f>Calc!H6</f>
        <v>1</v>
      </c>
      <c r="I516">
        <f>IF(Skills!X6&lt;&gt;"",1+(Skills!X6/10)*(Z513/1000)/100,1)</f>
        <v>1</v>
      </c>
      <c r="O516">
        <f>(1-Summary!$B$11)*S516+Summary!$B$11*U516</f>
        <v>0</v>
      </c>
      <c r="P516">
        <f>IF(B551=0,0,O516/B551)</f>
        <v>0</v>
      </c>
      <c r="Q516">
        <f>IFERROR(1/(IF(Inputs!$B$38="pvp",15,MAX(0.1,Skills!E6-IF(TRUE=TRUE,Inputs!$B$32,0)))*(1-IF(AND(ArtifactsInput!$M$27,Inputs!$B$4="Chapter Hunt"),CHOOSE(ArtifactsInput!$N$27+1,20,24,28,32,36,40),0)/100)),0)</f>
        <v>3.3333333333333333E-2</v>
      </c>
      <c r="R516">
        <f>IF(AND(Inputs!$B$38&lt;&gt;"pvp",Inputs!$B$43&gt;0),IF(Inputs!$B$43&lt;=0,0,(INT(Inputs!$B$43/(IF(Inputs!$B$38="pvp",15,MAX(0.1,Skills!E6-IF(TRUE=TRUE,Inputs!$B$32,0)))*(1-IF(AND(ArtifactsInput!$M$27,Inputs!$B$4="Chapter Hunt"),CHOOSE(ArtifactsInput!$N$27+1,20,24,28,32,36,40),0)/100)))+1)),0)</f>
        <v>2</v>
      </c>
      <c r="S516">
        <v>0</v>
      </c>
      <c r="U516">
        <v>0</v>
      </c>
    </row>
    <row r="517" spans="1:26" x14ac:dyDescent="0.2">
      <c r="A517" t="str">
        <f>Skills!A7</f>
        <v>POISON_MIST_BURST</v>
      </c>
      <c r="B517" t="str">
        <f>Skills!B7</f>
        <v>Poison Mist (burst)</v>
      </c>
      <c r="C517" t="b">
        <f>TRUE</f>
        <v>1</v>
      </c>
      <c r="D517">
        <f>IF(Skills!C7=1,60+Inputs!$B$25+Inputs!$B$29,IF(Skills!C7=2,90+Inputs!$B$26+Inputs!$B$29,IF(Skills!C7=3,120+Inputs!$B$27+Inputs!$B$29,MAX(0,(Inputs!$B$3-100)*3)+Inputs!$B$28+Inputs!$B$29)))</f>
        <v>184</v>
      </c>
      <c r="E517">
        <f>INDEX(FactorTable!$B$2:$Y$301, MATCH(ROUND(MIN(300,MAX(1,D517)),0), FactorTable!$A$2:$A$301,0), Skills!M7+1)</f>
        <v>1920</v>
      </c>
      <c r="F517">
        <f>IF(Skills!N7=TRUE,(Skills!L7/10)*(E517/1000),Skills!L7/10)+Skills!O7</f>
        <v>357.2</v>
      </c>
      <c r="G517">
        <f>Calc!G7</f>
        <v>3</v>
      </c>
      <c r="H517">
        <f>Calc!H7</f>
        <v>1</v>
      </c>
      <c r="I517">
        <f>IF(Skills!X7&lt;&gt;"",1+(Skills!X7/10)*(Z513/1000)/100,1)</f>
        <v>1.7650000000000001</v>
      </c>
      <c r="J517">
        <f>((Inputs!$B$6*(1+Inputs!$B$7/100))+(((Inputs!$B$12*(1+Inputs!$B$13/100))-(Inputs!$B$12*(1+Inputs!$B$13/100)))+0.25*(Inputs!$B$14-Inputs!$B$14))*(1+Inputs!$B$7/100))*(F517/100)</f>
        <v>1289972510.4086521</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11440318873772.086</v>
      </c>
      <c r="L517">
        <f>K517*(MIN(Inputs!$B$22+(F532-Calc!F22),(Inputs!$B$23+(IF(ArtifactsInput!$M$15,CHOOSE(ArtifactsInput!$N$15+1,25,30,35,40,45,50)/100*(Inputs!$B$11-Inputs!$B$11),0))))/100+(Inputs!$B$23+(IF(ArtifactsInput!$M$15,CHOOSE(ArtifactsInput!$N$15+1,25,30,35,40,45,50)/100*(Inputs!$B$11-Inputs!$B$11),0)))/100)/2</f>
        <v>38039060255292.188</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179886715947276.72</v>
      </c>
      <c r="N517">
        <f>L517*(1-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179886715947276.72</v>
      </c>
      <c r="O517">
        <f>(1-Summary!$B$11)*S517+Summary!$B$11*U517</f>
        <v>448862327967442.25</v>
      </c>
      <c r="P517">
        <f>IF(B551=0,0,O517/B551)</f>
        <v>1.3537499549121508E-2</v>
      </c>
      <c r="Q517">
        <f>IFERROR(1/(IF(Inputs!$B$38="pvp",15,MAX(0.1,Skills!E7-IF(TRUE=TRUE,Inputs!$B$32,0)))*(1-IF(AND(ArtifactsInput!$M$27,Inputs!$B$4="Chapter Hunt"),CHOOSE(ArtifactsInput!$N$27+1,20,24,28,32,36,40),0)/100)),0)</f>
        <v>4.0816326530612242E-2</v>
      </c>
      <c r="R517">
        <f>IF(AND(Inputs!$B$38&lt;&gt;"pvp",Inputs!$B$43&gt;0),IF(MAX(0,Inputs!$B$43-B548)&lt;=0,0,(INT(MAX(0,Inputs!$B$43-B548)/(IF(Inputs!$B$38="pvp",15,MAX(0.1,Skills!E7-IF(TRUE=TRUE,Inputs!$B$32,0)))*(1-IF(AND(ArtifactsInput!$M$27,Inputs!$B$4="Chapter Hunt"),CHOOSE(ArtifactsInput!$N$27+1,20,24,28,32,36,40),0)/100)))+1)),0)</f>
        <v>2</v>
      </c>
      <c r="S517">
        <f>IF(C517,(H517*N517*IF(AND(Inputs!$B$38&lt;&gt;"pvp",Inputs!$B$43&gt;0),((Skills!G7*((R517-1)*IF(Skills!H7&gt;0,Skills!I7/Skills!H7,1)+IF(Skills!H7&gt;0,MIN(Skills!I7,MAX(0,MAX(0,Inputs!$B$43-B548)-((R517-1)*(IF(Inputs!$B$38="pvp",15,MAX(0.1,Skills!E7-IF(TRUE=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85536133432930.078</v>
      </c>
      <c r="U517">
        <f>IF(C517,(H517*N517*IF(AND(Inputs!$B$38&lt;&gt;"pvp",Inputs!$B$43&gt;0),((Skills!G7*((R517-1)*IF(Skills!H7&gt;0,Skills!I7/Skills!H7,1)+IF(Skills!H7&gt;0,MIN(Skills!I7,MAX(0,MAX(0,Inputs!$B$43-B548)-((R517-1)*(IF(Inputs!$B$38="pvp",15,MAX(0.1,Skills!E7-IF(TRUE=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812188522501954.38</v>
      </c>
    </row>
    <row r="518" spans="1:26" x14ac:dyDescent="0.2">
      <c r="A518" t="str">
        <f>Skills!A8</f>
        <v>POISON_MIST_DOT</v>
      </c>
      <c r="B518" t="str">
        <f>Skills!B8</f>
        <v>Poison Mist (fog DoT)</v>
      </c>
      <c r="C518" t="b">
        <f>TRUE</f>
        <v>1</v>
      </c>
      <c r="D518">
        <f>IF(Skills!C8=1,60+Inputs!$B$25+Inputs!$B$29,IF(Skills!C8=2,90+Inputs!$B$26+Inputs!$B$29,IF(Skills!C8=3,120+Inputs!$B$27+Inputs!$B$29,MAX(0,(Inputs!$B$3-100)*3)+Inputs!$B$28+Inputs!$B$29)))</f>
        <v>184</v>
      </c>
      <c r="E518">
        <f>INDEX(FactorTable!$B$2:$Y$301, MATCH(ROUND(MIN(300,MAX(1,D518)),0), FactorTable!$A$2:$A$301,0), Skills!M8+1)</f>
        <v>1920</v>
      </c>
      <c r="F518">
        <f>IF(Skills!N8=TRUE,(Skills!L8/10)*(E518/1000),Skills!L8/10)+Skills!O8</f>
        <v>134.4</v>
      </c>
      <c r="G518">
        <f>Calc!G8</f>
        <v>50</v>
      </c>
      <c r="H518">
        <f>Calc!H8</f>
        <v>1</v>
      </c>
      <c r="I518">
        <f>IF(Skills!X8&lt;&gt;"",1+(Skills!X8/10)*(Z513/1000)/100,1)</f>
        <v>1.7650000000000001</v>
      </c>
      <c r="J518">
        <f>((Inputs!$B$6*(1+Inputs!$B$7/100))+(((Inputs!$B$12*(1+Inputs!$B$13/100))-(Inputs!$B$12*(1+Inputs!$B$13/100)))+0.25*(Inputs!$B$14-Inputs!$B$14))*(1+Inputs!$B$7/100))*(F518/100)</f>
        <v>485364796.74950409</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4304532073446.1597</v>
      </c>
      <c r="L518">
        <f>K518*(MIN(Inputs!$B$22+(F532-Calc!F22),(Inputs!$B$23+(IF(ArtifactsInput!$M$15,CHOOSE(ArtifactsInput!$N$15+1,25,30,35,40,45,50)/100*(Inputs!$B$11-Inputs!$B$11),0))))/100+(Inputs!$B$23+(IF(ArtifactsInput!$M$15,CHOOSE(ArtifactsInput!$N$15+1,25,30,35,40,45,50)/100*(Inputs!$B$11-Inputs!$B$11),0)))/100)/2</f>
        <v>14312569144208.482</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67684139482961.898</v>
      </c>
      <c r="N518">
        <f>L518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67684139482961.898</v>
      </c>
      <c r="O518">
        <f>(1-Summary!$B$11)*S518+Summary!$B$11*U518</f>
        <v>2332404110183198</v>
      </c>
      <c r="P518">
        <f>IF(B551=0,0,O518/B551)</f>
        <v>7.0344329703392813E-2</v>
      </c>
      <c r="Q518">
        <f>IFERROR(1/(IF(Inputs!$B$38="pvp",15,MAX(0.1,Skills!E8-IF(TRUE=TRUE,Inputs!$B$32,0)))*(1-IF(AND(ArtifactsInput!$M$27,Inputs!$B$4="Chapter Hunt"),CHOOSE(ArtifactsInput!$N$27+1,20,24,28,32,36,40),0)/100)),0)</f>
        <v>4.0816326530612242E-2</v>
      </c>
      <c r="R518">
        <f>IF(AND(Inputs!$B$38&lt;&gt;"pvp",Inputs!$B$43&gt;0),IF(MAX(0,Inputs!$B$43-B548)&lt;=0,0,(INT(MAX(0,Inputs!$B$43-B548)/(IF(Inputs!$B$38="pvp",15,MAX(0.1,Skills!E8-IF(TRUE=TRUE,Inputs!$B$32,0)))*(1-IF(AND(ArtifactsInput!$M$27,Inputs!$B$4="Chapter Hunt"),CHOOSE(ArtifactsInput!$N$27+1,20,24,28,32,36,40),0)/100)))+1)),0)</f>
        <v>2</v>
      </c>
      <c r="S518">
        <f>IF(C518,(H518*N518*IF(AND(Inputs!$B$38&lt;&gt;"pvp",Inputs!$B$43&gt;0),((Skills!G8*((R518-1)*IF(Skills!H8&gt;0,Skills!I8/Skills!H8,1)+IF(Skills!H8&gt;0,MIN(Skills!I8,MAX(0,MAX(0,Inputs!$B$43-B548)-((R518-1)*(IF(Inputs!$B$38="pvp",15,MAX(0.1,Skills!E8-IF(TRUE=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444467750482761.5</v>
      </c>
      <c r="U518">
        <f>IF(C518,(H518*N518*IF(AND(Inputs!$B$38&lt;&gt;"pvp",Inputs!$B$43&gt;0),((Skills!G8*((R518-1)*IF(Skills!H8&gt;0,Skills!I8/Skills!H8,1)+IF(Skills!H8&gt;0,MIN(Skills!I8,MAX(0,MAX(0,Inputs!$B$43-B548)-((R518-1)*(IF(Inputs!$B$38="pvp",15,MAX(0.1,Skills!E8-IF(TRUE=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4220340469883634.5</v>
      </c>
    </row>
    <row r="519" spans="1:26" x14ac:dyDescent="0.2">
      <c r="A519" t="str">
        <f>Skills!A9</f>
        <v>MIST_ERUPTION</v>
      </c>
      <c r="B519" t="str">
        <f>Skills!B9</f>
        <v>Mist Eruption</v>
      </c>
      <c r="C519" t="b">
        <f>Inputs!$B$3&gt;=103</f>
        <v>1</v>
      </c>
      <c r="D519">
        <f>IF(Skills!C9=1,60+Inputs!$B$25+Inputs!$B$29,IF(Skills!C9=2,90+Inputs!$B$26+Inputs!$B$29,IF(Skills!C9=3,120+Inputs!$B$27+Inputs!$B$29,MAX(0,(Inputs!$B$3-100)*3)+Inputs!$B$28+Inputs!$B$29)))</f>
        <v>185</v>
      </c>
      <c r="E519">
        <f>INDEX(FactorTable!$B$2:$Y$301, MATCH(ROUND(MIN(300,MAX(1,D519)),0), FactorTable!$A$2:$A$301,0), Skills!M9+1)</f>
        <v>1925</v>
      </c>
      <c r="F519">
        <f>IF(Skills!N9=TRUE,(Skills!L9/10)*(E519/1000),Skills!L9/10)+Skills!O9</f>
        <v>5775</v>
      </c>
      <c r="G519">
        <f>Calc!G9</f>
        <v>2.5</v>
      </c>
      <c r="H519">
        <f>Calc!H9</f>
        <v>1</v>
      </c>
      <c r="I519">
        <f>IF(Skills!X9&lt;&gt;"",1+(Skills!X9/10)*(Z513/1000)/100,1)</f>
        <v>1</v>
      </c>
      <c r="J519">
        <f>((Inputs!$B$6*(1+Inputs!$B$7/100))+(((Inputs!$B$12*(1+Inputs!$B$13/100))-(Inputs!$B$12*(1+Inputs!$B$13/100)))+0.25*(Inputs!$B$14-Inputs!$B$14))*(1+Inputs!$B$7/100))*(F519/100)</f>
        <v>20855518610.330254</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104793406533081.95</v>
      </c>
      <c r="L519">
        <f>K519*(MIN(Inputs!$B$22+(F532-Calc!F22),(Inputs!$B$23+(IF(ArtifactsInput!$M$15,CHOOSE(ArtifactsInput!$N$15+1,25,30,35,40,45,50)/100*(Inputs!$B$11-Inputs!$B$11),0))))/100+(Inputs!$B$23+(IF(ArtifactsInput!$M$15,CHOOSE(ArtifactsInput!$N$15+1,25,30,35,40,45,50)/100*(Inputs!$B$11-Inputs!$B$11),0)))/100)/2</f>
        <v>348438076722497.5</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1647763664820690.5</v>
      </c>
      <c r="N519">
        <f>L519*(1-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1647763664820690.5</v>
      </c>
      <c r="O519">
        <f>(1-Summary!$B$11)*S519+Summary!$B$11*U519</f>
        <v>3426318570536523.5</v>
      </c>
      <c r="P519">
        <f>IF(B551=0,0,O519/B551)</f>
        <v>0.10333633101673267</v>
      </c>
      <c r="Q519">
        <f>IFERROR(1/(IF(Inputs!$B$38="pvp",15,MAX(0.1,Skills!E9-IF(TRUE=TRUE,Inputs!$B$32,0)))*(1-IF(AND(ArtifactsInput!$M$27,Inputs!$B$4="Chapter Hunt"),CHOOSE(ArtifactsInput!$N$27+1,20,24,28,32,36,40),0)/100)),0)</f>
        <v>4.0816326530612242E-2</v>
      </c>
      <c r="R519">
        <f>IF(AND(Inputs!$B$38&lt;&gt;"pvp",Inputs!$B$43&gt;0),IF(MAX(0,Inputs!$B$43-B548)&lt;=0,0,(INT(MAX(0,Inputs!$B$43-B548)/(IF(Inputs!$B$38="pvp",15,MAX(0.1,Skills!E9-IF(TRUE=TRUE,Inputs!$B$32,0)))*(1-IF(AND(ArtifactsInput!$M$27,Inputs!$B$4="Chapter Hunt"),CHOOSE(ArtifactsInput!$N$27+1,20,24,28,32,36,40),0)/100)))+1)),0)</f>
        <v>2</v>
      </c>
      <c r="S519">
        <f>IF(C519,(H519*N519*IF(AND(Inputs!$B$38&lt;&gt;"pvp",Inputs!$B$43&gt;0),((Skills!G9*((R519-1)*IF(Skills!H9&gt;0,Skills!I9/Skills!H9,1)+IF(Skills!H9&gt;0,MIN(Skills!I9,MAX(0,MAX(0,Inputs!$B$43-B548)-((R519-1)*(IF(Inputs!$B$38="pvp",15,MAX(0.1,Skills!E9-IF(TRUE=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652926352185198.62</v>
      </c>
      <c r="U519">
        <f>IF(C519,(H519*N519*IF(AND(Inputs!$B$38&lt;&gt;"pvp",Inputs!$B$43&gt;0),((Skills!G9*((R519-1)*IF(Skills!H9&gt;0,Skills!I9/Skills!H9,1)+IF(Skills!H9&gt;0,MIN(Skills!I9,MAX(0,MAX(0,Inputs!$B$43-B548)-((R519-1)*(IF(Inputs!$B$38="pvp",15,MAX(0.1,Skills!E9-IF(TRUE=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6199710788887848</v>
      </c>
    </row>
    <row r="520" spans="1:26" x14ac:dyDescent="0.2">
      <c r="A520" t="str">
        <f>Skills!A10</f>
        <v>CREEPING_TOXIN</v>
      </c>
      <c r="B520" t="str">
        <f>Skills!B10</f>
        <v>Creeping Toxin</v>
      </c>
      <c r="C520" t="b">
        <f>TRUE</f>
        <v>1</v>
      </c>
      <c r="D520">
        <f>IF(Skills!C10=1,60+Inputs!$B$25+Inputs!$B$29,IF(Skills!C10=2,90+Inputs!$B$26+Inputs!$B$29,IF(Skills!C10=3,120+Inputs!$B$27+Inputs!$B$29,MAX(0,(Inputs!$B$3-100)*3)+Inputs!$B$28+Inputs!$B$29)))</f>
        <v>184</v>
      </c>
      <c r="E520">
        <f>INDEX(FactorTable!$B$2:$Y$301, MATCH(ROUND(MIN(300,MAX(1,D520)),0), FactorTable!$A$2:$A$301,0), Skills!M10+1)</f>
        <v>1920</v>
      </c>
      <c r="F520">
        <f>IF(Skills!N10=TRUE,(Skills!L10/10)*(E520/1000),Skills!L10/10)+Skills!O10</f>
        <v>280.39999999999998</v>
      </c>
      <c r="G520">
        <f>Calc!G10</f>
        <v>15</v>
      </c>
      <c r="H520">
        <f>Calc!H10</f>
        <v>1</v>
      </c>
      <c r="I520">
        <f>IF(Skills!X10&lt;&gt;"",1+(Skills!X10/10)*(Z513/1000)/100,1)</f>
        <v>1.7650000000000001</v>
      </c>
      <c r="J520">
        <f>((Inputs!$B$6*(1+Inputs!$B$7/100))+(((Inputs!$B$12*(1+Inputs!$B$13/100))-(Inputs!$B$12*(1+Inputs!$B$13/100)))+0.25*(Inputs!$B$14-Inputs!$B$14))*(1+Inputs!$B$7/100))*(F520/100)</f>
        <v>1012621197.9803641</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8980586260374.2793</v>
      </c>
      <c r="L520">
        <f>K520*(MIN(Inputs!$B$22+(F532-Calc!F22),(Inputs!$B$23+(IF(ArtifactsInput!$M$15,CHOOSE(ArtifactsInput!$N$15+1,25,30,35,40,45,50)/100*(Inputs!$B$11-Inputs!$B$11),0))))/100+(Inputs!$B$23+(IF(ArtifactsInput!$M$15,CHOOSE(ArtifactsInput!$N$15+1,25,30,35,40,45,50)/100*(Inputs!$B$11-Inputs!$B$11),0)))/100)/2</f>
        <v>29860449315744.48</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141210064814155.62</v>
      </c>
      <c r="N520">
        <f>L520*(1-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141210064814155.62</v>
      </c>
      <c r="O520">
        <f>(1-Summary!$B$11)*S520+Summary!$B$11*U520</f>
        <v>325010727182739.38</v>
      </c>
      <c r="P520">
        <f>IF(B551=0,0,O520/B551)</f>
        <v>9.8021872154419806E-3</v>
      </c>
      <c r="Q520">
        <f>IFERROR(1/(IF(Inputs!$B$38="pvp",15,MAX(0.1,Skills!E10-IF(TRUE=TRUE,Inputs!$B$32,0)))*(1-IF(AND(ArtifactsInput!$M$27,Inputs!$B$4="Chapter Hunt"),CHOOSE(ArtifactsInput!$N$27+1,20,24,28,32,36,40),0)/100)),0)</f>
        <v>3.7037037037037035E-2</v>
      </c>
      <c r="R520">
        <f>IF(AND(Inputs!$B$38&lt;&gt;"pvp",Inputs!$B$43&gt;0),IF(MAX(0,Inputs!$B$43-B548)&lt;=0,0,(INT(MAX(0,Inputs!$B$43-B548)/(IF(Inputs!$B$38="pvp",15,MAX(0.1,Skills!E10-IF(TRUE=TRUE,Inputs!$B$32,0)))*(1-IF(AND(ArtifactsInput!$M$27,Inputs!$B$4="Chapter Hunt"),CHOOSE(ArtifactsInput!$N$27+1,20,24,28,32,36,40),0)/100)))+1)),0)</f>
        <v>2</v>
      </c>
      <c r="S520">
        <f>IF(C520,(H520*N520*IF(AND(Inputs!$B$38&lt;&gt;"pvp",Inputs!$B$43&gt;0),((Skills!G10*((R520-1)*IF(Skills!H10&gt;0,Skills!I10/Skills!H10,1)+IF(Skills!H10&gt;0,MIN(Skills!I10,MAX(0,MAX(0,Inputs!$B$43-B548)-((R520-1)*(IF(Inputs!$B$38="pvp",15,MAX(0.1,Skills!E10-IF(TRUE=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286987188069438.38</v>
      </c>
      <c r="U520">
        <f>IF(C520,(H520*N520*IF(AND(Inputs!$B$38&lt;&gt;"pvp",Inputs!$B$43&gt;0),((Skills!G10*((R520-1)*IF(Skills!H10&gt;0,Skills!I10/Skills!H10,1)+IF(Skills!H10&gt;0,MIN(Skills!I10,MAX(0,MAX(0,Inputs!$B$43-B548)-((R520-1)*(IF(Inputs!$B$38="pvp",15,MAX(0.1,Skills!E10-IF(TRUE=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363034266296040.38</v>
      </c>
    </row>
    <row r="521" spans="1:26" x14ac:dyDescent="0.2">
      <c r="A521" t="str">
        <f>Skills!A11</f>
        <v>BURNING_MAGIC</v>
      </c>
      <c r="B521" t="str">
        <f>Skills!B11</f>
        <v>Burning Magic</v>
      </c>
      <c r="C521" t="b">
        <f>TRUE</f>
        <v>1</v>
      </c>
      <c r="D521">
        <f>IF(Skills!C11=1,60+Inputs!$B$25+Inputs!$B$29,IF(Skills!C11=2,90+Inputs!$B$26+Inputs!$B$29,IF(Skills!C11=3,120+Inputs!$B$27+Inputs!$B$29,MAX(0,(Inputs!$B$3-100)*3)+Inputs!$B$28+Inputs!$B$29)))</f>
        <v>184</v>
      </c>
      <c r="E521">
        <f>INDEX(FactorTable!$B$2:$Y$301, MATCH(ROUND(MIN(300,MAX(1,D521)),0), FactorTable!$A$2:$A$301,0), Skills!M11+1)</f>
        <v>0</v>
      </c>
      <c r="F521">
        <f>IF(Skills!N11=TRUE,(Skills!L11/10)*(E521/1000),Skills!L11/10)+Skills!O11</f>
        <v>5</v>
      </c>
      <c r="G521">
        <f>Calc!G11</f>
        <v>1</v>
      </c>
      <c r="H521">
        <f>Calc!H11</f>
        <v>1</v>
      </c>
      <c r="I521">
        <f>IF(Skills!X11&lt;&gt;"",1+(Skills!X11/10)*(Z513/1000)/100,1)</f>
        <v>1</v>
      </c>
      <c r="O521">
        <f>(1-Summary!$B$11)*S521+Summary!$B$11*U521</f>
        <v>0</v>
      </c>
      <c r="P521">
        <f>IF(B551=0,0,O521/B551)</f>
        <v>0</v>
      </c>
      <c r="Q521">
        <f>IFERROR(1/(IF(Inputs!$B$38="pvp",15,MAX(0.1,Skills!E11-IF(TRUE=TRUE,Inputs!$B$32,0)))*(1-IF(AND(ArtifactsInput!$M$27,Inputs!$B$4="Chapter Hunt"),CHOOSE(ArtifactsInput!$N$27+1,20,24,28,32,36,40),0)/100)),0)</f>
        <v>10</v>
      </c>
      <c r="R521">
        <v>0</v>
      </c>
      <c r="S521">
        <v>0</v>
      </c>
      <c r="U521">
        <v>0</v>
      </c>
    </row>
    <row r="522" spans="1:26" x14ac:dyDescent="0.2">
      <c r="A522" t="str">
        <f>Skills!A12</f>
        <v>ELEMENTAL_DECREASE</v>
      </c>
      <c r="B522" t="str">
        <f>Skills!B12</f>
        <v>Elemental Decrease</v>
      </c>
      <c r="C522" t="b">
        <f>TRUE</f>
        <v>1</v>
      </c>
      <c r="D522">
        <f>IF(Skills!C12=1,60+Inputs!$B$25+Inputs!$B$29,IF(Skills!C12=2,90+Inputs!$B$26+Inputs!$B$29,IF(Skills!C12=3,120+Inputs!$B$27+Inputs!$B$29,MAX(0,(Inputs!$B$3-100)*3)+Inputs!$B$28+Inputs!$B$29)))</f>
        <v>184</v>
      </c>
      <c r="E522">
        <f>INDEX(FactorTable!$B$2:$Y$301, MATCH(ROUND(MIN(300,MAX(1,D522)),0), FactorTable!$A$2:$A$301,0), Skills!M12+1)</f>
        <v>1552</v>
      </c>
      <c r="F522">
        <f>IF(Skills!N12=TRUE,(Skills!L12/10)*(E522/1000),Skills!L12/10)+Skills!O12</f>
        <v>18.624000000000002</v>
      </c>
      <c r="G522">
        <f>Calc!G12</f>
        <v>1</v>
      </c>
      <c r="H522">
        <f>Calc!H12</f>
        <v>0.5</v>
      </c>
      <c r="I522">
        <f>IF(Skills!X12&lt;&gt;"",1+(Skills!X12/10)*(Z513/1000)/100,1)</f>
        <v>1</v>
      </c>
      <c r="O522">
        <f>(1-Summary!$B$11)*S522+Summary!$B$11*U522</f>
        <v>0</v>
      </c>
      <c r="P522">
        <f>IF(B551=0,0,O522/B551)</f>
        <v>0</v>
      </c>
      <c r="Q522">
        <f>IFERROR(1/(IF(Inputs!$B$38="pvp",15,MAX(0.1,Skills!E12-IF(TRUE=TRUE,Inputs!$B$32,0)))*(1-IF(AND(ArtifactsInput!$M$27,Inputs!$B$4="Chapter Hunt"),CHOOSE(ArtifactsInput!$N$27+1,20,24,28,32,36,40),0)/100)),0)</f>
        <v>10</v>
      </c>
      <c r="R522">
        <v>0</v>
      </c>
      <c r="S522">
        <v>0</v>
      </c>
      <c r="U522">
        <v>0</v>
      </c>
    </row>
    <row r="523" spans="1:26" x14ac:dyDescent="0.2">
      <c r="A523" t="str">
        <f>Skills!A13</f>
        <v>METEOR_SHOWER_BURST</v>
      </c>
      <c r="B523" t="str">
        <f>Skills!B13</f>
        <v>Meteor Shower (burst)</v>
      </c>
      <c r="C523" t="b">
        <f>Inputs!$B$3&gt;=105</f>
        <v>1</v>
      </c>
      <c r="D523">
        <f>IF(Skills!C13=1,60+Inputs!$B$25+Inputs!$B$29,IF(Skills!C13=2,90+Inputs!$B$26+Inputs!$B$29,IF(Skills!C13=3,120+Inputs!$B$27+Inputs!$B$29,MAX(0,(Inputs!$B$3-100)*3)+Inputs!$B$28+Inputs!$B$29)))</f>
        <v>185</v>
      </c>
      <c r="E523">
        <f>INDEX(FactorTable!$B$2:$Y$301, MATCH(ROUND(MIN(300,MAX(1,D523)),0), FactorTable!$A$2:$A$301,0), Skills!M13+1)</f>
        <v>1925</v>
      </c>
      <c r="F523">
        <f>IF(Skills!N13=TRUE,(Skills!L13/10)*(E523/1000),Skills!L13/10)+Skills!O13</f>
        <v>1155</v>
      </c>
      <c r="G523">
        <f>Calc!G13</f>
        <v>9</v>
      </c>
      <c r="H523">
        <f>Calc!H13</f>
        <v>1</v>
      </c>
      <c r="I523">
        <f>IF(Skills!X13&lt;&gt;"",1+(Skills!X13/10)*(Z513/1000)/100,1)</f>
        <v>1</v>
      </c>
      <c r="J523">
        <f>((Inputs!$B$6*(1+Inputs!$B$7/100))+(((Inputs!$B$12*(1+Inputs!$B$13/100))-(Inputs!$B$12*(1+Inputs!$B$13/100)))+0.25*(Inputs!$B$14-Inputs!$B$14))*(1+Inputs!$B$7/100))*(F523/100)</f>
        <v>4171103722.0660505</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20958681306616.391</v>
      </c>
      <c r="L523">
        <f>K523*(MIN(Inputs!$B$22+(F532-Calc!F22),(Inputs!$B$23+(IF(ArtifactsInput!$M$15,CHOOSE(ArtifactsInput!$N$15+1,25,30,35,40,45,50)/100*(Inputs!$B$11-Inputs!$B$11),0))))/100+(Inputs!$B$23+(IF(ArtifactsInput!$M$15,CHOOSE(ArtifactsInput!$N$15+1,25,30,35,40,45,50)/100*(Inputs!$B$11-Inputs!$B$11),0)))/100)/2</f>
        <v>69687615344499.5</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329552732964138.06</v>
      </c>
      <c r="N523">
        <f>L523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329552732964138.06</v>
      </c>
      <c r="O523">
        <f>(1-Summary!$B$11)*S523+Summary!$B$11*U523</f>
        <v>1797380605586409</v>
      </c>
      <c r="P523">
        <f>IF(B551=0,0,O523/B551)</f>
        <v>5.4208245204954368E-2</v>
      </c>
      <c r="Q523">
        <f>IFERROR(1/(IF(Inputs!$B$38="pvp",15,MAX(0.1,Skills!E13-IF(TRUE=TRUE,Inputs!$B$32,0)))*(1-IF(AND(ArtifactsInput!$M$27,Inputs!$B$4="Chapter Hunt"),CHOOSE(ArtifactsInput!$N$27+1,20,24,28,32,36,40),0)/100)),0)</f>
        <v>3.0303030303030304E-2</v>
      </c>
      <c r="R523">
        <f>IF(AND(Inputs!$B$38&lt;&gt;"pvp",Inputs!$B$43&gt;0),IF(MAX(0,Inputs!$B$43-B548)&lt;=0,0,(INT(MAX(0,Inputs!$B$43-B548)/(IF(Inputs!$B$38="pvp",15,MAX(0.1,Skills!E13-IF(TRUE=TRUE,Inputs!$B$32,0)))*(1-IF(AND(ArtifactsInput!$M$27,Inputs!$B$4="Chapter Hunt"),CHOOSE(ArtifactsInput!$N$27+1,20,24,28,32,36,40),0)/100)))+1)),0)</f>
        <v>2</v>
      </c>
      <c r="S523">
        <f>IF(C523,(H523*N523*IF(AND(Inputs!$B$38&lt;&gt;"pvp",Inputs!$B$43&gt;0),((Skills!G13*((R523-1)*IF(Skills!H13&gt;0,Skills!I13/Skills!H13,1)+IF(Skills!H13&gt;0,MIN(Skills!I13,MAX(0,MAX(0,Inputs!$B$43-B548)-((R523-1)*(IF(Inputs!$B$38="pvp",15,MAX(0.1,Skills!E13-IF(TRUE=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470106973573342.94</v>
      </c>
      <c r="U523">
        <f>IF(C523,(H523*N523*IF(AND(Inputs!$B$38&lt;&gt;"pvp",Inputs!$B$43&gt;0),((Skills!G13*((R523-1)*IF(Skills!H13&gt;0,Skills!I13/Skills!H13,1)+IF(Skills!H13&gt;0,MIN(Skills!I13,MAX(0,MAX(0,Inputs!$B$43-B548)-((R523-1)*(IF(Inputs!$B$38="pvp",15,MAX(0.1,Skills!E13-IF(TRUE=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3124654237599475</v>
      </c>
    </row>
    <row r="524" spans="1:26" x14ac:dyDescent="0.2">
      <c r="A524" t="str">
        <f>Skills!A14</f>
        <v>METEOR_PROC</v>
      </c>
      <c r="B524" t="str">
        <f>Skills!B14</f>
        <v>Meteor Proc (30% on-hit, 1s ICD)</v>
      </c>
      <c r="C524" t="b">
        <f>Inputs!$B$3&gt;=113</f>
        <v>1</v>
      </c>
      <c r="D524">
        <f>IF(Skills!C14=1,60+Inputs!$B$25+Inputs!$B$29,IF(Skills!C14=2,90+Inputs!$B$26+Inputs!$B$29,IF(Skills!C14=3,120+Inputs!$B$27+Inputs!$B$29,MAX(0,(Inputs!$B$3-100)*3)+Inputs!$B$28+Inputs!$B$29)))</f>
        <v>185</v>
      </c>
      <c r="E524">
        <f>INDEX(FactorTable!$B$2:$Y$301, MATCH(ROUND(MIN(300,MAX(1,D524)),0), FactorTable!$A$2:$A$301,0), Skills!M14+1)</f>
        <v>1740</v>
      </c>
      <c r="F524">
        <f>IF(Skills!N14=TRUE,(Skills!L14/10)*(E524/1000),Skills!L14/10)+Skills!O14</f>
        <v>1653</v>
      </c>
      <c r="G524">
        <f>Calc!G14</f>
        <v>0</v>
      </c>
      <c r="H524">
        <f>Calc!H14</f>
        <v>0.30000000000000004</v>
      </c>
      <c r="I524">
        <f>IF(Skills!X14&lt;&gt;"",1+(Skills!X14/10)*(Z513/1000)/100,1)</f>
        <v>1</v>
      </c>
      <c r="J524">
        <f>((Inputs!$B$6*(1+Inputs!$B$7/100))+(((Inputs!$B$12*(1+Inputs!$B$13/100))-(Inputs!$B$12*(1+Inputs!$B$13/100)))+0.25*(Inputs!$B$14-Inputs!$B$14))*(1+Inputs!$B$7/100))*(F524/100)</f>
        <v>5969553638.5932312</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29995411428430.203</v>
      </c>
      <c r="L524">
        <f>K524*(MIN(Inputs!$B$22+(F532-Calc!F22),(Inputs!$B$23+(IF(ArtifactsInput!$M$15,CHOOSE(ArtifactsInput!$N$15+1,25,30,35,40,45,50)/100*(Inputs!$B$11-Inputs!$B$11),0))))/100+(Inputs!$B$23+(IF(ArtifactsInput!$M$15,CHOOSE(ArtifactsInput!$N$15+1,25,30,35,40,45,50)/100*(Inputs!$B$11-Inputs!$B$11),0)))/100)/2</f>
        <v>99734742999530.438</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471645599644779.38</v>
      </c>
      <c r="N524">
        <f>L524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471645599644779.38</v>
      </c>
      <c r="O524">
        <f>(1-Summary!$B$11)*S524+Summary!$B$11*U524</f>
        <v>462235646574518.25</v>
      </c>
      <c r="P524">
        <f>IF(B551=0,0,O524/B551)</f>
        <v>1.3940833229257573E-2</v>
      </c>
      <c r="Q524">
        <f>IFERROR(1/(IF(Inputs!$B$38="pvp",15,MAX(0.1,Skills!E14-IF(TRUE=TRUE,Inputs!$B$32,0)))*(1-IF(AND(ArtifactsInput!$M$27,Inputs!$B$4="Chapter Hunt"),CHOOSE(ArtifactsInput!$N$27+1,20,24,28,32,36,40),0)/100)),0)</f>
        <v>10</v>
      </c>
      <c r="R524">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474202912505250.12</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450268380643786.38</v>
      </c>
    </row>
    <row r="525" spans="1:26" x14ac:dyDescent="0.2">
      <c r="A525" t="str">
        <f>Skills!A15</f>
        <v>FLAME_HAZE_BURST</v>
      </c>
      <c r="B525" t="str">
        <f>Skills!B15</f>
        <v>Flame Haze (burst)</v>
      </c>
      <c r="C525" t="b">
        <f>Inputs!$B$3&gt;=107</f>
        <v>1</v>
      </c>
      <c r="D525">
        <f>IF(Skills!C15=1,60+Inputs!$B$25+Inputs!$B$29,IF(Skills!C15=2,90+Inputs!$B$26+Inputs!$B$29,IF(Skills!C15=3,120+Inputs!$B$27+Inputs!$B$29,MAX(0,(Inputs!$B$3-100)*3)+Inputs!$B$28+Inputs!$B$29)))</f>
        <v>185</v>
      </c>
      <c r="E525">
        <f>INDEX(FactorTable!$B$2:$Y$301, MATCH(ROUND(MIN(300,MAX(1,D525)),0), FactorTable!$A$2:$A$301,0), Skills!M15+1)</f>
        <v>1925</v>
      </c>
      <c r="F525">
        <f>IF(Skills!N15=TRUE,(Skills!L15/10)*(E525/1000),Skills!L15/10)+Skills!O15</f>
        <v>2310</v>
      </c>
      <c r="G525">
        <f>Calc!G15</f>
        <v>3</v>
      </c>
      <c r="H525">
        <f>Calc!H15</f>
        <v>1</v>
      </c>
      <c r="I525">
        <f>IF(Skills!X15&lt;&gt;"",1+(Skills!X15/10)*(Z513/1000)/100,1)</f>
        <v>1</v>
      </c>
      <c r="J525">
        <f>((Inputs!$B$6*(1+Inputs!$B$7/100))+(((Inputs!$B$12*(1+Inputs!$B$13/100))-(Inputs!$B$12*(1+Inputs!$B$13/100)))+0.25*(Inputs!$B$14-Inputs!$B$14))*(1+Inputs!$B$7/100))*(F525/100)</f>
        <v>8342207444.1321011</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41917362613232.781</v>
      </c>
      <c r="L525">
        <f>K525*(MIN(Inputs!$B$22+(F532-Calc!F22),(Inputs!$B$23+(IF(ArtifactsInput!$M$15,CHOOSE(ArtifactsInput!$N$15+1,25,30,35,40,45,50)/100*(Inputs!$B$11-Inputs!$B$11),0))))/100+(Inputs!$B$23+(IF(ArtifactsInput!$M$15,CHOOSE(ArtifactsInput!$N$15+1,25,30,35,40,45,50)/100*(Inputs!$B$11-Inputs!$B$11),0)))/100)/2</f>
        <v>139375230688999</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659105465928276.12</v>
      </c>
      <c r="N525">
        <f>L525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659105465928276.12</v>
      </c>
      <c r="O525">
        <f>(1-Summary!$B$11)*S525+Summary!$B$11*U525</f>
        <v>1644632913857531</v>
      </c>
      <c r="P525">
        <f>IF(B551=0,0,O525/B551)</f>
        <v>4.9601438888031674E-2</v>
      </c>
      <c r="Q525">
        <f>IFERROR(1/(IF(Inputs!$B$38="pvp",15,MAX(0.1,Skills!E15-IF(TRUE=TRUE,Inputs!$B$32,0)))*(1-IF(AND(ArtifactsInput!$M$27,Inputs!$B$4="Chapter Hunt"),CHOOSE(ArtifactsInput!$N$27+1,20,24,28,32,36,40),0)/100)),0)</f>
        <v>0.04</v>
      </c>
      <c r="R525">
        <f>IF(AND(Inputs!$B$38&lt;&gt;"pvp",Inputs!$B$43&gt;0),IF(MAX(0,Inputs!$B$43-B548)&lt;=0,0,(INT(MAX(0,Inputs!$B$43-B548)/(IF(Inputs!$B$38="pvp",15,MAX(0.1,Skills!E15-IF(TRUE=TRUE,Inputs!$B$32,0)))*(1-IF(AND(ArtifactsInput!$M$27,Inputs!$B$4="Chapter Hunt"),CHOOSE(ArtifactsInput!$N$27+1,20,24,28,32,36,40),0)/100)))+1)),0)</f>
        <v>2</v>
      </c>
      <c r="S525">
        <f>IF(C525,(H525*N525*IF(AND(Inputs!$B$38&lt;&gt;"pvp",Inputs!$B$43&gt;0),((Skills!G15*((R525-1)*IF(Skills!H15&gt;0,Skills!I15/Skills!H15,1)+IF(Skills!H15&gt;0,MIN(Skills!I15,MAX(0,MAX(0,Inputs!$B$43-B548)-((R525-1)*(IF(Inputs!$B$38="pvp",15,MAX(0.1,Skills!E15-IF(TRUE=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313404649048895.31</v>
      </c>
      <c r="U525">
        <f>IF(C525,(H525*N525*IF(AND(Inputs!$B$38&lt;&gt;"pvp",Inputs!$B$43&gt;0),((Skills!G15*((R525-1)*IF(Skills!H15&gt;0,Skills!I15/Skills!H15,1)+IF(Skills!H15&gt;0,MIN(Skills!I15,MAX(0,MAX(0,Inputs!$B$43-B548)-((R525-1)*(IF(Inputs!$B$38="pvp",15,MAX(0.1,Skills!E15-IF(TRUE=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2975861178666166.5</v>
      </c>
    </row>
    <row r="526" spans="1:26" x14ac:dyDescent="0.2">
      <c r="A526" t="str">
        <f>Skills!A16</f>
        <v>FLAME_HAZE_DOT</v>
      </c>
      <c r="B526" t="str">
        <f>Skills!B16</f>
        <v>Flame Haze (burn DoT)</v>
      </c>
      <c r="C526" t="b">
        <f>Inputs!$B$3&gt;=107</f>
        <v>1</v>
      </c>
      <c r="D526">
        <f>IF(Skills!C16=1,60+Inputs!$B$25+Inputs!$B$29,IF(Skills!C16=2,90+Inputs!$B$26+Inputs!$B$29,IF(Skills!C16=3,120+Inputs!$B$27+Inputs!$B$29,MAX(0,(Inputs!$B$3-100)*3)+Inputs!$B$28+Inputs!$B$29)))</f>
        <v>185</v>
      </c>
      <c r="E526">
        <f>INDEX(FactorTable!$B$2:$Y$301, MATCH(ROUND(MIN(300,MAX(1,D526)),0), FactorTable!$A$2:$A$301,0), Skills!M16+1)</f>
        <v>1925</v>
      </c>
      <c r="F526">
        <f>IF(Skills!N16=TRUE,(Skills!L16/10)*(E526/1000),Skills!L16/10)+Skills!O16</f>
        <v>288.75</v>
      </c>
      <c r="G526">
        <f>Calc!G16</f>
        <v>30</v>
      </c>
      <c r="H526">
        <f>Calc!H16</f>
        <v>1</v>
      </c>
      <c r="I526">
        <f>IF(Skills!X16&lt;&gt;"",1+(Skills!X16/10)*(Z513/1000)/100,1)</f>
        <v>1</v>
      </c>
      <c r="J526">
        <f>((Inputs!$B$6*(1+Inputs!$B$7/100))+(((Inputs!$B$12*(1+Inputs!$B$13/100))-(Inputs!$B$12*(1+Inputs!$B$13/100)))+0.25*(Inputs!$B$14-Inputs!$B$14))*(1+Inputs!$B$7/100))*(F526/100)</f>
        <v>1042775930.5165126</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5239670326654.0977</v>
      </c>
      <c r="L526">
        <f>K526*(MIN(Inputs!$B$22+(F532-Calc!F22),(Inputs!$B$23+(IF(ArtifactsInput!$M$15,CHOOSE(ArtifactsInput!$N$15+1,25,30,35,40,45,50)/100*(Inputs!$B$11-Inputs!$B$11),0))))/100+(Inputs!$B$23+(IF(ArtifactsInput!$M$15,CHOOSE(ArtifactsInput!$N$15+1,25,30,35,40,45,50)/100*(Inputs!$B$11-Inputs!$B$11),0)))/100)/2</f>
        <v>17421903836124.875</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82388183241034.516</v>
      </c>
      <c r="N526">
        <f>L526*(1-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82388183241034.516</v>
      </c>
      <c r="O526">
        <f>(1-Summary!$B$11)*S526+Summary!$B$11*U526</f>
        <v>1894390829409464.5</v>
      </c>
      <c r="P526">
        <f>IF(B551=0,0,O526/B551)</f>
        <v>5.713403286731316E-2</v>
      </c>
      <c r="Q526">
        <f>IFERROR(1/(IF(Inputs!$B$38="pvp",15,MAX(0.1,Skills!E16-IF(TRUE=TRUE,Inputs!$B$32,0)))*(1-IF(AND(ArtifactsInput!$M$27,Inputs!$B$4="Chapter Hunt"),CHOOSE(ArtifactsInput!$N$27+1,20,24,28,32,36,40),0)/100)),0)</f>
        <v>0.04</v>
      </c>
      <c r="R526">
        <f>IF(AND(Inputs!$B$38&lt;&gt;"pvp",Inputs!$B$43&gt;0),IF(MAX(0,Inputs!$B$43-B548)&lt;=0,0,(INT(MAX(0,Inputs!$B$43-B548)/(IF(Inputs!$B$38="pvp",15,MAX(0.1,Skills!E16-IF(TRUE=TRUE,Inputs!$B$32,0)))*(1-IF(AND(ArtifactsInput!$M$27,Inputs!$B$4="Chapter Hunt"),CHOOSE(ArtifactsInput!$N$27+1,20,24,28,32,36,40),0)/100)))+1)),0)</f>
        <v>2</v>
      </c>
      <c r="S526">
        <f>IF(C526,(H526*N526*IF(AND(Inputs!$B$38&lt;&gt;"pvp",Inputs!$B$43&gt;0),((Skills!G16*((R526-1)*IF(Skills!H16&gt;0,Skills!I16/Skills!H16,1)+IF(Skills!H16&gt;0,MIN(Skills!I16,MAX(0,MAX(0,Inputs!$B$43-B548)-((R526-1)*(IF(Inputs!$B$38="pvp",15,MAX(0.1,Skills!E16-IF(TRUE=TRUE,Inputs!$B$32,0)))*(1-IF(AND(ArtifactsInput!$M$27,Inputs!$B$4="Chapter Hunt"),CHOOSE(ArtifactsInput!$N$27+1,20,24,28,32,36,40),0)/100)))))/Skills!H16,1)))/Inputs!$B$43),G526*Q526)*(1+IF(Inputs!$B$3&gt;=126,0.05*(B546+Q523+(H524*B547)/(1+Skills!H14*H524*B547)+Q534),0)*(1/Q525)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360999033918124.62</v>
      </c>
      <c r="U526">
        <f>IF(C526,(H526*N526*IF(AND(Inputs!$B$38&lt;&gt;"pvp",Inputs!$B$43&gt;0),((Skills!G16*((R526-1)*IF(Skills!H16&gt;0,Skills!I16/Skills!H16,1)+IF(Skills!H16&gt;0,MIN(Skills!I16,MAX(0,MAX(0,Inputs!$B$43-B548)-((R526-1)*(IF(Inputs!$B$38="pvp",15,MAX(0.1,Skills!E16-IF(TRUE=TRUE,Inputs!$B$32,0)))*(1-IF(AND(ArtifactsInput!$M$27,Inputs!$B$4="Chapter Hunt"),CHOOSE(ArtifactsInput!$N$27+1,20,24,28,32,36,40),0)/100)))))/Skills!H16,1)))/Inputs!$B$43),G526*Q526)*(1+IF(Inputs!$B$3&gt;=126,0.05*(B546+Q523+(H524*B547)/(1+Skills!H14*H524*B547)+Q534),0)*(1/Q525)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3427782624900804.5</v>
      </c>
    </row>
    <row r="527" spans="1:26" x14ac:dyDescent="0.2">
      <c r="A527" t="str">
        <f>Skills!A17</f>
        <v>MAGIC_GUARD</v>
      </c>
      <c r="B527" t="str">
        <f>Skills!B17</f>
        <v>Magic Guard</v>
      </c>
      <c r="C527" t="b">
        <f>TRUE</f>
        <v>1</v>
      </c>
      <c r="D527">
        <f>IF(Skills!C17=1,60+Inputs!$B$25+Inputs!$B$29,IF(Skills!C17=2,90+Inputs!$B$26+Inputs!$B$29,IF(Skills!C17=3,120+Inputs!$B$27+Inputs!$B$29,MAX(0,(Inputs!$B$3-100)*3)+Inputs!$B$28+Inputs!$B$29)))</f>
        <v>127</v>
      </c>
      <c r="E527">
        <f>INDEX(FactorTable!$B$2:$Y$301, MATCH(ROUND(MIN(300,MAX(1,D527)),0), FactorTable!$A$2:$A$301,0), Skills!M17+1)</f>
        <v>1508</v>
      </c>
      <c r="F527">
        <f>IF(Skills!N17=TRUE,(Skills!L17/10)*(E527/1000),Skills!L17/10)+Skills!O17</f>
        <v>18.096</v>
      </c>
      <c r="G527">
        <f>Calc!G17</f>
        <v>1</v>
      </c>
      <c r="H527">
        <f>Calc!H17</f>
        <v>1</v>
      </c>
      <c r="I527">
        <f>IF(Skills!X17&lt;&gt;"",1+(Skills!X17/10)*(Z513/1000)/100,1)</f>
        <v>1</v>
      </c>
      <c r="O527">
        <f>(1-Summary!$B$11)*S527+Summary!$B$11*U527</f>
        <v>0</v>
      </c>
      <c r="P527">
        <f>IF(B551=0,0,O527/B551)</f>
        <v>0</v>
      </c>
      <c r="Q527">
        <f>IFERROR(1/(IF(Inputs!$B$38="pvp",15,MAX(0.1,Skills!E17-IF(TRUE=TRUE,Inputs!$B$32,0)))*(1-IF(AND(ArtifactsInput!$M$27,Inputs!$B$4="Chapter Hunt"),CHOOSE(ArtifactsInput!$N$27+1,20,24,28,32,36,40),0)/100)),0)</f>
        <v>4.7619047619047616E-2</v>
      </c>
      <c r="R527">
        <f>IF(AND(Inputs!$B$38&lt;&gt;"pvp",Inputs!$B$43&gt;0),IF(Inputs!$B$43&lt;=0,0,(INT(Inputs!$B$43/(IF(Inputs!$B$38="pvp",15,MAX(0.1,Skills!E17-IF(TRUE=TRUE,Inputs!$B$32,0)))*(1-IF(AND(ArtifactsInput!$M$27,Inputs!$B$4="Chapter Hunt"),CHOOSE(ArtifactsInput!$N$27+1,20,24,28,32,36,40),0)/100)))+1)),0)</f>
        <v>2</v>
      </c>
      <c r="S527">
        <v>0</v>
      </c>
      <c r="U527">
        <v>0</v>
      </c>
    </row>
    <row r="528" spans="1:26" x14ac:dyDescent="0.2">
      <c r="A528" t="str">
        <f>Skills!A18</f>
        <v>NIMBLE_FEET</v>
      </c>
      <c r="B528" t="str">
        <f>Skills!B18</f>
        <v>Nimble Feet</v>
      </c>
      <c r="C528" t="b">
        <f>TRUE</f>
        <v>1</v>
      </c>
      <c r="D528">
        <f>IF(Skills!C18=1,60+Inputs!$B$25+Inputs!$B$29,IF(Skills!C18=2,90+Inputs!$B$26+Inputs!$B$29,IF(Skills!C18=3,120+Inputs!$B$27+Inputs!$B$29,MAX(0,(Inputs!$B$3-100)*3)+Inputs!$B$28+Inputs!$B$29)))</f>
        <v>127</v>
      </c>
      <c r="E528">
        <f>INDEX(FactorTable!$B$2:$Y$301, MATCH(ROUND(MIN(300,MAX(1,D528)),0), FactorTable!$A$2:$A$301,0), Skills!M18+1)</f>
        <v>0</v>
      </c>
      <c r="F528">
        <f>IF(Skills!N18=TRUE,(Skills!L18/10)*(E528/1000),Skills!L18/10)+Skills!O18</f>
        <v>15</v>
      </c>
      <c r="G528">
        <f>Calc!G18</f>
        <v>1</v>
      </c>
      <c r="H528">
        <f>Calc!H18</f>
        <v>1</v>
      </c>
      <c r="I528">
        <f>IF(Skills!X18&lt;&gt;"",1+(Skills!X18/10)*(Z513/1000)/100,1)</f>
        <v>1</v>
      </c>
      <c r="O528">
        <f>(1-Summary!$B$11)*S528+Summary!$B$11*U528</f>
        <v>0</v>
      </c>
      <c r="P528">
        <f>IF(B551=0,0,O528/B551)</f>
        <v>0</v>
      </c>
      <c r="Q528">
        <f>IFERROR(1/(IF(Inputs!$B$38="pvp",15,MAX(0.1,Skills!E18-IF(TRUE=TRUE,Inputs!$B$32,0)))*(1-IF(AND(ArtifactsInput!$M$27,Inputs!$B$4="Chapter Hunt"),CHOOSE(ArtifactsInput!$N$27+1,20,24,28,32,36,40),0)/100)),0)</f>
        <v>1.6666666666666666E-2</v>
      </c>
      <c r="R528">
        <f>IF(AND(Inputs!$B$38&lt;&gt;"pvp",Inputs!$B$43&gt;0),IF(Inputs!$B$43&lt;=0,0,(INT(Inputs!$B$43/(IF(Inputs!$B$38="pvp",15,MAX(0.1,Skills!E18-IF(TRUE=TRUE,Inputs!$B$32,0)))*(1-IF(AND(ArtifactsInput!$M$27,Inputs!$B$4="Chapter Hunt"),CHOOSE(ArtifactsInput!$N$27+1,20,24,28,32,36,40),0)/100)))+1)),0)</f>
        <v>1</v>
      </c>
      <c r="S528">
        <v>0</v>
      </c>
      <c r="U528">
        <v>0</v>
      </c>
    </row>
    <row r="529" spans="1:21" x14ac:dyDescent="0.2">
      <c r="A529" t="str">
        <f>Skills!A19</f>
        <v>INFINITY</v>
      </c>
      <c r="B529" t="str">
        <f>Skills!B19</f>
        <v>Infinity</v>
      </c>
      <c r="C529" t="b">
        <f>Inputs!$B$3&gt;=110</f>
        <v>1</v>
      </c>
      <c r="D529">
        <f>IF(Skills!C19=1,60+Inputs!$B$25+Inputs!$B$29,IF(Skills!C19=2,90+Inputs!$B$26+Inputs!$B$29,IF(Skills!C19=3,120+Inputs!$B$27+Inputs!$B$29,MAX(0,(Inputs!$B$3-100)*3)+Inputs!$B$28+Inputs!$B$29)))</f>
        <v>185</v>
      </c>
      <c r="E529">
        <f>INDEX(FactorTable!$B$2:$Y$301, MATCH(ROUND(MIN(300,MAX(1,D529)),0), FactorTable!$A$2:$A$301,0), Skills!M19+1)</f>
        <v>1740</v>
      </c>
      <c r="F529">
        <f>IF(Skills!N19=TRUE,(Skills!L19/10)*(E529/1000),Skills!L19/10)+Skills!O19</f>
        <v>37.700579999999995</v>
      </c>
      <c r="G529">
        <f>Calc!G19</f>
        <v>1</v>
      </c>
      <c r="H529">
        <f>Calc!H19</f>
        <v>1</v>
      </c>
      <c r="I529">
        <f>IF(Skills!X19&lt;&gt;"",1+(Skills!X19/10)*(Z513/1000)/100,1)</f>
        <v>1</v>
      </c>
      <c r="O529">
        <f>(1-Summary!$B$11)*S529+Summary!$B$11*U529</f>
        <v>0</v>
      </c>
      <c r="P529">
        <f>IF(B551=0,0,O529/B551)</f>
        <v>0</v>
      </c>
      <c r="Q529">
        <f>IFERROR(1/(IF(Inputs!$B$38="pvp",15,MAX(0.1,Skills!E19-IF(TRUE=TRUE,Inputs!$B$32,0)))*(1-IF(AND(ArtifactsInput!$M$27,Inputs!$B$4="Chapter Hunt"),CHOOSE(ArtifactsInput!$N$27+1,20,24,28,32,36,40),0)/100)),0)</f>
        <v>3.3333333333333333E-2</v>
      </c>
      <c r="R529">
        <f>IF(AND(Inputs!$B$38&lt;&gt;"pvp",Inputs!$B$43&gt;0),IF(Inputs!$B$43&lt;=0,0,(INT(Inputs!$B$43/(IF(Inputs!$B$38="pvp",15,MAX(0.1,Skills!E19-IF(TRUE=TRUE,Inputs!$B$32,0)))*(1-IF(AND(ArtifactsInput!$M$27,Inputs!$B$4="Chapter Hunt"),CHOOSE(ArtifactsInput!$N$27+1,20,24,28,32,36,40),0)/100)))+1)),0)</f>
        <v>2</v>
      </c>
      <c r="S529">
        <v>0</v>
      </c>
      <c r="U529">
        <v>0</v>
      </c>
    </row>
    <row r="530" spans="1:21" x14ac:dyDescent="0.2">
      <c r="A530" t="str">
        <f>Skills!A20</f>
        <v>MAGIC_CRITICAL_RATE</v>
      </c>
      <c r="B530" t="str">
        <f>Skills!B20</f>
        <v>Magic Critical (Crit Rate)</v>
      </c>
      <c r="C530" t="b">
        <f>TRUE</f>
        <v>1</v>
      </c>
      <c r="D530">
        <f>IF(Skills!C20=1,60+Inputs!$B$25+Inputs!$B$29,IF(Skills!C20=2,90+Inputs!$B$26+Inputs!$B$29,IF(Skills!C20=3,120+Inputs!$B$27+Inputs!$B$29,MAX(0,(Inputs!$B$3-100)*3)+Inputs!$B$28+Inputs!$B$29)))</f>
        <v>184</v>
      </c>
      <c r="E530">
        <f>INDEX(FactorTable!$B$2:$Y$301, MATCH(ROUND(MIN(300,MAX(1,D530)),0), FactorTable!$A$2:$A$301,0), Skills!M20+1)</f>
        <v>1552</v>
      </c>
      <c r="F530">
        <f>IF(Skills!N20=TRUE,(Skills!L20/10)*(E530/1000),Skills!L20/10)+Skills!O20</f>
        <v>12.416</v>
      </c>
      <c r="G530">
        <f>Calc!G20</f>
        <v>1</v>
      </c>
      <c r="H530">
        <f>Calc!H20</f>
        <v>1</v>
      </c>
      <c r="I530">
        <f>IF(Skills!X20&lt;&gt;"",1+(Skills!X20/10)*(Z513/1000)/100,1)</f>
        <v>1</v>
      </c>
      <c r="O530">
        <f>(1-Summary!$B$11)*S530+Summary!$B$11*U530</f>
        <v>0</v>
      </c>
      <c r="P530">
        <f>IF(B551=0,0,O530/B551)</f>
        <v>0</v>
      </c>
      <c r="Q530">
        <f>IFERROR(1/(IF(Inputs!$B$38="pvp",15,MAX(0.1,Skills!E20-IF(TRUE=TRUE,Inputs!$B$32,0)))*(1-IF(AND(ArtifactsInput!$M$27,Inputs!$B$4="Chapter Hunt"),CHOOSE(ArtifactsInput!$N$27+1,20,24,28,32,36,40),0)/100)),0)</f>
        <v>10</v>
      </c>
      <c r="R530">
        <v>0</v>
      </c>
      <c r="S530">
        <v>0</v>
      </c>
      <c r="U530">
        <v>0</v>
      </c>
    </row>
    <row r="531" spans="1:21" x14ac:dyDescent="0.2">
      <c r="A531" t="str">
        <f>Skills!A21</f>
        <v>MAGIC_CRITICAL_DAMAGE</v>
      </c>
      <c r="B531" t="str">
        <f>Skills!B21</f>
        <v>Magic Critical (Crit Damage)</v>
      </c>
      <c r="C531" t="b">
        <f>TRUE</f>
        <v>1</v>
      </c>
      <c r="D531">
        <f>IF(Skills!C21=1,60+Inputs!$B$25+Inputs!$B$29,IF(Skills!C21=2,90+Inputs!$B$26+Inputs!$B$29,IF(Skills!C21=3,120+Inputs!$B$27+Inputs!$B$29,MAX(0,(Inputs!$B$3-100)*3)+Inputs!$B$28+Inputs!$B$29)))</f>
        <v>184</v>
      </c>
      <c r="E531">
        <f>INDEX(FactorTable!$B$2:$Y$301, MATCH(ROUND(MIN(300,MAX(1,D531)),0), FactorTable!$A$2:$A$301,0), Skills!M21+1)</f>
        <v>1552</v>
      </c>
      <c r="F531">
        <f>IF(Skills!N21=TRUE,(Skills!L21/10)*(E531/1000),Skills!L21/10)+Skills!O21</f>
        <v>18.624000000000002</v>
      </c>
      <c r="G531">
        <f>Calc!G21</f>
        <v>1</v>
      </c>
      <c r="H531">
        <f>Calc!H21</f>
        <v>1</v>
      </c>
      <c r="I531">
        <f>IF(Skills!X21&lt;&gt;"",1+(Skills!X21/10)*(Z513/1000)/100,1)</f>
        <v>1</v>
      </c>
      <c r="O531">
        <f>(1-Summary!$B$11)*S531+Summary!$B$11*U531</f>
        <v>0</v>
      </c>
      <c r="P531">
        <f>IF(B551=0,0,O531/B551)</f>
        <v>0</v>
      </c>
      <c r="Q531">
        <f>IFERROR(1/(IF(Inputs!$B$38="pvp",15,MAX(0.1,Skills!E21-IF(TRUE=TRUE,Inputs!$B$32,0)))*(1-IF(AND(ArtifactsInput!$M$27,Inputs!$B$4="Chapter Hunt"),CHOOSE(ArtifactsInput!$N$27+1,20,24,28,32,36,40),0)/100)),0)</f>
        <v>10</v>
      </c>
      <c r="R531">
        <v>0</v>
      </c>
      <c r="S531">
        <v>0</v>
      </c>
      <c r="U531">
        <v>0</v>
      </c>
    </row>
    <row r="532" spans="1:21" x14ac:dyDescent="0.2">
      <c r="A532" t="str">
        <f>Skills!A22</f>
        <v>SPELL_MASTERY</v>
      </c>
      <c r="B532" t="str">
        <f>Skills!B22</f>
        <v>Spell Mastery</v>
      </c>
      <c r="C532" t="b">
        <f>TRUE</f>
        <v>1</v>
      </c>
      <c r="D532">
        <f>IF(Skills!C22=1,60+Inputs!$B$25+Inputs!$B$29,IF(Skills!C22=2,90+Inputs!$B$26+Inputs!$B$29,IF(Skills!C22=3,120+Inputs!$B$27+Inputs!$B$29,MAX(0,(Inputs!$B$3-100)*3)+Inputs!$B$28+Inputs!$B$29)))</f>
        <v>168</v>
      </c>
      <c r="E532">
        <f>INDEX(FactorTable!$B$2:$Y$301, MATCH(ROUND(MIN(300,MAX(1,D532)),0), FactorTable!$A$2:$A$301,0), Skills!M22+1)</f>
        <v>1504</v>
      </c>
      <c r="F532">
        <f>IF(Skills!N22=TRUE,(Skills!L22/10)*(E532/1000),Skills!L22/10)+Skills!O22</f>
        <v>22.56</v>
      </c>
      <c r="G532">
        <f>Calc!G22</f>
        <v>1</v>
      </c>
      <c r="H532">
        <f>Calc!H22</f>
        <v>1</v>
      </c>
      <c r="I532">
        <f>IF(Skills!X22&lt;&gt;"",1+(Skills!X22/10)*(Z513/1000)/100,1)</f>
        <v>1</v>
      </c>
      <c r="O532">
        <f>(1-Summary!$B$11)*S532+Summary!$B$11*U532</f>
        <v>0</v>
      </c>
      <c r="P532">
        <f>IF(B551=0,0,O532/B551)</f>
        <v>0</v>
      </c>
      <c r="Q532">
        <f>IFERROR(1/(IF(Inputs!$B$38="pvp",15,MAX(0.1,Skills!E22-IF(TRUE=TRUE,Inputs!$B$32,0)))*(1-IF(AND(ArtifactsInput!$M$27,Inputs!$B$4="Chapter Hunt"),CHOOSE(ArtifactsInput!$N$27+1,20,24,28,32,36,40),0)/100)),0)</f>
        <v>10</v>
      </c>
      <c r="R532">
        <v>0</v>
      </c>
      <c r="S532">
        <v>0</v>
      </c>
      <c r="U532">
        <v>0</v>
      </c>
    </row>
    <row r="533" spans="1:21" x14ac:dyDescent="0.2">
      <c r="A533" t="str">
        <f>Skills!A23</f>
        <v>ELEMENT_AMPLIFICATION</v>
      </c>
      <c r="B533" t="str">
        <f>Skills!B23</f>
        <v>Element Amplification</v>
      </c>
      <c r="C533" t="b">
        <f>TRUE</f>
        <v>1</v>
      </c>
      <c r="D533">
        <f>IF(Skills!C23=1,60+Inputs!$B$25+Inputs!$B$29,IF(Skills!C23=2,90+Inputs!$B$26+Inputs!$B$29,IF(Skills!C23=3,120+Inputs!$B$27+Inputs!$B$29,MAX(0,(Inputs!$B$3-100)*3)+Inputs!$B$28+Inputs!$B$29)))</f>
        <v>185</v>
      </c>
      <c r="E533">
        <f>INDEX(FactorTable!$B$2:$Y$301, MATCH(ROUND(MIN(300,MAX(1,D533)),0), FactorTable!$A$2:$A$301,0), Skills!M23+1)</f>
        <v>1555</v>
      </c>
      <c r="F533">
        <f>IF(Skills!N23=TRUE,(Skills!L23/10)*(E533/1000),Skills!L23/10)+Skills!O23</f>
        <v>23.324999999999999</v>
      </c>
      <c r="G533">
        <f>Calc!G23</f>
        <v>1</v>
      </c>
      <c r="H533">
        <f>Calc!H23</f>
        <v>1</v>
      </c>
      <c r="I533">
        <f>IF(Skills!X23&lt;&gt;"",1+(Skills!X23/10)*(Z513/1000)/100,1)</f>
        <v>1</v>
      </c>
      <c r="O533">
        <f>(1-Summary!$B$11)*S533+Summary!$B$11*U533</f>
        <v>0</v>
      </c>
      <c r="P533">
        <f>IF(B551=0,0,O533/B551)</f>
        <v>0</v>
      </c>
      <c r="Q533">
        <f>IFERROR(1/(IF(Inputs!$B$38="pvp",15,MAX(0.1,Skills!E23-IF(TRUE=TRUE,Inputs!$B$32,0)))*(1-IF(AND(ArtifactsInput!$M$27,Inputs!$B$4="Chapter Hunt"),CHOOSE(ArtifactsInput!$N$27+1,20,24,28,32,36,40),0)/100)),0)</f>
        <v>10</v>
      </c>
      <c r="R533">
        <v>0</v>
      </c>
      <c r="S533">
        <v>0</v>
      </c>
      <c r="U533">
        <v>0</v>
      </c>
    </row>
    <row r="534" spans="1:21" x14ac:dyDescent="0.2">
      <c r="A534" t="str">
        <f>Skills!A24</f>
        <v>IFRIT</v>
      </c>
      <c r="B534" t="str">
        <f>Skills!B24</f>
        <v>Ifrit</v>
      </c>
      <c r="C534" t="b">
        <f>Inputs!$B$3&gt;=115</f>
        <v>1</v>
      </c>
      <c r="D534">
        <f>IF(Skills!C24=1,60+Inputs!$B$25+Inputs!$B$29,IF(Skills!C24=2,90+Inputs!$B$26+Inputs!$B$29,IF(Skills!C24=3,120+Inputs!$B$27+Inputs!$B$29,MAX(0,(Inputs!$B$3-100)*3)+Inputs!$B$28+Inputs!$B$29)))</f>
        <v>185</v>
      </c>
      <c r="E534">
        <f>INDEX(FactorTable!$B$2:$Y$301, MATCH(ROUND(MIN(300,MAX(1,D534)),0), FactorTable!$A$2:$A$301,0), Skills!M24+1)</f>
        <v>1925</v>
      </c>
      <c r="F534">
        <f>IF(Skills!N24=TRUE,(Skills!L24/10)*(E534/1000),Skills!L24/10)+Skills!O24</f>
        <v>6737.5</v>
      </c>
      <c r="G534">
        <f>Calc!G24</f>
        <v>7.5</v>
      </c>
      <c r="H534">
        <f>Calc!H24</f>
        <v>1</v>
      </c>
      <c r="I534">
        <f>IF(Skills!X24&lt;&gt;"",1+(Skills!X24/10)*(Z513/1000)/100,1)</f>
        <v>1</v>
      </c>
      <c r="J534">
        <f>((Inputs!$B$6*(1+Inputs!$B$7/100))+(((Inputs!$B$12*(1+Inputs!$B$13/100))-(Inputs!$B$12*(1+Inputs!$B$13/100)))+0.25*(Inputs!$B$14-Inputs!$B$14))*(1+Inputs!$B$7/100))*(F534/100)</f>
        <v>24331438378.718628</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122258974288595.61</v>
      </c>
      <c r="L534">
        <f>K534*(MIN(Inputs!$B$22+(F532-Calc!F22),(Inputs!$B$23+(IF(ArtifactsInput!$M$15,CHOOSE(ArtifactsInput!$N$15+1,25,30,35,40,45,50)/100*(Inputs!$B$11-Inputs!$B$11),0))))/100+(Inputs!$B$23+(IF(ArtifactsInput!$M$15,CHOOSE(ArtifactsInput!$N$15+1,25,30,35,40,45,50)/100*(Inputs!$B$11-Inputs!$B$11),0)))/100)/2</f>
        <v>406511089509580.44</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1922390942290805.5</v>
      </c>
      <c r="N534">
        <f>L534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1922390942290805.5</v>
      </c>
      <c r="O534">
        <f>(1-Summary!$B$11)*S534+Summary!$B$11*U534</f>
        <v>2198734640245108.5</v>
      </c>
      <c r="P534">
        <f>IF(B551=0,0,O534/B551)</f>
        <v>6.6312914553869617E-2</v>
      </c>
      <c r="Q534">
        <f>IFERROR(1/(IF(Inputs!$B$38="pvp",15,MAX(0.1,Skills!E24-IF(TRUE=TRUE,Inputs!$B$32,0)))*(1-IF(AND(ArtifactsInput!$M$27,Inputs!$B$4="Chapter Hunt"),CHOOSE(ArtifactsInput!$N$27+1,20,24,28,32,36,40),0)/100)),0)</f>
        <v>1.2500000000000001E-2</v>
      </c>
      <c r="R534">
        <f>IF(AND(Inputs!$B$38&lt;&gt;"pvp",Inputs!$B$43&gt;0),IF(MAX(0,Inputs!$B$43-B548)&lt;=0,0,(INT(MAX(0,Inputs!$B$43-B548)/(IF(Inputs!$B$38="pvp",15,MAX(0.1,Skills!E24-IF(TRUE=TRUE,Inputs!$B$32,0)))*(1-IF(AND(ArtifactsInput!$M$27,Inputs!$B$4="Chapter Hunt"),CHOOSE(ArtifactsInput!$N$27+1,20,24,28,32,36,40),0)/100)))+1)),0)</f>
        <v>1</v>
      </c>
      <c r="S534">
        <f>IF(C534,(H534*N534*IF(AND(Inputs!$B$38&lt;&gt;"pvp",Inputs!$B$43&gt;0),((Skills!G24*((R534-1)*IF(Skills!H24&gt;0,Skills!I24/Skills!H24,1)+IF(Skills!H24&gt;0,MIN(Skills!I24,MAX(0,MAX(0,Inputs!$B$43-B548)-((R534-1)*(IF(Inputs!$B$38="pvp",15,MAX(0.1,Skills!E24-IF(TRUE=TRUE,Inputs!$B$32,0)))*(1-IF(AND(ArtifactsInput!$M$27,Inputs!$B$4="Chapter Hunt"),CHOOSE(ArtifactsInput!$N$27+1,20,24,28,32,36,40),0)/100)))))/Skills!H24,1)))/Inputs!$B$43),G534*Q534)*(1+IF(Inputs!$B$3&gt;=130,0.2*(Skills!I16/(1/Q525)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1142621116324097.5</v>
      </c>
      <c r="U534">
        <f>IF(C534,(H534*N534*IF(AND(Inputs!$B$38&lt;&gt;"pvp",Inputs!$B$43&gt;0),((Skills!G24*((R534-1)*IF(Skills!H24&gt;0,Skills!I24/Skills!H24,1)+IF(Skills!H24&gt;0,MIN(Skills!I24,MAX(0,MAX(0,Inputs!$B$43-B548)-((R534-1)*(IF(Inputs!$B$38="pvp",15,MAX(0.1,Skills!E24-IF(TRUE=TRUE,Inputs!$B$32,0)))*(1-IF(AND(ArtifactsInput!$M$27,Inputs!$B$4="Chapter Hunt"),CHOOSE(ArtifactsInput!$N$27+1,20,24,28,32,36,40),0)/100)))))/Skills!H24,1)))/Inputs!$B$43),G534*Q534)*(1+IF(Inputs!$B$3&gt;=130,0.2*(Skills!I16/(1/Q525)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3254848164166119.5</v>
      </c>
    </row>
    <row r="535" spans="1:21" x14ac:dyDescent="0.2">
      <c r="A535" t="str">
        <f>Skills!A25</f>
        <v>BUFF_MASTERY</v>
      </c>
      <c r="B535" t="str">
        <f>Skills!B25</f>
        <v>Buff Mastery</v>
      </c>
      <c r="C535" t="b">
        <f>Inputs!$B$3&gt;=117</f>
        <v>1</v>
      </c>
      <c r="D535">
        <f>IF(Skills!C25=1,60+Inputs!$B$25+Inputs!$B$29,IF(Skills!C25=2,90+Inputs!$B$26+Inputs!$B$29,IF(Skills!C25=3,120+Inputs!$B$27+Inputs!$B$29,MAX(0,(Inputs!$B$3-100)*3)+Inputs!$B$28+Inputs!$B$29)))</f>
        <v>185</v>
      </c>
      <c r="E535">
        <f>INDEX(FactorTable!$B$2:$Y$301, MATCH(ROUND(MIN(300,MAX(1,D535)),0), FactorTable!$A$2:$A$301,0), Skills!M25+1)</f>
        <v>1555</v>
      </c>
      <c r="F535">
        <f>IF(Skills!N25=TRUE,(Skills!L25/10)*(E535/1000),Skills!L25/10)+Skills!O25</f>
        <v>15.549999999999999</v>
      </c>
      <c r="G535">
        <f>Calc!G25</f>
        <v>1</v>
      </c>
      <c r="H535">
        <f>Calc!H25</f>
        <v>1</v>
      </c>
      <c r="I535">
        <f>IF(Skills!X25&lt;&gt;"",1+(Skills!X25/10)*(Z513/1000)/100,1)</f>
        <v>1</v>
      </c>
      <c r="O535">
        <f>(1-Summary!$B$11)*S535+Summary!$B$11*U535</f>
        <v>0</v>
      </c>
      <c r="P535">
        <f>IF(B551=0,0,O535/B551)</f>
        <v>0</v>
      </c>
      <c r="Q535">
        <f>IFERROR(1/(IF(Inputs!$B$38="pvp",15,MAX(0.1,Skills!E25-IF(TRUE=TRUE,Inputs!$B$32,0)))*(1-IF(AND(ArtifactsInput!$M$27,Inputs!$B$4="Chapter Hunt"),CHOOSE(ArtifactsInput!$N$27+1,20,24,28,32,36,40),0)/100)),0)</f>
        <v>10</v>
      </c>
      <c r="R535">
        <v>0</v>
      </c>
      <c r="S535">
        <v>0</v>
      </c>
      <c r="U535">
        <v>0</v>
      </c>
    </row>
    <row r="536" spans="1:21" x14ac:dyDescent="0.2">
      <c r="A536" t="str">
        <f>Skills!A26</f>
        <v>ARCANE_AIM</v>
      </c>
      <c r="B536" t="str">
        <f>Skills!B26</f>
        <v>Arcane Aim</v>
      </c>
      <c r="C536" t="b">
        <f>Inputs!$B$3&gt;=120</f>
        <v>0</v>
      </c>
      <c r="D536">
        <f>IF(Skills!C26=1,60+Inputs!$B$25+Inputs!$B$29,IF(Skills!C26=2,90+Inputs!$B$26+Inputs!$B$29,IF(Skills!C26=3,120+Inputs!$B$27+Inputs!$B$29,MAX(0,(Inputs!$B$3-100)*3)+Inputs!$B$28+Inputs!$B$29)))</f>
        <v>185</v>
      </c>
      <c r="E536">
        <f>INDEX(FactorTable!$B$2:$Y$301, MATCH(ROUND(MIN(300,MAX(1,D536)),0), FactorTable!$A$2:$A$301,0), Skills!M26+1)</f>
        <v>1555</v>
      </c>
      <c r="F536">
        <f>IF(Skills!N26=TRUE,(Skills!L26/10)*(E536/1000),Skills!L26/10)+Skills!O26</f>
        <v>4.665</v>
      </c>
      <c r="G536">
        <f>Calc!G26</f>
        <v>1</v>
      </c>
      <c r="H536">
        <f>Calc!H26</f>
        <v>1</v>
      </c>
      <c r="I536">
        <f>IF(Skills!X26&lt;&gt;"",1+(Skills!X26/10)*(Z513/1000)/100,1)</f>
        <v>1</v>
      </c>
      <c r="O536">
        <f>(1-Summary!$B$11)*S536+Summary!$B$11*U536</f>
        <v>0</v>
      </c>
      <c r="P536">
        <f>IF(B551=0,0,O536/B551)</f>
        <v>0</v>
      </c>
      <c r="Q536">
        <f>IFERROR(1/(IF(Inputs!$B$38="pvp",15,MAX(0.1,Skills!E26-IF(TRUE=TRUE,Inputs!$B$32,0)))*(1-IF(AND(ArtifactsInput!$M$27,Inputs!$B$4="Chapter Hunt"),CHOOSE(ArtifactsInput!$N$27+1,20,24,28,32,36,40),0)/100)),0)</f>
        <v>10</v>
      </c>
      <c r="R536">
        <v>0</v>
      </c>
      <c r="S536">
        <v>0</v>
      </c>
      <c r="U536">
        <v>0</v>
      </c>
    </row>
    <row r="537" spans="1:21" x14ac:dyDescent="0.2">
      <c r="A537" t="str">
        <f>Skills!A27</f>
        <v>FERVENT_DRAIN</v>
      </c>
      <c r="B537" t="str">
        <f>Skills!B27</f>
        <v>Fervent Drain</v>
      </c>
      <c r="C537" t="b">
        <f>Inputs!$B$3&gt;=125</f>
        <v>0</v>
      </c>
      <c r="D537">
        <f>IF(Skills!C27=1,60+Inputs!$B$25+Inputs!$B$29,IF(Skills!C27=2,90+Inputs!$B$26+Inputs!$B$29,IF(Skills!C27=3,120+Inputs!$B$27+Inputs!$B$29,MAX(0,(Inputs!$B$3-100)*3)+Inputs!$B$28+Inputs!$B$29)))</f>
        <v>185</v>
      </c>
      <c r="E537">
        <f>INDEX(FactorTable!$B$2:$Y$301, MATCH(ROUND(MIN(300,MAX(1,D537)),0), FactorTable!$A$2:$A$301,0), Skills!M27+1)</f>
        <v>1555</v>
      </c>
      <c r="F537">
        <f>IF(Skills!N27=TRUE,(Skills!L27/10)*(E537/1000),Skills!L27/10)+Skills!O27</f>
        <v>6.22</v>
      </c>
      <c r="G537">
        <f>Calc!G27</f>
        <v>1</v>
      </c>
      <c r="H537">
        <f>Calc!H27</f>
        <v>1</v>
      </c>
      <c r="I537">
        <f>IF(Skills!X27&lt;&gt;"",1+(Skills!X27/10)*(Z513/1000)/100,1)</f>
        <v>1</v>
      </c>
      <c r="O537">
        <f>(1-Summary!$B$11)*S537+Summary!$B$11*U537</f>
        <v>0</v>
      </c>
      <c r="P537">
        <f>IF(B551=0,0,O537/B551)</f>
        <v>0</v>
      </c>
      <c r="Q537">
        <f>IFERROR(1/(IF(Inputs!$B$38="pvp",15,MAX(0.1,Skills!E27-IF(TRUE=TRUE,Inputs!$B$32,0)))*(1-IF(AND(ArtifactsInput!$M$27,Inputs!$B$4="Chapter Hunt"),CHOOSE(ArtifactsInput!$N$27+1,20,24,28,32,36,40),0)/100)),0)</f>
        <v>10</v>
      </c>
      <c r="R537">
        <v>0</v>
      </c>
      <c r="S537">
        <v>0</v>
      </c>
      <c r="U537">
        <v>0</v>
      </c>
    </row>
    <row r="538" spans="1:21" x14ac:dyDescent="0.2">
      <c r="A538" t="str">
        <f>Skills!A28</f>
        <v>FLAME_HAZE_FOG</v>
      </c>
      <c r="B538" t="str">
        <f>Skills!B28</f>
        <v>Flame Haze (poison fog DoT)</v>
      </c>
      <c r="C538" t="b">
        <f>Inputs!$B$3&gt;=118</f>
        <v>0</v>
      </c>
      <c r="D538">
        <f>IF(Skills!C28=1,60+Inputs!$B$25+Inputs!$B$29,IF(Skills!C28=2,90+Inputs!$B$26+Inputs!$B$29,IF(Skills!C28=3,120+Inputs!$B$27+Inputs!$B$29,MAX(0,(Inputs!$B$3-100)*3)+Inputs!$B$28+Inputs!$B$29)))</f>
        <v>185</v>
      </c>
      <c r="E538">
        <f>INDEX(FactorTable!$B$2:$Y$301, MATCH(ROUND(MIN(300,MAX(1,D538)),0), FactorTable!$A$2:$A$301,0), Skills!M28+1)</f>
        <v>1925</v>
      </c>
      <c r="F538">
        <f>IF(Skills!N28=TRUE,(Skills!L28/10)*(E538/1000),Skills!L28/10)+Skills!O28</f>
        <v>134.75</v>
      </c>
      <c r="G538">
        <f>Calc!G28</f>
        <v>50</v>
      </c>
      <c r="H538">
        <f>Calc!H28</f>
        <v>1</v>
      </c>
      <c r="I538">
        <f>IF(Skills!X28&lt;&gt;"",1+(Skills!X28/10)*(Z513/1000)/100,1)</f>
        <v>1</v>
      </c>
      <c r="J538">
        <f>((Inputs!$B$6*(1+Inputs!$B$7/100))+(((Inputs!$B$12*(1+Inputs!$B$13/100))-(Inputs!$B$12*(1+Inputs!$B$13/100)))+0.25*(Inputs!$B$14-Inputs!$B$14))*(1+Inputs!$B$7/100))*(F538/100)</f>
        <v>486628767.57437253</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2445179485771.9116</v>
      </c>
      <c r="L538">
        <f>K538*(MIN(Inputs!$B$22+(F532-Calc!F22),(Inputs!$B$23+(IF(ArtifactsInput!$M$15,CHOOSE(ArtifactsInput!$N$15+1,25,30,35,40,45,50)/100*(Inputs!$B$11-Inputs!$B$11),0))))/100+(Inputs!$B$23+(IF(ArtifactsInput!$M$15,CHOOSE(ArtifactsInput!$N$15+1,25,30,35,40,45,50)/100*(Inputs!$B$11-Inputs!$B$11),0)))/100)/2</f>
        <v>8130221790191.6064</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38447818845816.102</v>
      </c>
      <c r="N538">
        <f>L538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38447818845816.102</v>
      </c>
      <c r="O538">
        <f>(1-Summary!$B$11)*S538+Summary!$B$11*U538</f>
        <v>0</v>
      </c>
      <c r="P538">
        <f>IF(B551=0,0,O538/B551)</f>
        <v>0</v>
      </c>
      <c r="Q538">
        <f>IFERROR(1/(IF(Inputs!$B$38="pvp",15,MAX(0.1,Skills!E28-IF(TRUE=TRUE,Inputs!$B$32,0)))*(1-IF(AND(ArtifactsInput!$M$27,Inputs!$B$4="Chapter Hunt"),CHOOSE(ArtifactsInput!$N$27+1,20,24,28,32,36,40),0)/100)),0)</f>
        <v>0.04</v>
      </c>
      <c r="R538">
        <f>IF(AND(Inputs!$B$38&lt;&gt;"pvp",Inputs!$B$43&gt;0),IF(MAX(0,Inputs!$B$43-B548)&lt;=0,0,(INT(MAX(0,Inputs!$B$43-B548)/(IF(Inputs!$B$38="pvp",15,MAX(0.1,Skills!E28-IF(TRUE=TRUE,Inputs!$B$32,0)))*(1-IF(AND(ArtifactsInput!$M$27,Inputs!$B$4="Chapter Hunt"),CHOOSE(ArtifactsInput!$N$27+1,20,24,28,32,36,40),0)/100)))+1)),0)</f>
        <v>2</v>
      </c>
      <c r="S538">
        <f>IF(C538,(H538*N538*IF(AND(Inputs!$B$38&lt;&gt;"pvp",Inputs!$B$43&gt;0),((Skills!G28*((R538-1)*IF(Skills!H28&gt;0,Skills!I28/Skills!H28,1)+IF(Skills!H28&gt;0,MIN(Skills!I28,MAX(0,MAX(0,Inputs!$B$43-B548)-((R538-1)*(IF(Inputs!$B$38="pvp",15,MAX(0.1,Skills!E28-IF(TRUE=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538">
        <f>IF(C538,(H538*N538*IF(AND(Inputs!$B$38&lt;&gt;"pvp",Inputs!$B$43&gt;0),((Skills!G28*((R538-1)*IF(Skills!H28&gt;0,Skills!I28/Skills!H28,1)+IF(Skills!H28&gt;0,MIN(Skills!I28,MAX(0,MAX(0,Inputs!$B$43-B548)-((R538-1)*(IF(Inputs!$B$38="pvp",15,MAX(0.1,Skills!E28-IF(TRUE=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540" spans="1:21" x14ac:dyDescent="0.2">
      <c r="A540" t="s">
        <v>356</v>
      </c>
      <c r="B540">
        <f>1+(F521*Skills!Z11)/100</f>
        <v>1.25</v>
      </c>
    </row>
    <row r="541" spans="1:21" x14ac:dyDescent="0.2">
      <c r="A541" t="s">
        <v>435</v>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1.18624</v>
      </c>
    </row>
    <row r="542" spans="1:21" x14ac:dyDescent="0.2">
      <c r="A542" t="s">
        <v>358</v>
      </c>
      <c r="B542">
        <f>(1+(F516*IF(AND(Inputs!$B$38&lt;&gt;"pvp",Inputs!$B$43&gt;0),(((R516-1)*MIN((Skills!T6*(1+((Inputs!$B$34+(ArtifactsInput!$M$7-ArtifactsInput!$M$7)*CHOOSE(ArtifactsInput!$N$7+1,6,7.2,8.4,9.6,10.8,12)))/100)),(1/Q516))+MIN((Skills!T6*(1+((Inputs!$B$34+(ArtifactsInput!$M$7-ArtifactsInput!$M$7)*CHOOSE(ArtifactsInput!$N$7+1,6,7.2,8.4,9.6,10.8,12)))/100)),MAX(0,Inputs!$B$43-((R516-1)*(1/Q516)))))/Inputs!$B$43),IF(Inputs!$B$38="pvp",MIN((Skills!T6*(1+((Inputs!$B$34+(ArtifactsInput!$M$7-ArtifactsInput!$M$7)*CHOOSE(ArtifactsInput!$N$7+1,6,7.2,8.4,9.6,10.8,12)))/100)),15)/15,MIN(1,(Skills!T6*(1+((Inputs!$B$34+(ArtifactsInput!$M$7-ArtifactsInput!$M$7)*CHOOSE(ArtifactsInput!$N$7+1,6,7.2,8.4,9.6,10.8,12)))/100))/(1/Q516))))+F527*IF(AND(Inputs!$B$38&lt;&gt;"pvp",Inputs!$B$43&gt;0),(((R527-1)*MIN((Skills!T17*(1+((Inputs!$B$34+(ArtifactsInput!$M$7-ArtifactsInput!$M$7)*CHOOSE(ArtifactsInput!$N$7+1,6,7.2,8.4,9.6,10.8,12)))/100)),(1/Q527))+MIN((Skills!T17*(1+((Inputs!$B$34+(ArtifactsInput!$M$7-ArtifactsInput!$M$7)*CHOOSE(ArtifactsInput!$N$7+1,6,7.2,8.4,9.6,10.8,12)))/100)),MAX(0,Inputs!$B$43-((R527-1)*(1/Q527)))))/Inputs!$B$43),IF(Inputs!$B$38="pvp",MIN((Skills!T17*(1+((Inputs!$B$34+(ArtifactsInput!$M$7-ArtifactsInput!$M$7)*CHOOSE(ArtifactsInput!$N$7+1,6,7.2,8.4,9.6,10.8,12)))/100)),15)/15,MIN(1,(Skills!T17*(1+((Inputs!$B$34+(ArtifactsInput!$M$7-ArtifactsInput!$M$7)*CHOOSE(ArtifactsInput!$N$7+1,6,7.2,8.4,9.6,10.8,12)))/100))/(1/Q527)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MIN((Skills!T19*(1+((Inputs!$B$34+(ArtifactsInput!$M$7-ArtifactsInput!$M$7)*CHOOSE(ArtifactsInput!$N$7+1,6,7.2,8.4,9.6,10.8,12)))/100)),(1/Q529))+MIN((Skills!T19*(1+((Inputs!$B$34+(ArtifactsInput!$M$7-ArtifactsInput!$M$7)*CHOOSE(ArtifactsInput!$N$7+1,6,7.2,8.4,9.6,10.8,12)))/100)),MAX(0,Inputs!$B$43-((R529-1)*(1/Q529)))))/Inputs!$B$43),IF(Inputs!$B$38="pvp",MIN((Skills!T19*(1+((Inputs!$B$34+(ArtifactsInput!$M$7-ArtifactsInput!$M$7)*CHOOSE(ArtifactsInput!$N$7+1,6,7.2,8.4,9.6,10.8,12)))/100)),15)/15,MIN(1,(Skills!T19*(1+((Inputs!$B$34+(ArtifactsInput!$M$7-ArtifactsInput!$M$7)*CHOOSE(ArtifactsInput!$N$7+1,6,7.2,8.4,9.6,10.8,12)))/100))/(1/Q529))))/100),1)</f>
        <v>1.7965808377980694</v>
      </c>
    </row>
    <row r="543" spans="1:21" x14ac:dyDescent="0.2">
      <c r="A543" t="s">
        <v>359</v>
      </c>
      <c r="B543">
        <f>F528*IF(AND(Inputs!$B$38&lt;&gt;"pvp",Inputs!$B$43&gt;0),(((R528-1)*MIN((Skills!T18*(1+((Inputs!$B$34+(ArtifactsInput!$M$7-ArtifactsInput!$M$7)*CHOOSE(ArtifactsInput!$N$7+1,6,7.2,8.4,9.6,10.8,12)))/100)),(1/Q528))+MIN((Skills!T18*(1+((Inputs!$B$34+(ArtifactsInput!$M$7-ArtifactsInput!$M$7)*CHOOSE(ArtifactsInput!$N$7+1,6,7.2,8.4,9.6,10.8,12)))/100)),MAX(0,Inputs!$B$43-((R528-1)*(1/Q528)))))/Inputs!$B$43),IF(Inputs!$B$38="pvp",MIN((Skills!T18*(1+((Inputs!$B$34+(ArtifactsInput!$M$7-ArtifactsInput!$M$7)*CHOOSE(ArtifactsInput!$N$7+1,6,7.2,8.4,9.6,10.8,12)))/100)),15)/15,MIN(1,(Skills!T18*(1+((Inputs!$B$34+(ArtifactsInput!$M$7-ArtifactsInput!$M$7)*CHOOSE(ArtifactsInput!$N$7+1,6,7.2,8.4,9.6,10.8,12)))/100))/(1/Q528))))</f>
        <v>6.4968749999999993</v>
      </c>
    </row>
    <row r="544" spans="1:21" x14ac:dyDescent="0.2">
      <c r="A544" t="s">
        <v>436</v>
      </c>
      <c r="B544">
        <f>1+MIN(150,150*(1-(1-(Inputs!$B$11+(ArtifactsInput!$M$15-ArtifactsInput!$M$15)*CHOOSE(ArtifactsInput!$N$15+1,8,9.6,11.2,12.8,14.4,16))/150)*(1-B543/150)))/100</f>
        <v>1.6982958749999999</v>
      </c>
    </row>
    <row r="545" spans="1:26" x14ac:dyDescent="0.2">
      <c r="A545" t="s">
        <v>437</v>
      </c>
      <c r="B545">
        <f>IF(AND(Inputs!$B$38&lt;&gt;"pvp",Inputs!$B$43&gt;0),SUMPRODUCT((Skills!F2:F28=TRUE)*(C512:C538=TRUE)*R512:R538)/Inputs!$B$43,SUMPRODUCT((Skills!F2:F28=TRUE)*(C512:C538=TRUE)*Q512:Q538))</f>
        <v>0.47499999999999998</v>
      </c>
    </row>
    <row r="546" spans="1:26" x14ac:dyDescent="0.2">
      <c r="A546" t="s">
        <v>362</v>
      </c>
      <c r="B546">
        <f>MAX(0,B544-B545)</f>
        <v>1.2232958749999998</v>
      </c>
    </row>
    <row r="547" spans="1:26" x14ac:dyDescent="0.2">
      <c r="A547" t="s">
        <v>438</v>
      </c>
      <c r="B547">
        <f>IF(AND(Inputs!$B$38&lt;&gt;"pvp",Inputs!$B$43&gt;0),SUMPRODUCT((Skills!V2:V28=TRUE)*(C512:C538=TRUE)*R512:R538*Skills!W2:W28)/Inputs!$B$43,SUMPRODUCT((Skills!V2:V28=TRUE)*(C512:C538=TRUE)*Q512:Q538*Skills!W2:W28))+B546</f>
        <v>1.5482958749999998</v>
      </c>
    </row>
    <row r="548" spans="1:26" x14ac:dyDescent="0.2">
      <c r="A548" t="s">
        <v>439</v>
      </c>
      <c r="B548">
        <f>IF(AND(Inputs!$B$38&lt;&gt;"pvp",Inputs!$B$43&gt;0),SUMPRODUCT((Skills!T2:T28&gt;0)*(Skills!F2:F28=TRUE)*(C512:C538=TRUE))/B544,0)</f>
        <v>2.3553021937358238</v>
      </c>
    </row>
    <row r="549" spans="1:26" x14ac:dyDescent="0.2">
      <c r="A549" t="s">
        <v>440</v>
      </c>
      <c r="B549">
        <f>SUM(S512:S538)</f>
        <v>9537431044771252</v>
      </c>
    </row>
    <row r="550" spans="1:26" x14ac:dyDescent="0.2">
      <c r="A550" t="s">
        <v>441</v>
      </c>
      <c r="B550">
        <f>SUM(U512:U538)</f>
        <v>5.6776488499783104E+16</v>
      </c>
    </row>
    <row r="551" spans="1:26" x14ac:dyDescent="0.2">
      <c r="A551" s="6" t="s">
        <v>348</v>
      </c>
      <c r="B551" s="6">
        <f>SUM(O512:O538)</f>
        <v>3.3156959772277176E+16</v>
      </c>
    </row>
    <row r="554" spans="1:26" x14ac:dyDescent="0.2">
      <c r="A554" s="6" t="s">
        <v>452</v>
      </c>
    </row>
    <row r="555" spans="1:26" x14ac:dyDescent="0.2">
      <c r="A555" s="5" t="s">
        <v>136</v>
      </c>
      <c r="B555" s="5" t="s">
        <v>137</v>
      </c>
      <c r="C555" s="5" t="s">
        <v>328</v>
      </c>
      <c r="D555" s="5" t="s">
        <v>329</v>
      </c>
      <c r="E555" s="5" t="s">
        <v>330</v>
      </c>
      <c r="F555" s="5" t="s">
        <v>331</v>
      </c>
      <c r="G555" s="5" t="s">
        <v>332</v>
      </c>
      <c r="H555" s="5" t="s">
        <v>333</v>
      </c>
      <c r="I555" s="5" t="s">
        <v>334</v>
      </c>
      <c r="J555" s="5" t="s">
        <v>335</v>
      </c>
      <c r="K555" s="5" t="s">
        <v>336</v>
      </c>
      <c r="L555" s="5" t="s">
        <v>337</v>
      </c>
      <c r="M555" s="5" t="s">
        <v>338</v>
      </c>
      <c r="N555" s="5" t="s">
        <v>339</v>
      </c>
      <c r="O555" s="5" t="s">
        <v>340</v>
      </c>
      <c r="P555" s="5" t="s">
        <v>341</v>
      </c>
      <c r="R555" t="s">
        <v>434</v>
      </c>
    </row>
    <row r="556" spans="1:26" x14ac:dyDescent="0.2">
      <c r="A556" t="str">
        <f>Skills!A2</f>
        <v>BASIC_ATTACK</v>
      </c>
      <c r="B556" t="str">
        <f>Skills!B2</f>
        <v>Basic Attack</v>
      </c>
      <c r="C556" t="b">
        <f>TRUE</f>
        <v>1</v>
      </c>
      <c r="F556">
        <f>T558+Skills!O2</f>
        <v>537.6</v>
      </c>
      <c r="G556">
        <f>Calc!G2</f>
        <v>5</v>
      </c>
      <c r="H556">
        <f>Calc!H2</f>
        <v>1</v>
      </c>
      <c r="I556">
        <f>IF(Skills!X2&lt;&gt;"",1+(Skills!X2/10)*(Z557/1000)/100,1)</f>
        <v>1</v>
      </c>
      <c r="J556">
        <f>((Inputs!$B$6*(1+Inputs!$B$7/100))+(((Inputs!$B$12*(1+Inputs!$B$13/100))-(Inputs!$B$12*(1+Inputs!$B$13/100)))+0.25*(Inputs!$B$14-Inputs!$B$14))*(1+Inputs!$B$7/100))*(F556/100)</f>
        <v>1941459186.9980164</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6620022125439.3545</v>
      </c>
      <c r="L556">
        <f>K556*(MIN(Inputs!$B$22+(F576-Calc!F22),(Inputs!$B$23+(IF(ArtifactsInput!$M$15,CHOOSE(ArtifactsInput!$N$15+1,25,30,35,40,45,50)/100*(((1-(1-Inputs!$B$11/150)*(1-1/150))*150)-Inputs!$B$11),0))))/100+(Inputs!$B$23+(IF(ArtifactsInput!$M$15,CHOOSE(ArtifactsInput!$N$15+1,25,30,35,40,45,50)/100*(((1-(1-Inputs!$B$11/150)*(1-1/150))*150)-Inputs!$B$11),0)))/100)/2</f>
        <v>22019894934897.531</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103911884197781.44</v>
      </c>
      <c r="N556">
        <f>L556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103911884197781.44</v>
      </c>
      <c r="O556">
        <f>(1-Summary!$B$11)*S556+Summary!$B$11*U556</f>
        <v>1.2572338360664782E+16</v>
      </c>
      <c r="P556">
        <f>IF(B595=0,0,O556/B595)</f>
        <v>0.37919863160549672</v>
      </c>
      <c r="Q556">
        <f>IFERROR(1/(IF(Inputs!$B$38="pvp",15,MAX(0.1,Skills!E2-IF(TRUE=TRUE,Inputs!$B$32,0)))*(1-IF(AND(ArtifactsInput!$M$27,Inputs!$B$4="Chapter Hunt"),CHOOSE(ArtifactsInput!$N$27+1,20,24,28,32,36,40),0)/100)),0)</f>
        <v>10</v>
      </c>
      <c r="R556">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2087410329493467.2</v>
      </c>
      <c r="T556">
        <f>MAX(0,(Inputs!$B$3-100)*3)+Inputs!$B$28+Inputs!$B$29</f>
        <v>185</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2.3057266391836096E+16</v>
      </c>
      <c r="Z556">
        <f>MAX(0,(Inputs!$B$3-100)*3)+Inputs!$B$28+Inputs!$B$29</f>
        <v>185</v>
      </c>
    </row>
    <row r="557" spans="1:26" x14ac:dyDescent="0.2">
      <c r="A557" t="str">
        <f>Skills!A3</f>
        <v>IGNITE</v>
      </c>
      <c r="B557" t="str">
        <f>Skills!B3</f>
        <v>Ignite</v>
      </c>
      <c r="C557" t="b">
        <f>TRUE</f>
        <v>1</v>
      </c>
      <c r="D557">
        <f>IF(Skills!C3=1,60+Inputs!$B$25+Inputs!$B$29,IF(Skills!C3=2,90+Inputs!$B$26+Inputs!$B$29,IF(Skills!C3=3,120+Inputs!$B$27+Inputs!$B$29,MAX(0,(Inputs!$B$3-100)*3)+Inputs!$B$28+Inputs!$B$29)))</f>
        <v>168</v>
      </c>
      <c r="E557">
        <f>INDEX(FactorTable!$B$2:$Y$301, MATCH(ROUND(MIN(300,MAX(1,D557)),0), FactorTable!$A$2:$A$301,0), Skills!M3+1)</f>
        <v>1672</v>
      </c>
      <c r="F557">
        <f>IF(Skills!N3=TRUE,(Skills!L3/10)*(E557/1000),Skills!L3/10)+Skills!O3</f>
        <v>121.736</v>
      </c>
      <c r="G557">
        <f>Calc!G3</f>
        <v>3</v>
      </c>
      <c r="H557">
        <f>Calc!H3</f>
        <v>1</v>
      </c>
      <c r="I557">
        <f>IF(Skills!X3&lt;&gt;"",1+(Skills!X3/10)*(Z557/1000)/100,1)</f>
        <v>4.8250000000000002</v>
      </c>
      <c r="J557">
        <f>((Inputs!$B$6*(1+Inputs!$B$7/100))+(((Inputs!$B$12*(1+Inputs!$B$13/100))-(Inputs!$B$12*(1+Inputs!$B$13/100)))+0.25*(Inputs!$B$14-Inputs!$B$14))*(1+Inputs!$B$7/100))*(F557/100)</f>
        <v>439630720.9605478</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10658181265676.107</v>
      </c>
      <c r="L557">
        <f>K557*(MIN(Inputs!$B$22+(F576-Calc!F22),(Inputs!$B$23+(IF(ArtifactsInput!$M$15,CHOOSE(ArtifactsInput!$N$15+1,25,30,35,40,45,50)/100*(((1-(1-Inputs!$B$11/150)*(1-1/150))*150)-Inputs!$B$11),0))))/100+(Inputs!$B$23+(IF(ArtifactsInput!$M$15,CHOOSE(ArtifactsInput!$N$15+1,25,30,35,40,45,50)/100*(((1-(1-Inputs!$B$11/150)*(1-1/150))*150)-Inputs!$B$11),0)))/100)/2</f>
        <v>35451850042224.016</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167297280349255.09</v>
      </c>
      <c r="N557">
        <f>L557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167297280349255.09</v>
      </c>
      <c r="O557">
        <f>(1-Summary!$B$11)*S557+Summary!$B$11*U557</f>
        <v>2908463218871800</v>
      </c>
      <c r="P557">
        <f>IF(B595=0,0,O557/B595)</f>
        <v>8.7723161836123859E-2</v>
      </c>
      <c r="Q557">
        <f>IFERROR(1/(IF(Inputs!$B$38="pvp",15,MAX(0.1,Skills!E3-IF(FALSE=TRUE,Inputs!$B$32,0)))*(1-IF(AND(ArtifactsInput!$M$27,Inputs!$B$4="Chapter Hunt"),CHOOSE(ArtifactsInput!$N$27+1,20,24,28,32,36,40),0)/100)),0)</f>
        <v>1</v>
      </c>
      <c r="R557">
        <f>IF(AND(Inputs!$B$38&lt;&gt;"pvp",Inputs!$B$43&gt;0),IF(MAX(0,Inputs!$B$43-B592)&lt;=0,0,(INT(MAX(0,Inputs!$B$43-B592)/(IF(Inputs!$B$38="pvp",15,MAX(0.1,Skills!E3-IF(FALSE=TRUE,Inputs!$B$32,0)))*(1-IF(AND(ArtifactsInput!$M$27,Inputs!$B$4="Chapter Hunt"),CHOOSE(ArtifactsInput!$N$27+1,20,24,28,32,36,40),0)/100)))+1)),0)</f>
        <v>38</v>
      </c>
      <c r="S557">
        <f>IF(C557,(H557*N557*IF(AND(Inputs!$B$38&lt;&gt;"pvp",Inputs!$B$43&gt;0),((Skills!G3*((R557-1)*IF(Skills!H3&gt;0,Skills!I3/Skills!H3,1)+IF(Skills!H3&gt;0,MIN(Skills!I3,MAX(0,MAX(0,Inputs!$B$43-B592)-((R557-1)*(IF(Inputs!$B$38="pvp",15,MAX(0.1,Skills!E3-IF(FALSE=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1511447279315345.2</v>
      </c>
      <c r="T557">
        <f>INDEX(FactorTable!$B$2:$Y$301, MATCH(ROUND(MIN(300,MAX(1,T556)),0), FactorTable!$A$2:$A$301,0), 22)</f>
        <v>1740</v>
      </c>
      <c r="U557">
        <f>IF(C557,(H557*N557*IF(AND(Inputs!$B$38&lt;&gt;"pvp",Inputs!$B$43&gt;0),((Skills!G3*((R557-1)*IF(Skills!H3&gt;0,Skills!I3/Skills!H3,1)+IF(Skills!H3&gt;0,MIN(Skills!I3,MAX(0,MAX(0,Inputs!$B$43-B592)-((R557-1)*(IF(Inputs!$B$38="pvp",15,MAX(0.1,Skills!E3-IF(FALSE=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4305479158428254.5</v>
      </c>
      <c r="Z557">
        <f>INDEX(FactorTable!$B$2:$Y$301, MATCH(ROUND(MIN(300,MAX(1,Z556)),0), FactorTable!$A$2:$A$301,0), 24)</f>
        <v>7650</v>
      </c>
    </row>
    <row r="558" spans="1:26" x14ac:dyDescent="0.2">
      <c r="A558" t="str">
        <f>Skills!A4</f>
        <v>POISON_BREATH</v>
      </c>
      <c r="B558" t="str">
        <f>Skills!B4</f>
        <v>Poison Breath</v>
      </c>
      <c r="C558" t="b">
        <f>TRUE</f>
        <v>1</v>
      </c>
      <c r="D558">
        <f>IF(Skills!C4=1,60+Inputs!$B$25+Inputs!$B$29,IF(Skills!C4=2,90+Inputs!$B$26+Inputs!$B$29,IF(Skills!C4=3,120+Inputs!$B$27+Inputs!$B$29,MAX(0,(Inputs!$B$3-100)*3)+Inputs!$B$28+Inputs!$B$29)))</f>
        <v>168</v>
      </c>
      <c r="E558">
        <f>INDEX(FactorTable!$B$2:$Y$301, MATCH(ROUND(MIN(300,MAX(1,D558)),0), FactorTable!$A$2:$A$301,0), Skills!M4+1)</f>
        <v>1840</v>
      </c>
      <c r="F558">
        <f>IF(Skills!N4=TRUE,(Skills!L4/10)*(E558/1000),Skills!L4/10)+Skills!O4</f>
        <v>438</v>
      </c>
      <c r="G558">
        <f>Calc!G4</f>
        <v>3</v>
      </c>
      <c r="H558">
        <f>Calc!H4</f>
        <v>1</v>
      </c>
      <c r="I558">
        <f>IF(Skills!X4&lt;&gt;"",1+(Skills!X4/10)*(Z557/1000)/100,1)</f>
        <v>7.12</v>
      </c>
      <c r="J558">
        <f>((Inputs!$B$6*(1+Inputs!$B$7/100))+(((Inputs!$B$12*(1+Inputs!$B$13/100))-(Inputs!$B$12*(1+Inputs!$B$13/100)))+0.25*(Inputs!$B$14-Inputs!$B$14))*(1+Inputs!$B$7/100))*(F558/100)</f>
        <v>1581769203.69258</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56587546052916.148</v>
      </c>
      <c r="L558">
        <f>K558*(MIN(Inputs!$B$22+(F576-Calc!F22),(Inputs!$B$23+(IF(ArtifactsInput!$M$15,CHOOSE(ArtifactsInput!$N$15+1,25,30,35,40,45,50)/100*(((1-(1-Inputs!$B$11/150)*(1-1/150))*150)-Inputs!$B$11),0))))/100+(Inputs!$B$23+(IF(ArtifactsInput!$M$15,CHOOSE(ArtifactsInput!$N$15+1,25,30,35,40,45,50)/100*(((1-(1-Inputs!$B$11/150)*(1-1/150))*150)-Inputs!$B$11),0)))/100)/2</f>
        <v>188224721171334.72</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888232459207528.38</v>
      </c>
      <c r="N558">
        <f>L558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888232459207528.38</v>
      </c>
      <c r="O558">
        <f>(1-Summary!$B$11)*S558+Summary!$B$11*U558</f>
        <v>2121432199759780.2</v>
      </c>
      <c r="P558">
        <f>IF(B595=0,0,O558/B595)</f>
        <v>6.3985247940003043E-2</v>
      </c>
      <c r="Q558">
        <f>IFERROR(1/(IF(Inputs!$B$38="pvp",15,MAX(0.1,Skills!E4-IF(TRUE=TRUE,Inputs!$B$32,0)))*(1-IF(AND(ArtifactsInput!$M$27,Inputs!$B$4="Chapter Hunt"),CHOOSE(ArtifactsInput!$N$27+1,20,24,28,32,36,40),0)/100)),0)</f>
        <v>5.5555555555555552E-2</v>
      </c>
      <c r="R558">
        <f>IF(AND(Inputs!$B$38&lt;&gt;"pvp",Inputs!$B$43&gt;0),IF(MAX(0,Inputs!$B$43-B592)&lt;=0,0,(INT(MAX(0,Inputs!$B$43-B592)/(IF(Inputs!$B$38="pvp",15,MAX(0.1,Skills!E4-IF(TRUE=TRUE,Inputs!$B$32,0)))*(1-IF(AND(ArtifactsInput!$M$27,Inputs!$B$4="Chapter Hunt"),CHOOSE(ArtifactsInput!$N$27+1,20,24,28,32,36,40),0)/100)))+1)),0)</f>
        <v>3</v>
      </c>
      <c r="S558">
        <f>IF(C558,(H558*N558*IF(AND(Inputs!$B$38&lt;&gt;"pvp",Inputs!$B$43&gt;0),((Skills!G4*((R558-1)*IF(Skills!H4&gt;0,Skills!I4/Skills!H4,1)+IF(Skills!H4&gt;0,MIN(Skills!I4,MAX(0,MAX(0,Inputs!$B$43-B592)-((R558-1)*(IF(Inputs!$B$38="pvp",15,MAX(0.1,Skills!E4-IF(TRUE=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633531801529769.62</v>
      </c>
      <c r="T558">
        <f>290*T557/1000</f>
        <v>504.6</v>
      </c>
      <c r="U558">
        <f>IF(C558,(H558*N558*IF(AND(Inputs!$B$38&lt;&gt;"pvp",Inputs!$B$43&gt;0),((Skills!G4*((R558-1)*IF(Skills!H4&gt;0,Skills!I4/Skills!H4,1)+IF(Skills!H4&gt;0,MIN(Skills!I4,MAX(0,MAX(0,Inputs!$B$43-B592)-((R558-1)*(IF(Inputs!$B$38="pvp",15,MAX(0.1,Skills!E4-IF(TRUE=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3609332597989791</v>
      </c>
    </row>
    <row r="559" spans="1:26" x14ac:dyDescent="0.2">
      <c r="A559" t="str">
        <f>Skills!A5</f>
        <v>ELEMENTAL_DRAIN</v>
      </c>
      <c r="B559" t="str">
        <f>Skills!B5</f>
        <v>Elemental Drain</v>
      </c>
      <c r="C559" t="b">
        <f>TRUE</f>
        <v>1</v>
      </c>
      <c r="D559">
        <f>IF(Skills!C5=1,60+Inputs!$B$25+Inputs!$B$29,IF(Skills!C5=2,90+Inputs!$B$26+Inputs!$B$29,IF(Skills!C5=3,120+Inputs!$B$27+Inputs!$B$29,MAX(0,(Inputs!$B$3-100)*3)+Inputs!$B$28+Inputs!$B$29)))</f>
        <v>168</v>
      </c>
      <c r="E559">
        <f>INDEX(FactorTable!$B$2:$Y$301, MATCH(ROUND(MIN(300,MAX(1,D559)),0), FactorTable!$A$2:$A$301,0), Skills!M5+1)</f>
        <v>1672</v>
      </c>
      <c r="F559">
        <f>IF(Skills!N5=TRUE,(Skills!L5/10)*(E559/1000),Skills!L5/10)+Skills!O5</f>
        <v>20.064</v>
      </c>
      <c r="G559">
        <f>Calc!G5</f>
        <v>5</v>
      </c>
      <c r="H559">
        <f>Calc!H5</f>
        <v>1</v>
      </c>
      <c r="I559">
        <f>IF(Skills!X5&lt;&gt;"",1+(Skills!X5/10)*(Z557/1000)/100,1)</f>
        <v>12.475</v>
      </c>
      <c r="J559">
        <f>((Inputs!$B$6*(1+Inputs!$B$7/100))+(((Inputs!$B$12*(1+Inputs!$B$13/100))-(Inputs!$B$12*(1+Inputs!$B$13/100)))+0.25*(Inputs!$B$14-Inputs!$B$14))*(1+Inputs!$B$7/100))*(F559/100)</f>
        <v>72458030.371890247</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4541766788829.2109</v>
      </c>
      <c r="L559">
        <f>K559*(MIN(Inputs!$B$22+(F576-Calc!F22),(Inputs!$B$23+(IF(ArtifactsInput!$M$15,CHOOSE(ArtifactsInput!$N$15+1,25,30,35,40,45,50)/100*(((1-(1-Inputs!$B$11/150)*(1-1/150))*150)-Inputs!$B$11),0))))/100+(Inputs!$B$23+(IF(ArtifactsInput!$M$15,CHOOSE(ArtifactsInput!$N$15+1,25,30,35,40,45,50)/100*(((1-(1-Inputs!$B$11/150)*(1-1/150))*150)-Inputs!$B$11),0)))/100)/2</f>
        <v>15107083573710.686</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71290327384340.719</v>
      </c>
      <c r="N559">
        <f>L559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71290327384340.719</v>
      </c>
      <c r="O559">
        <f>(1-Summary!$B$11)*S559+Summary!$B$11*U559</f>
        <v>1046363780183660.9</v>
      </c>
      <c r="P559">
        <f>IF(B595=0,0,O559/B595)</f>
        <v>3.1559738707686087E-2</v>
      </c>
      <c r="Q559">
        <f>IFERROR(1/(IF(Inputs!$B$38="pvp",15,MAX(0.1,Skills!E5-IF(FALSE=TRUE,Inputs!$B$32,0)))*(1-IF(AND(ArtifactsInput!$M$27,Inputs!$B$4="Chapter Hunt"),CHOOSE(ArtifactsInput!$N$27+1,20,24,28,32,36,40),0)/100)),0)</f>
        <v>1</v>
      </c>
      <c r="R559">
        <f>IF(AND(Inputs!$B$38&lt;&gt;"pvp",Inputs!$B$43&gt;0),IF(MAX(0,Inputs!$B$43-B592)&lt;=0,0,(INT(MAX(0,Inputs!$B$43-B592)/(IF(Inputs!$B$38="pvp",15,MAX(0.1,Skills!E5-IF(FALSE=TRUE,Inputs!$B$32,0)))*(1-IF(AND(ArtifactsInput!$M$27,Inputs!$B$4="Chapter Hunt"),CHOOSE(ArtifactsInput!$N$27+1,20,24,28,32,36,40),0)/100)))+1)),0)</f>
        <v>38</v>
      </c>
      <c r="S559">
        <f>IF(C559,(H559*N559*IF(AND(Inputs!$B$38&lt;&gt;"pvp",Inputs!$B$43&gt;0),((Skills!G5*((R559-1)*IF(Skills!H5&gt;0,Skills!I5/Skills!H5,1)+IF(Skills!H5&gt;0,MIN(Skills!I5,MAX(0,MAX(0,Inputs!$B$43-B592)-((R559-1)*(IF(Inputs!$B$38="pvp",15,MAX(0.1,Skills!E5-IF(FALSE=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1073454104589710.4</v>
      </c>
      <c r="U559">
        <f>IF(C559,(H559*N559*IF(AND(Inputs!$B$38&lt;&gt;"pvp",Inputs!$B$43&gt;0),((Skills!G5*((R559-1)*IF(Skills!H5&gt;0,Skills!I5/Skills!H5,1)+IF(Skills!H5&gt;0,MIN(Skills!I5,MAX(0,MAX(0,Inputs!$B$43-B592)-((R559-1)*(IF(Inputs!$B$38="pvp",15,MAX(0.1,Skills!E5-IF(FALSE=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1019273455777611.4</v>
      </c>
    </row>
    <row r="560" spans="1:26" x14ac:dyDescent="0.2">
      <c r="A560" t="str">
        <f>Skills!A6</f>
        <v>MEDITATION</v>
      </c>
      <c r="B560" t="str">
        <f>Skills!B6</f>
        <v>Meditation</v>
      </c>
      <c r="C560" t="b">
        <f>TRUE</f>
        <v>1</v>
      </c>
      <c r="D560">
        <f>IF(Skills!C6=1,60+Inputs!$B$25+Inputs!$B$29,IF(Skills!C6=2,90+Inputs!$B$26+Inputs!$B$29,IF(Skills!C6=3,120+Inputs!$B$27+Inputs!$B$29,MAX(0,(Inputs!$B$3-100)*3)+Inputs!$B$28+Inputs!$B$29)))</f>
        <v>168</v>
      </c>
      <c r="E560">
        <f>INDEX(FactorTable!$B$2:$Y$301, MATCH(ROUND(MIN(300,MAX(1,D560)),0), FactorTable!$A$2:$A$301,0), Skills!M6+1)</f>
        <v>1672</v>
      </c>
      <c r="F560">
        <f>IF(Skills!N6=TRUE,(Skills!L6/10)*(E560/1000),Skills!L6/10)+Skills!O6</f>
        <v>33.44</v>
      </c>
      <c r="G560">
        <f>Calc!G6</f>
        <v>1</v>
      </c>
      <c r="H560">
        <f>Calc!H6</f>
        <v>1</v>
      </c>
      <c r="I560">
        <f>IF(Skills!X6&lt;&gt;"",1+(Skills!X6/10)*(Z557/1000)/100,1)</f>
        <v>1</v>
      </c>
      <c r="O560">
        <f>(1-Summary!$B$11)*S560+Summary!$B$11*U560</f>
        <v>0</v>
      </c>
      <c r="P560">
        <f>IF(B595=0,0,O560/B595)</f>
        <v>0</v>
      </c>
      <c r="Q560">
        <f>IFERROR(1/(IF(Inputs!$B$38="pvp",15,MAX(0.1,Skills!E6-IF(TRUE=TRUE,Inputs!$B$32,0)))*(1-IF(AND(ArtifactsInput!$M$27,Inputs!$B$4="Chapter Hunt"),CHOOSE(ArtifactsInput!$N$27+1,20,24,28,32,36,40),0)/100)),0)</f>
        <v>3.3333333333333333E-2</v>
      </c>
      <c r="R560">
        <f>IF(AND(Inputs!$B$38&lt;&gt;"pvp",Inputs!$B$43&gt;0),IF(Inputs!$B$43&lt;=0,0,(INT(Inputs!$B$43/(IF(Inputs!$B$38="pvp",15,MAX(0.1,Skills!E6-IF(TRUE=TRUE,Inputs!$B$32,0)))*(1-IF(AND(ArtifactsInput!$M$27,Inputs!$B$4="Chapter Hunt"),CHOOSE(ArtifactsInput!$N$27+1,20,24,28,32,36,40),0)/100)))+1)),0)</f>
        <v>2</v>
      </c>
      <c r="S560">
        <v>0</v>
      </c>
      <c r="U560">
        <v>0</v>
      </c>
    </row>
    <row r="561" spans="1:21" x14ac:dyDescent="0.2">
      <c r="A561" t="str">
        <f>Skills!A7</f>
        <v>POISON_MIST_BURST</v>
      </c>
      <c r="B561" t="str">
        <f>Skills!B7</f>
        <v>Poison Mist (burst)</v>
      </c>
      <c r="C561" t="b">
        <f>TRUE</f>
        <v>1</v>
      </c>
      <c r="D561">
        <f>IF(Skills!C7=1,60+Inputs!$B$25+Inputs!$B$29,IF(Skills!C7=2,90+Inputs!$B$26+Inputs!$B$29,IF(Skills!C7=3,120+Inputs!$B$27+Inputs!$B$29,MAX(0,(Inputs!$B$3-100)*3)+Inputs!$B$28+Inputs!$B$29)))</f>
        <v>184</v>
      </c>
      <c r="E561">
        <f>INDEX(FactorTable!$B$2:$Y$301, MATCH(ROUND(MIN(300,MAX(1,D561)),0), FactorTable!$A$2:$A$301,0), Skills!M7+1)</f>
        <v>1920</v>
      </c>
      <c r="F561">
        <f>IF(Skills!N7=TRUE,(Skills!L7/10)*(E561/1000),Skills!L7/10)+Skills!O7</f>
        <v>357.2</v>
      </c>
      <c r="G561">
        <f>Calc!G7</f>
        <v>3</v>
      </c>
      <c r="H561">
        <f>Calc!H7</f>
        <v>1</v>
      </c>
      <c r="I561">
        <f>IF(Skills!X7&lt;&gt;"",1+(Skills!X7/10)*(Z557/1000)/100,1)</f>
        <v>1.7650000000000001</v>
      </c>
      <c r="J561">
        <f>((Inputs!$B$6*(1+Inputs!$B$7/100))+(((Inputs!$B$12*(1+Inputs!$B$13/100))-(Inputs!$B$12*(1+Inputs!$B$13/100)))+0.25*(Inputs!$B$14-Inputs!$B$14))*(1+Inputs!$B$7/100))*(F561/100)</f>
        <v>1289972510.4086521</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11439918138316.857</v>
      </c>
      <c r="L561">
        <f>K561*(MIN(Inputs!$B$22+(F576-Calc!F22),(Inputs!$B$23+(IF(ArtifactsInput!$M$15,CHOOSE(ArtifactsInput!$N$15+1,25,30,35,40,45,50)/100*(((1-(1-Inputs!$B$11/150)*(1-1/150))*150)-Inputs!$B$11),0))))/100+(Inputs!$B$23+(IF(ArtifactsInput!$M$15,CHOOSE(ArtifactsInput!$N$15+1,25,30,35,40,45,50)/100*(((1-(1-Inputs!$B$11/150)*(1-1/150))*150)-Inputs!$B$11),0)))/100)/2</f>
        <v>38052107787003.414</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179567896646869.09</v>
      </c>
      <c r="N561">
        <f>L561*(1-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179567896646869.09</v>
      </c>
      <c r="O561">
        <f>(1-Summary!$B$11)*S561+Summary!$B$11*U561</f>
        <v>448066794108100.06</v>
      </c>
      <c r="P561">
        <f>IF(B595=0,0,O561/B595)</f>
        <v>1.3514297047973288E-2</v>
      </c>
      <c r="Q561">
        <f>IFERROR(1/(IF(Inputs!$B$38="pvp",15,MAX(0.1,Skills!E7-IF(TRUE=TRUE,Inputs!$B$32,0)))*(1-IF(AND(ArtifactsInput!$M$27,Inputs!$B$4="Chapter Hunt"),CHOOSE(ArtifactsInput!$N$27+1,20,24,28,32,36,40),0)/100)),0)</f>
        <v>4.0816326530612242E-2</v>
      </c>
      <c r="R561">
        <f>IF(AND(Inputs!$B$38&lt;&gt;"pvp",Inputs!$B$43&gt;0),IF(MAX(0,Inputs!$B$43-B592)&lt;=0,0,(INT(MAX(0,Inputs!$B$43-B592)/(IF(Inputs!$B$38="pvp",15,MAX(0.1,Skills!E7-IF(TRUE=TRUE,Inputs!$B$32,0)))*(1-IF(AND(ArtifactsInput!$M$27,Inputs!$B$4="Chapter Hunt"),CHOOSE(ArtifactsInput!$N$27+1,20,24,28,32,36,40),0)/100)))+1)),0)</f>
        <v>2</v>
      </c>
      <c r="S561">
        <f>IF(C561,(H561*N561*IF(AND(Inputs!$B$38&lt;&gt;"pvp",Inputs!$B$43&gt;0),((Skills!G7*((R561-1)*IF(Skills!H7&gt;0,Skills!I7/Skills!H7,1)+IF(Skills!H7&gt;0,MIN(Skills!I7,MAX(0,MAX(0,Inputs!$B$43-B592)-((R561-1)*(IF(Inputs!$B$38="pvp",15,MAX(0.1,Skills!E7-IF(TRUE=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85384534855586.25</v>
      </c>
      <c r="U561">
        <f>IF(C561,(H561*N561*IF(AND(Inputs!$B$38&lt;&gt;"pvp",Inputs!$B$43&gt;0),((Skills!G7*((R561-1)*IF(Skills!H7&gt;0,Skills!I7/Skills!H7,1)+IF(Skills!H7&gt;0,MIN(Skills!I7,MAX(0,MAX(0,Inputs!$B$43-B592)-((R561-1)*(IF(Inputs!$B$38="pvp",15,MAX(0.1,Skills!E7-IF(TRUE=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810749053360613.88</v>
      </c>
    </row>
    <row r="562" spans="1:21" x14ac:dyDescent="0.2">
      <c r="A562" t="str">
        <f>Skills!A8</f>
        <v>POISON_MIST_DOT</v>
      </c>
      <c r="B562" t="str">
        <f>Skills!B8</f>
        <v>Poison Mist (fog DoT)</v>
      </c>
      <c r="C562" t="b">
        <f>TRUE</f>
        <v>1</v>
      </c>
      <c r="D562">
        <f>IF(Skills!C8=1,60+Inputs!$B$25+Inputs!$B$29,IF(Skills!C8=2,90+Inputs!$B$26+Inputs!$B$29,IF(Skills!C8=3,120+Inputs!$B$27+Inputs!$B$29,MAX(0,(Inputs!$B$3-100)*3)+Inputs!$B$28+Inputs!$B$29)))</f>
        <v>184</v>
      </c>
      <c r="E562">
        <f>INDEX(FactorTable!$B$2:$Y$301, MATCH(ROUND(MIN(300,MAX(1,D562)),0), FactorTable!$A$2:$A$301,0), Skills!M8+1)</f>
        <v>1920</v>
      </c>
      <c r="F562">
        <f>IF(Skills!N8=TRUE,(Skills!L8/10)*(E562/1000),Skills!L8/10)+Skills!O8</f>
        <v>134.4</v>
      </c>
      <c r="G562">
        <f>Calc!G8</f>
        <v>50</v>
      </c>
      <c r="H562">
        <f>Calc!H8</f>
        <v>1</v>
      </c>
      <c r="I562">
        <f>IF(Skills!X8&lt;&gt;"",1+(Skills!X8/10)*(Z557/1000)/100,1)</f>
        <v>1.7650000000000001</v>
      </c>
      <c r="J562">
        <f>((Inputs!$B$6*(1+Inputs!$B$7/100))+(((Inputs!$B$12*(1+Inputs!$B$13/100))-(Inputs!$B$12*(1+Inputs!$B$13/100)))+0.25*(Inputs!$B$14-Inputs!$B$14))*(1+Inputs!$B$7/100))*(F562/100)</f>
        <v>485364796.74950409</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4304381292804.5508</v>
      </c>
      <c r="L562">
        <f>K562*(MIN(Inputs!$B$22+(F576-Calc!F22),(Inputs!$B$23+(IF(ArtifactsInput!$M$15,CHOOSE(ArtifactsInput!$N$15+1,25,30,35,40,45,50)/100*(((1-(1-Inputs!$B$11/150)*(1-1/150))*150)-Inputs!$B$11),0))))/100+(Inputs!$B$23+(IF(ArtifactsInput!$M$15,CHOOSE(ArtifactsInput!$N$15+1,25,30,35,40,45,50)/100*(((1-(1-Inputs!$B$11/150)*(1-1/150))*150)-Inputs!$B$11),0)))/100)/2</f>
        <v>14317478405860.188</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67564180597254.219</v>
      </c>
      <c r="N562">
        <f>L562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67564180597254.219</v>
      </c>
      <c r="O562">
        <f>(1-Summary!$B$11)*S562+Summary!$B$11*U562</f>
        <v>2328789363615074.5</v>
      </c>
      <c r="P562">
        <f>IF(B595=0,0,O562/B595)</f>
        <v>7.0239418845356144E-2</v>
      </c>
      <c r="Q562">
        <f>IFERROR(1/(IF(Inputs!$B$38="pvp",15,MAX(0.1,Skills!E8-IF(TRUE=TRUE,Inputs!$B$32,0)))*(1-IF(AND(ArtifactsInput!$M$27,Inputs!$B$4="Chapter Hunt"),CHOOSE(ArtifactsInput!$N$27+1,20,24,28,32,36,40),0)/100)),0)</f>
        <v>4.0816326530612242E-2</v>
      </c>
      <c r="R562">
        <f>IF(AND(Inputs!$B$38&lt;&gt;"pvp",Inputs!$B$43&gt;0),IF(MAX(0,Inputs!$B$43-B592)&lt;=0,0,(INT(MAX(0,Inputs!$B$43-B592)/(IF(Inputs!$B$38="pvp",15,MAX(0.1,Skills!E8-IF(TRUE=TRUE,Inputs!$B$32,0)))*(1-IF(AND(ArtifactsInput!$M$27,Inputs!$B$4="Chapter Hunt"),CHOOSE(ArtifactsInput!$N$27+1,20,24,28,32,36,40),0)/100)))+1)),0)</f>
        <v>2</v>
      </c>
      <c r="S562">
        <f>IF(C562,(H562*N562*IF(AND(Inputs!$B$38&lt;&gt;"pvp",Inputs!$B$43&gt;0),((Skills!G8*((R562-1)*IF(Skills!H8&gt;0,Skills!I8/Skills!H8,1)+IF(Skills!H8&gt;0,MIN(Skills!I8,MAX(0,MAX(0,Inputs!$B$43-B592)-((R562-1)*(IF(Inputs!$B$38="pvp",15,MAX(0.1,Skills!E8-IF(TRUE=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443778916901700.44</v>
      </c>
      <c r="U562">
        <f>IF(C562,(H562*N562*IF(AND(Inputs!$B$38&lt;&gt;"pvp",Inputs!$B$43&gt;0),((Skills!G8*((R562-1)*IF(Skills!H8&gt;0,Skills!I8/Skills!H8,1)+IF(Skills!H8&gt;0,MIN(Skills!I8,MAX(0,MAX(0,Inputs!$B$43-B592)-((R562-1)*(IF(Inputs!$B$38="pvp",15,MAX(0.1,Skills!E8-IF(TRUE=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4213799810328448.5</v>
      </c>
    </row>
    <row r="563" spans="1:21" x14ac:dyDescent="0.2">
      <c r="A563" t="str">
        <f>Skills!A9</f>
        <v>MIST_ERUPTION</v>
      </c>
      <c r="B563" t="str">
        <f>Skills!B9</f>
        <v>Mist Eruption</v>
      </c>
      <c r="C563" t="b">
        <f>Inputs!$B$3&gt;=103</f>
        <v>1</v>
      </c>
      <c r="D563">
        <f>IF(Skills!C9=1,60+Inputs!$B$25+Inputs!$B$29,IF(Skills!C9=2,90+Inputs!$B$26+Inputs!$B$29,IF(Skills!C9=3,120+Inputs!$B$27+Inputs!$B$29,MAX(0,(Inputs!$B$3-100)*3)+Inputs!$B$28+Inputs!$B$29)))</f>
        <v>185</v>
      </c>
      <c r="E563">
        <f>INDEX(FactorTable!$B$2:$Y$301, MATCH(ROUND(MIN(300,MAX(1,D563)),0), FactorTable!$A$2:$A$301,0), Skills!M9+1)</f>
        <v>1925</v>
      </c>
      <c r="F563">
        <f>IF(Skills!N9=TRUE,(Skills!L9/10)*(E563/1000),Skills!L9/10)+Skills!O9</f>
        <v>5775</v>
      </c>
      <c r="G563">
        <f>Calc!G9</f>
        <v>2.5</v>
      </c>
      <c r="H563">
        <f>Calc!H9</f>
        <v>1</v>
      </c>
      <c r="I563">
        <f>IF(Skills!X9&lt;&gt;"",1+(Skills!X9/10)*(Z557/1000)/100,1)</f>
        <v>1</v>
      </c>
      <c r="J563">
        <f>((Inputs!$B$6*(1+Inputs!$B$7/100))+(((Inputs!$B$12*(1+Inputs!$B$13/100))-(Inputs!$B$12*(1+Inputs!$B$13/100)))+0.25*(Inputs!$B$14-Inputs!$B$14))*(1+Inputs!$B$7/100))*(F563/100)</f>
        <v>20855518610.330254</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104789735793311.91</v>
      </c>
      <c r="L563">
        <f>K563*(MIN(Inputs!$B$22+(F576-Calc!F22),(Inputs!$B$23+(IF(ArtifactsInput!$M$15,CHOOSE(ArtifactsInput!$N$15+1,25,30,35,40,45,50)/100*(((1-(1-Inputs!$B$11/150)*(1-1/150))*150)-Inputs!$B$11),0))))/100+(Inputs!$B$23+(IF(ArtifactsInput!$M$15,CHOOSE(ArtifactsInput!$N$15+1,25,30,35,40,45,50)/100*(((1-(1-Inputs!$B$11/150)*(1-1/150))*150)-Inputs!$B$11),0)))/100)/2</f>
        <v>348557592210654.31</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1644843277642077.5</v>
      </c>
      <c r="N563">
        <f>L563*(1-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1644843277642077.5</v>
      </c>
      <c r="O563">
        <f>(1-Summary!$B$11)*S563+Summary!$B$11*U563</f>
        <v>3420245990446994.5</v>
      </c>
      <c r="P563">
        <f>IF(B595=0,0,O563/B595)</f>
        <v>0.10315921844654431</v>
      </c>
      <c r="Q563">
        <f>IFERROR(1/(IF(Inputs!$B$38="pvp",15,MAX(0.1,Skills!E9-IF(TRUE=TRUE,Inputs!$B$32,0)))*(1-IF(AND(ArtifactsInput!$M$27,Inputs!$B$4="Chapter Hunt"),CHOOSE(ArtifactsInput!$N$27+1,20,24,28,32,36,40),0)/100)),0)</f>
        <v>4.0816326530612242E-2</v>
      </c>
      <c r="R563">
        <f>IF(AND(Inputs!$B$38&lt;&gt;"pvp",Inputs!$B$43&gt;0),IF(MAX(0,Inputs!$B$43-B592)&lt;=0,0,(INT(MAX(0,Inputs!$B$43-B592)/(IF(Inputs!$B$38="pvp",15,MAX(0.1,Skills!E9-IF(TRUE=TRUE,Inputs!$B$32,0)))*(1-IF(AND(ArtifactsInput!$M$27,Inputs!$B$4="Chapter Hunt"),CHOOSE(ArtifactsInput!$N$27+1,20,24,28,32,36,40),0)/100)))+1)),0)</f>
        <v>2</v>
      </c>
      <c r="S563">
        <f>IF(C563,(H563*N563*IF(AND(Inputs!$B$38&lt;&gt;"pvp",Inputs!$B$43&gt;0),((Skills!G9*((R563-1)*IF(Skills!H9&gt;0,Skills!I9/Skills!H9,1)+IF(Skills!H9&gt;0,MIN(Skills!I9,MAX(0,MAX(0,Inputs!$B$43-B592)-((R563-1)*(IF(Inputs!$B$38="pvp",15,MAX(0.1,Skills!E9-IF(TRUE=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651769148765673.25</v>
      </c>
      <c r="U563">
        <f>IF(C563,(H563*N563*IF(AND(Inputs!$B$38&lt;&gt;"pvp",Inputs!$B$43&gt;0),((Skills!G9*((R563-1)*IF(Skills!H9&gt;0,Skills!I9/Skills!H9,1)+IF(Skills!H9&gt;0,MIN(Skills!I9,MAX(0,MAX(0,Inputs!$B$43-B592)-((R563-1)*(IF(Inputs!$B$38="pvp",15,MAX(0.1,Skills!E9-IF(TRUE=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6188722832128316</v>
      </c>
    </row>
    <row r="564" spans="1:21" x14ac:dyDescent="0.2">
      <c r="A564" t="str">
        <f>Skills!A10</f>
        <v>CREEPING_TOXIN</v>
      </c>
      <c r="B564" t="str">
        <f>Skills!B10</f>
        <v>Creeping Toxin</v>
      </c>
      <c r="C564" t="b">
        <f>TRUE</f>
        <v>1</v>
      </c>
      <c r="D564">
        <f>IF(Skills!C10=1,60+Inputs!$B$25+Inputs!$B$29,IF(Skills!C10=2,90+Inputs!$B$26+Inputs!$B$29,IF(Skills!C10=3,120+Inputs!$B$27+Inputs!$B$29,MAX(0,(Inputs!$B$3-100)*3)+Inputs!$B$28+Inputs!$B$29)))</f>
        <v>184</v>
      </c>
      <c r="E564">
        <f>INDEX(FactorTable!$B$2:$Y$301, MATCH(ROUND(MIN(300,MAX(1,D564)),0), FactorTable!$A$2:$A$301,0), Skills!M10+1)</f>
        <v>1920</v>
      </c>
      <c r="F564">
        <f>IF(Skills!N10=TRUE,(Skills!L10/10)*(E564/1000),Skills!L10/10)+Skills!O10</f>
        <v>280.39999999999998</v>
      </c>
      <c r="G564">
        <f>Calc!G10</f>
        <v>15</v>
      </c>
      <c r="H564">
        <f>Calc!H10</f>
        <v>1</v>
      </c>
      <c r="I564">
        <f>IF(Skills!X10&lt;&gt;"",1+(Skills!X10/10)*(Z557/1000)/100,1)</f>
        <v>1.7650000000000001</v>
      </c>
      <c r="J564">
        <f>((Inputs!$B$6*(1+Inputs!$B$7/100))+(((Inputs!$B$12*(1+Inputs!$B$13/100))-(Inputs!$B$12*(1+Inputs!$B$13/100)))+0.25*(Inputs!$B$14-Inputs!$B$14))*(1+Inputs!$B$7/100))*(F564/100)</f>
        <v>1012621197.9803641</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8980271685285.6836</v>
      </c>
      <c r="L564">
        <f>K564*(MIN(Inputs!$B$22+(F576-Calc!F22),(Inputs!$B$23+(IF(ArtifactsInput!$M$15,CHOOSE(ArtifactsInput!$N$15+1,25,30,35,40,45,50)/100*(((1-(1-Inputs!$B$11/150)*(1-1/150))*150)-Inputs!$B$11),0))))/100+(Inputs!$B$23+(IF(ArtifactsInput!$M$15,CHOOSE(ArtifactsInput!$N$15+1,25,30,35,40,45,50)/100*(((1-(1-Inputs!$B$11/150)*(1-1/150))*150)-Inputs!$B$11),0)))/100)/2</f>
        <v>29870691555083.301</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140959793448438.09</v>
      </c>
      <c r="N564">
        <f>L564*(1-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140959793448438.09</v>
      </c>
      <c r="O564">
        <f>(1-Summary!$B$11)*S564+Summary!$B$11*U564</f>
        <v>324528180241888.88</v>
      </c>
      <c r="P564">
        <f>IF(B595=0,0,O564/B595)</f>
        <v>9.7882063252582741E-3</v>
      </c>
      <c r="Q564">
        <f>IFERROR(1/(IF(Inputs!$B$38="pvp",15,MAX(0.1,Skills!E10-IF(TRUE=TRUE,Inputs!$B$32,0)))*(1-IF(AND(ArtifactsInput!$M$27,Inputs!$B$4="Chapter Hunt"),CHOOSE(ArtifactsInput!$N$27+1,20,24,28,32,36,40),0)/100)),0)</f>
        <v>3.7037037037037035E-2</v>
      </c>
      <c r="R564">
        <f>IF(AND(Inputs!$B$38&lt;&gt;"pvp",Inputs!$B$43&gt;0),IF(MAX(0,Inputs!$B$43-B592)&lt;=0,0,(INT(MAX(0,Inputs!$B$43-B592)/(IF(Inputs!$B$38="pvp",15,MAX(0.1,Skills!E10-IF(TRUE=TRUE,Inputs!$B$32,0)))*(1-IF(AND(ArtifactsInput!$M$27,Inputs!$B$4="Chapter Hunt"),CHOOSE(ArtifactsInput!$N$27+1,20,24,28,32,36,40),0)/100)))+1)),0)</f>
        <v>2</v>
      </c>
      <c r="S564">
        <f>IF(C564,(H564*N564*IF(AND(Inputs!$B$38&lt;&gt;"pvp",Inputs!$B$43&gt;0),((Skills!G10*((R564-1)*IF(Skills!H10&gt;0,Skills!I10/Skills!H10,1)+IF(Skills!H10&gt;0,MIN(Skills!I10,MAX(0,MAX(0,Inputs!$B$43-B592)-((R564-1)*(IF(Inputs!$B$38="pvp",15,MAX(0.1,Skills!E10-IF(TRUE=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286561095088241.75</v>
      </c>
      <c r="U564">
        <f>IF(C564,(H564*N564*IF(AND(Inputs!$B$38&lt;&gt;"pvp",Inputs!$B$43&gt;0),((Skills!G10*((R564-1)*IF(Skills!H10&gt;0,Skills!I10/Skills!H10,1)+IF(Skills!H10&gt;0,MIN(Skills!I10,MAX(0,MAX(0,Inputs!$B$43-B592)-((R564-1)*(IF(Inputs!$B$38="pvp",15,MAX(0.1,Skills!E10-IF(TRUE=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362495265395536.06</v>
      </c>
    </row>
    <row r="565" spans="1:21" x14ac:dyDescent="0.2">
      <c r="A565" t="str">
        <f>Skills!A11</f>
        <v>BURNING_MAGIC</v>
      </c>
      <c r="B565" t="str">
        <f>Skills!B11</f>
        <v>Burning Magic</v>
      </c>
      <c r="C565" t="b">
        <f>TRUE</f>
        <v>1</v>
      </c>
      <c r="D565">
        <f>IF(Skills!C11=1,60+Inputs!$B$25+Inputs!$B$29,IF(Skills!C11=2,90+Inputs!$B$26+Inputs!$B$29,IF(Skills!C11=3,120+Inputs!$B$27+Inputs!$B$29,MAX(0,(Inputs!$B$3-100)*3)+Inputs!$B$28+Inputs!$B$29)))</f>
        <v>184</v>
      </c>
      <c r="E565">
        <f>INDEX(FactorTable!$B$2:$Y$301, MATCH(ROUND(MIN(300,MAX(1,D565)),0), FactorTable!$A$2:$A$301,0), Skills!M11+1)</f>
        <v>0</v>
      </c>
      <c r="F565">
        <f>IF(Skills!N11=TRUE,(Skills!L11/10)*(E565/1000),Skills!L11/10)+Skills!O11</f>
        <v>5</v>
      </c>
      <c r="G565">
        <f>Calc!G11</f>
        <v>1</v>
      </c>
      <c r="H565">
        <f>Calc!H11</f>
        <v>1</v>
      </c>
      <c r="I565">
        <f>IF(Skills!X11&lt;&gt;"",1+(Skills!X11/10)*(Z557/1000)/100,1)</f>
        <v>1</v>
      </c>
      <c r="O565">
        <f>(1-Summary!$B$11)*S565+Summary!$B$11*U565</f>
        <v>0</v>
      </c>
      <c r="P565">
        <f>IF(B595=0,0,O565/B595)</f>
        <v>0</v>
      </c>
      <c r="Q565">
        <f>IFERROR(1/(IF(Inputs!$B$38="pvp",15,MAX(0.1,Skills!E11-IF(TRUE=TRUE,Inputs!$B$32,0)))*(1-IF(AND(ArtifactsInput!$M$27,Inputs!$B$4="Chapter Hunt"),CHOOSE(ArtifactsInput!$N$27+1,20,24,28,32,36,40),0)/100)),0)</f>
        <v>10</v>
      </c>
      <c r="R565">
        <v>0</v>
      </c>
      <c r="S565">
        <v>0</v>
      </c>
      <c r="U565">
        <v>0</v>
      </c>
    </row>
    <row r="566" spans="1:21" x14ac:dyDescent="0.2">
      <c r="A566" t="str">
        <f>Skills!A12</f>
        <v>ELEMENTAL_DECREASE</v>
      </c>
      <c r="B566" t="str">
        <f>Skills!B12</f>
        <v>Elemental Decrease</v>
      </c>
      <c r="C566" t="b">
        <f>TRUE</f>
        <v>1</v>
      </c>
      <c r="D566">
        <f>IF(Skills!C12=1,60+Inputs!$B$25+Inputs!$B$29,IF(Skills!C12=2,90+Inputs!$B$26+Inputs!$B$29,IF(Skills!C12=3,120+Inputs!$B$27+Inputs!$B$29,MAX(0,(Inputs!$B$3-100)*3)+Inputs!$B$28+Inputs!$B$29)))</f>
        <v>184</v>
      </c>
      <c r="E566">
        <f>INDEX(FactorTable!$B$2:$Y$301, MATCH(ROUND(MIN(300,MAX(1,D566)),0), FactorTable!$A$2:$A$301,0), Skills!M12+1)</f>
        <v>1552</v>
      </c>
      <c r="F566">
        <f>IF(Skills!N12=TRUE,(Skills!L12/10)*(E566/1000),Skills!L12/10)+Skills!O12</f>
        <v>18.624000000000002</v>
      </c>
      <c r="G566">
        <f>Calc!G12</f>
        <v>1</v>
      </c>
      <c r="H566">
        <f>Calc!H12</f>
        <v>0.5</v>
      </c>
      <c r="I566">
        <f>IF(Skills!X12&lt;&gt;"",1+(Skills!X12/10)*(Z557/1000)/100,1)</f>
        <v>1</v>
      </c>
      <c r="O566">
        <f>(1-Summary!$B$11)*S566+Summary!$B$11*U566</f>
        <v>0</v>
      </c>
      <c r="P566">
        <f>IF(B595=0,0,O566/B595)</f>
        <v>0</v>
      </c>
      <c r="Q566">
        <f>IFERROR(1/(IF(Inputs!$B$38="pvp",15,MAX(0.1,Skills!E12-IF(TRUE=TRUE,Inputs!$B$32,0)))*(1-IF(AND(ArtifactsInput!$M$27,Inputs!$B$4="Chapter Hunt"),CHOOSE(ArtifactsInput!$N$27+1,20,24,28,32,36,40),0)/100)),0)</f>
        <v>10</v>
      </c>
      <c r="R566">
        <v>0</v>
      </c>
      <c r="S566">
        <v>0</v>
      </c>
      <c r="U566">
        <v>0</v>
      </c>
    </row>
    <row r="567" spans="1:21" x14ac:dyDescent="0.2">
      <c r="A567" t="str">
        <f>Skills!A13</f>
        <v>METEOR_SHOWER_BURST</v>
      </c>
      <c r="B567" t="str">
        <f>Skills!B13</f>
        <v>Meteor Shower (burst)</v>
      </c>
      <c r="C567" t="b">
        <f>Inputs!$B$3&gt;=105</f>
        <v>1</v>
      </c>
      <c r="D567">
        <f>IF(Skills!C13=1,60+Inputs!$B$25+Inputs!$B$29,IF(Skills!C13=2,90+Inputs!$B$26+Inputs!$B$29,IF(Skills!C13=3,120+Inputs!$B$27+Inputs!$B$29,MAX(0,(Inputs!$B$3-100)*3)+Inputs!$B$28+Inputs!$B$29)))</f>
        <v>185</v>
      </c>
      <c r="E567">
        <f>INDEX(FactorTable!$B$2:$Y$301, MATCH(ROUND(MIN(300,MAX(1,D567)),0), FactorTable!$A$2:$A$301,0), Skills!M13+1)</f>
        <v>1925</v>
      </c>
      <c r="F567">
        <f>IF(Skills!N13=TRUE,(Skills!L13/10)*(E567/1000),Skills!L13/10)+Skills!O13</f>
        <v>1155</v>
      </c>
      <c r="G567">
        <f>Calc!G13</f>
        <v>9</v>
      </c>
      <c r="H567">
        <f>Calc!H13</f>
        <v>1</v>
      </c>
      <c r="I567">
        <f>IF(Skills!X13&lt;&gt;"",1+(Skills!X13/10)*(Z557/1000)/100,1)</f>
        <v>1</v>
      </c>
      <c r="J567">
        <f>((Inputs!$B$6*(1+Inputs!$B$7/100))+(((Inputs!$B$12*(1+Inputs!$B$13/100))-(Inputs!$B$12*(1+Inputs!$B$13/100)))+0.25*(Inputs!$B$14-Inputs!$B$14))*(1+Inputs!$B$7/100))*(F567/100)</f>
        <v>4171103722.0660505</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20957947158662.379</v>
      </c>
      <c r="L567">
        <f>K567*(MIN(Inputs!$B$22+(F576-Calc!F22),(Inputs!$B$23+(IF(ArtifactsInput!$M$15,CHOOSE(ArtifactsInput!$N$15+1,25,30,35,40,45,50)/100*(((1-(1-Inputs!$B$11/150)*(1-1/150))*150)-Inputs!$B$11),0))))/100+(Inputs!$B$23+(IF(ArtifactsInput!$M$15,CHOOSE(ArtifactsInput!$N$15+1,25,30,35,40,45,50)/100*(((1-(1-Inputs!$B$11/150)*(1-1/150))*150)-Inputs!$B$11),0)))/100)/2</f>
        <v>69711518442130.852</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328968655528415.44</v>
      </c>
      <c r="N567">
        <f>L567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328968655528415.44</v>
      </c>
      <c r="O567">
        <f>(1-Summary!$B$11)*S567+Summary!$B$11*U567</f>
        <v>1794195047251977.8</v>
      </c>
      <c r="P567">
        <f>IF(B595=0,0,O567/B595)</f>
        <v>5.4115335368315254E-2</v>
      </c>
      <c r="Q567">
        <f>IFERROR(1/(IF(Inputs!$B$38="pvp",15,MAX(0.1,Skills!E13-IF(TRUE=TRUE,Inputs!$B$32,0)))*(1-IF(AND(ArtifactsInput!$M$27,Inputs!$B$4="Chapter Hunt"),CHOOSE(ArtifactsInput!$N$27+1,20,24,28,32,36,40),0)/100)),0)</f>
        <v>3.0303030303030304E-2</v>
      </c>
      <c r="R567">
        <f>IF(AND(Inputs!$B$38&lt;&gt;"pvp",Inputs!$B$43&gt;0),IF(MAX(0,Inputs!$B$43-B592)&lt;=0,0,(INT(MAX(0,Inputs!$B$43-B592)/(IF(Inputs!$B$38="pvp",15,MAX(0.1,Skills!E13-IF(TRUE=TRUE,Inputs!$B$32,0)))*(1-IF(AND(ArtifactsInput!$M$27,Inputs!$B$4="Chapter Hunt"),CHOOSE(ArtifactsInput!$N$27+1,20,24,28,32,36,40),0)/100)))+1)),0)</f>
        <v>2</v>
      </c>
      <c r="S567">
        <f>IF(C567,(H567*N567*IF(AND(Inputs!$B$38&lt;&gt;"pvp",Inputs!$B$43&gt;0),((Skills!G13*((R567-1)*IF(Skills!H13&gt;0,Skills!I13/Skills!H13,1)+IF(Skills!H13&gt;0,MIN(Skills!I13,MAX(0,MAX(0,Inputs!$B$43-B592)-((R567-1)*(IF(Inputs!$B$38="pvp",15,MAX(0.1,Skills!E13-IF(TRUE=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469273787111284.56</v>
      </c>
      <c r="U567">
        <f>IF(C567,(H567*N567*IF(AND(Inputs!$B$38&lt;&gt;"pvp",Inputs!$B$43&gt;0),((Skills!G13*((R567-1)*IF(Skills!H13&gt;0,Skills!I13/Skills!H13,1)+IF(Skills!H13&gt;0,MIN(Skills!I13,MAX(0,MAX(0,Inputs!$B$43-B592)-((R567-1)*(IF(Inputs!$B$38="pvp",15,MAX(0.1,Skills!E13-IF(TRUE=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3119116307392671</v>
      </c>
    </row>
    <row r="568" spans="1:21" x14ac:dyDescent="0.2">
      <c r="A568" t="str">
        <f>Skills!A14</f>
        <v>METEOR_PROC</v>
      </c>
      <c r="B568" t="str">
        <f>Skills!B14</f>
        <v>Meteor Proc (30% on-hit, 1s ICD)</v>
      </c>
      <c r="C568" t="b">
        <f>Inputs!$B$3&gt;=113</f>
        <v>1</v>
      </c>
      <c r="D568">
        <f>IF(Skills!C14=1,60+Inputs!$B$25+Inputs!$B$29,IF(Skills!C14=2,90+Inputs!$B$26+Inputs!$B$29,IF(Skills!C14=3,120+Inputs!$B$27+Inputs!$B$29,MAX(0,(Inputs!$B$3-100)*3)+Inputs!$B$28+Inputs!$B$29)))</f>
        <v>185</v>
      </c>
      <c r="E568">
        <f>INDEX(FactorTable!$B$2:$Y$301, MATCH(ROUND(MIN(300,MAX(1,D568)),0), FactorTable!$A$2:$A$301,0), Skills!M14+1)</f>
        <v>1740</v>
      </c>
      <c r="F568">
        <f>IF(Skills!N14=TRUE,(Skills!L14/10)*(E568/1000),Skills!L14/10)+Skills!O14</f>
        <v>1653</v>
      </c>
      <c r="G568">
        <f>Calc!G14</f>
        <v>0</v>
      </c>
      <c r="H568">
        <f>Calc!H14</f>
        <v>0.30000000000000004</v>
      </c>
      <c r="I568">
        <f>IF(Skills!X14&lt;&gt;"",1+(Skills!X14/10)*(Z557/1000)/100,1)</f>
        <v>1</v>
      </c>
      <c r="J568">
        <f>((Inputs!$B$6*(1+Inputs!$B$7/100))+(((Inputs!$B$12*(1+Inputs!$B$13/100))-(Inputs!$B$12*(1+Inputs!$B$13/100)))+0.25*(Inputs!$B$14-Inputs!$B$14))*(1+Inputs!$B$7/100))*(F568/100)</f>
        <v>5969553638.5932312</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29994360738760.961</v>
      </c>
      <c r="L568">
        <f>K568*(MIN(Inputs!$B$22+(F576-Calc!F22),(Inputs!$B$23+(IF(ArtifactsInput!$M$15,CHOOSE(ArtifactsInput!$N$15+1,25,30,35,40,45,50)/100*(((1-(1-Inputs!$B$11/150)*(1-1/150))*150)-Inputs!$B$11),0))))/100+(Inputs!$B$23+(IF(ArtifactsInput!$M$15,CHOOSE(ArtifactsInput!$N$15+1,25,30,35,40,45,50)/100*(((1-(1-Inputs!$B$11/150)*(1-1/150))*150)-Inputs!$B$11),0)))/100)/2</f>
        <v>99768952367828.812</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470809686223784.12</v>
      </c>
      <c r="N568">
        <f>L568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470809686223784.12</v>
      </c>
      <c r="O568">
        <f>(1-Summary!$B$11)*S568+Summary!$B$11*U568</f>
        <v>462502838016813</v>
      </c>
      <c r="P568">
        <f>IF(B595=0,0,O568/B595)</f>
        <v>1.3949707545125336E-2</v>
      </c>
      <c r="Q568">
        <f>IFERROR(1/(IF(Inputs!$B$38="pvp",15,MAX(0.1,Skills!E14-IF(TRUE=TRUE,Inputs!$B$32,0)))*(1-IF(AND(ArtifactsInput!$M$27,Inputs!$B$4="Chapter Hunt"),CHOOSE(ArtifactsInput!$N$27+1,20,24,28,32,36,40),0)/100)),0)</f>
        <v>10</v>
      </c>
      <c r="R568">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474477021525338.88</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450528654508287.06</v>
      </c>
    </row>
    <row r="569" spans="1:21" x14ac:dyDescent="0.2">
      <c r="A569" t="str">
        <f>Skills!A15</f>
        <v>FLAME_HAZE_BURST</v>
      </c>
      <c r="B569" t="str">
        <f>Skills!B15</f>
        <v>Flame Haze (burst)</v>
      </c>
      <c r="C569" t="b">
        <f>Inputs!$B$3&gt;=107</f>
        <v>1</v>
      </c>
      <c r="D569">
        <f>IF(Skills!C15=1,60+Inputs!$B$25+Inputs!$B$29,IF(Skills!C15=2,90+Inputs!$B$26+Inputs!$B$29,IF(Skills!C15=3,120+Inputs!$B$27+Inputs!$B$29,MAX(0,(Inputs!$B$3-100)*3)+Inputs!$B$28+Inputs!$B$29)))</f>
        <v>185</v>
      </c>
      <c r="E569">
        <f>INDEX(FactorTable!$B$2:$Y$301, MATCH(ROUND(MIN(300,MAX(1,D569)),0), FactorTable!$A$2:$A$301,0), Skills!M15+1)</f>
        <v>1925</v>
      </c>
      <c r="F569">
        <f>IF(Skills!N15=TRUE,(Skills!L15/10)*(E569/1000),Skills!L15/10)+Skills!O15</f>
        <v>2310</v>
      </c>
      <c r="G569">
        <f>Calc!G15</f>
        <v>3</v>
      </c>
      <c r="H569">
        <f>Calc!H15</f>
        <v>1</v>
      </c>
      <c r="I569">
        <f>IF(Skills!X15&lt;&gt;"",1+(Skills!X15/10)*(Z557/1000)/100,1)</f>
        <v>1</v>
      </c>
      <c r="J569">
        <f>((Inputs!$B$6*(1+Inputs!$B$7/100))+(((Inputs!$B$12*(1+Inputs!$B$13/100))-(Inputs!$B$12*(1+Inputs!$B$13/100)))+0.25*(Inputs!$B$14-Inputs!$B$14))*(1+Inputs!$B$7/100))*(F569/100)</f>
        <v>8342207444.1321011</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41915894317324.758</v>
      </c>
      <c r="L569">
        <f>K569*(MIN(Inputs!$B$22+(F576-Calc!F22),(Inputs!$B$23+(IF(ArtifactsInput!$M$15,CHOOSE(ArtifactsInput!$N$15+1,25,30,35,40,45,50)/100*(((1-(1-Inputs!$B$11/150)*(1-1/150))*150)-Inputs!$B$11),0))))/100+(Inputs!$B$23+(IF(ArtifactsInput!$M$15,CHOOSE(ArtifactsInput!$N$15+1,25,30,35,40,45,50)/100*(((1-(1-Inputs!$B$11/150)*(1-1/150))*150)-Inputs!$B$11),0)))/100)/2</f>
        <v>139423036884261.7</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657937311056830.88</v>
      </c>
      <c r="N569">
        <f>L569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657937311056830.88</v>
      </c>
      <c r="O569">
        <f>(1-Summary!$B$11)*S569+Summary!$B$11*U569</f>
        <v>1641718075414557</v>
      </c>
      <c r="P569">
        <f>IF(B595=0,0,O569/B595)</f>
        <v>4.9516424854341261E-2</v>
      </c>
      <c r="Q569">
        <f>IFERROR(1/(IF(Inputs!$B$38="pvp",15,MAX(0.1,Skills!E15-IF(TRUE=TRUE,Inputs!$B$32,0)))*(1-IF(AND(ArtifactsInput!$M$27,Inputs!$B$4="Chapter Hunt"),CHOOSE(ArtifactsInput!$N$27+1,20,24,28,32,36,40),0)/100)),0)</f>
        <v>0.04</v>
      </c>
      <c r="R569">
        <f>IF(AND(Inputs!$B$38&lt;&gt;"pvp",Inputs!$B$43&gt;0),IF(MAX(0,Inputs!$B$43-B592)&lt;=0,0,(INT(MAX(0,Inputs!$B$43-B592)/(IF(Inputs!$B$38="pvp",15,MAX(0.1,Skills!E15-IF(TRUE=TRUE,Inputs!$B$32,0)))*(1-IF(AND(ArtifactsInput!$M$27,Inputs!$B$4="Chapter Hunt"),CHOOSE(ArtifactsInput!$N$27+1,20,24,28,32,36,40),0)/100)))+1)),0)</f>
        <v>2</v>
      </c>
      <c r="S569">
        <f>IF(C569,(H569*N569*IF(AND(Inputs!$B$38&lt;&gt;"pvp",Inputs!$B$43&gt;0),((Skills!G15*((R569-1)*IF(Skills!H15&gt;0,Skills!I15/Skills!H15,1)+IF(Skills!H15&gt;0,MIN(Skills!I15,MAX(0,MAX(0,Inputs!$B$43-B592)-((R569-1)*(IF(Inputs!$B$38="pvp",15,MAX(0.1,Skills!E15-IF(TRUE=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312849191407523.06</v>
      </c>
      <c r="U569">
        <f>IF(C569,(H569*N569*IF(AND(Inputs!$B$38&lt;&gt;"pvp",Inputs!$B$43&gt;0),((Skills!G15*((R569-1)*IF(Skills!H15&gt;0,Skills!I15/Skills!H15,1)+IF(Skills!H15&gt;0,MIN(Skills!I15,MAX(0,MAX(0,Inputs!$B$43-B592)-((R569-1)*(IF(Inputs!$B$38="pvp",15,MAX(0.1,Skills!E15-IF(TRUE=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2970586959421591</v>
      </c>
    </row>
    <row r="570" spans="1:21" x14ac:dyDescent="0.2">
      <c r="A570" t="str">
        <f>Skills!A16</f>
        <v>FLAME_HAZE_DOT</v>
      </c>
      <c r="B570" t="str">
        <f>Skills!B16</f>
        <v>Flame Haze (burn DoT)</v>
      </c>
      <c r="C570" t="b">
        <f>Inputs!$B$3&gt;=107</f>
        <v>1</v>
      </c>
      <c r="D570">
        <f>IF(Skills!C16=1,60+Inputs!$B$25+Inputs!$B$29,IF(Skills!C16=2,90+Inputs!$B$26+Inputs!$B$29,IF(Skills!C16=3,120+Inputs!$B$27+Inputs!$B$29,MAX(0,(Inputs!$B$3-100)*3)+Inputs!$B$28+Inputs!$B$29)))</f>
        <v>185</v>
      </c>
      <c r="E570">
        <f>INDEX(FactorTable!$B$2:$Y$301, MATCH(ROUND(MIN(300,MAX(1,D570)),0), FactorTable!$A$2:$A$301,0), Skills!M16+1)</f>
        <v>1925</v>
      </c>
      <c r="F570">
        <f>IF(Skills!N16=TRUE,(Skills!L16/10)*(E570/1000),Skills!L16/10)+Skills!O16</f>
        <v>288.75</v>
      </c>
      <c r="G570">
        <f>Calc!G16</f>
        <v>30</v>
      </c>
      <c r="H570">
        <f>Calc!H16</f>
        <v>1</v>
      </c>
      <c r="I570">
        <f>IF(Skills!X16&lt;&gt;"",1+(Skills!X16/10)*(Z557/1000)/100,1)</f>
        <v>1</v>
      </c>
      <c r="J570">
        <f>((Inputs!$B$6*(1+Inputs!$B$7/100))+(((Inputs!$B$12*(1+Inputs!$B$13/100))-(Inputs!$B$12*(1+Inputs!$B$13/100)))+0.25*(Inputs!$B$14-Inputs!$B$14))*(1+Inputs!$B$7/100))*(F570/100)</f>
        <v>1042775930.5165126</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5239486789665.5947</v>
      </c>
      <c r="L570">
        <f>K570*(MIN(Inputs!$B$22+(F576-Calc!F22),(Inputs!$B$23+(IF(ArtifactsInput!$M$15,CHOOSE(ArtifactsInput!$N$15+1,25,30,35,40,45,50)/100*(((1-(1-Inputs!$B$11/150)*(1-1/150))*150)-Inputs!$B$11),0))))/100+(Inputs!$B$23+(IF(ArtifactsInput!$M$15,CHOOSE(ArtifactsInput!$N$15+1,25,30,35,40,45,50)/100*(((1-(1-Inputs!$B$11/150)*(1-1/150))*150)-Inputs!$B$11),0)))/100)/2</f>
        <v>17427879610532.713</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82242163882103.859</v>
      </c>
      <c r="N570">
        <f>L570*(1-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82242163882103.859</v>
      </c>
      <c r="O570">
        <f>(1-Summary!$B$11)*S570+Summary!$B$11*U570</f>
        <v>1891538787347379.5</v>
      </c>
      <c r="P570">
        <f>IF(B595=0,0,O570/B595)</f>
        <v>5.7051353472554828E-2</v>
      </c>
      <c r="Q570">
        <f>IFERROR(1/(IF(Inputs!$B$38="pvp",15,MAX(0.1,Skills!E16-IF(TRUE=TRUE,Inputs!$B$32,0)))*(1-IF(AND(ArtifactsInput!$M$27,Inputs!$B$4="Chapter Hunt"),CHOOSE(ArtifactsInput!$N$27+1,20,24,28,32,36,40),0)/100)),0)</f>
        <v>0.04</v>
      </c>
      <c r="R570">
        <f>IF(AND(Inputs!$B$38&lt;&gt;"pvp",Inputs!$B$43&gt;0),IF(MAX(0,Inputs!$B$43-B592)&lt;=0,0,(INT(MAX(0,Inputs!$B$43-B592)/(IF(Inputs!$B$38="pvp",15,MAX(0.1,Skills!E16-IF(TRUE=TRUE,Inputs!$B$32,0)))*(1-IF(AND(ArtifactsInput!$M$27,Inputs!$B$4="Chapter Hunt"),CHOOSE(ArtifactsInput!$N$27+1,20,24,28,32,36,40),0)/100)))+1)),0)</f>
        <v>2</v>
      </c>
      <c r="S570">
        <f>IF(C570,(H570*N570*IF(AND(Inputs!$B$38&lt;&gt;"pvp",Inputs!$B$43&gt;0),((Skills!G16*((R570-1)*IF(Skills!H16&gt;0,Skills!I16/Skills!H16,1)+IF(Skills!H16&gt;0,MIN(Skills!I16,MAX(0,MAX(0,Inputs!$B$43-B592)-((R570-1)*(IF(Inputs!$B$38="pvp",15,MAX(0.1,Skills!E16-IF(TRUE=TRUE,Inputs!$B$32,0)))*(1-IF(AND(ArtifactsInput!$M$27,Inputs!$B$4="Chapter Hunt"),CHOOSE(ArtifactsInput!$N$27+1,20,24,28,32,36,40),0)/100)))))/Skills!H16,1)))/Inputs!$B$43),G570*Q570)*(1+IF(Inputs!$B$3&gt;=126,0.05*(B590+Q567+(H568*B591)/(1+Skills!H14*H568*B591)+Q578),0)*(1/Q569)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360455542884953</v>
      </c>
      <c r="U570">
        <f>IF(C570,(H570*N570*IF(AND(Inputs!$B$38&lt;&gt;"pvp",Inputs!$B$43&gt;0),((Skills!G16*((R570-1)*IF(Skills!H16&gt;0,Skills!I16/Skills!H16,1)+IF(Skills!H16&gt;0,MIN(Skills!I16,MAX(0,MAX(0,Inputs!$B$43-B592)-((R570-1)*(IF(Inputs!$B$38="pvp",15,MAX(0.1,Skills!E16-IF(TRUE=TRUE,Inputs!$B$32,0)))*(1-IF(AND(ArtifactsInput!$M$27,Inputs!$B$4="Chapter Hunt"),CHOOSE(ArtifactsInput!$N$27+1,20,24,28,32,36,40),0)/100)))))/Skills!H16,1)))/Inputs!$B$43),G570*Q570)*(1+IF(Inputs!$B$3&gt;=126,0.05*(B590+Q567+(H568*B591)/(1+Skills!H14*H568*B591)+Q578),0)*(1/Q569)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3422622031809806</v>
      </c>
    </row>
    <row r="571" spans="1:21" x14ac:dyDescent="0.2">
      <c r="A571" t="str">
        <f>Skills!A17</f>
        <v>MAGIC_GUARD</v>
      </c>
      <c r="B571" t="str">
        <f>Skills!B17</f>
        <v>Magic Guard</v>
      </c>
      <c r="C571" t="b">
        <f>TRUE</f>
        <v>1</v>
      </c>
      <c r="D571">
        <f>IF(Skills!C17=1,60+Inputs!$B$25+Inputs!$B$29,IF(Skills!C17=2,90+Inputs!$B$26+Inputs!$B$29,IF(Skills!C17=3,120+Inputs!$B$27+Inputs!$B$29,MAX(0,(Inputs!$B$3-100)*3)+Inputs!$B$28+Inputs!$B$29)))</f>
        <v>127</v>
      </c>
      <c r="E571">
        <f>INDEX(FactorTable!$B$2:$Y$301, MATCH(ROUND(MIN(300,MAX(1,D571)),0), FactorTable!$A$2:$A$301,0), Skills!M17+1)</f>
        <v>1508</v>
      </c>
      <c r="F571">
        <f>IF(Skills!N17=TRUE,(Skills!L17/10)*(E571/1000),Skills!L17/10)+Skills!O17</f>
        <v>18.096</v>
      </c>
      <c r="G571">
        <f>Calc!G17</f>
        <v>1</v>
      </c>
      <c r="H571">
        <f>Calc!H17</f>
        <v>1</v>
      </c>
      <c r="I571">
        <f>IF(Skills!X17&lt;&gt;"",1+(Skills!X17/10)*(Z557/1000)/100,1)</f>
        <v>1</v>
      </c>
      <c r="O571">
        <f>(1-Summary!$B$11)*S571+Summary!$B$11*U571</f>
        <v>0</v>
      </c>
      <c r="P571">
        <f>IF(B595=0,0,O571/B595)</f>
        <v>0</v>
      </c>
      <c r="Q571">
        <f>IFERROR(1/(IF(Inputs!$B$38="pvp",15,MAX(0.1,Skills!E17-IF(TRUE=TRUE,Inputs!$B$32,0)))*(1-IF(AND(ArtifactsInput!$M$27,Inputs!$B$4="Chapter Hunt"),CHOOSE(ArtifactsInput!$N$27+1,20,24,28,32,36,40),0)/100)),0)</f>
        <v>4.7619047619047616E-2</v>
      </c>
      <c r="R571">
        <f>IF(AND(Inputs!$B$38&lt;&gt;"pvp",Inputs!$B$43&gt;0),IF(Inputs!$B$43&lt;=0,0,(INT(Inputs!$B$43/(IF(Inputs!$B$38="pvp",15,MAX(0.1,Skills!E17-IF(TRUE=TRUE,Inputs!$B$32,0)))*(1-IF(AND(ArtifactsInput!$M$27,Inputs!$B$4="Chapter Hunt"),CHOOSE(ArtifactsInput!$N$27+1,20,24,28,32,36,40),0)/100)))+1)),0)</f>
        <v>2</v>
      </c>
      <c r="S571">
        <v>0</v>
      </c>
      <c r="U571">
        <v>0</v>
      </c>
    </row>
    <row r="572" spans="1:21" x14ac:dyDescent="0.2">
      <c r="A572" t="str">
        <f>Skills!A18</f>
        <v>NIMBLE_FEET</v>
      </c>
      <c r="B572" t="str">
        <f>Skills!B18</f>
        <v>Nimble Feet</v>
      </c>
      <c r="C572" t="b">
        <f>TRUE</f>
        <v>1</v>
      </c>
      <c r="D572">
        <f>IF(Skills!C18=1,60+Inputs!$B$25+Inputs!$B$29,IF(Skills!C18=2,90+Inputs!$B$26+Inputs!$B$29,IF(Skills!C18=3,120+Inputs!$B$27+Inputs!$B$29,MAX(0,(Inputs!$B$3-100)*3)+Inputs!$B$28+Inputs!$B$29)))</f>
        <v>127</v>
      </c>
      <c r="E572">
        <f>INDEX(FactorTable!$B$2:$Y$301, MATCH(ROUND(MIN(300,MAX(1,D572)),0), FactorTable!$A$2:$A$301,0), Skills!M18+1)</f>
        <v>0</v>
      </c>
      <c r="F572">
        <f>IF(Skills!N18=TRUE,(Skills!L18/10)*(E572/1000),Skills!L18/10)+Skills!O18</f>
        <v>15</v>
      </c>
      <c r="G572">
        <f>Calc!G18</f>
        <v>1</v>
      </c>
      <c r="H572">
        <f>Calc!H18</f>
        <v>1</v>
      </c>
      <c r="I572">
        <f>IF(Skills!X18&lt;&gt;"",1+(Skills!X18/10)*(Z557/1000)/100,1)</f>
        <v>1</v>
      </c>
      <c r="O572">
        <f>(1-Summary!$B$11)*S572+Summary!$B$11*U572</f>
        <v>0</v>
      </c>
      <c r="P572">
        <f>IF(B595=0,0,O572/B595)</f>
        <v>0</v>
      </c>
      <c r="Q572">
        <f>IFERROR(1/(IF(Inputs!$B$38="pvp",15,MAX(0.1,Skills!E18-IF(TRUE=TRUE,Inputs!$B$32,0)))*(1-IF(AND(ArtifactsInput!$M$27,Inputs!$B$4="Chapter Hunt"),CHOOSE(ArtifactsInput!$N$27+1,20,24,28,32,36,40),0)/100)),0)</f>
        <v>1.6666666666666666E-2</v>
      </c>
      <c r="R572">
        <f>IF(AND(Inputs!$B$38&lt;&gt;"pvp",Inputs!$B$43&gt;0),IF(Inputs!$B$43&lt;=0,0,(INT(Inputs!$B$43/(IF(Inputs!$B$38="pvp",15,MAX(0.1,Skills!E18-IF(TRUE=TRUE,Inputs!$B$32,0)))*(1-IF(AND(ArtifactsInput!$M$27,Inputs!$B$4="Chapter Hunt"),CHOOSE(ArtifactsInput!$N$27+1,20,24,28,32,36,40),0)/100)))+1)),0)</f>
        <v>1</v>
      </c>
      <c r="S572">
        <v>0</v>
      </c>
      <c r="U572">
        <v>0</v>
      </c>
    </row>
    <row r="573" spans="1:21" x14ac:dyDescent="0.2">
      <c r="A573" t="str">
        <f>Skills!A19</f>
        <v>INFINITY</v>
      </c>
      <c r="B573" t="str">
        <f>Skills!B19</f>
        <v>Infinity</v>
      </c>
      <c r="C573" t="b">
        <f>Inputs!$B$3&gt;=110</f>
        <v>1</v>
      </c>
      <c r="D573">
        <f>IF(Skills!C19=1,60+Inputs!$B$25+Inputs!$B$29,IF(Skills!C19=2,90+Inputs!$B$26+Inputs!$B$29,IF(Skills!C19=3,120+Inputs!$B$27+Inputs!$B$29,MAX(0,(Inputs!$B$3-100)*3)+Inputs!$B$28+Inputs!$B$29)))</f>
        <v>185</v>
      </c>
      <c r="E573">
        <f>INDEX(FactorTable!$B$2:$Y$301, MATCH(ROUND(MIN(300,MAX(1,D573)),0), FactorTable!$A$2:$A$301,0), Skills!M19+1)</f>
        <v>1740</v>
      </c>
      <c r="F573">
        <f>IF(Skills!N19=TRUE,(Skills!L19/10)*(E573/1000),Skills!L19/10)+Skills!O19</f>
        <v>37.700579999999995</v>
      </c>
      <c r="G573">
        <f>Calc!G19</f>
        <v>1</v>
      </c>
      <c r="H573">
        <f>Calc!H19</f>
        <v>1</v>
      </c>
      <c r="I573">
        <f>IF(Skills!X19&lt;&gt;"",1+(Skills!X19/10)*(Z557/1000)/100,1)</f>
        <v>1</v>
      </c>
      <c r="O573">
        <f>(1-Summary!$B$11)*S573+Summary!$B$11*U573</f>
        <v>0</v>
      </c>
      <c r="P573">
        <f>IF(B595=0,0,O573/B595)</f>
        <v>0</v>
      </c>
      <c r="Q573">
        <f>IFERROR(1/(IF(Inputs!$B$38="pvp",15,MAX(0.1,Skills!E19-IF(TRUE=TRUE,Inputs!$B$32,0)))*(1-IF(AND(ArtifactsInput!$M$27,Inputs!$B$4="Chapter Hunt"),CHOOSE(ArtifactsInput!$N$27+1,20,24,28,32,36,40),0)/100)),0)</f>
        <v>3.3333333333333333E-2</v>
      </c>
      <c r="R573">
        <f>IF(AND(Inputs!$B$38&lt;&gt;"pvp",Inputs!$B$43&gt;0),IF(Inputs!$B$43&lt;=0,0,(INT(Inputs!$B$43/(IF(Inputs!$B$38="pvp",15,MAX(0.1,Skills!E19-IF(TRUE=TRUE,Inputs!$B$32,0)))*(1-IF(AND(ArtifactsInput!$M$27,Inputs!$B$4="Chapter Hunt"),CHOOSE(ArtifactsInput!$N$27+1,20,24,28,32,36,40),0)/100)))+1)),0)</f>
        <v>2</v>
      </c>
      <c r="S573">
        <v>0</v>
      </c>
      <c r="U573">
        <v>0</v>
      </c>
    </row>
    <row r="574" spans="1:21" x14ac:dyDescent="0.2">
      <c r="A574" t="str">
        <f>Skills!A20</f>
        <v>MAGIC_CRITICAL_RATE</v>
      </c>
      <c r="B574" t="str">
        <f>Skills!B20</f>
        <v>Magic Critical (Crit Rate)</v>
      </c>
      <c r="C574" t="b">
        <f>TRUE</f>
        <v>1</v>
      </c>
      <c r="D574">
        <f>IF(Skills!C20=1,60+Inputs!$B$25+Inputs!$B$29,IF(Skills!C20=2,90+Inputs!$B$26+Inputs!$B$29,IF(Skills!C20=3,120+Inputs!$B$27+Inputs!$B$29,MAX(0,(Inputs!$B$3-100)*3)+Inputs!$B$28+Inputs!$B$29)))</f>
        <v>184</v>
      </c>
      <c r="E574">
        <f>INDEX(FactorTable!$B$2:$Y$301, MATCH(ROUND(MIN(300,MAX(1,D574)),0), FactorTable!$A$2:$A$301,0), Skills!M20+1)</f>
        <v>1552</v>
      </c>
      <c r="F574">
        <f>IF(Skills!N20=TRUE,(Skills!L20/10)*(E574/1000),Skills!L20/10)+Skills!O20</f>
        <v>12.416</v>
      </c>
      <c r="G574">
        <f>Calc!G20</f>
        <v>1</v>
      </c>
      <c r="H574">
        <f>Calc!H20</f>
        <v>1</v>
      </c>
      <c r="I574">
        <f>IF(Skills!X20&lt;&gt;"",1+(Skills!X20/10)*(Z557/1000)/100,1)</f>
        <v>1</v>
      </c>
      <c r="O574">
        <f>(1-Summary!$B$11)*S574+Summary!$B$11*U574</f>
        <v>0</v>
      </c>
      <c r="P574">
        <f>IF(B595=0,0,O574/B595)</f>
        <v>0</v>
      </c>
      <c r="Q574">
        <f>IFERROR(1/(IF(Inputs!$B$38="pvp",15,MAX(0.1,Skills!E20-IF(TRUE=TRUE,Inputs!$B$32,0)))*(1-IF(AND(ArtifactsInput!$M$27,Inputs!$B$4="Chapter Hunt"),CHOOSE(ArtifactsInput!$N$27+1,20,24,28,32,36,40),0)/100)),0)</f>
        <v>10</v>
      </c>
      <c r="R574">
        <v>0</v>
      </c>
      <c r="S574">
        <v>0</v>
      </c>
      <c r="U574">
        <v>0</v>
      </c>
    </row>
    <row r="575" spans="1:21" x14ac:dyDescent="0.2">
      <c r="A575" t="str">
        <f>Skills!A21</f>
        <v>MAGIC_CRITICAL_DAMAGE</v>
      </c>
      <c r="B575" t="str">
        <f>Skills!B21</f>
        <v>Magic Critical (Crit Damage)</v>
      </c>
      <c r="C575" t="b">
        <f>TRUE</f>
        <v>1</v>
      </c>
      <c r="D575">
        <f>IF(Skills!C21=1,60+Inputs!$B$25+Inputs!$B$29,IF(Skills!C21=2,90+Inputs!$B$26+Inputs!$B$29,IF(Skills!C21=3,120+Inputs!$B$27+Inputs!$B$29,MAX(0,(Inputs!$B$3-100)*3)+Inputs!$B$28+Inputs!$B$29)))</f>
        <v>184</v>
      </c>
      <c r="E575">
        <f>INDEX(FactorTable!$B$2:$Y$301, MATCH(ROUND(MIN(300,MAX(1,D575)),0), FactorTable!$A$2:$A$301,0), Skills!M21+1)</f>
        <v>1552</v>
      </c>
      <c r="F575">
        <f>IF(Skills!N21=TRUE,(Skills!L21/10)*(E575/1000),Skills!L21/10)+Skills!O21</f>
        <v>18.624000000000002</v>
      </c>
      <c r="G575">
        <f>Calc!G21</f>
        <v>1</v>
      </c>
      <c r="H575">
        <f>Calc!H21</f>
        <v>1</v>
      </c>
      <c r="I575">
        <f>IF(Skills!X21&lt;&gt;"",1+(Skills!X21/10)*(Z557/1000)/100,1)</f>
        <v>1</v>
      </c>
      <c r="O575">
        <f>(1-Summary!$B$11)*S575+Summary!$B$11*U575</f>
        <v>0</v>
      </c>
      <c r="P575">
        <f>IF(B595=0,0,O575/B595)</f>
        <v>0</v>
      </c>
      <c r="Q575">
        <f>IFERROR(1/(IF(Inputs!$B$38="pvp",15,MAX(0.1,Skills!E21-IF(TRUE=TRUE,Inputs!$B$32,0)))*(1-IF(AND(ArtifactsInput!$M$27,Inputs!$B$4="Chapter Hunt"),CHOOSE(ArtifactsInput!$N$27+1,20,24,28,32,36,40),0)/100)),0)</f>
        <v>10</v>
      </c>
      <c r="R575">
        <v>0</v>
      </c>
      <c r="S575">
        <v>0</v>
      </c>
      <c r="U575">
        <v>0</v>
      </c>
    </row>
    <row r="576" spans="1:21" x14ac:dyDescent="0.2">
      <c r="A576" t="str">
        <f>Skills!A22</f>
        <v>SPELL_MASTERY</v>
      </c>
      <c r="B576" t="str">
        <f>Skills!B22</f>
        <v>Spell Mastery</v>
      </c>
      <c r="C576" t="b">
        <f>TRUE</f>
        <v>1</v>
      </c>
      <c r="D576">
        <f>IF(Skills!C22=1,60+Inputs!$B$25+Inputs!$B$29,IF(Skills!C22=2,90+Inputs!$B$26+Inputs!$B$29,IF(Skills!C22=3,120+Inputs!$B$27+Inputs!$B$29,MAX(0,(Inputs!$B$3-100)*3)+Inputs!$B$28+Inputs!$B$29)))</f>
        <v>168</v>
      </c>
      <c r="E576">
        <f>INDEX(FactorTable!$B$2:$Y$301, MATCH(ROUND(MIN(300,MAX(1,D576)),0), FactorTable!$A$2:$A$301,0), Skills!M22+1)</f>
        <v>1504</v>
      </c>
      <c r="F576">
        <f>IF(Skills!N22=TRUE,(Skills!L22/10)*(E576/1000),Skills!L22/10)+Skills!O22</f>
        <v>22.56</v>
      </c>
      <c r="G576">
        <f>Calc!G22</f>
        <v>1</v>
      </c>
      <c r="H576">
        <f>Calc!H22</f>
        <v>1</v>
      </c>
      <c r="I576">
        <f>IF(Skills!X22&lt;&gt;"",1+(Skills!X22/10)*(Z557/1000)/100,1)</f>
        <v>1</v>
      </c>
      <c r="O576">
        <f>(1-Summary!$B$11)*S576+Summary!$B$11*U576</f>
        <v>0</v>
      </c>
      <c r="P576">
        <f>IF(B595=0,0,O576/B595)</f>
        <v>0</v>
      </c>
      <c r="Q576">
        <f>IFERROR(1/(IF(Inputs!$B$38="pvp",15,MAX(0.1,Skills!E22-IF(TRUE=TRUE,Inputs!$B$32,0)))*(1-IF(AND(ArtifactsInput!$M$27,Inputs!$B$4="Chapter Hunt"),CHOOSE(ArtifactsInput!$N$27+1,20,24,28,32,36,40),0)/100)),0)</f>
        <v>10</v>
      </c>
      <c r="R576">
        <v>0</v>
      </c>
      <c r="S576">
        <v>0</v>
      </c>
      <c r="U576">
        <v>0</v>
      </c>
    </row>
    <row r="577" spans="1:21" x14ac:dyDescent="0.2">
      <c r="A577" t="str">
        <f>Skills!A23</f>
        <v>ELEMENT_AMPLIFICATION</v>
      </c>
      <c r="B577" t="str">
        <f>Skills!B23</f>
        <v>Element Amplification</v>
      </c>
      <c r="C577" t="b">
        <f>TRUE</f>
        <v>1</v>
      </c>
      <c r="D577">
        <f>IF(Skills!C23=1,60+Inputs!$B$25+Inputs!$B$29,IF(Skills!C23=2,90+Inputs!$B$26+Inputs!$B$29,IF(Skills!C23=3,120+Inputs!$B$27+Inputs!$B$29,MAX(0,(Inputs!$B$3-100)*3)+Inputs!$B$28+Inputs!$B$29)))</f>
        <v>185</v>
      </c>
      <c r="E577">
        <f>INDEX(FactorTable!$B$2:$Y$301, MATCH(ROUND(MIN(300,MAX(1,D577)),0), FactorTable!$A$2:$A$301,0), Skills!M23+1)</f>
        <v>1555</v>
      </c>
      <c r="F577">
        <f>IF(Skills!N23=TRUE,(Skills!L23/10)*(E577/1000),Skills!L23/10)+Skills!O23</f>
        <v>23.324999999999999</v>
      </c>
      <c r="G577">
        <f>Calc!G23</f>
        <v>1</v>
      </c>
      <c r="H577">
        <f>Calc!H23</f>
        <v>1</v>
      </c>
      <c r="I577">
        <f>IF(Skills!X23&lt;&gt;"",1+(Skills!X23/10)*(Z557/1000)/100,1)</f>
        <v>1</v>
      </c>
      <c r="O577">
        <f>(1-Summary!$B$11)*S577+Summary!$B$11*U577</f>
        <v>0</v>
      </c>
      <c r="P577">
        <f>IF(B595=0,0,O577/B595)</f>
        <v>0</v>
      </c>
      <c r="Q577">
        <f>IFERROR(1/(IF(Inputs!$B$38="pvp",15,MAX(0.1,Skills!E23-IF(TRUE=TRUE,Inputs!$B$32,0)))*(1-IF(AND(ArtifactsInput!$M$27,Inputs!$B$4="Chapter Hunt"),CHOOSE(ArtifactsInput!$N$27+1,20,24,28,32,36,40),0)/100)),0)</f>
        <v>10</v>
      </c>
      <c r="R577">
        <v>0</v>
      </c>
      <c r="S577">
        <v>0</v>
      </c>
      <c r="U577">
        <v>0</v>
      </c>
    </row>
    <row r="578" spans="1:21" x14ac:dyDescent="0.2">
      <c r="A578" t="str">
        <f>Skills!A24</f>
        <v>IFRIT</v>
      </c>
      <c r="B578" t="str">
        <f>Skills!B24</f>
        <v>Ifrit</v>
      </c>
      <c r="C578" t="b">
        <f>Inputs!$B$3&gt;=115</f>
        <v>1</v>
      </c>
      <c r="D578">
        <f>IF(Skills!C24=1,60+Inputs!$B$25+Inputs!$B$29,IF(Skills!C24=2,90+Inputs!$B$26+Inputs!$B$29,IF(Skills!C24=3,120+Inputs!$B$27+Inputs!$B$29,MAX(0,(Inputs!$B$3-100)*3)+Inputs!$B$28+Inputs!$B$29)))</f>
        <v>185</v>
      </c>
      <c r="E578">
        <f>INDEX(FactorTable!$B$2:$Y$301, MATCH(ROUND(MIN(300,MAX(1,D578)),0), FactorTable!$A$2:$A$301,0), Skills!M24+1)</f>
        <v>1925</v>
      </c>
      <c r="F578">
        <f>IF(Skills!N24=TRUE,(Skills!L24/10)*(E578/1000),Skills!L24/10)+Skills!O24</f>
        <v>6737.5</v>
      </c>
      <c r="G578">
        <f>Calc!G24</f>
        <v>7.5</v>
      </c>
      <c r="H578">
        <f>Calc!H24</f>
        <v>1</v>
      </c>
      <c r="I578">
        <f>IF(Skills!X24&lt;&gt;"",1+(Skills!X24/10)*(Z557/1000)/100,1)</f>
        <v>1</v>
      </c>
      <c r="J578">
        <f>((Inputs!$B$6*(1+Inputs!$B$7/100))+(((Inputs!$B$12*(1+Inputs!$B$13/100))-(Inputs!$B$12*(1+Inputs!$B$13/100)))+0.25*(Inputs!$B$14-Inputs!$B$14))*(1+Inputs!$B$7/100))*(F578/100)</f>
        <v>24331438378.718628</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122254691758863.89</v>
      </c>
      <c r="L578">
        <f>K578*(MIN(Inputs!$B$22+(F576-Calc!F22),(Inputs!$B$23+(IF(ArtifactsInput!$M$15,CHOOSE(ArtifactsInput!$N$15+1,25,30,35,40,45,50)/100*(((1-(1-Inputs!$B$11/150)*(1-1/150))*150)-Inputs!$B$11),0))))/100+(Inputs!$B$23+(IF(ArtifactsInput!$M$15,CHOOSE(ArtifactsInput!$N$15+1,25,30,35,40,45,50)/100*(((1-(1-Inputs!$B$11/150)*(1-1/150))*150)-Inputs!$B$11),0)))/100)/2</f>
        <v>406650524245763.31</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1918983823915756.8</v>
      </c>
      <c r="N578">
        <f>L578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1918983823915756.8</v>
      </c>
      <c r="O578">
        <f>(1-Summary!$B$11)*S578+Summary!$B$11*U578</f>
        <v>2194837748603646.5</v>
      </c>
      <c r="P578">
        <f>IF(B595=0,0,O578/B595)</f>
        <v>6.6199258005221542E-2</v>
      </c>
      <c r="Q578">
        <f>IFERROR(1/(IF(Inputs!$B$38="pvp",15,MAX(0.1,Skills!E24-IF(TRUE=TRUE,Inputs!$B$32,0)))*(1-IF(AND(ArtifactsInput!$M$27,Inputs!$B$4="Chapter Hunt"),CHOOSE(ArtifactsInput!$N$27+1,20,24,28,32,36,40),0)/100)),0)</f>
        <v>1.2500000000000001E-2</v>
      </c>
      <c r="R578">
        <f>IF(AND(Inputs!$B$38&lt;&gt;"pvp",Inputs!$B$43&gt;0),IF(MAX(0,Inputs!$B$43-B592)&lt;=0,0,(INT(MAX(0,Inputs!$B$43-B592)/(IF(Inputs!$B$38="pvp",15,MAX(0.1,Skills!E24-IF(TRUE=TRUE,Inputs!$B$32,0)))*(1-IF(AND(ArtifactsInput!$M$27,Inputs!$B$4="Chapter Hunt"),CHOOSE(ArtifactsInput!$N$27+1,20,24,28,32,36,40),0)/100)))+1)),0)</f>
        <v>1</v>
      </c>
      <c r="S578">
        <f>IF(C578,(H578*N578*IF(AND(Inputs!$B$38&lt;&gt;"pvp",Inputs!$B$43&gt;0),((Skills!G24*((R578-1)*IF(Skills!H24&gt;0,Skills!I24/Skills!H24,1)+IF(Skills!H24&gt;0,MIN(Skills!I24,MAX(0,MAX(0,Inputs!$B$43-B592)-((R578-1)*(IF(Inputs!$B$38="pvp",15,MAX(0.1,Skills!E24-IF(TRUE=TRUE,Inputs!$B$32,0)))*(1-IF(AND(ArtifactsInput!$M$27,Inputs!$B$4="Chapter Hunt"),CHOOSE(ArtifactsInput!$N$27+1,20,24,28,32,36,40),0)/100)))))/Skills!H24,1)))/Inputs!$B$43),G578*Q578)*(1+IF(Inputs!$B$3&gt;=130,0.2*(Skills!I16/(1/Q569)+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1140596010339927.8</v>
      </c>
      <c r="U578">
        <f>IF(C578,(H578*N578*IF(AND(Inputs!$B$38&lt;&gt;"pvp",Inputs!$B$43&gt;0),((Skills!G24*((R578-1)*IF(Skills!H24&gt;0,Skills!I24/Skills!H24,1)+IF(Skills!H24&gt;0,MIN(Skills!I24,MAX(0,MAX(0,Inputs!$B$43-B592)-((R578-1)*(IF(Inputs!$B$38="pvp",15,MAX(0.1,Skills!E24-IF(TRUE=TRUE,Inputs!$B$32,0)))*(1-IF(AND(ArtifactsInput!$M$27,Inputs!$B$4="Chapter Hunt"),CHOOSE(ArtifactsInput!$N$27+1,20,24,28,32,36,40),0)/100)))))/Skills!H24,1)))/Inputs!$B$43),G578*Q578)*(1+IF(Inputs!$B$3&gt;=130,0.2*(Skills!I16/(1/Q569)+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3249079486867365.5</v>
      </c>
    </row>
    <row r="579" spans="1:21" x14ac:dyDescent="0.2">
      <c r="A579" t="str">
        <f>Skills!A25</f>
        <v>BUFF_MASTERY</v>
      </c>
      <c r="B579" t="str">
        <f>Skills!B25</f>
        <v>Buff Mastery</v>
      </c>
      <c r="C579" t="b">
        <f>Inputs!$B$3&gt;=117</f>
        <v>1</v>
      </c>
      <c r="D579">
        <f>IF(Skills!C25=1,60+Inputs!$B$25+Inputs!$B$29,IF(Skills!C25=2,90+Inputs!$B$26+Inputs!$B$29,IF(Skills!C25=3,120+Inputs!$B$27+Inputs!$B$29,MAX(0,(Inputs!$B$3-100)*3)+Inputs!$B$28+Inputs!$B$29)))</f>
        <v>185</v>
      </c>
      <c r="E579">
        <f>INDEX(FactorTable!$B$2:$Y$301, MATCH(ROUND(MIN(300,MAX(1,D579)),0), FactorTable!$A$2:$A$301,0), Skills!M25+1)</f>
        <v>1555</v>
      </c>
      <c r="F579">
        <f>IF(Skills!N25=TRUE,(Skills!L25/10)*(E579/1000),Skills!L25/10)+Skills!O25</f>
        <v>15.549999999999999</v>
      </c>
      <c r="G579">
        <f>Calc!G25</f>
        <v>1</v>
      </c>
      <c r="H579">
        <f>Calc!H25</f>
        <v>1</v>
      </c>
      <c r="I579">
        <f>IF(Skills!X25&lt;&gt;"",1+(Skills!X25/10)*(Z557/1000)/100,1)</f>
        <v>1</v>
      </c>
      <c r="O579">
        <f>(1-Summary!$B$11)*S579+Summary!$B$11*U579</f>
        <v>0</v>
      </c>
      <c r="P579">
        <f>IF(B595=0,0,O579/B595)</f>
        <v>0</v>
      </c>
      <c r="Q579">
        <f>IFERROR(1/(IF(Inputs!$B$38="pvp",15,MAX(0.1,Skills!E25-IF(TRUE=TRUE,Inputs!$B$32,0)))*(1-IF(AND(ArtifactsInput!$M$27,Inputs!$B$4="Chapter Hunt"),CHOOSE(ArtifactsInput!$N$27+1,20,24,28,32,36,40),0)/100)),0)</f>
        <v>10</v>
      </c>
      <c r="R579">
        <v>0</v>
      </c>
      <c r="S579">
        <v>0</v>
      </c>
      <c r="U579">
        <v>0</v>
      </c>
    </row>
    <row r="580" spans="1:21" x14ac:dyDescent="0.2">
      <c r="A580" t="str">
        <f>Skills!A26</f>
        <v>ARCANE_AIM</v>
      </c>
      <c r="B580" t="str">
        <f>Skills!B26</f>
        <v>Arcane Aim</v>
      </c>
      <c r="C580" t="b">
        <f>Inputs!$B$3&gt;=120</f>
        <v>0</v>
      </c>
      <c r="D580">
        <f>IF(Skills!C26=1,60+Inputs!$B$25+Inputs!$B$29,IF(Skills!C26=2,90+Inputs!$B$26+Inputs!$B$29,IF(Skills!C26=3,120+Inputs!$B$27+Inputs!$B$29,MAX(0,(Inputs!$B$3-100)*3)+Inputs!$B$28+Inputs!$B$29)))</f>
        <v>185</v>
      </c>
      <c r="E580">
        <f>INDEX(FactorTable!$B$2:$Y$301, MATCH(ROUND(MIN(300,MAX(1,D580)),0), FactorTable!$A$2:$A$301,0), Skills!M26+1)</f>
        <v>1555</v>
      </c>
      <c r="F580">
        <f>IF(Skills!N26=TRUE,(Skills!L26/10)*(E580/1000),Skills!L26/10)+Skills!O26</f>
        <v>4.665</v>
      </c>
      <c r="G580">
        <f>Calc!G26</f>
        <v>1</v>
      </c>
      <c r="H580">
        <f>Calc!H26</f>
        <v>1</v>
      </c>
      <c r="I580">
        <f>IF(Skills!X26&lt;&gt;"",1+(Skills!X26/10)*(Z557/1000)/100,1)</f>
        <v>1</v>
      </c>
      <c r="O580">
        <f>(1-Summary!$B$11)*S580+Summary!$B$11*U580</f>
        <v>0</v>
      </c>
      <c r="P580">
        <f>IF(B595=0,0,O580/B595)</f>
        <v>0</v>
      </c>
      <c r="Q580">
        <f>IFERROR(1/(IF(Inputs!$B$38="pvp",15,MAX(0.1,Skills!E26-IF(TRUE=TRUE,Inputs!$B$32,0)))*(1-IF(AND(ArtifactsInput!$M$27,Inputs!$B$4="Chapter Hunt"),CHOOSE(ArtifactsInput!$N$27+1,20,24,28,32,36,40),0)/100)),0)</f>
        <v>10</v>
      </c>
      <c r="R580">
        <v>0</v>
      </c>
      <c r="S580">
        <v>0</v>
      </c>
      <c r="U580">
        <v>0</v>
      </c>
    </row>
    <row r="581" spans="1:21" x14ac:dyDescent="0.2">
      <c r="A581" t="str">
        <f>Skills!A27</f>
        <v>FERVENT_DRAIN</v>
      </c>
      <c r="B581" t="str">
        <f>Skills!B27</f>
        <v>Fervent Drain</v>
      </c>
      <c r="C581" t="b">
        <f>Inputs!$B$3&gt;=125</f>
        <v>0</v>
      </c>
      <c r="D581">
        <f>IF(Skills!C27=1,60+Inputs!$B$25+Inputs!$B$29,IF(Skills!C27=2,90+Inputs!$B$26+Inputs!$B$29,IF(Skills!C27=3,120+Inputs!$B$27+Inputs!$B$29,MAX(0,(Inputs!$B$3-100)*3)+Inputs!$B$28+Inputs!$B$29)))</f>
        <v>185</v>
      </c>
      <c r="E581">
        <f>INDEX(FactorTable!$B$2:$Y$301, MATCH(ROUND(MIN(300,MAX(1,D581)),0), FactorTable!$A$2:$A$301,0), Skills!M27+1)</f>
        <v>1555</v>
      </c>
      <c r="F581">
        <f>IF(Skills!N27=TRUE,(Skills!L27/10)*(E581/1000),Skills!L27/10)+Skills!O27</f>
        <v>6.22</v>
      </c>
      <c r="G581">
        <f>Calc!G27</f>
        <v>1</v>
      </c>
      <c r="H581">
        <f>Calc!H27</f>
        <v>1</v>
      </c>
      <c r="I581">
        <f>IF(Skills!X27&lt;&gt;"",1+(Skills!X27/10)*(Z557/1000)/100,1)</f>
        <v>1</v>
      </c>
      <c r="O581">
        <f>(1-Summary!$B$11)*S581+Summary!$B$11*U581</f>
        <v>0</v>
      </c>
      <c r="P581">
        <f>IF(B595=0,0,O581/B595)</f>
        <v>0</v>
      </c>
      <c r="Q581">
        <f>IFERROR(1/(IF(Inputs!$B$38="pvp",15,MAX(0.1,Skills!E27-IF(TRUE=TRUE,Inputs!$B$32,0)))*(1-IF(AND(ArtifactsInput!$M$27,Inputs!$B$4="Chapter Hunt"),CHOOSE(ArtifactsInput!$N$27+1,20,24,28,32,36,40),0)/100)),0)</f>
        <v>10</v>
      </c>
      <c r="R581">
        <v>0</v>
      </c>
      <c r="S581">
        <v>0</v>
      </c>
      <c r="U581">
        <v>0</v>
      </c>
    </row>
    <row r="582" spans="1:21" x14ac:dyDescent="0.2">
      <c r="A582" t="str">
        <f>Skills!A28</f>
        <v>FLAME_HAZE_FOG</v>
      </c>
      <c r="B582" t="str">
        <f>Skills!B28</f>
        <v>Flame Haze (poison fog DoT)</v>
      </c>
      <c r="C582" t="b">
        <f>Inputs!$B$3&gt;=118</f>
        <v>0</v>
      </c>
      <c r="D582">
        <f>IF(Skills!C28=1,60+Inputs!$B$25+Inputs!$B$29,IF(Skills!C28=2,90+Inputs!$B$26+Inputs!$B$29,IF(Skills!C28=3,120+Inputs!$B$27+Inputs!$B$29,MAX(0,(Inputs!$B$3-100)*3)+Inputs!$B$28+Inputs!$B$29)))</f>
        <v>185</v>
      </c>
      <c r="E582">
        <f>INDEX(FactorTable!$B$2:$Y$301, MATCH(ROUND(MIN(300,MAX(1,D582)),0), FactorTable!$A$2:$A$301,0), Skills!M28+1)</f>
        <v>1925</v>
      </c>
      <c r="F582">
        <f>IF(Skills!N28=TRUE,(Skills!L28/10)*(E582/1000),Skills!L28/10)+Skills!O28</f>
        <v>134.75</v>
      </c>
      <c r="G582">
        <f>Calc!G28</f>
        <v>50</v>
      </c>
      <c r="H582">
        <f>Calc!H28</f>
        <v>1</v>
      </c>
      <c r="I582">
        <f>IF(Skills!X28&lt;&gt;"",1+(Skills!X28/10)*(Z557/1000)/100,1)</f>
        <v>1</v>
      </c>
      <c r="J582">
        <f>((Inputs!$B$6*(1+Inputs!$B$7/100))+(((Inputs!$B$12*(1+Inputs!$B$13/100))-(Inputs!$B$12*(1+Inputs!$B$13/100)))+0.25*(Inputs!$B$14-Inputs!$B$14))*(1+Inputs!$B$7/100))*(F582/100)</f>
        <v>486628767.57437253</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2445093835177.2773</v>
      </c>
      <c r="L582">
        <f>K582*(MIN(Inputs!$B$22+(F576-Calc!F22),(Inputs!$B$23+(IF(ArtifactsInput!$M$15,CHOOSE(ArtifactsInput!$N$15+1,25,30,35,40,45,50)/100*(((1-(1-Inputs!$B$11/150)*(1-1/150))*150)-Inputs!$B$11),0))))/100+(Inputs!$B$23+(IF(ArtifactsInput!$M$15,CHOOSE(ArtifactsInput!$N$15+1,25,30,35,40,45,50)/100*(((1-(1-Inputs!$B$11/150)*(1-1/150))*150)-Inputs!$B$11),0)))/100)/2</f>
        <v>8133010484915.2646</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38379676478315.133</v>
      </c>
      <c r="N582">
        <f>L582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38379676478315.133</v>
      </c>
      <c r="O582">
        <f>(1-Summary!$B$11)*S582+Summary!$B$11*U582</f>
        <v>0</v>
      </c>
      <c r="P582">
        <f>IF(B595=0,0,O582/B595)</f>
        <v>0</v>
      </c>
      <c r="Q582">
        <f>IFERROR(1/(IF(Inputs!$B$38="pvp",15,MAX(0.1,Skills!E28-IF(TRUE=TRUE,Inputs!$B$32,0)))*(1-IF(AND(ArtifactsInput!$M$27,Inputs!$B$4="Chapter Hunt"),CHOOSE(ArtifactsInput!$N$27+1,20,24,28,32,36,40),0)/100)),0)</f>
        <v>0.04</v>
      </c>
      <c r="R582">
        <f>IF(AND(Inputs!$B$38&lt;&gt;"pvp",Inputs!$B$43&gt;0),IF(MAX(0,Inputs!$B$43-B592)&lt;=0,0,(INT(MAX(0,Inputs!$B$43-B592)/(IF(Inputs!$B$38="pvp",15,MAX(0.1,Skills!E28-IF(TRUE=TRUE,Inputs!$B$32,0)))*(1-IF(AND(ArtifactsInput!$M$27,Inputs!$B$4="Chapter Hunt"),CHOOSE(ArtifactsInput!$N$27+1,20,24,28,32,36,40),0)/100)))+1)),0)</f>
        <v>2</v>
      </c>
      <c r="S582">
        <f>IF(C582,(H582*N582*IF(AND(Inputs!$B$38&lt;&gt;"pvp",Inputs!$B$43&gt;0),((Skills!G28*((R582-1)*IF(Skills!H28&gt;0,Skills!I28/Skills!H28,1)+IF(Skills!H28&gt;0,MIN(Skills!I28,MAX(0,MAX(0,Inputs!$B$43-B592)-((R582-1)*(IF(Inputs!$B$38="pvp",15,MAX(0.1,Skills!E28-IF(TRUE=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582">
        <f>IF(C582,(H582*N582*IF(AND(Inputs!$B$38&lt;&gt;"pvp",Inputs!$B$43&gt;0),((Skills!G28*((R582-1)*IF(Skills!H28&gt;0,Skills!I28/Skills!H28,1)+IF(Skills!H28&gt;0,MIN(Skills!I28,MAX(0,MAX(0,Inputs!$B$43-B592)-((R582-1)*(IF(Inputs!$B$38="pvp",15,MAX(0.1,Skills!E28-IF(TRUE=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584" spans="1:21" x14ac:dyDescent="0.2">
      <c r="A584" t="s">
        <v>356</v>
      </c>
      <c r="B584">
        <f>1+(F565*Skills!Z11)/100</f>
        <v>1.25</v>
      </c>
    </row>
    <row r="585" spans="1:21" x14ac:dyDescent="0.2">
      <c r="A585" t="s">
        <v>435</v>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1.18624</v>
      </c>
    </row>
    <row r="586" spans="1:21" x14ac:dyDescent="0.2">
      <c r="A586" t="s">
        <v>358</v>
      </c>
      <c r="B586">
        <f>(1+(F560*IF(AND(Inputs!$B$38&lt;&gt;"pvp",Inputs!$B$43&gt;0),(((R560-1)*MIN((Skills!T6*(1+((Inputs!$B$34+(ArtifactsInput!$M$7-ArtifactsInput!$M$7)*CHOOSE(ArtifactsInput!$N$7+1,6,7.2,8.4,9.6,10.8,12)))/100)),(1/Q560))+MIN((Skills!T6*(1+((Inputs!$B$34+(ArtifactsInput!$M$7-ArtifactsInput!$M$7)*CHOOSE(ArtifactsInput!$N$7+1,6,7.2,8.4,9.6,10.8,12)))/100)),MAX(0,Inputs!$B$43-((R560-1)*(1/Q560)))))/Inputs!$B$43),IF(Inputs!$B$38="pvp",MIN((Skills!T6*(1+((Inputs!$B$34+(ArtifactsInput!$M$7-ArtifactsInput!$M$7)*CHOOSE(ArtifactsInput!$N$7+1,6,7.2,8.4,9.6,10.8,12)))/100)),15)/15,MIN(1,(Skills!T6*(1+((Inputs!$B$34+(ArtifactsInput!$M$7-ArtifactsInput!$M$7)*CHOOSE(ArtifactsInput!$N$7+1,6,7.2,8.4,9.6,10.8,12)))/100))/(1/Q560))))+F571*IF(AND(Inputs!$B$38&lt;&gt;"pvp",Inputs!$B$43&gt;0),(((R571-1)*MIN((Skills!T17*(1+((Inputs!$B$34+(ArtifactsInput!$M$7-ArtifactsInput!$M$7)*CHOOSE(ArtifactsInput!$N$7+1,6,7.2,8.4,9.6,10.8,12)))/100)),(1/Q571))+MIN((Skills!T17*(1+((Inputs!$B$34+(ArtifactsInput!$M$7-ArtifactsInput!$M$7)*CHOOSE(ArtifactsInput!$N$7+1,6,7.2,8.4,9.6,10.8,12)))/100)),MAX(0,Inputs!$B$43-((R571-1)*(1/Q571)))))/Inputs!$B$43),IF(Inputs!$B$38="pvp",MIN((Skills!T17*(1+((Inputs!$B$34+(ArtifactsInput!$M$7-ArtifactsInput!$M$7)*CHOOSE(ArtifactsInput!$N$7+1,6,7.2,8.4,9.6,10.8,12)))/100)),15)/15,MIN(1,(Skills!T17*(1+((Inputs!$B$34+(ArtifactsInput!$M$7-ArtifactsInput!$M$7)*CHOOSE(ArtifactsInput!$N$7+1,6,7.2,8.4,9.6,10.8,12)))/100))/(1/Q571)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MIN((Skills!T19*(1+((Inputs!$B$34+(ArtifactsInput!$M$7-ArtifactsInput!$M$7)*CHOOSE(ArtifactsInput!$N$7+1,6,7.2,8.4,9.6,10.8,12)))/100)),(1/Q573))+MIN((Skills!T19*(1+((Inputs!$B$34+(ArtifactsInput!$M$7-ArtifactsInput!$M$7)*CHOOSE(ArtifactsInput!$N$7+1,6,7.2,8.4,9.6,10.8,12)))/100)),MAX(0,Inputs!$B$43-((R573-1)*(1/Q573)))))/Inputs!$B$43),IF(Inputs!$B$38="pvp",MIN((Skills!T19*(1+((Inputs!$B$34+(ArtifactsInput!$M$7-ArtifactsInput!$M$7)*CHOOSE(ArtifactsInput!$N$7+1,6,7.2,8.4,9.6,10.8,12)))/100)),15)/15,MIN(1,(Skills!T19*(1+((Inputs!$B$34+(ArtifactsInput!$M$7-ArtifactsInput!$M$7)*CHOOSE(ArtifactsInput!$N$7+1,6,7.2,8.4,9.6,10.8,12)))/100))/(1/Q573))))/100),1)</f>
        <v>1.7965808377980694</v>
      </c>
    </row>
    <row r="587" spans="1:21" x14ac:dyDescent="0.2">
      <c r="A587" t="s">
        <v>359</v>
      </c>
      <c r="B587">
        <f>F572*IF(AND(Inputs!$B$38&lt;&gt;"pvp",Inputs!$B$43&gt;0),(((R572-1)*MIN((Skills!T18*(1+((Inputs!$B$34+(ArtifactsInput!$M$7-ArtifactsInput!$M$7)*CHOOSE(ArtifactsInput!$N$7+1,6,7.2,8.4,9.6,10.8,12)))/100)),(1/Q572))+MIN((Skills!T18*(1+((Inputs!$B$34+(ArtifactsInput!$M$7-ArtifactsInput!$M$7)*CHOOSE(ArtifactsInput!$N$7+1,6,7.2,8.4,9.6,10.8,12)))/100)),MAX(0,Inputs!$B$43-((R572-1)*(1/Q572)))))/Inputs!$B$43),IF(Inputs!$B$38="pvp",MIN((Skills!T18*(1+((Inputs!$B$34+(ArtifactsInput!$M$7-ArtifactsInput!$M$7)*CHOOSE(ArtifactsInput!$N$7+1,6,7.2,8.4,9.6,10.8,12)))/100)),15)/15,MIN(1,(Skills!T18*(1+((Inputs!$B$34+(ArtifactsInput!$M$7-ArtifactsInput!$M$7)*CHOOSE(ArtifactsInput!$N$7+1,6,7.2,8.4,9.6,10.8,12)))/100))/(1/Q572))))</f>
        <v>6.4968749999999993</v>
      </c>
    </row>
    <row r="588" spans="1:21" x14ac:dyDescent="0.2">
      <c r="A588" t="s">
        <v>436</v>
      </c>
      <c r="B588">
        <f>1+MIN(150,150*(1-(1-(((1-(1-Inputs!$B$11/150)*(1-1/150))*150)+(ArtifactsInput!$M$15-ArtifactsInput!$M$15)*CHOOSE(ArtifactsInput!$N$15+1,8,9.6,11.2,12.8,14.4,16))/150)*(1-B587/150)))/100</f>
        <v>1.7036405691666667</v>
      </c>
    </row>
    <row r="589" spans="1:21" x14ac:dyDescent="0.2">
      <c r="A589" t="s">
        <v>437</v>
      </c>
      <c r="B589">
        <f>IF(AND(Inputs!$B$38&lt;&gt;"pvp",Inputs!$B$43&gt;0),SUMPRODUCT((Skills!F2:F28=TRUE)*(C556:C582=TRUE)*R556:R582)/Inputs!$B$43,SUMPRODUCT((Skills!F2:F28=TRUE)*(C556:C582=TRUE)*Q556:Q582))</f>
        <v>0.47499999999999998</v>
      </c>
    </row>
    <row r="590" spans="1:21" x14ac:dyDescent="0.2">
      <c r="A590" t="s">
        <v>362</v>
      </c>
      <c r="B590">
        <f>MAX(0,B588-B589)</f>
        <v>1.2286405691666666</v>
      </c>
    </row>
    <row r="591" spans="1:21" x14ac:dyDescent="0.2">
      <c r="A591" t="s">
        <v>438</v>
      </c>
      <c r="B591">
        <f>IF(AND(Inputs!$B$38&lt;&gt;"pvp",Inputs!$B$43&gt;0),SUMPRODUCT((Skills!V2:V28=TRUE)*(C556:C582=TRUE)*R556:R582*Skills!W2:W28)/Inputs!$B$43,SUMPRODUCT((Skills!V2:V28=TRUE)*(C556:C582=TRUE)*Q556:Q582*Skills!W2:W28))+B590</f>
        <v>1.5536405691666666</v>
      </c>
    </row>
    <row r="592" spans="1:21" x14ac:dyDescent="0.2">
      <c r="A592" t="s">
        <v>439</v>
      </c>
      <c r="B592">
        <f>IF(AND(Inputs!$B$38&lt;&gt;"pvp",Inputs!$B$43&gt;0),SUMPRODUCT((Skills!T2:T28&gt;0)*(Skills!F2:F28=TRUE)*(C556:C582=TRUE))/B588,0)</f>
        <v>2.3479130941079869</v>
      </c>
    </row>
    <row r="593" spans="1:26" x14ac:dyDescent="0.2">
      <c r="A593" t="s">
        <v>440</v>
      </c>
      <c r="B593">
        <f>SUM(S556:S582)</f>
        <v>9530988763808520</v>
      </c>
    </row>
    <row r="594" spans="1:26" x14ac:dyDescent="0.2">
      <c r="A594" t="s">
        <v>441</v>
      </c>
      <c r="B594">
        <f>SUM(U556:U582)</f>
        <v>5.67790520052444E+16</v>
      </c>
    </row>
    <row r="595" spans="1:26" x14ac:dyDescent="0.2">
      <c r="A595" s="6" t="s">
        <v>348</v>
      </c>
      <c r="B595" s="6">
        <f>SUM(O556:O582)</f>
        <v>3.3155020384526456E+16</v>
      </c>
    </row>
    <row r="598" spans="1:26" x14ac:dyDescent="0.2">
      <c r="A598" s="6" t="s">
        <v>453</v>
      </c>
    </row>
    <row r="599" spans="1:26" x14ac:dyDescent="0.2">
      <c r="A599" s="5" t="s">
        <v>136</v>
      </c>
      <c r="B599" s="5" t="s">
        <v>137</v>
      </c>
      <c r="C599" s="5" t="s">
        <v>328</v>
      </c>
      <c r="D599" s="5" t="s">
        <v>329</v>
      </c>
      <c r="E599" s="5" t="s">
        <v>330</v>
      </c>
      <c r="F599" s="5" t="s">
        <v>331</v>
      </c>
      <c r="G599" s="5" t="s">
        <v>332</v>
      </c>
      <c r="H599" s="5" t="s">
        <v>333</v>
      </c>
      <c r="I599" s="5" t="s">
        <v>334</v>
      </c>
      <c r="J599" s="5" t="s">
        <v>335</v>
      </c>
      <c r="K599" s="5" t="s">
        <v>336</v>
      </c>
      <c r="L599" s="5" t="s">
        <v>337</v>
      </c>
      <c r="M599" s="5" t="s">
        <v>338</v>
      </c>
      <c r="N599" s="5" t="s">
        <v>339</v>
      </c>
      <c r="O599" s="5" t="s">
        <v>340</v>
      </c>
      <c r="P599" s="5" t="s">
        <v>341</v>
      </c>
      <c r="R599" t="s">
        <v>434</v>
      </c>
    </row>
    <row r="600" spans="1:26" x14ac:dyDescent="0.2">
      <c r="A600" t="str">
        <f>Skills!A2</f>
        <v>BASIC_ATTACK</v>
      </c>
      <c r="B600" t="str">
        <f>Skills!B2</f>
        <v>Basic Attack</v>
      </c>
      <c r="C600" t="b">
        <f>TRUE</f>
        <v>1</v>
      </c>
      <c r="F600">
        <f>T602+Skills!O2</f>
        <v>537.6</v>
      </c>
      <c r="G600">
        <f>Calc!G2</f>
        <v>5</v>
      </c>
      <c r="H600">
        <f>Calc!H2</f>
        <v>1</v>
      </c>
      <c r="I600">
        <f>IF(Skills!X2&lt;&gt;"",1+(Skills!X2/10)*(Z601/1000)/100,1)</f>
        <v>1</v>
      </c>
      <c r="J600">
        <f>((Inputs!$B$6*(1+Inputs!$B$7/100))+(((Inputs!$B$12*(1+Inputs!$B$13/100))-(Inputs!$B$12*(1+Inputs!$B$13/100)))+0.25*(Inputs!$B$14-Inputs!$B$14))*(1+Inputs!$B$7/100))*(F600/100)</f>
        <v>1941459186.9980164</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6646462021983.8281</v>
      </c>
      <c r="L600">
        <f>K600*(MIN(Inputs!$B$22+(F620-Calc!F22),(Inputs!$B$23+(IF(ArtifactsInput!$M$15,CHOOSE(ArtifactsInput!$N$15+1,25,30,35,40,45,50)/100*(Inputs!$B$11-Inputs!$B$11),0))))/100+(Inputs!$B$23+(IF(ArtifactsInput!$M$15,CHOOSE(ArtifactsInput!$N$15+1,25,30,35,40,45,50)/100*(Inputs!$B$11-Inputs!$B$11),0)))/100)/2</f>
        <v>22099486223096.23</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104287475486791.09</v>
      </c>
      <c r="N600">
        <f>L600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104287475486791.09</v>
      </c>
      <c r="O600">
        <f>(1-Summary!$B$11)*S600+Summary!$B$11*U600</f>
        <v>1.2562892838885354E+16</v>
      </c>
      <c r="P600">
        <f>IF(B639=0,0,O600/B639)</f>
        <v>0.37819938885449511</v>
      </c>
      <c r="Q600">
        <f>IFERROR(1/(IF(Inputs!$B$38="pvp",15,MAX(0.1,Skills!E2-IF(TRUE=TRUE,Inputs!$B$32,0)))*(1-IF(AND(ArtifactsInput!$M$27,Inputs!$B$4="Chapter Hunt"),CHOOSE(ArtifactsInput!$N$27+1,20,24,28,32,36,40),0)/100)),0)</f>
        <v>10</v>
      </c>
      <c r="R600">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2085842070736486.8</v>
      </c>
      <c r="T600">
        <f>MAX(0,(Inputs!$B$3-100)*3)+Inputs!$B$28+Inputs!$B$29</f>
        <v>185</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2.303994360703422E+16</v>
      </c>
      <c r="Z600">
        <f>MAX(0,(Inputs!$B$3-100)*3)+Inputs!$B$28+Inputs!$B$29</f>
        <v>185</v>
      </c>
    </row>
    <row r="601" spans="1:26" x14ac:dyDescent="0.2">
      <c r="A601" t="str">
        <f>Skills!A3</f>
        <v>IGNITE</v>
      </c>
      <c r="B601" t="str">
        <f>Skills!B3</f>
        <v>Ignite</v>
      </c>
      <c r="C601" t="b">
        <f>TRUE</f>
        <v>1</v>
      </c>
      <c r="D601">
        <f>IF(Skills!C3=1,60+Inputs!$B$25+Inputs!$B$29,IF(Skills!C3=2,90+Inputs!$B$26+Inputs!$B$29,IF(Skills!C3=3,120+Inputs!$B$27+Inputs!$B$29,MAX(0,(Inputs!$B$3-100)*3)+Inputs!$B$28+Inputs!$B$29)))</f>
        <v>168</v>
      </c>
      <c r="E601">
        <f>INDEX(FactorTable!$B$2:$Y$301, MATCH(ROUND(MIN(300,MAX(1,D601)),0), FactorTable!$A$2:$A$301,0), Skills!M3+1)</f>
        <v>1672</v>
      </c>
      <c r="F601">
        <f>IF(Skills!N3=TRUE,(Skills!L3/10)*(E601/1000),Skills!L3/10)+Skills!O3</f>
        <v>121.736</v>
      </c>
      <c r="G601">
        <f>Calc!G3</f>
        <v>3</v>
      </c>
      <c r="H601">
        <f>Calc!H3</f>
        <v>1</v>
      </c>
      <c r="I601">
        <f>IF(Skills!X3&lt;&gt;"",1+(Skills!X3/10)*(Z601/1000)/100,1)</f>
        <v>4.8250000000000002</v>
      </c>
      <c r="J601">
        <f>((Inputs!$B$6*(1+Inputs!$B$7/100))+(((Inputs!$B$12*(1+Inputs!$B$13/100))-(Inputs!$B$12*(1+Inputs!$B$13/100)))+0.25*(Inputs!$B$14-Inputs!$B$14))*(1+Inputs!$B$7/100))*(F601/100)</f>
        <v>439630720.9605478</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10700689978751.371</v>
      </c>
      <c r="L601">
        <f>K601*(MIN(Inputs!$B$22+(F620-Calc!F22),(Inputs!$B$23+(IF(ArtifactsInput!$M$15,CHOOSE(ArtifactsInput!$N$15+1,25,30,35,40,45,50)/100*(Inputs!$B$11-Inputs!$B$11),0))))/100+(Inputs!$B$23+(IF(ArtifactsInput!$M$15,CHOOSE(ArtifactsInput!$N$15+1,25,30,35,40,45,50)/100*(Inputs!$B$11-Inputs!$B$11),0)))/100)/2</f>
        <v>35579794179348.312</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167901048732344.66</v>
      </c>
      <c r="N601">
        <f>L601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167901048732344.66</v>
      </c>
      <c r="O601">
        <f>(1-Summary!$B$11)*S601+Summary!$B$11*U601</f>
        <v>2918959732211812</v>
      </c>
      <c r="P601">
        <f>IF(B639=0,0,O601/B639)</f>
        <v>8.7873772463965077E-2</v>
      </c>
      <c r="Q601">
        <f>IFERROR(1/(IF(Inputs!$B$38="pvp",15,MAX(0.1,Skills!E3-IF(FALSE=TRUE,Inputs!$B$32,0)))*(1-IF(AND(ArtifactsInput!$M$27,Inputs!$B$4="Chapter Hunt"),CHOOSE(ArtifactsInput!$N$27+1,20,24,28,32,36,40),0)/100)),0)</f>
        <v>1</v>
      </c>
      <c r="R601">
        <f>IF(AND(Inputs!$B$38&lt;&gt;"pvp",Inputs!$B$43&gt;0),IF(MAX(0,Inputs!$B$43-B636)&lt;=0,0,(INT(MAX(0,Inputs!$B$43-B636)/(IF(Inputs!$B$38="pvp",15,MAX(0.1,Skills!E3-IF(FALSE=TRUE,Inputs!$B$32,0)))*(1-IF(AND(ArtifactsInput!$M$27,Inputs!$B$4="Chapter Hunt"),CHOOSE(ArtifactsInput!$N$27+1,20,24,28,32,36,40),0)/100)))+1)),0)</f>
        <v>38</v>
      </c>
      <c r="S601">
        <f>IF(C601,(H601*N601*IF(AND(Inputs!$B$38&lt;&gt;"pvp",Inputs!$B$43&gt;0),((Skills!G3*((R601-1)*IF(Skills!H3&gt;0,Skills!I3/Skills!H3,1)+IF(Skills!H3&gt;0,MIN(Skills!I3,MAX(0,MAX(0,Inputs!$B$43-B636)-((R601-1)*(IF(Inputs!$B$38="pvp",15,MAX(0.1,Skills!E3-IF(FALSE=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1516902024772368</v>
      </c>
      <c r="T601">
        <f>INDEX(FactorTable!$B$2:$Y$301, MATCH(ROUND(MIN(300,MAX(1,T600)),0), FactorTable!$A$2:$A$301,0), 22)</f>
        <v>1740</v>
      </c>
      <c r="U601">
        <f>IF(C601,(H601*N601*IF(AND(Inputs!$B$38&lt;&gt;"pvp",Inputs!$B$43&gt;0),((Skills!G3*((R601-1)*IF(Skills!H3&gt;0,Skills!I3/Skills!H3,1)+IF(Skills!H3&gt;0,MIN(Skills!I3,MAX(0,MAX(0,Inputs!$B$43-B636)-((R601-1)*(IF(Inputs!$B$38="pvp",15,MAX(0.1,Skills!E3-IF(FALSE=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4321017439651256</v>
      </c>
      <c r="Z601">
        <f>INDEX(FactorTable!$B$2:$Y$301, MATCH(ROUND(MIN(300,MAX(1,Z600)),0), FactorTable!$A$2:$A$301,0), 24)</f>
        <v>7650</v>
      </c>
    </row>
    <row r="602" spans="1:26" x14ac:dyDescent="0.2">
      <c r="A602" t="str">
        <f>Skills!A4</f>
        <v>POISON_BREATH</v>
      </c>
      <c r="B602" t="str">
        <f>Skills!B4</f>
        <v>Poison Breath</v>
      </c>
      <c r="C602" t="b">
        <f>TRUE</f>
        <v>1</v>
      </c>
      <c r="D602">
        <f>IF(Skills!C4=1,60+Inputs!$B$25+Inputs!$B$29,IF(Skills!C4=2,90+Inputs!$B$26+Inputs!$B$29,IF(Skills!C4=3,120+Inputs!$B$27+Inputs!$B$29,MAX(0,(Inputs!$B$3-100)*3)+Inputs!$B$28+Inputs!$B$29)))</f>
        <v>168</v>
      </c>
      <c r="E602">
        <f>INDEX(FactorTable!$B$2:$Y$301, MATCH(ROUND(MIN(300,MAX(1,D602)),0), FactorTable!$A$2:$A$301,0), Skills!M4+1)</f>
        <v>1840</v>
      </c>
      <c r="F602">
        <f>IF(Skills!N4=TRUE,(Skills!L4/10)*(E602/1000),Skills!L4/10)+Skills!O4</f>
        <v>438</v>
      </c>
      <c r="G602">
        <f>Calc!G4</f>
        <v>3</v>
      </c>
      <c r="H602">
        <f>Calc!H4</f>
        <v>1</v>
      </c>
      <c r="I602">
        <f>IF(Skills!X4&lt;&gt;"",1+(Skills!X4/10)*(Z601/1000)/100,1)</f>
        <v>7.12</v>
      </c>
      <c r="J602">
        <f>((Inputs!$B$6*(1+Inputs!$B$7/100))+(((Inputs!$B$12*(1+Inputs!$B$13/100))-(Inputs!$B$12*(1+Inputs!$B$13/100)))+0.25*(Inputs!$B$14-Inputs!$B$14))*(1+Inputs!$B$7/100))*(F602/100)</f>
        <v>1581769203.69258</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56813237819535.203</v>
      </c>
      <c r="L602">
        <f>K602*(MIN(Inputs!$B$22+(F620-Calc!F22),(Inputs!$B$23+(IF(ArtifactsInput!$M$15,CHOOSE(ArtifactsInput!$N$15+1,25,30,35,40,45,50)/100*(Inputs!$B$11-Inputs!$B$11),0))))/100+(Inputs!$B$23+(IF(ArtifactsInput!$M$15,CHOOSE(ArtifactsInput!$N$15+1,25,30,35,40,45,50)/100*(Inputs!$B$11-Inputs!$B$11),0)))/100)/2</f>
        <v>188904015749954.56</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891438050324035.5</v>
      </c>
      <c r="N602">
        <f>L602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891438050324035.5</v>
      </c>
      <c r="O602">
        <f>(1-Summary!$B$11)*S602+Summary!$B$11*U602</f>
        <v>2129088353442668.2</v>
      </c>
      <c r="P602">
        <f>IF(B639=0,0,O602/B639)</f>
        <v>6.4095103286790731E-2</v>
      </c>
      <c r="Q602">
        <f>IFERROR(1/(IF(Inputs!$B$38="pvp",15,MAX(0.1,Skills!E4-IF(TRUE=TRUE,Inputs!$B$32,0)))*(1-IF(AND(ArtifactsInput!$M$27,Inputs!$B$4="Chapter Hunt"),CHOOSE(ArtifactsInput!$N$27+1,20,24,28,32,36,40),0)/100)),0)</f>
        <v>5.5555555555555552E-2</v>
      </c>
      <c r="R602">
        <f>IF(AND(Inputs!$B$38&lt;&gt;"pvp",Inputs!$B$43&gt;0),IF(MAX(0,Inputs!$B$43-B636)&lt;=0,0,(INT(MAX(0,Inputs!$B$43-B636)/(IF(Inputs!$B$38="pvp",15,MAX(0.1,Skills!E4-IF(TRUE=TRUE,Inputs!$B$32,0)))*(1-IF(AND(ArtifactsInput!$M$27,Inputs!$B$4="Chapter Hunt"),CHOOSE(ArtifactsInput!$N$27+1,20,24,28,32,36,40),0)/100)))+1)),0)</f>
        <v>3</v>
      </c>
      <c r="S602">
        <f>IF(C602,(H602*N602*IF(AND(Inputs!$B$38&lt;&gt;"pvp",Inputs!$B$43&gt;0),((Skills!G4*((R602-1)*IF(Skills!H4&gt;0,Skills!I4/Skills!H4,1)+IF(Skills!H4&gt;0,MIN(Skills!I4,MAX(0,MAX(0,Inputs!$B$43-B636)-((R602-1)*(IF(Inputs!$B$38="pvp",15,MAX(0.1,Skills!E4-IF(TRUE=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635818189393618.38</v>
      </c>
      <c r="T602">
        <f>290*T601/1000</f>
        <v>504.6</v>
      </c>
      <c r="U602">
        <f>IF(C602,(H602*N602*IF(AND(Inputs!$B$38&lt;&gt;"pvp",Inputs!$B$43&gt;0),((Skills!G4*((R602-1)*IF(Skills!H4&gt;0,Skills!I4/Skills!H4,1)+IF(Skills!H4&gt;0,MIN(Skills!I4,MAX(0,MAX(0,Inputs!$B$43-B636)-((R602-1)*(IF(Inputs!$B$38="pvp",15,MAX(0.1,Skills!E4-IF(TRUE=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3622358517491718</v>
      </c>
    </row>
    <row r="603" spans="1:26" x14ac:dyDescent="0.2">
      <c r="A603" t="str">
        <f>Skills!A5</f>
        <v>ELEMENTAL_DRAIN</v>
      </c>
      <c r="B603" t="str">
        <f>Skills!B5</f>
        <v>Elemental Drain</v>
      </c>
      <c r="C603" t="b">
        <f>TRUE</f>
        <v>1</v>
      </c>
      <c r="D603">
        <f>IF(Skills!C5=1,60+Inputs!$B$25+Inputs!$B$29,IF(Skills!C5=2,90+Inputs!$B$26+Inputs!$B$29,IF(Skills!C5=3,120+Inputs!$B$27+Inputs!$B$29,MAX(0,(Inputs!$B$3-100)*3)+Inputs!$B$28+Inputs!$B$29)))</f>
        <v>168</v>
      </c>
      <c r="E603">
        <f>INDEX(FactorTable!$B$2:$Y$301, MATCH(ROUND(MIN(300,MAX(1,D603)),0), FactorTable!$A$2:$A$301,0), Skills!M5+1)</f>
        <v>1672</v>
      </c>
      <c r="F603">
        <f>IF(Skills!N5=TRUE,(Skills!L5/10)*(E603/1000),Skills!L5/10)+Skills!O5</f>
        <v>20.064</v>
      </c>
      <c r="G603">
        <f>Calc!G5</f>
        <v>5</v>
      </c>
      <c r="H603">
        <f>Calc!H5</f>
        <v>1</v>
      </c>
      <c r="I603">
        <f>IF(Skills!X5&lt;&gt;"",1+(Skills!X5/10)*(Z601/1000)/100,1)</f>
        <v>12.475</v>
      </c>
      <c r="J603">
        <f>((Inputs!$B$6*(1+Inputs!$B$7/100))+(((Inputs!$B$12*(1+Inputs!$B$13/100))-(Inputs!$B$12*(1+Inputs!$B$13/100)))+0.25*(Inputs!$B$14-Inputs!$B$14))*(1+Inputs!$B$7/100))*(F603/100)</f>
        <v>72458030.371890247</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4559881010802.79</v>
      </c>
      <c r="L603">
        <f>K603*(MIN(Inputs!$B$22+(F620-Calc!F22),(Inputs!$B$23+(IF(ArtifactsInput!$M$15,CHOOSE(ArtifactsInput!$N$15+1,25,30,35,40,45,50)/100*(Inputs!$B$11-Inputs!$B$11),0))))/100+(Inputs!$B$23+(IF(ArtifactsInput!$M$15,CHOOSE(ArtifactsInput!$N$15+1,25,30,35,40,45,50)/100*(Inputs!$B$11-Inputs!$B$11),0)))/100)/2</f>
        <v>15161604360919.277</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71547610979178.062</v>
      </c>
      <c r="N603">
        <f>L603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71547610979178.062</v>
      </c>
      <c r="O603">
        <f>(1-Summary!$B$11)*S603+Summary!$B$11*U603</f>
        <v>1050140060146886</v>
      </c>
      <c r="P603">
        <f>IF(B639=0,0,O603/B639)</f>
        <v>3.1613923166633758E-2</v>
      </c>
      <c r="Q603">
        <f>IFERROR(1/(IF(Inputs!$B$38="pvp",15,MAX(0.1,Skills!E5-IF(FALSE=TRUE,Inputs!$B$32,0)))*(1-IF(AND(ArtifactsInput!$M$27,Inputs!$B$4="Chapter Hunt"),CHOOSE(ArtifactsInput!$N$27+1,20,24,28,32,36,40),0)/100)),0)</f>
        <v>1</v>
      </c>
      <c r="R603">
        <f>IF(AND(Inputs!$B$38&lt;&gt;"pvp",Inputs!$B$43&gt;0),IF(MAX(0,Inputs!$B$43-B636)&lt;=0,0,(INT(MAX(0,Inputs!$B$43-B636)/(IF(Inputs!$B$38="pvp",15,MAX(0.1,Skills!E5-IF(FALSE=TRUE,Inputs!$B$32,0)))*(1-IF(AND(ArtifactsInput!$M$27,Inputs!$B$4="Chapter Hunt"),CHOOSE(ArtifactsInput!$N$27+1,20,24,28,32,36,40),0)/100)))+1)),0)</f>
        <v>38</v>
      </c>
      <c r="S603">
        <f>IF(C603,(H603*N603*IF(AND(Inputs!$B$38&lt;&gt;"pvp",Inputs!$B$43&gt;0),((Skills!G5*((R603-1)*IF(Skills!H5&gt;0,Skills!I5/Skills!H5,1)+IF(Skills!H5&gt;0,MIN(Skills!I5,MAX(0,MAX(0,Inputs!$B$43-B636)-((R603-1)*(IF(Inputs!$B$38="pvp",15,MAX(0.1,Skills!E5-IF(FALSE=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1077328152318973.8</v>
      </c>
      <c r="U603">
        <f>IF(C603,(H603*N603*IF(AND(Inputs!$B$38&lt;&gt;"pvp",Inputs!$B$43&gt;0),((Skills!G5*((R603-1)*IF(Skills!H5&gt;0,Skills!I5/Skills!H5,1)+IF(Skills!H5&gt;0,MIN(Skills!I5,MAX(0,MAX(0,Inputs!$B$43-B636)-((R603-1)*(IF(Inputs!$B$38="pvp",15,MAX(0.1,Skills!E5-IF(FALSE=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1022951967974798.4</v>
      </c>
    </row>
    <row r="604" spans="1:26" x14ac:dyDescent="0.2">
      <c r="A604" t="str">
        <f>Skills!A6</f>
        <v>MEDITATION</v>
      </c>
      <c r="B604" t="str">
        <f>Skills!B6</f>
        <v>Meditation</v>
      </c>
      <c r="C604" t="b">
        <f>TRUE</f>
        <v>1</v>
      </c>
      <c r="D604">
        <f>IF(Skills!C6=1,60+Inputs!$B$25+Inputs!$B$29,IF(Skills!C6=2,90+Inputs!$B$26+Inputs!$B$29,IF(Skills!C6=3,120+Inputs!$B$27+Inputs!$B$29,MAX(0,(Inputs!$B$3-100)*3)+Inputs!$B$28+Inputs!$B$29)))</f>
        <v>168</v>
      </c>
      <c r="E604">
        <f>INDEX(FactorTable!$B$2:$Y$301, MATCH(ROUND(MIN(300,MAX(1,D604)),0), FactorTable!$A$2:$A$301,0), Skills!M6+1)</f>
        <v>1672</v>
      </c>
      <c r="F604">
        <f>IF(Skills!N6=TRUE,(Skills!L6/10)*(E604/1000),Skills!L6/10)+Skills!O6</f>
        <v>33.44</v>
      </c>
      <c r="G604">
        <f>Calc!G6</f>
        <v>1</v>
      </c>
      <c r="H604">
        <f>Calc!H6</f>
        <v>1</v>
      </c>
      <c r="I604">
        <f>IF(Skills!X6&lt;&gt;"",1+(Skills!X6/10)*(Z601/1000)/100,1)</f>
        <v>1</v>
      </c>
      <c r="O604">
        <f>(1-Summary!$B$11)*S604+Summary!$B$11*U604</f>
        <v>0</v>
      </c>
      <c r="P604">
        <f>IF(B639=0,0,O604/B639)</f>
        <v>0</v>
      </c>
      <c r="Q604">
        <f>IFERROR(1/(IF(Inputs!$B$38="pvp",15,MAX(0.1,Skills!E6-IF(TRUE=TRUE,Inputs!$B$32,0)))*(1-IF(AND(ArtifactsInput!$M$27,Inputs!$B$4="Chapter Hunt"),CHOOSE(ArtifactsInput!$N$27+1,20,24,28,32,36,40),0)/100)),0)</f>
        <v>3.3333333333333333E-2</v>
      </c>
      <c r="R604">
        <f>IF(AND(Inputs!$B$38&lt;&gt;"pvp",Inputs!$B$43&gt;0),IF(Inputs!$B$43&lt;=0,0,(INT(Inputs!$B$43/(IF(Inputs!$B$38="pvp",15,MAX(0.1,Skills!E6-IF(TRUE=TRUE,Inputs!$B$32,0)))*(1-IF(AND(ArtifactsInput!$M$27,Inputs!$B$4="Chapter Hunt"),CHOOSE(ArtifactsInput!$N$27+1,20,24,28,32,36,40),0)/100)))+1)),0)</f>
        <v>2</v>
      </c>
      <c r="S604">
        <v>0</v>
      </c>
      <c r="U604">
        <v>0</v>
      </c>
    </row>
    <row r="605" spans="1:26" x14ac:dyDescent="0.2">
      <c r="A605" t="str">
        <f>Skills!A7</f>
        <v>POISON_MIST_BURST</v>
      </c>
      <c r="B605" t="str">
        <f>Skills!B7</f>
        <v>Poison Mist (burst)</v>
      </c>
      <c r="C605" t="b">
        <f>TRUE</f>
        <v>1</v>
      </c>
      <c r="D605">
        <f>IF(Skills!C7=1,60+Inputs!$B$25+Inputs!$B$29,IF(Skills!C7=2,90+Inputs!$B$26+Inputs!$B$29,IF(Skills!C7=3,120+Inputs!$B$27+Inputs!$B$29,MAX(0,(Inputs!$B$3-100)*3)+Inputs!$B$28+Inputs!$B$29)))</f>
        <v>184</v>
      </c>
      <c r="E605">
        <f>INDEX(FactorTable!$B$2:$Y$301, MATCH(ROUND(MIN(300,MAX(1,D605)),0), FactorTable!$A$2:$A$301,0), Skills!M7+1)</f>
        <v>1920</v>
      </c>
      <c r="F605">
        <f>IF(Skills!N7=TRUE,(Skills!L7/10)*(E605/1000),Skills!L7/10)+Skills!O7</f>
        <v>357.2</v>
      </c>
      <c r="G605">
        <f>Calc!G7</f>
        <v>3</v>
      </c>
      <c r="H605">
        <f>Calc!H7</f>
        <v>1</v>
      </c>
      <c r="I605">
        <f>IF(Skills!X7&lt;&gt;"",1+(Skills!X7/10)*(Z601/1000)/100,1)</f>
        <v>1.7650000000000001</v>
      </c>
      <c r="J605">
        <f>((Inputs!$B$6*(1+Inputs!$B$7/100))+(((Inputs!$B$12*(1+Inputs!$B$13/100))-(Inputs!$B$12*(1+Inputs!$B$13/100)))+0.25*(Inputs!$B$14-Inputs!$B$14))*(1+Inputs!$B$7/100))*(F605/100)</f>
        <v>1289972510.4086521</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11485544703077.23</v>
      </c>
      <c r="L605">
        <f>K605*(MIN(Inputs!$B$22+(F620-Calc!F22),(Inputs!$B$23+(IF(ArtifactsInput!$M$15,CHOOSE(ArtifactsInput!$N$15+1,25,30,35,40,45,50)/100*(Inputs!$B$11-Inputs!$B$11),0))))/100+(Inputs!$B$23+(IF(ArtifactsInput!$M$15,CHOOSE(ArtifactsInput!$N$15+1,25,30,35,40,45,50)/100*(Inputs!$B$11-Inputs!$B$11),0)))/100)/2</f>
        <v>38189436137731.797</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180215949133956.31</v>
      </c>
      <c r="N605">
        <f>L605*(1-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180215949133956.31</v>
      </c>
      <c r="O605">
        <f>(1-Summary!$B$11)*S605+Summary!$B$11*U605</f>
        <v>449683847076504.44</v>
      </c>
      <c r="P605">
        <f>IF(B639=0,0,O605/B639)</f>
        <v>1.35374995491215E-2</v>
      </c>
      <c r="Q605">
        <f>IFERROR(1/(IF(Inputs!$B$38="pvp",15,MAX(0.1,Skills!E7-IF(TRUE=TRUE,Inputs!$B$32,0)))*(1-IF(AND(ArtifactsInput!$M$27,Inputs!$B$4="Chapter Hunt"),CHOOSE(ArtifactsInput!$N$27+1,20,24,28,32,36,40),0)/100)),0)</f>
        <v>4.0816326530612242E-2</v>
      </c>
      <c r="R605">
        <f>IF(AND(Inputs!$B$38&lt;&gt;"pvp",Inputs!$B$43&gt;0),IF(MAX(0,Inputs!$B$43-B636)&lt;=0,0,(INT(MAX(0,Inputs!$B$43-B636)/(IF(Inputs!$B$38="pvp",15,MAX(0.1,Skills!E7-IF(TRUE=TRUE,Inputs!$B$32,0)))*(1-IF(AND(ArtifactsInput!$M$27,Inputs!$B$4="Chapter Hunt"),CHOOSE(ArtifactsInput!$N$27+1,20,24,28,32,36,40),0)/100)))+1)),0)</f>
        <v>2</v>
      </c>
      <c r="S605">
        <f>IF(C605,(H605*N605*IF(AND(Inputs!$B$38&lt;&gt;"pvp",Inputs!$B$43&gt;0),((Skills!G7*((R605-1)*IF(Skills!H7&gt;0,Skills!I7/Skills!H7,1)+IF(Skills!H7&gt;0,MIN(Skills!I7,MAX(0,MAX(0,Inputs!$B$43-B636)-((R605-1)*(IF(Inputs!$B$38="pvp",15,MAX(0.1,Skills!E7-IF(TRUE=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85692683813196.219</v>
      </c>
      <c r="U605">
        <f>IF(C605,(H605*N605*IF(AND(Inputs!$B$38&lt;&gt;"pvp",Inputs!$B$43&gt;0),((Skills!G7*((R605-1)*IF(Skills!H7&gt;0,Skills!I7/Skills!H7,1)+IF(Skills!H7&gt;0,MIN(Skills!I7,MAX(0,MAX(0,Inputs!$B$43-B636)-((R605-1)*(IF(Inputs!$B$38="pvp",15,MAX(0.1,Skills!E7-IF(TRUE=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813675010339812.62</v>
      </c>
    </row>
    <row r="606" spans="1:26" x14ac:dyDescent="0.2">
      <c r="A606" t="str">
        <f>Skills!A8</f>
        <v>POISON_MIST_DOT</v>
      </c>
      <c r="B606" t="str">
        <f>Skills!B8</f>
        <v>Poison Mist (fog DoT)</v>
      </c>
      <c r="C606" t="b">
        <f>TRUE</f>
        <v>1</v>
      </c>
      <c r="D606">
        <f>IF(Skills!C8=1,60+Inputs!$B$25+Inputs!$B$29,IF(Skills!C8=2,90+Inputs!$B$26+Inputs!$B$29,IF(Skills!C8=3,120+Inputs!$B$27+Inputs!$B$29,MAX(0,(Inputs!$B$3-100)*3)+Inputs!$B$28+Inputs!$B$29)))</f>
        <v>184</v>
      </c>
      <c r="E606">
        <f>INDEX(FactorTable!$B$2:$Y$301, MATCH(ROUND(MIN(300,MAX(1,D606)),0), FactorTable!$A$2:$A$301,0), Skills!M8+1)</f>
        <v>1920</v>
      </c>
      <c r="F606">
        <f>IF(Skills!N8=TRUE,(Skills!L8/10)*(E606/1000),Skills!L8/10)+Skills!O8</f>
        <v>134.4</v>
      </c>
      <c r="G606">
        <f>Calc!G8</f>
        <v>50</v>
      </c>
      <c r="H606">
        <f>Calc!H8</f>
        <v>1</v>
      </c>
      <c r="I606">
        <f>IF(Skills!X8&lt;&gt;"",1+(Skills!X8/10)*(Z601/1000)/100,1)</f>
        <v>1.7650000000000001</v>
      </c>
      <c r="J606">
        <f>((Inputs!$B$6*(1+Inputs!$B$7/100))+(((Inputs!$B$12*(1+Inputs!$B$13/100))-(Inputs!$B$12*(1+Inputs!$B$13/100)))+0.25*(Inputs!$B$14-Inputs!$B$14))*(1+Inputs!$B$7/100))*(F606/100)</f>
        <v>485364796.74950409</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4321548734864.4458</v>
      </c>
      <c r="L606">
        <f>K606*(MIN(Inputs!$B$22+(F620-Calc!F22),(Inputs!$B$23+(IF(ArtifactsInput!$M$15,CHOOSE(ArtifactsInput!$N$15+1,25,30,35,40,45,50)/100*(Inputs!$B$11-Inputs!$B$11),0))))/100+(Inputs!$B$23+(IF(ArtifactsInput!$M$15,CHOOSE(ArtifactsInput!$N$15+1,25,30,35,40,45,50)/100*(Inputs!$B$11-Inputs!$B$11),0)))/100)/2</f>
        <v>14369149543424.283</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67808016695419.188</v>
      </c>
      <c r="N606">
        <f>L606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67808016695419.188</v>
      </c>
      <c r="O606">
        <f>(1-Summary!$B$11)*S606+Summary!$B$11*U606</f>
        <v>2336672934780815</v>
      </c>
      <c r="P606">
        <f>IF(B639=0,0,O606/B639)</f>
        <v>7.0344329703392799E-2</v>
      </c>
      <c r="Q606">
        <f>IFERROR(1/(IF(Inputs!$B$38="pvp",15,MAX(0.1,Skills!E8-IF(TRUE=TRUE,Inputs!$B$32,0)))*(1-IF(AND(ArtifactsInput!$M$27,Inputs!$B$4="Chapter Hunt"),CHOOSE(ArtifactsInput!$N$27+1,20,24,28,32,36,40),0)/100)),0)</f>
        <v>4.0816326530612242E-2</v>
      </c>
      <c r="R606">
        <f>IF(AND(Inputs!$B$38&lt;&gt;"pvp",Inputs!$B$43&gt;0),IF(MAX(0,Inputs!$B$43-B636)&lt;=0,0,(INT(MAX(0,Inputs!$B$43-B636)/(IF(Inputs!$B$38="pvp",15,MAX(0.1,Skills!E8-IF(TRUE=TRUE,Inputs!$B$32,0)))*(1-IF(AND(ArtifactsInput!$M$27,Inputs!$B$4="Chapter Hunt"),CHOOSE(ArtifactsInput!$N$27+1,20,24,28,32,36,40),0)/100)))+1)),0)</f>
        <v>2</v>
      </c>
      <c r="S606">
        <f>IF(C606,(H606*N606*IF(AND(Inputs!$B$38&lt;&gt;"pvp",Inputs!$B$43&gt;0),((Skills!G8*((R606-1)*IF(Skills!H8&gt;0,Skills!I8/Skills!H8,1)+IF(Skills!H8&gt;0,MIN(Skills!I8,MAX(0,MAX(0,Inputs!$B$43-B636)-((R606-1)*(IF(Inputs!$B$38="pvp",15,MAX(0.1,Skills!E8-IF(TRUE=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445281226525709.88</v>
      </c>
      <c r="U606">
        <f>IF(C606,(H606*N606*IF(AND(Inputs!$B$38&lt;&gt;"pvp",Inputs!$B$43&gt;0),((Skills!G8*((R606-1)*IF(Skills!H8&gt;0,Skills!I8/Skills!H8,1)+IF(Skills!H8&gt;0,MIN(Skills!I8,MAX(0,MAX(0,Inputs!$B$43-B636)-((R606-1)*(IF(Inputs!$B$38="pvp",15,MAX(0.1,Skills!E8-IF(TRUE=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4228064643035920</v>
      </c>
    </row>
    <row r="607" spans="1:26" x14ac:dyDescent="0.2">
      <c r="A607" t="str">
        <f>Skills!A9</f>
        <v>MIST_ERUPTION</v>
      </c>
      <c r="B607" t="str">
        <f>Skills!B9</f>
        <v>Mist Eruption</v>
      </c>
      <c r="C607" t="b">
        <f>Inputs!$B$3&gt;=103</f>
        <v>1</v>
      </c>
      <c r="D607">
        <f>IF(Skills!C9=1,60+Inputs!$B$25+Inputs!$B$29,IF(Skills!C9=2,90+Inputs!$B$26+Inputs!$B$29,IF(Skills!C9=3,120+Inputs!$B$27+Inputs!$B$29,MAX(0,(Inputs!$B$3-100)*3)+Inputs!$B$28+Inputs!$B$29)))</f>
        <v>185</v>
      </c>
      <c r="E607">
        <f>INDEX(FactorTable!$B$2:$Y$301, MATCH(ROUND(MIN(300,MAX(1,D607)),0), FactorTable!$A$2:$A$301,0), Skills!M9+1)</f>
        <v>1925</v>
      </c>
      <c r="F607">
        <f>IF(Skills!N9=TRUE,(Skills!L9/10)*(E607/1000),Skills!L9/10)+Skills!O9</f>
        <v>5775</v>
      </c>
      <c r="G607">
        <f>Calc!G9</f>
        <v>2.5</v>
      </c>
      <c r="H607">
        <f>Calc!H9</f>
        <v>1</v>
      </c>
      <c r="I607">
        <f>IF(Skills!X9&lt;&gt;"",1+(Skills!X9/10)*(Z601/1000)/100,1)</f>
        <v>1</v>
      </c>
      <c r="J607">
        <f>((Inputs!$B$6*(1+Inputs!$B$7/100))+(((Inputs!$B$12*(1+Inputs!$B$13/100))-(Inputs!$B$12*(1+Inputs!$B$13/100)))+0.25*(Inputs!$B$14-Inputs!$B$14))*(1+Inputs!$B$7/100))*(F607/100)</f>
        <v>20855518610.330254</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105207675468105.75</v>
      </c>
      <c r="L607">
        <f>K607*(MIN(Inputs!$B$22+(F620-Calc!F22),(Inputs!$B$23+(IF(ArtifactsInput!$M$15,CHOOSE(ArtifactsInput!$N$15+1,25,30,35,40,45,50)/100*(Inputs!$B$11-Inputs!$B$11),0))))/100+(Inputs!$B$23+(IF(ArtifactsInput!$M$15,CHOOSE(ArtifactsInput!$N$15+1,25,30,35,40,45,50)/100*(Inputs!$B$11-Inputs!$B$11),0)))/100)/2</f>
        <v>349815520931451.62</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1650779443275520</v>
      </c>
      <c r="N607">
        <f>L607*(1-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1650779443275520</v>
      </c>
      <c r="O607">
        <f>(1-Summary!$B$11)*S607+Summary!$B$11*U607</f>
        <v>3432589504861034.5</v>
      </c>
      <c r="P607">
        <f>IF(B639=0,0,O607/B639)</f>
        <v>0.10333633101673266</v>
      </c>
      <c r="Q607">
        <f>IFERROR(1/(IF(Inputs!$B$38="pvp",15,MAX(0.1,Skills!E9-IF(TRUE=TRUE,Inputs!$B$32,0)))*(1-IF(AND(ArtifactsInput!$M$27,Inputs!$B$4="Chapter Hunt"),CHOOSE(ArtifactsInput!$N$27+1,20,24,28,32,36,40),0)/100)),0)</f>
        <v>4.0816326530612242E-2</v>
      </c>
      <c r="R607">
        <f>IF(AND(Inputs!$B$38&lt;&gt;"pvp",Inputs!$B$43&gt;0),IF(MAX(0,Inputs!$B$43-B636)&lt;=0,0,(INT(MAX(0,Inputs!$B$43-B636)/(IF(Inputs!$B$38="pvp",15,MAX(0.1,Skills!E9-IF(TRUE=TRUE,Inputs!$B$32,0)))*(1-IF(AND(ArtifactsInput!$M$27,Inputs!$B$4="Chapter Hunt"),CHOOSE(ArtifactsInput!$N$27+1,20,24,28,32,36,40),0)/100)))+1)),0)</f>
        <v>2</v>
      </c>
      <c r="S607">
        <f>IF(C607,(H607*N607*IF(AND(Inputs!$B$38&lt;&gt;"pvp",Inputs!$B$43&gt;0),((Skills!G9*((R607-1)*IF(Skills!H9&gt;0,Skills!I9/Skills!H9,1)+IF(Skills!H9&gt;0,MIN(Skills!I9,MAX(0,MAX(0,Inputs!$B$43-B636)-((R607-1)*(IF(Inputs!$B$38="pvp",15,MAX(0.1,Skills!E9-IF(TRUE=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654121354397924.75</v>
      </c>
      <c r="U607">
        <f>IF(C607,(H607*N607*IF(AND(Inputs!$B$38&lt;&gt;"pvp",Inputs!$B$43&gt;0),((Skills!G9*((R607-1)*IF(Skills!H9&gt;0,Skills!I9/Skills!H9,1)+IF(Skills!H9&gt;0,MIN(Skills!I9,MAX(0,MAX(0,Inputs!$B$43-B636)-((R607-1)*(IF(Inputs!$B$38="pvp",15,MAX(0.1,Skills!E9-IF(TRUE=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6211057655324144</v>
      </c>
    </row>
    <row r="608" spans="1:26" x14ac:dyDescent="0.2">
      <c r="A608" t="str">
        <f>Skills!A10</f>
        <v>CREEPING_TOXIN</v>
      </c>
      <c r="B608" t="str">
        <f>Skills!B10</f>
        <v>Creeping Toxin</v>
      </c>
      <c r="C608" t="b">
        <f>TRUE</f>
        <v>1</v>
      </c>
      <c r="D608">
        <f>IF(Skills!C10=1,60+Inputs!$B$25+Inputs!$B$29,IF(Skills!C10=2,90+Inputs!$B$26+Inputs!$B$29,IF(Skills!C10=3,120+Inputs!$B$27+Inputs!$B$29,MAX(0,(Inputs!$B$3-100)*3)+Inputs!$B$28+Inputs!$B$29)))</f>
        <v>184</v>
      </c>
      <c r="E608">
        <f>INDEX(FactorTable!$B$2:$Y$301, MATCH(ROUND(MIN(300,MAX(1,D608)),0), FactorTable!$A$2:$A$301,0), Skills!M10+1)</f>
        <v>1920</v>
      </c>
      <c r="F608">
        <f>IF(Skills!N10=TRUE,(Skills!L10/10)*(E608/1000),Skills!L10/10)+Skills!O10</f>
        <v>280.39999999999998</v>
      </c>
      <c r="G608">
        <f>Calc!G10</f>
        <v>15</v>
      </c>
      <c r="H608">
        <f>Calc!H10</f>
        <v>1</v>
      </c>
      <c r="I608">
        <f>IF(Skills!X10&lt;&gt;"",1+(Skills!X10/10)*(Z601/1000)/100,1)</f>
        <v>1.7650000000000001</v>
      </c>
      <c r="J608">
        <f>((Inputs!$B$6*(1+Inputs!$B$7/100))+(((Inputs!$B$12*(1+Inputs!$B$13/100))-(Inputs!$B$12*(1+Inputs!$B$13/100)))+0.25*(Inputs!$B$14-Inputs!$B$14))*(1+Inputs!$B$7/100))*(F608/100)</f>
        <v>1012621197.9803641</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9016088283154.6895</v>
      </c>
      <c r="L608">
        <f>K608*(MIN(Inputs!$B$22+(F620-Calc!F22),(Inputs!$B$23+(IF(ArtifactsInput!$M$15,CHOOSE(ArtifactsInput!$N$15+1,25,30,35,40,45,50)/100*(Inputs!$B$11-Inputs!$B$11),0))))/100+(Inputs!$B$23+(IF(ArtifactsInput!$M$15,CHOOSE(ArtifactsInput!$N$15+1,25,30,35,40,45,50)/100*(Inputs!$B$11-Inputs!$B$11),0)))/100)/2</f>
        <v>29978493541489.344</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141468511022288.19</v>
      </c>
      <c r="N608">
        <f>L608*(1-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141468511022288.19</v>
      </c>
      <c r="O608">
        <f>(1-Summary!$B$11)*S608+Summary!$B$11*U608</f>
        <v>325605569980618.75</v>
      </c>
      <c r="P608">
        <f>IF(B639=0,0,O608/B639)</f>
        <v>9.8021872154419737E-3</v>
      </c>
      <c r="Q608">
        <f>IFERROR(1/(IF(Inputs!$B$38="pvp",15,MAX(0.1,Skills!E10-IF(TRUE=TRUE,Inputs!$B$32,0)))*(1-IF(AND(ArtifactsInput!$M$27,Inputs!$B$4="Chapter Hunt"),CHOOSE(ArtifactsInput!$N$27+1,20,24,28,32,36,40),0)/100)),0)</f>
        <v>3.7037037037037035E-2</v>
      </c>
      <c r="R608">
        <f>IF(AND(Inputs!$B$38&lt;&gt;"pvp",Inputs!$B$43&gt;0),IF(MAX(0,Inputs!$B$43-B636)&lt;=0,0,(INT(MAX(0,Inputs!$B$43-B636)/(IF(Inputs!$B$38="pvp",15,MAX(0.1,Skills!E10-IF(TRUE=TRUE,Inputs!$B$32,0)))*(1-IF(AND(ArtifactsInput!$M$27,Inputs!$B$4="Chapter Hunt"),CHOOSE(ArtifactsInput!$N$27+1,20,24,28,32,36,40),0)/100)))+1)),0)</f>
        <v>2</v>
      </c>
      <c r="S608">
        <f>IF(C608,(H608*N608*IF(AND(Inputs!$B$38&lt;&gt;"pvp",Inputs!$B$43&gt;0),((Skills!G10*((R608-1)*IF(Skills!H10&gt;0,Skills!I10/Skills!H10,1)+IF(Skills!H10&gt;0,MIN(Skills!I10,MAX(0,MAX(0,Inputs!$B$43-B636)-((R608-1)*(IF(Inputs!$B$38="pvp",15,MAX(0.1,Skills!E10-IF(TRUE=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287512439230797.06</v>
      </c>
      <c r="U608">
        <f>IF(C608,(H608*N608*IF(AND(Inputs!$B$38&lt;&gt;"pvp",Inputs!$B$43&gt;0),((Skills!G10*((R608-1)*IF(Skills!H10&gt;0,Skills!I10/Skills!H10,1)+IF(Skills!H10&gt;0,MIN(Skills!I10,MAX(0,MAX(0,Inputs!$B$43-B636)-((R608-1)*(IF(Inputs!$B$38="pvp",15,MAX(0.1,Skills!E10-IF(TRUE=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363698700730440.5</v>
      </c>
    </row>
    <row r="609" spans="1:21" x14ac:dyDescent="0.2">
      <c r="A609" t="str">
        <f>Skills!A11</f>
        <v>BURNING_MAGIC</v>
      </c>
      <c r="B609" t="str">
        <f>Skills!B11</f>
        <v>Burning Magic</v>
      </c>
      <c r="C609" t="b">
        <f>TRUE</f>
        <v>1</v>
      </c>
      <c r="D609">
        <f>IF(Skills!C11=1,60+Inputs!$B$25+Inputs!$B$29,IF(Skills!C11=2,90+Inputs!$B$26+Inputs!$B$29,IF(Skills!C11=3,120+Inputs!$B$27+Inputs!$B$29,MAX(0,(Inputs!$B$3-100)*3)+Inputs!$B$28+Inputs!$B$29)))</f>
        <v>184</v>
      </c>
      <c r="E609">
        <f>INDEX(FactorTable!$B$2:$Y$301, MATCH(ROUND(MIN(300,MAX(1,D609)),0), FactorTable!$A$2:$A$301,0), Skills!M11+1)</f>
        <v>0</v>
      </c>
      <c r="F609">
        <f>IF(Skills!N11=TRUE,(Skills!L11/10)*(E609/1000),Skills!L11/10)+Skills!O11</f>
        <v>5</v>
      </c>
      <c r="G609">
        <f>Calc!G11</f>
        <v>1</v>
      </c>
      <c r="H609">
        <f>Calc!H11</f>
        <v>1</v>
      </c>
      <c r="I609">
        <f>IF(Skills!X11&lt;&gt;"",1+(Skills!X11/10)*(Z601/1000)/100,1)</f>
        <v>1</v>
      </c>
      <c r="O609">
        <f>(1-Summary!$B$11)*S609+Summary!$B$11*U609</f>
        <v>0</v>
      </c>
      <c r="P609">
        <f>IF(B639=0,0,O609/B639)</f>
        <v>0</v>
      </c>
      <c r="Q609">
        <f>IFERROR(1/(IF(Inputs!$B$38="pvp",15,MAX(0.1,Skills!E11-IF(TRUE=TRUE,Inputs!$B$32,0)))*(1-IF(AND(ArtifactsInput!$M$27,Inputs!$B$4="Chapter Hunt"),CHOOSE(ArtifactsInput!$N$27+1,20,24,28,32,36,40),0)/100)),0)</f>
        <v>10</v>
      </c>
      <c r="R609">
        <v>0</v>
      </c>
      <c r="S609">
        <v>0</v>
      </c>
      <c r="U609">
        <v>0</v>
      </c>
    </row>
    <row r="610" spans="1:21" x14ac:dyDescent="0.2">
      <c r="A610" t="str">
        <f>Skills!A12</f>
        <v>ELEMENTAL_DECREASE</v>
      </c>
      <c r="B610" t="str">
        <f>Skills!B12</f>
        <v>Elemental Decrease</v>
      </c>
      <c r="C610" t="b">
        <f>TRUE</f>
        <v>1</v>
      </c>
      <c r="D610">
        <f>IF(Skills!C12=1,60+Inputs!$B$25+Inputs!$B$29,IF(Skills!C12=2,90+Inputs!$B$26+Inputs!$B$29,IF(Skills!C12=3,120+Inputs!$B$27+Inputs!$B$29,MAX(0,(Inputs!$B$3-100)*3)+Inputs!$B$28+Inputs!$B$29)))</f>
        <v>184</v>
      </c>
      <c r="E610">
        <f>INDEX(FactorTable!$B$2:$Y$301, MATCH(ROUND(MIN(300,MAX(1,D610)),0), FactorTable!$A$2:$A$301,0), Skills!M12+1)</f>
        <v>1552</v>
      </c>
      <c r="F610">
        <f>IF(Skills!N12=TRUE,(Skills!L12/10)*(E610/1000),Skills!L12/10)+Skills!O12</f>
        <v>18.624000000000002</v>
      </c>
      <c r="G610">
        <f>Calc!G12</f>
        <v>1</v>
      </c>
      <c r="H610">
        <f>Calc!H12</f>
        <v>0.5</v>
      </c>
      <c r="I610">
        <f>IF(Skills!X12&lt;&gt;"",1+(Skills!X12/10)*(Z601/1000)/100,1)</f>
        <v>1</v>
      </c>
      <c r="O610">
        <f>(1-Summary!$B$11)*S610+Summary!$B$11*U610</f>
        <v>0</v>
      </c>
      <c r="P610">
        <f>IF(B639=0,0,O610/B639)</f>
        <v>0</v>
      </c>
      <c r="Q610">
        <f>IFERROR(1/(IF(Inputs!$B$38="pvp",15,MAX(0.1,Skills!E12-IF(TRUE=TRUE,Inputs!$B$32,0)))*(1-IF(AND(ArtifactsInput!$M$27,Inputs!$B$4="Chapter Hunt"),CHOOSE(ArtifactsInput!$N$27+1,20,24,28,32,36,40),0)/100)),0)</f>
        <v>10</v>
      </c>
      <c r="R610">
        <v>0</v>
      </c>
      <c r="S610">
        <v>0</v>
      </c>
      <c r="U610">
        <v>0</v>
      </c>
    </row>
    <row r="611" spans="1:21" x14ac:dyDescent="0.2">
      <c r="A611" t="str">
        <f>Skills!A13</f>
        <v>METEOR_SHOWER_BURST</v>
      </c>
      <c r="B611" t="str">
        <f>Skills!B13</f>
        <v>Meteor Shower (burst)</v>
      </c>
      <c r="C611" t="b">
        <f>Inputs!$B$3&gt;=105</f>
        <v>1</v>
      </c>
      <c r="D611">
        <f>IF(Skills!C13=1,60+Inputs!$B$25+Inputs!$B$29,IF(Skills!C13=2,90+Inputs!$B$26+Inputs!$B$29,IF(Skills!C13=3,120+Inputs!$B$27+Inputs!$B$29,MAX(0,(Inputs!$B$3-100)*3)+Inputs!$B$28+Inputs!$B$29)))</f>
        <v>185</v>
      </c>
      <c r="E611">
        <f>INDEX(FactorTable!$B$2:$Y$301, MATCH(ROUND(MIN(300,MAX(1,D611)),0), FactorTable!$A$2:$A$301,0), Skills!M13+1)</f>
        <v>1925</v>
      </c>
      <c r="F611">
        <f>IF(Skills!N13=TRUE,(Skills!L13/10)*(E611/1000),Skills!L13/10)+Skills!O13</f>
        <v>1155</v>
      </c>
      <c r="G611">
        <f>Calc!G13</f>
        <v>9</v>
      </c>
      <c r="H611">
        <f>Calc!H13</f>
        <v>1</v>
      </c>
      <c r="I611">
        <f>IF(Skills!X13&lt;&gt;"",1+(Skills!X13/10)*(Z601/1000)/100,1)</f>
        <v>1</v>
      </c>
      <c r="J611">
        <f>((Inputs!$B$6*(1+Inputs!$B$7/100))+(((Inputs!$B$12*(1+Inputs!$B$13/100))-(Inputs!$B$12*(1+Inputs!$B$13/100)))+0.25*(Inputs!$B$14-Inputs!$B$14))*(1+Inputs!$B$7/100))*(F611/100)</f>
        <v>4171103722.0660505</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21041535093621.145</v>
      </c>
      <c r="L611">
        <f>K611*(MIN(Inputs!$B$22+(F620-Calc!F22),(Inputs!$B$23+(IF(ArtifactsInput!$M$15,CHOOSE(ArtifactsInput!$N$15+1,25,30,35,40,45,50)/100*(Inputs!$B$11-Inputs!$B$11),0))))/100+(Inputs!$B$23+(IF(ArtifactsInput!$M$15,CHOOSE(ArtifactsInput!$N$15+1,25,30,35,40,45,50)/100*(Inputs!$B$11-Inputs!$B$11),0)))/100)/2</f>
        <v>69963104186290.312</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330155888655103.94</v>
      </c>
      <c r="N611">
        <f>L611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330155888655103.94</v>
      </c>
      <c r="O611">
        <f>(1-Summary!$B$11)*S611+Summary!$B$11*U611</f>
        <v>1800670216724937</v>
      </c>
      <c r="P611">
        <f>IF(B639=0,0,O611/B639)</f>
        <v>5.4208245204954354E-2</v>
      </c>
      <c r="Q611">
        <f>IFERROR(1/(IF(Inputs!$B$38="pvp",15,MAX(0.1,Skills!E13-IF(TRUE=TRUE,Inputs!$B$32,0)))*(1-IF(AND(ArtifactsInput!$M$27,Inputs!$B$4="Chapter Hunt"),CHOOSE(ArtifactsInput!$N$27+1,20,24,28,32,36,40),0)/100)),0)</f>
        <v>3.0303030303030304E-2</v>
      </c>
      <c r="R611">
        <f>IF(AND(Inputs!$B$38&lt;&gt;"pvp",Inputs!$B$43&gt;0),IF(MAX(0,Inputs!$B$43-B636)&lt;=0,0,(INT(MAX(0,Inputs!$B$43-B636)/(IF(Inputs!$B$38="pvp",15,MAX(0.1,Skills!E13-IF(TRUE=TRUE,Inputs!$B$32,0)))*(1-IF(AND(ArtifactsInput!$M$27,Inputs!$B$4="Chapter Hunt"),CHOOSE(ArtifactsInput!$N$27+1,20,24,28,32,36,40),0)/100)))+1)),0)</f>
        <v>2</v>
      </c>
      <c r="S611">
        <f>IF(C611,(H611*N611*IF(AND(Inputs!$B$38&lt;&gt;"pvp",Inputs!$B$43&gt;0),((Skills!G13*((R611-1)*IF(Skills!H13&gt;0,Skills!I13/Skills!H13,1)+IF(Skills!H13&gt;0,MIN(Skills!I13,MAX(0,MAX(0,Inputs!$B$43-B636)-((R611-1)*(IF(Inputs!$B$38="pvp",15,MAX(0.1,Skills!E13-IF(TRUE=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470967375166505.81</v>
      </c>
      <c r="U611">
        <f>IF(C611,(H611*N611*IF(AND(Inputs!$B$38&lt;&gt;"pvp",Inputs!$B$43&gt;0),((Skills!G13*((R611-1)*IF(Skills!H13&gt;0,Skills!I13/Skills!H13,1)+IF(Skills!H13&gt;0,MIN(Skills!I13,MAX(0,MAX(0,Inputs!$B$43-B636)-((R611-1)*(IF(Inputs!$B$38="pvp",15,MAX(0.1,Skills!E13-IF(TRUE=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3130373058283368</v>
      </c>
    </row>
    <row r="612" spans="1:21" x14ac:dyDescent="0.2">
      <c r="A612" t="str">
        <f>Skills!A14</f>
        <v>METEOR_PROC</v>
      </c>
      <c r="B612" t="str">
        <f>Skills!B14</f>
        <v>Meteor Proc (30% on-hit, 1s ICD)</v>
      </c>
      <c r="C612" t="b">
        <f>Inputs!$B$3&gt;=113</f>
        <v>1</v>
      </c>
      <c r="D612">
        <f>IF(Skills!C14=1,60+Inputs!$B$25+Inputs!$B$29,IF(Skills!C14=2,90+Inputs!$B$26+Inputs!$B$29,IF(Skills!C14=3,120+Inputs!$B$27+Inputs!$B$29,MAX(0,(Inputs!$B$3-100)*3)+Inputs!$B$28+Inputs!$B$29)))</f>
        <v>185</v>
      </c>
      <c r="E612">
        <f>INDEX(FactorTable!$B$2:$Y$301, MATCH(ROUND(MIN(300,MAX(1,D612)),0), FactorTable!$A$2:$A$301,0), Skills!M14+1)</f>
        <v>1740</v>
      </c>
      <c r="F612">
        <f>IF(Skills!N14=TRUE,(Skills!L14/10)*(E612/1000),Skills!L14/10)+Skills!O14</f>
        <v>1653</v>
      </c>
      <c r="G612">
        <f>Calc!G14</f>
        <v>0</v>
      </c>
      <c r="H612">
        <f>Calc!H14</f>
        <v>0.30000000000000004</v>
      </c>
      <c r="I612">
        <f>IF(Skills!X14&lt;&gt;"",1+(Skills!X14/10)*(Z601/1000)/100,1)</f>
        <v>1</v>
      </c>
      <c r="J612">
        <f>((Inputs!$B$6*(1+Inputs!$B$7/100))+(((Inputs!$B$12*(1+Inputs!$B$13/100))-(Inputs!$B$12*(1+Inputs!$B$13/100)))+0.25*(Inputs!$B$14-Inputs!$B$14))*(1+Inputs!$B$7/100))*(F612/100)</f>
        <v>5969553638.5932312</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30113989185935.723</v>
      </c>
      <c r="L612">
        <f>K612*(MIN(Inputs!$B$22+(F620-Calc!F22),(Inputs!$B$23+(IF(ArtifactsInput!$M$15,CHOOSE(ArtifactsInput!$N$15+1,25,30,35,40,45,50)/100*(Inputs!$B$11-Inputs!$B$11),0))))/100+(Inputs!$B$23+(IF(ArtifactsInput!$M$15,CHOOSE(ArtifactsInput!$N$15+1,25,30,35,40,45,50)/100*(Inputs!$B$11-Inputs!$B$11),0)))/100)/2</f>
        <v>100129014043236.28</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472508817270031.94</v>
      </c>
      <c r="N612">
        <f>L612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472508817270031.94</v>
      </c>
      <c r="O612">
        <f>(1-Summary!$B$11)*S612+Summary!$B$11*U612</f>
        <v>463081641867262.75</v>
      </c>
      <c r="P612">
        <f>IF(B639=0,0,O612/B639)</f>
        <v>1.3940833229257573E-2</v>
      </c>
      <c r="Q612">
        <f>IFERROR(1/(IF(Inputs!$B$38="pvp",15,MAX(0.1,Skills!E14-IF(TRUE=TRUE,Inputs!$B$32,0)))*(1-IF(AND(ArtifactsInput!$M$27,Inputs!$B$4="Chapter Hunt"),CHOOSE(ArtifactsInput!$N$27+1,20,24,28,32,36,40),0)/100)),0)</f>
        <v>10</v>
      </c>
      <c r="R612">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475070810588745.31</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451092473145780.25</v>
      </c>
    </row>
    <row r="613" spans="1:21" x14ac:dyDescent="0.2">
      <c r="A613" t="str">
        <f>Skills!A15</f>
        <v>FLAME_HAZE_BURST</v>
      </c>
      <c r="B613" t="str">
        <f>Skills!B15</f>
        <v>Flame Haze (burst)</v>
      </c>
      <c r="C613" t="b">
        <f>Inputs!$B$3&gt;=107</f>
        <v>1</v>
      </c>
      <c r="D613">
        <f>IF(Skills!C15=1,60+Inputs!$B$25+Inputs!$B$29,IF(Skills!C15=2,90+Inputs!$B$26+Inputs!$B$29,IF(Skills!C15=3,120+Inputs!$B$27+Inputs!$B$29,MAX(0,(Inputs!$B$3-100)*3)+Inputs!$B$28+Inputs!$B$29)))</f>
        <v>185</v>
      </c>
      <c r="E613">
        <f>INDEX(FactorTable!$B$2:$Y$301, MATCH(ROUND(MIN(300,MAX(1,D613)),0), FactorTable!$A$2:$A$301,0), Skills!M15+1)</f>
        <v>1925</v>
      </c>
      <c r="F613">
        <f>IF(Skills!N15=TRUE,(Skills!L15/10)*(E613/1000),Skills!L15/10)+Skills!O15</f>
        <v>2310</v>
      </c>
      <c r="G613">
        <f>Calc!G15</f>
        <v>3</v>
      </c>
      <c r="H613">
        <f>Calc!H15</f>
        <v>1</v>
      </c>
      <c r="I613">
        <f>IF(Skills!X15&lt;&gt;"",1+(Skills!X15/10)*(Z601/1000)/100,1)</f>
        <v>1</v>
      </c>
      <c r="J613">
        <f>((Inputs!$B$6*(1+Inputs!$B$7/100))+(((Inputs!$B$12*(1+Inputs!$B$13/100))-(Inputs!$B$12*(1+Inputs!$B$13/100)))+0.25*(Inputs!$B$14-Inputs!$B$14))*(1+Inputs!$B$7/100))*(F613/100)</f>
        <v>8342207444.1321011</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42083070187242.289</v>
      </c>
      <c r="L613">
        <f>K613*(MIN(Inputs!$B$22+(F620-Calc!F22),(Inputs!$B$23+(IF(ArtifactsInput!$M$15,CHOOSE(ArtifactsInput!$N$15+1,25,30,35,40,45,50)/100*(Inputs!$B$11-Inputs!$B$11),0))))/100+(Inputs!$B$23+(IF(ArtifactsInput!$M$15,CHOOSE(ArtifactsInput!$N$15+1,25,30,35,40,45,50)/100*(Inputs!$B$11-Inputs!$B$11),0)))/100)/2</f>
        <v>139926208372580.62</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660311777310207.88</v>
      </c>
      <c r="N613">
        <f>L613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660311777310207.88</v>
      </c>
      <c r="O613">
        <f>(1-Summary!$B$11)*S613+Summary!$B$11*U613</f>
        <v>1647642962333296</v>
      </c>
      <c r="P613">
        <f>IF(B639=0,0,O613/B639)</f>
        <v>4.960143888803166E-2</v>
      </c>
      <c r="Q613">
        <f>IFERROR(1/(IF(Inputs!$B$38="pvp",15,MAX(0.1,Skills!E15-IF(TRUE=TRUE,Inputs!$B$32,0)))*(1-IF(AND(ArtifactsInput!$M$27,Inputs!$B$4="Chapter Hunt"),CHOOSE(ArtifactsInput!$N$27+1,20,24,28,32,36,40),0)/100)),0)</f>
        <v>0.04</v>
      </c>
      <c r="R613">
        <f>IF(AND(Inputs!$B$38&lt;&gt;"pvp",Inputs!$B$43&gt;0),IF(MAX(0,Inputs!$B$43-B636)&lt;=0,0,(INT(MAX(0,Inputs!$B$43-B636)/(IF(Inputs!$B$38="pvp",15,MAX(0.1,Skills!E15-IF(TRUE=TRUE,Inputs!$B$32,0)))*(1-IF(AND(ArtifactsInput!$M$27,Inputs!$B$4="Chapter Hunt"),CHOOSE(ArtifactsInput!$N$27+1,20,24,28,32,36,40),0)/100)))+1)),0)</f>
        <v>2</v>
      </c>
      <c r="S613">
        <f>IF(C613,(H613*N613*IF(AND(Inputs!$B$38&lt;&gt;"pvp",Inputs!$B$43&gt;0),((Skills!G15*((R613-1)*IF(Skills!H15&gt;0,Skills!I15/Skills!H15,1)+IF(Skills!H15&gt;0,MIN(Skills!I15,MAX(0,MAX(0,Inputs!$B$43-B636)-((R613-1)*(IF(Inputs!$B$38="pvp",15,MAX(0.1,Skills!E15-IF(TRUE=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313978250111003.81</v>
      </c>
      <c r="U613">
        <f>IF(C613,(H613*N613*IF(AND(Inputs!$B$38&lt;&gt;"pvp",Inputs!$B$43&gt;0),((Skills!G15*((R613-1)*IF(Skills!H15&gt;0,Skills!I15/Skills!H15,1)+IF(Skills!H15&gt;0,MIN(Skills!I15,MAX(0,MAX(0,Inputs!$B$43-B636)-((R613-1)*(IF(Inputs!$B$38="pvp",15,MAX(0.1,Skills!E15-IF(TRUE=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2981307674555588</v>
      </c>
    </row>
    <row r="614" spans="1:21" x14ac:dyDescent="0.2">
      <c r="A614" t="str">
        <f>Skills!A16</f>
        <v>FLAME_HAZE_DOT</v>
      </c>
      <c r="B614" t="str">
        <f>Skills!B16</f>
        <v>Flame Haze (burn DoT)</v>
      </c>
      <c r="C614" t="b">
        <f>Inputs!$B$3&gt;=107</f>
        <v>1</v>
      </c>
      <c r="D614">
        <f>IF(Skills!C16=1,60+Inputs!$B$25+Inputs!$B$29,IF(Skills!C16=2,90+Inputs!$B$26+Inputs!$B$29,IF(Skills!C16=3,120+Inputs!$B$27+Inputs!$B$29,MAX(0,(Inputs!$B$3-100)*3)+Inputs!$B$28+Inputs!$B$29)))</f>
        <v>185</v>
      </c>
      <c r="E614">
        <f>INDEX(FactorTable!$B$2:$Y$301, MATCH(ROUND(MIN(300,MAX(1,D614)),0), FactorTable!$A$2:$A$301,0), Skills!M16+1)</f>
        <v>1925</v>
      </c>
      <c r="F614">
        <f>IF(Skills!N16=TRUE,(Skills!L16/10)*(E614/1000),Skills!L16/10)+Skills!O16</f>
        <v>288.75</v>
      </c>
      <c r="G614">
        <f>Calc!G16</f>
        <v>30</v>
      </c>
      <c r="H614">
        <f>Calc!H16</f>
        <v>1</v>
      </c>
      <c r="I614">
        <f>IF(Skills!X16&lt;&gt;"",1+(Skills!X16/10)*(Z601/1000)/100,1)</f>
        <v>1</v>
      </c>
      <c r="J614">
        <f>((Inputs!$B$6*(1+Inputs!$B$7/100))+(((Inputs!$B$12*(1+Inputs!$B$13/100))-(Inputs!$B$12*(1+Inputs!$B$13/100)))+0.25*(Inputs!$B$14-Inputs!$B$14))*(1+Inputs!$B$7/100))*(F614/100)</f>
        <v>1042775930.5165126</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5260383773405.2861</v>
      </c>
      <c r="L614">
        <f>K614*(MIN(Inputs!$B$22+(F620-Calc!F22),(Inputs!$B$23+(IF(ArtifactsInput!$M$15,CHOOSE(ArtifactsInput!$N$15+1,25,30,35,40,45,50)/100*(Inputs!$B$11-Inputs!$B$11),0))))/100+(Inputs!$B$23+(IF(ArtifactsInput!$M$15,CHOOSE(ArtifactsInput!$N$15+1,25,30,35,40,45,50)/100*(Inputs!$B$11-Inputs!$B$11),0)))/100)/2</f>
        <v>17490776046572.578</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82538972163775.984</v>
      </c>
      <c r="N614">
        <f>L614*(1-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82538972163775.984</v>
      </c>
      <c r="O614">
        <f>(1-Summary!$B$11)*S614+Summary!$B$11*U614</f>
        <v>1897857991096745</v>
      </c>
      <c r="P614">
        <f>IF(B639=0,0,O614/B639)</f>
        <v>5.7134032867313146E-2</v>
      </c>
      <c r="Q614">
        <f>IFERROR(1/(IF(Inputs!$B$38="pvp",15,MAX(0.1,Skills!E16-IF(TRUE=TRUE,Inputs!$B$32,0)))*(1-IF(AND(ArtifactsInput!$M$27,Inputs!$B$4="Chapter Hunt"),CHOOSE(ArtifactsInput!$N$27+1,20,24,28,32,36,40),0)/100)),0)</f>
        <v>0.04</v>
      </c>
      <c r="R614">
        <f>IF(AND(Inputs!$B$38&lt;&gt;"pvp",Inputs!$B$43&gt;0),IF(MAX(0,Inputs!$B$43-B636)&lt;=0,0,(INT(MAX(0,Inputs!$B$43-B636)/(IF(Inputs!$B$38="pvp",15,MAX(0.1,Skills!E16-IF(TRUE=TRUE,Inputs!$B$32,0)))*(1-IF(AND(ArtifactsInput!$M$27,Inputs!$B$4="Chapter Hunt"),CHOOSE(ArtifactsInput!$N$27+1,20,24,28,32,36,40),0)/100)))+1)),0)</f>
        <v>2</v>
      </c>
      <c r="S614">
        <f>IF(C614,(H614*N614*IF(AND(Inputs!$B$38&lt;&gt;"pvp",Inputs!$B$43&gt;0),((Skills!G16*((R614-1)*IF(Skills!H16&gt;0,Skills!I16/Skills!H16,1)+IF(Skills!H16&gt;0,MIN(Skills!I16,MAX(0,MAX(0,Inputs!$B$43-B636)-((R614-1)*(IF(Inputs!$B$38="pvp",15,MAX(0.1,Skills!E16-IF(TRUE=TRUE,Inputs!$B$32,0)))*(1-IF(AND(ArtifactsInput!$M$27,Inputs!$B$4="Chapter Hunt"),CHOOSE(ArtifactsInput!$N$27+1,20,24,28,32,36,40),0)/100)))))/Skills!H16,1)))/Inputs!$B$43),G614*Q614)*(1+IF(Inputs!$B$3&gt;=126,0.05*(B634+Q611+(H612*B635)/(1+Skills!H14*H612*B635)+Q622),0)*(1/Q613)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361659743419097.25</v>
      </c>
      <c r="U614">
        <f>IF(C614,(H614*N614*IF(AND(Inputs!$B$38&lt;&gt;"pvp",Inputs!$B$43&gt;0),((Skills!G16*((R614-1)*IF(Skills!H16&gt;0,Skills!I16/Skills!H16,1)+IF(Skills!H16&gt;0,MIN(Skills!I16,MAX(0,MAX(0,Inputs!$B$43-B636)-((R614-1)*(IF(Inputs!$B$38="pvp",15,MAX(0.1,Skills!E16-IF(TRUE=TRUE,Inputs!$B$32,0)))*(1-IF(AND(ArtifactsInput!$M$27,Inputs!$B$4="Chapter Hunt"),CHOOSE(ArtifactsInput!$N$27+1,20,24,28,32,36,40),0)/100)))))/Skills!H16,1)))/Inputs!$B$43),G614*Q614)*(1+IF(Inputs!$B$3&gt;=126,0.05*(B634+Q611+(H612*B635)/(1+Skills!H14*H612*B635)+Q622),0)*(1/Q613)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3434056238774393</v>
      </c>
    </row>
    <row r="615" spans="1:21" x14ac:dyDescent="0.2">
      <c r="A615" t="str">
        <f>Skills!A17</f>
        <v>MAGIC_GUARD</v>
      </c>
      <c r="B615" t="str">
        <f>Skills!B17</f>
        <v>Magic Guard</v>
      </c>
      <c r="C615" t="b">
        <f>TRUE</f>
        <v>1</v>
      </c>
      <c r="D615">
        <f>IF(Skills!C17=1,60+Inputs!$B$25+Inputs!$B$29,IF(Skills!C17=2,90+Inputs!$B$26+Inputs!$B$29,IF(Skills!C17=3,120+Inputs!$B$27+Inputs!$B$29,MAX(0,(Inputs!$B$3-100)*3)+Inputs!$B$28+Inputs!$B$29)))</f>
        <v>127</v>
      </c>
      <c r="E615">
        <f>INDEX(FactorTable!$B$2:$Y$301, MATCH(ROUND(MIN(300,MAX(1,D615)),0), FactorTable!$A$2:$A$301,0), Skills!M17+1)</f>
        <v>1508</v>
      </c>
      <c r="F615">
        <f>IF(Skills!N17=TRUE,(Skills!L17/10)*(E615/1000),Skills!L17/10)+Skills!O17</f>
        <v>18.096</v>
      </c>
      <c r="G615">
        <f>Calc!G17</f>
        <v>1</v>
      </c>
      <c r="H615">
        <f>Calc!H17</f>
        <v>1</v>
      </c>
      <c r="I615">
        <f>IF(Skills!X17&lt;&gt;"",1+(Skills!X17/10)*(Z601/1000)/100,1)</f>
        <v>1</v>
      </c>
      <c r="O615">
        <f>(1-Summary!$B$11)*S615+Summary!$B$11*U615</f>
        <v>0</v>
      </c>
      <c r="P615">
        <f>IF(B639=0,0,O615/B639)</f>
        <v>0</v>
      </c>
      <c r="Q615">
        <f>IFERROR(1/(IF(Inputs!$B$38="pvp",15,MAX(0.1,Skills!E17-IF(TRUE=TRUE,Inputs!$B$32,0)))*(1-IF(AND(ArtifactsInput!$M$27,Inputs!$B$4="Chapter Hunt"),CHOOSE(ArtifactsInput!$N$27+1,20,24,28,32,36,40),0)/100)),0)</f>
        <v>4.7619047619047616E-2</v>
      </c>
      <c r="R615">
        <f>IF(AND(Inputs!$B$38&lt;&gt;"pvp",Inputs!$B$43&gt;0),IF(Inputs!$B$43&lt;=0,0,(INT(Inputs!$B$43/(IF(Inputs!$B$38="pvp",15,MAX(0.1,Skills!E17-IF(TRUE=TRUE,Inputs!$B$32,0)))*(1-IF(AND(ArtifactsInput!$M$27,Inputs!$B$4="Chapter Hunt"),CHOOSE(ArtifactsInput!$N$27+1,20,24,28,32,36,40),0)/100)))+1)),0)</f>
        <v>2</v>
      </c>
      <c r="S615">
        <v>0</v>
      </c>
      <c r="U615">
        <v>0</v>
      </c>
    </row>
    <row r="616" spans="1:21" x14ac:dyDescent="0.2">
      <c r="A616" t="str">
        <f>Skills!A18</f>
        <v>NIMBLE_FEET</v>
      </c>
      <c r="B616" t="str">
        <f>Skills!B18</f>
        <v>Nimble Feet</v>
      </c>
      <c r="C616" t="b">
        <f>TRUE</f>
        <v>1</v>
      </c>
      <c r="D616">
        <f>IF(Skills!C18=1,60+Inputs!$B$25+Inputs!$B$29,IF(Skills!C18=2,90+Inputs!$B$26+Inputs!$B$29,IF(Skills!C18=3,120+Inputs!$B$27+Inputs!$B$29,MAX(0,(Inputs!$B$3-100)*3)+Inputs!$B$28+Inputs!$B$29)))</f>
        <v>127</v>
      </c>
      <c r="E616">
        <f>INDEX(FactorTable!$B$2:$Y$301, MATCH(ROUND(MIN(300,MAX(1,D616)),0), FactorTable!$A$2:$A$301,0), Skills!M18+1)</f>
        <v>0</v>
      </c>
      <c r="F616">
        <f>IF(Skills!N18=TRUE,(Skills!L18/10)*(E616/1000),Skills!L18/10)+Skills!O18</f>
        <v>15</v>
      </c>
      <c r="G616">
        <f>Calc!G18</f>
        <v>1</v>
      </c>
      <c r="H616">
        <f>Calc!H18</f>
        <v>1</v>
      </c>
      <c r="I616">
        <f>IF(Skills!X18&lt;&gt;"",1+(Skills!X18/10)*(Z601/1000)/100,1)</f>
        <v>1</v>
      </c>
      <c r="O616">
        <f>(1-Summary!$B$11)*S616+Summary!$B$11*U616</f>
        <v>0</v>
      </c>
      <c r="P616">
        <f>IF(B639=0,0,O616/B639)</f>
        <v>0</v>
      </c>
      <c r="Q616">
        <f>IFERROR(1/(IF(Inputs!$B$38="pvp",15,MAX(0.1,Skills!E18-IF(TRUE=TRUE,Inputs!$B$32,0)))*(1-IF(AND(ArtifactsInput!$M$27,Inputs!$B$4="Chapter Hunt"),CHOOSE(ArtifactsInput!$N$27+1,20,24,28,32,36,40),0)/100)),0)</f>
        <v>1.6666666666666666E-2</v>
      </c>
      <c r="R616">
        <f>IF(AND(Inputs!$B$38&lt;&gt;"pvp",Inputs!$B$43&gt;0),IF(Inputs!$B$43&lt;=0,0,(INT(Inputs!$B$43/(IF(Inputs!$B$38="pvp",15,MAX(0.1,Skills!E18-IF(TRUE=TRUE,Inputs!$B$32,0)))*(1-IF(AND(ArtifactsInput!$M$27,Inputs!$B$4="Chapter Hunt"),CHOOSE(ArtifactsInput!$N$27+1,20,24,28,32,36,40),0)/100)))+1)),0)</f>
        <v>1</v>
      </c>
      <c r="S616">
        <v>0</v>
      </c>
      <c r="U616">
        <v>0</v>
      </c>
    </row>
    <row r="617" spans="1:21" x14ac:dyDescent="0.2">
      <c r="A617" t="str">
        <f>Skills!A19</f>
        <v>INFINITY</v>
      </c>
      <c r="B617" t="str">
        <f>Skills!B19</f>
        <v>Infinity</v>
      </c>
      <c r="C617" t="b">
        <f>Inputs!$B$3&gt;=110</f>
        <v>1</v>
      </c>
      <c r="D617">
        <f>IF(Skills!C19=1,60+Inputs!$B$25+Inputs!$B$29,IF(Skills!C19=2,90+Inputs!$B$26+Inputs!$B$29,IF(Skills!C19=3,120+Inputs!$B$27+Inputs!$B$29,MAX(0,(Inputs!$B$3-100)*3)+Inputs!$B$28+Inputs!$B$29)))</f>
        <v>185</v>
      </c>
      <c r="E617">
        <f>INDEX(FactorTable!$B$2:$Y$301, MATCH(ROUND(MIN(300,MAX(1,D617)),0), FactorTable!$A$2:$A$301,0), Skills!M19+1)</f>
        <v>1740</v>
      </c>
      <c r="F617">
        <f>IF(Skills!N19=TRUE,(Skills!L19/10)*(E617/1000),Skills!L19/10)+Skills!O19</f>
        <v>37.700579999999995</v>
      </c>
      <c r="G617">
        <f>Calc!G19</f>
        <v>1</v>
      </c>
      <c r="H617">
        <f>Calc!H19</f>
        <v>1</v>
      </c>
      <c r="I617">
        <f>IF(Skills!X19&lt;&gt;"",1+(Skills!X19/10)*(Z601/1000)/100,1)</f>
        <v>1</v>
      </c>
      <c r="O617">
        <f>(1-Summary!$B$11)*S617+Summary!$B$11*U617</f>
        <v>0</v>
      </c>
      <c r="P617">
        <f>IF(B639=0,0,O617/B639)</f>
        <v>0</v>
      </c>
      <c r="Q617">
        <f>IFERROR(1/(IF(Inputs!$B$38="pvp",15,MAX(0.1,Skills!E19-IF(TRUE=TRUE,Inputs!$B$32,0)))*(1-IF(AND(ArtifactsInput!$M$27,Inputs!$B$4="Chapter Hunt"),CHOOSE(ArtifactsInput!$N$27+1,20,24,28,32,36,40),0)/100)),0)</f>
        <v>3.3333333333333333E-2</v>
      </c>
      <c r="R617">
        <f>IF(AND(Inputs!$B$38&lt;&gt;"pvp",Inputs!$B$43&gt;0),IF(Inputs!$B$43&lt;=0,0,(INT(Inputs!$B$43/(IF(Inputs!$B$38="pvp",15,MAX(0.1,Skills!E19-IF(TRUE=TRUE,Inputs!$B$32,0)))*(1-IF(AND(ArtifactsInput!$M$27,Inputs!$B$4="Chapter Hunt"),CHOOSE(ArtifactsInput!$N$27+1,20,24,28,32,36,40),0)/100)))+1)),0)</f>
        <v>2</v>
      </c>
      <c r="S617">
        <v>0</v>
      </c>
      <c r="U617">
        <v>0</v>
      </c>
    </row>
    <row r="618" spans="1:21" x14ac:dyDescent="0.2">
      <c r="A618" t="str">
        <f>Skills!A20</f>
        <v>MAGIC_CRITICAL_RATE</v>
      </c>
      <c r="B618" t="str">
        <f>Skills!B20</f>
        <v>Magic Critical (Crit Rate)</v>
      </c>
      <c r="C618" t="b">
        <f>TRUE</f>
        <v>1</v>
      </c>
      <c r="D618">
        <f>IF(Skills!C20=1,60+Inputs!$B$25+Inputs!$B$29,IF(Skills!C20=2,90+Inputs!$B$26+Inputs!$B$29,IF(Skills!C20=3,120+Inputs!$B$27+Inputs!$B$29,MAX(0,(Inputs!$B$3-100)*3)+Inputs!$B$28+Inputs!$B$29)))</f>
        <v>184</v>
      </c>
      <c r="E618">
        <f>INDEX(FactorTable!$B$2:$Y$301, MATCH(ROUND(MIN(300,MAX(1,D618)),0), FactorTable!$A$2:$A$301,0), Skills!M20+1)</f>
        <v>1552</v>
      </c>
      <c r="F618">
        <f>IF(Skills!N20=TRUE,(Skills!L20/10)*(E618/1000),Skills!L20/10)+Skills!O20</f>
        <v>12.416</v>
      </c>
      <c r="G618">
        <f>Calc!G20</f>
        <v>1</v>
      </c>
      <c r="H618">
        <f>Calc!H20</f>
        <v>1</v>
      </c>
      <c r="I618">
        <f>IF(Skills!X20&lt;&gt;"",1+(Skills!X20/10)*(Z601/1000)/100,1)</f>
        <v>1</v>
      </c>
      <c r="O618">
        <f>(1-Summary!$B$11)*S618+Summary!$B$11*U618</f>
        <v>0</v>
      </c>
      <c r="P618">
        <f>IF(B639=0,0,O618/B639)</f>
        <v>0</v>
      </c>
      <c r="Q618">
        <f>IFERROR(1/(IF(Inputs!$B$38="pvp",15,MAX(0.1,Skills!E20-IF(TRUE=TRUE,Inputs!$B$32,0)))*(1-IF(AND(ArtifactsInput!$M$27,Inputs!$B$4="Chapter Hunt"),CHOOSE(ArtifactsInput!$N$27+1,20,24,28,32,36,40),0)/100)),0)</f>
        <v>10</v>
      </c>
      <c r="R618">
        <v>0</v>
      </c>
      <c r="S618">
        <v>0</v>
      </c>
      <c r="U618">
        <v>0</v>
      </c>
    </row>
    <row r="619" spans="1:21" x14ac:dyDescent="0.2">
      <c r="A619" t="str">
        <f>Skills!A21</f>
        <v>MAGIC_CRITICAL_DAMAGE</v>
      </c>
      <c r="B619" t="str">
        <f>Skills!B21</f>
        <v>Magic Critical (Crit Damage)</v>
      </c>
      <c r="C619" t="b">
        <f>TRUE</f>
        <v>1</v>
      </c>
      <c r="D619">
        <f>IF(Skills!C21=1,60+Inputs!$B$25+Inputs!$B$29,IF(Skills!C21=2,90+Inputs!$B$26+Inputs!$B$29,IF(Skills!C21=3,120+Inputs!$B$27+Inputs!$B$29,MAX(0,(Inputs!$B$3-100)*3)+Inputs!$B$28+Inputs!$B$29)))</f>
        <v>184</v>
      </c>
      <c r="E619">
        <f>INDEX(FactorTable!$B$2:$Y$301, MATCH(ROUND(MIN(300,MAX(1,D619)),0), FactorTable!$A$2:$A$301,0), Skills!M21+1)</f>
        <v>1552</v>
      </c>
      <c r="F619">
        <f>IF(Skills!N21=TRUE,(Skills!L21/10)*(E619/1000),Skills!L21/10)+Skills!O21</f>
        <v>18.624000000000002</v>
      </c>
      <c r="G619">
        <f>Calc!G21</f>
        <v>1</v>
      </c>
      <c r="H619">
        <f>Calc!H21</f>
        <v>1</v>
      </c>
      <c r="I619">
        <f>IF(Skills!X21&lt;&gt;"",1+(Skills!X21/10)*(Z601/1000)/100,1)</f>
        <v>1</v>
      </c>
      <c r="O619">
        <f>(1-Summary!$B$11)*S619+Summary!$B$11*U619</f>
        <v>0</v>
      </c>
      <c r="P619">
        <f>IF(B639=0,0,O619/B639)</f>
        <v>0</v>
      </c>
      <c r="Q619">
        <f>IFERROR(1/(IF(Inputs!$B$38="pvp",15,MAX(0.1,Skills!E21-IF(TRUE=TRUE,Inputs!$B$32,0)))*(1-IF(AND(ArtifactsInput!$M$27,Inputs!$B$4="Chapter Hunt"),CHOOSE(ArtifactsInput!$N$27+1,20,24,28,32,36,40),0)/100)),0)</f>
        <v>10</v>
      </c>
      <c r="R619">
        <v>0</v>
      </c>
      <c r="S619">
        <v>0</v>
      </c>
      <c r="U619">
        <v>0</v>
      </c>
    </row>
    <row r="620" spans="1:21" x14ac:dyDescent="0.2">
      <c r="A620" t="str">
        <f>Skills!A22</f>
        <v>SPELL_MASTERY</v>
      </c>
      <c r="B620" t="str">
        <f>Skills!B22</f>
        <v>Spell Mastery</v>
      </c>
      <c r="C620" t="b">
        <f>TRUE</f>
        <v>1</v>
      </c>
      <c r="D620">
        <f>IF(Skills!C22=1,60+Inputs!$B$25+Inputs!$B$29,IF(Skills!C22=2,90+Inputs!$B$26+Inputs!$B$29,IF(Skills!C22=3,120+Inputs!$B$27+Inputs!$B$29,MAX(0,(Inputs!$B$3-100)*3)+Inputs!$B$28+Inputs!$B$29)))</f>
        <v>168</v>
      </c>
      <c r="E620">
        <f>INDEX(FactorTable!$B$2:$Y$301, MATCH(ROUND(MIN(300,MAX(1,D620)),0), FactorTable!$A$2:$A$301,0), Skills!M22+1)</f>
        <v>1504</v>
      </c>
      <c r="F620">
        <f>IF(Skills!N22=TRUE,(Skills!L22/10)*(E620/1000),Skills!L22/10)+Skills!O22</f>
        <v>22.56</v>
      </c>
      <c r="G620">
        <f>Calc!G22</f>
        <v>1</v>
      </c>
      <c r="H620">
        <f>Calc!H22</f>
        <v>1</v>
      </c>
      <c r="I620">
        <f>IF(Skills!X22&lt;&gt;"",1+(Skills!X22/10)*(Z601/1000)/100,1)</f>
        <v>1</v>
      </c>
      <c r="O620">
        <f>(1-Summary!$B$11)*S620+Summary!$B$11*U620</f>
        <v>0</v>
      </c>
      <c r="P620">
        <f>IF(B639=0,0,O620/B639)</f>
        <v>0</v>
      </c>
      <c r="Q620">
        <f>IFERROR(1/(IF(Inputs!$B$38="pvp",15,MAX(0.1,Skills!E22-IF(TRUE=TRUE,Inputs!$B$32,0)))*(1-IF(AND(ArtifactsInput!$M$27,Inputs!$B$4="Chapter Hunt"),CHOOSE(ArtifactsInput!$N$27+1,20,24,28,32,36,40),0)/100)),0)</f>
        <v>10</v>
      </c>
      <c r="R620">
        <v>0</v>
      </c>
      <c r="S620">
        <v>0</v>
      </c>
      <c r="U620">
        <v>0</v>
      </c>
    </row>
    <row r="621" spans="1:21" x14ac:dyDescent="0.2">
      <c r="A621" t="str">
        <f>Skills!A23</f>
        <v>ELEMENT_AMPLIFICATION</v>
      </c>
      <c r="B621" t="str">
        <f>Skills!B23</f>
        <v>Element Amplification</v>
      </c>
      <c r="C621" t="b">
        <f>TRUE</f>
        <v>1</v>
      </c>
      <c r="D621">
        <f>IF(Skills!C23=1,60+Inputs!$B$25+Inputs!$B$29,IF(Skills!C23=2,90+Inputs!$B$26+Inputs!$B$29,IF(Skills!C23=3,120+Inputs!$B$27+Inputs!$B$29,MAX(0,(Inputs!$B$3-100)*3)+Inputs!$B$28+Inputs!$B$29)))</f>
        <v>185</v>
      </c>
      <c r="E621">
        <f>INDEX(FactorTable!$B$2:$Y$301, MATCH(ROUND(MIN(300,MAX(1,D621)),0), FactorTable!$A$2:$A$301,0), Skills!M23+1)</f>
        <v>1555</v>
      </c>
      <c r="F621">
        <f>IF(Skills!N23=TRUE,(Skills!L23/10)*(E621/1000),Skills!L23/10)+Skills!O23</f>
        <v>23.324999999999999</v>
      </c>
      <c r="G621">
        <f>Calc!G23</f>
        <v>1</v>
      </c>
      <c r="H621">
        <f>Calc!H23</f>
        <v>1</v>
      </c>
      <c r="I621">
        <f>IF(Skills!X23&lt;&gt;"",1+(Skills!X23/10)*(Z601/1000)/100,1)</f>
        <v>1</v>
      </c>
      <c r="O621">
        <f>(1-Summary!$B$11)*S621+Summary!$B$11*U621</f>
        <v>0</v>
      </c>
      <c r="P621">
        <f>IF(B639=0,0,O621/B639)</f>
        <v>0</v>
      </c>
      <c r="Q621">
        <f>IFERROR(1/(IF(Inputs!$B$38="pvp",15,MAX(0.1,Skills!E23-IF(TRUE=TRUE,Inputs!$B$32,0)))*(1-IF(AND(ArtifactsInput!$M$27,Inputs!$B$4="Chapter Hunt"),CHOOSE(ArtifactsInput!$N$27+1,20,24,28,32,36,40),0)/100)),0)</f>
        <v>10</v>
      </c>
      <c r="R621">
        <v>0</v>
      </c>
      <c r="S621">
        <v>0</v>
      </c>
      <c r="U621">
        <v>0</v>
      </c>
    </row>
    <row r="622" spans="1:21" x14ac:dyDescent="0.2">
      <c r="A622" t="str">
        <f>Skills!A24</f>
        <v>IFRIT</v>
      </c>
      <c r="B622" t="str">
        <f>Skills!B24</f>
        <v>Ifrit</v>
      </c>
      <c r="C622" t="b">
        <f>Inputs!$B$3&gt;=115</f>
        <v>1</v>
      </c>
      <c r="D622">
        <f>IF(Skills!C24=1,60+Inputs!$B$25+Inputs!$B$29,IF(Skills!C24=2,90+Inputs!$B$26+Inputs!$B$29,IF(Skills!C24=3,120+Inputs!$B$27+Inputs!$B$29,MAX(0,(Inputs!$B$3-100)*3)+Inputs!$B$28+Inputs!$B$29)))</f>
        <v>185</v>
      </c>
      <c r="E622">
        <f>INDEX(FactorTable!$B$2:$Y$301, MATCH(ROUND(MIN(300,MAX(1,D622)),0), FactorTable!$A$2:$A$301,0), Skills!M24+1)</f>
        <v>1925</v>
      </c>
      <c r="F622">
        <f>IF(Skills!N24=TRUE,(Skills!L24/10)*(E622/1000),Skills!L24/10)+Skills!O24</f>
        <v>6737.5</v>
      </c>
      <c r="G622">
        <f>Calc!G24</f>
        <v>7.5</v>
      </c>
      <c r="H622">
        <f>Calc!H24</f>
        <v>1</v>
      </c>
      <c r="I622">
        <f>IF(Skills!X24&lt;&gt;"",1+(Skills!X24/10)*(Z601/1000)/100,1)</f>
        <v>1</v>
      </c>
      <c r="J622">
        <f>((Inputs!$B$6*(1+Inputs!$B$7/100))+(((Inputs!$B$12*(1+Inputs!$B$13/100))-(Inputs!$B$12*(1+Inputs!$B$13/100)))+0.25*(Inputs!$B$14-Inputs!$B$14))*(1+Inputs!$B$7/100))*(F622/100)</f>
        <v>24331438378.718628</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122742288046123.33</v>
      </c>
      <c r="L622">
        <f>K622*(MIN(Inputs!$B$22+(F620-Calc!F22),(Inputs!$B$23+(IF(ArtifactsInput!$M$15,CHOOSE(ArtifactsInput!$N$15+1,25,30,35,40,45,50)/100*(Inputs!$B$11-Inputs!$B$11),0))))/100+(Inputs!$B$23+(IF(ArtifactsInput!$M$15,CHOOSE(ArtifactsInput!$N$15+1,25,30,35,40,45,50)/100*(Inputs!$B$11-Inputs!$B$11),0)))/100)/2</f>
        <v>408118107753360.06</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1925909350488106</v>
      </c>
      <c r="N622">
        <f>L622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1925909350488106</v>
      </c>
      <c r="O622">
        <f>(1-Summary!$B$11)*S622+Summary!$B$11*U622</f>
        <v>2202758819620771</v>
      </c>
      <c r="P622">
        <f>IF(B639=0,0,O622/B639)</f>
        <v>6.631291455386959E-2</v>
      </c>
      <c r="Q622">
        <f>IFERROR(1/(IF(Inputs!$B$38="pvp",15,MAX(0.1,Skills!E24-IF(TRUE=TRUE,Inputs!$B$32,0)))*(1-IF(AND(ArtifactsInput!$M$27,Inputs!$B$4="Chapter Hunt"),CHOOSE(ArtifactsInput!$N$27+1,20,24,28,32,36,40),0)/100)),0)</f>
        <v>1.2500000000000001E-2</v>
      </c>
      <c r="R622">
        <f>IF(AND(Inputs!$B$38&lt;&gt;"pvp",Inputs!$B$43&gt;0),IF(MAX(0,Inputs!$B$43-B636)&lt;=0,0,(INT(MAX(0,Inputs!$B$43-B636)/(IF(Inputs!$B$38="pvp",15,MAX(0.1,Skills!E24-IF(TRUE=TRUE,Inputs!$B$32,0)))*(1-IF(AND(ArtifactsInput!$M$27,Inputs!$B$4="Chapter Hunt"),CHOOSE(ArtifactsInput!$N$27+1,20,24,28,32,36,40),0)/100)))+1)),0)</f>
        <v>1</v>
      </c>
      <c r="S622">
        <f>IF(C622,(H622*N622*IF(AND(Inputs!$B$38&lt;&gt;"pvp",Inputs!$B$43&gt;0),((Skills!G24*((R622-1)*IF(Skills!H24&gt;0,Skills!I24/Skills!H24,1)+IF(Skills!H24&gt;0,MIN(Skills!I24,MAX(0,MAX(0,Inputs!$B$43-B636)-((R622-1)*(IF(Inputs!$B$38="pvp",15,MAX(0.1,Skills!E24-IF(TRUE=TRUE,Inputs!$B$32,0)))*(1-IF(AND(ArtifactsInput!$M$27,Inputs!$B$4="Chapter Hunt"),CHOOSE(ArtifactsInput!$N$27+1,20,24,28,32,36,40),0)/100)))))/Skills!H24,1)))/Inputs!$B$43),G622*Q622)*(1+IF(Inputs!$B$3&gt;=130,0.2*(Skills!I16/(1/Q613)+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1144712370196368</v>
      </c>
      <c r="U622">
        <f>IF(C622,(H622*N622*IF(AND(Inputs!$B$38&lt;&gt;"pvp",Inputs!$B$43&gt;0),((Skills!G24*((R622-1)*IF(Skills!H24&gt;0,Skills!I24/Skills!H24,1)+IF(Skills!H24&gt;0,MIN(Skills!I24,MAX(0,MAX(0,Inputs!$B$43-B636)-((R622-1)*(IF(Inputs!$B$38="pvp",15,MAX(0.1,Skills!E24-IF(TRUE=TRUE,Inputs!$B$32,0)))*(1-IF(AND(ArtifactsInput!$M$27,Inputs!$B$4="Chapter Hunt"),CHOOSE(ArtifactsInput!$N$27+1,20,24,28,32,36,40),0)/100)))))/Skills!H24,1)))/Inputs!$B$43),G622*Q622)*(1+IF(Inputs!$B$3&gt;=130,0.2*(Skills!I16/(1/Q613)+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3260805269045174</v>
      </c>
    </row>
    <row r="623" spans="1:21" x14ac:dyDescent="0.2">
      <c r="A623" t="str">
        <f>Skills!A25</f>
        <v>BUFF_MASTERY</v>
      </c>
      <c r="B623" t="str">
        <f>Skills!B25</f>
        <v>Buff Mastery</v>
      </c>
      <c r="C623" t="b">
        <f>Inputs!$B$3&gt;=117</f>
        <v>1</v>
      </c>
      <c r="D623">
        <f>IF(Skills!C25=1,60+Inputs!$B$25+Inputs!$B$29,IF(Skills!C25=2,90+Inputs!$B$26+Inputs!$B$29,IF(Skills!C25=3,120+Inputs!$B$27+Inputs!$B$29,MAX(0,(Inputs!$B$3-100)*3)+Inputs!$B$28+Inputs!$B$29)))</f>
        <v>185</v>
      </c>
      <c r="E623">
        <f>INDEX(FactorTable!$B$2:$Y$301, MATCH(ROUND(MIN(300,MAX(1,D623)),0), FactorTable!$A$2:$A$301,0), Skills!M25+1)</f>
        <v>1555</v>
      </c>
      <c r="F623">
        <f>IF(Skills!N25=TRUE,(Skills!L25/10)*(E623/1000),Skills!L25/10)+Skills!O25</f>
        <v>15.549999999999999</v>
      </c>
      <c r="G623">
        <f>Calc!G25</f>
        <v>1</v>
      </c>
      <c r="H623">
        <f>Calc!H25</f>
        <v>1</v>
      </c>
      <c r="I623">
        <f>IF(Skills!X25&lt;&gt;"",1+(Skills!X25/10)*(Z601/1000)/100,1)</f>
        <v>1</v>
      </c>
      <c r="O623">
        <f>(1-Summary!$B$11)*S623+Summary!$B$11*U623</f>
        <v>0</v>
      </c>
      <c r="P623">
        <f>IF(B639=0,0,O623/B639)</f>
        <v>0</v>
      </c>
      <c r="Q623">
        <f>IFERROR(1/(IF(Inputs!$B$38="pvp",15,MAX(0.1,Skills!E25-IF(TRUE=TRUE,Inputs!$B$32,0)))*(1-IF(AND(ArtifactsInput!$M$27,Inputs!$B$4="Chapter Hunt"),CHOOSE(ArtifactsInput!$N$27+1,20,24,28,32,36,40),0)/100)),0)</f>
        <v>10</v>
      </c>
      <c r="R623">
        <v>0</v>
      </c>
      <c r="S623">
        <v>0</v>
      </c>
      <c r="U623">
        <v>0</v>
      </c>
    </row>
    <row r="624" spans="1:21" x14ac:dyDescent="0.2">
      <c r="A624" t="str">
        <f>Skills!A26</f>
        <v>ARCANE_AIM</v>
      </c>
      <c r="B624" t="str">
        <f>Skills!B26</f>
        <v>Arcane Aim</v>
      </c>
      <c r="C624" t="b">
        <f>Inputs!$B$3&gt;=120</f>
        <v>0</v>
      </c>
      <c r="D624">
        <f>IF(Skills!C26=1,60+Inputs!$B$25+Inputs!$B$29,IF(Skills!C26=2,90+Inputs!$B$26+Inputs!$B$29,IF(Skills!C26=3,120+Inputs!$B$27+Inputs!$B$29,MAX(0,(Inputs!$B$3-100)*3)+Inputs!$B$28+Inputs!$B$29)))</f>
        <v>185</v>
      </c>
      <c r="E624">
        <f>INDEX(FactorTable!$B$2:$Y$301, MATCH(ROUND(MIN(300,MAX(1,D624)),0), FactorTable!$A$2:$A$301,0), Skills!M26+1)</f>
        <v>1555</v>
      </c>
      <c r="F624">
        <f>IF(Skills!N26=TRUE,(Skills!L26/10)*(E624/1000),Skills!L26/10)+Skills!O26</f>
        <v>4.665</v>
      </c>
      <c r="G624">
        <f>Calc!G26</f>
        <v>1</v>
      </c>
      <c r="H624">
        <f>Calc!H26</f>
        <v>1</v>
      </c>
      <c r="I624">
        <f>IF(Skills!X26&lt;&gt;"",1+(Skills!X26/10)*(Z601/1000)/100,1)</f>
        <v>1</v>
      </c>
      <c r="O624">
        <f>(1-Summary!$B$11)*S624+Summary!$B$11*U624</f>
        <v>0</v>
      </c>
      <c r="P624">
        <f>IF(B639=0,0,O624/B639)</f>
        <v>0</v>
      </c>
      <c r="Q624">
        <f>IFERROR(1/(IF(Inputs!$B$38="pvp",15,MAX(0.1,Skills!E26-IF(TRUE=TRUE,Inputs!$B$32,0)))*(1-IF(AND(ArtifactsInput!$M$27,Inputs!$B$4="Chapter Hunt"),CHOOSE(ArtifactsInput!$N$27+1,20,24,28,32,36,40),0)/100)),0)</f>
        <v>10</v>
      </c>
      <c r="R624">
        <v>0</v>
      </c>
      <c r="S624">
        <v>0</v>
      </c>
      <c r="U624">
        <v>0</v>
      </c>
    </row>
    <row r="625" spans="1:21" x14ac:dyDescent="0.2">
      <c r="A625" t="str">
        <f>Skills!A27</f>
        <v>FERVENT_DRAIN</v>
      </c>
      <c r="B625" t="str">
        <f>Skills!B27</f>
        <v>Fervent Drain</v>
      </c>
      <c r="C625" t="b">
        <f>Inputs!$B$3&gt;=125</f>
        <v>0</v>
      </c>
      <c r="D625">
        <f>IF(Skills!C27=1,60+Inputs!$B$25+Inputs!$B$29,IF(Skills!C27=2,90+Inputs!$B$26+Inputs!$B$29,IF(Skills!C27=3,120+Inputs!$B$27+Inputs!$B$29,MAX(0,(Inputs!$B$3-100)*3)+Inputs!$B$28+Inputs!$B$29)))</f>
        <v>185</v>
      </c>
      <c r="E625">
        <f>INDEX(FactorTable!$B$2:$Y$301, MATCH(ROUND(MIN(300,MAX(1,D625)),0), FactorTable!$A$2:$A$301,0), Skills!M27+1)</f>
        <v>1555</v>
      </c>
      <c r="F625">
        <f>IF(Skills!N27=TRUE,(Skills!L27/10)*(E625/1000),Skills!L27/10)+Skills!O27</f>
        <v>6.22</v>
      </c>
      <c r="G625">
        <f>Calc!G27</f>
        <v>1</v>
      </c>
      <c r="H625">
        <f>Calc!H27</f>
        <v>1</v>
      </c>
      <c r="I625">
        <f>IF(Skills!X27&lt;&gt;"",1+(Skills!X27/10)*(Z601/1000)/100,1)</f>
        <v>1</v>
      </c>
      <c r="O625">
        <f>(1-Summary!$B$11)*S625+Summary!$B$11*U625</f>
        <v>0</v>
      </c>
      <c r="P625">
        <f>IF(B639=0,0,O625/B639)</f>
        <v>0</v>
      </c>
      <c r="Q625">
        <f>IFERROR(1/(IF(Inputs!$B$38="pvp",15,MAX(0.1,Skills!E27-IF(TRUE=TRUE,Inputs!$B$32,0)))*(1-IF(AND(ArtifactsInput!$M$27,Inputs!$B$4="Chapter Hunt"),CHOOSE(ArtifactsInput!$N$27+1,20,24,28,32,36,40),0)/100)),0)</f>
        <v>10</v>
      </c>
      <c r="R625">
        <v>0</v>
      </c>
      <c r="S625">
        <v>0</v>
      </c>
      <c r="U625">
        <v>0</v>
      </c>
    </row>
    <row r="626" spans="1:21" x14ac:dyDescent="0.2">
      <c r="A626" t="str">
        <f>Skills!A28</f>
        <v>FLAME_HAZE_FOG</v>
      </c>
      <c r="B626" t="str">
        <f>Skills!B28</f>
        <v>Flame Haze (poison fog DoT)</v>
      </c>
      <c r="C626" t="b">
        <f>Inputs!$B$3&gt;=118</f>
        <v>0</v>
      </c>
      <c r="D626">
        <f>IF(Skills!C28=1,60+Inputs!$B$25+Inputs!$B$29,IF(Skills!C28=2,90+Inputs!$B$26+Inputs!$B$29,IF(Skills!C28=3,120+Inputs!$B$27+Inputs!$B$29,MAX(0,(Inputs!$B$3-100)*3)+Inputs!$B$28+Inputs!$B$29)))</f>
        <v>185</v>
      </c>
      <c r="E626">
        <f>INDEX(FactorTable!$B$2:$Y$301, MATCH(ROUND(MIN(300,MAX(1,D626)),0), FactorTable!$A$2:$A$301,0), Skills!M28+1)</f>
        <v>1925</v>
      </c>
      <c r="F626">
        <f>IF(Skills!N28=TRUE,(Skills!L28/10)*(E626/1000),Skills!L28/10)+Skills!O28</f>
        <v>134.75</v>
      </c>
      <c r="G626">
        <f>Calc!G28</f>
        <v>50</v>
      </c>
      <c r="H626">
        <f>Calc!H28</f>
        <v>1</v>
      </c>
      <c r="I626">
        <f>IF(Skills!X28&lt;&gt;"",1+(Skills!X28/10)*(Z601/1000)/100,1)</f>
        <v>1</v>
      </c>
      <c r="J626">
        <f>((Inputs!$B$6*(1+Inputs!$B$7/100))+(((Inputs!$B$12*(1+Inputs!$B$13/100))-(Inputs!$B$12*(1+Inputs!$B$13/100)))+0.25*(Inputs!$B$14-Inputs!$B$14))*(1+Inputs!$B$7/100))*(F626/100)</f>
        <v>486628767.57437253</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2454845760922.4668</v>
      </c>
      <c r="L626">
        <f>K626*(MIN(Inputs!$B$22+(F620-Calc!F22),(Inputs!$B$23+(IF(ArtifactsInput!$M$15,CHOOSE(ArtifactsInput!$N$15+1,25,30,35,40,45,50)/100*(Inputs!$B$11-Inputs!$B$11),0))))/100+(Inputs!$B$23+(IF(ArtifactsInput!$M$15,CHOOSE(ArtifactsInput!$N$15+1,25,30,35,40,45,50)/100*(Inputs!$B$11-Inputs!$B$11),0)))/100)/2</f>
        <v>8162362155067.2021</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38518187009762.125</v>
      </c>
      <c r="N626">
        <f>L626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38518187009762.125</v>
      </c>
      <c r="O626">
        <f>(1-Summary!$B$11)*S626+Summary!$B$11*U626</f>
        <v>0</v>
      </c>
      <c r="P626">
        <f>IF(B639=0,0,O626/B639)</f>
        <v>0</v>
      </c>
      <c r="Q626">
        <f>IFERROR(1/(IF(Inputs!$B$38="pvp",15,MAX(0.1,Skills!E28-IF(TRUE=TRUE,Inputs!$B$32,0)))*(1-IF(AND(ArtifactsInput!$M$27,Inputs!$B$4="Chapter Hunt"),CHOOSE(ArtifactsInput!$N$27+1,20,24,28,32,36,40),0)/100)),0)</f>
        <v>0.04</v>
      </c>
      <c r="R626">
        <f>IF(AND(Inputs!$B$38&lt;&gt;"pvp",Inputs!$B$43&gt;0),IF(MAX(0,Inputs!$B$43-B636)&lt;=0,0,(INT(MAX(0,Inputs!$B$43-B636)/(IF(Inputs!$B$38="pvp",15,MAX(0.1,Skills!E28-IF(TRUE=TRUE,Inputs!$B$32,0)))*(1-IF(AND(ArtifactsInput!$M$27,Inputs!$B$4="Chapter Hunt"),CHOOSE(ArtifactsInput!$N$27+1,20,24,28,32,36,40),0)/100)))+1)),0)</f>
        <v>2</v>
      </c>
      <c r="S626">
        <f>IF(C626,(H626*N626*IF(AND(Inputs!$B$38&lt;&gt;"pvp",Inputs!$B$43&gt;0),((Skills!G28*((R626-1)*IF(Skills!H28&gt;0,Skills!I28/Skills!H28,1)+IF(Skills!H28&gt;0,MIN(Skills!I28,MAX(0,MAX(0,Inputs!$B$43-B636)-((R626-1)*(IF(Inputs!$B$38="pvp",15,MAX(0.1,Skills!E28-IF(TRUE=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626">
        <f>IF(C626,(H626*N626*IF(AND(Inputs!$B$38&lt;&gt;"pvp",Inputs!$B$43&gt;0),((Skills!G28*((R626-1)*IF(Skills!H28&gt;0,Skills!I28/Skills!H28,1)+IF(Skills!H28&gt;0,MIN(Skills!I28,MAX(0,MAX(0,Inputs!$B$43-B636)-((R626-1)*(IF(Inputs!$B$38="pvp",15,MAX(0.1,Skills!E28-IF(TRUE=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628" spans="1:21" x14ac:dyDescent="0.2">
      <c r="A628" t="s">
        <v>356</v>
      </c>
      <c r="B628">
        <f>1+(F609*Skills!Z11)/100</f>
        <v>1.25</v>
      </c>
    </row>
    <row r="629" spans="1:21" x14ac:dyDescent="0.2">
      <c r="A629" t="s">
        <v>435</v>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1.18624</v>
      </c>
    </row>
    <row r="630" spans="1:21" x14ac:dyDescent="0.2">
      <c r="A630" t="s">
        <v>358</v>
      </c>
      <c r="B630">
        <f>(1+(F604*IF(AND(Inputs!$B$38&lt;&gt;"pvp",Inputs!$B$43&gt;0),(((R604-1)*MIN((Skills!T6*(1+((Inputs!$B$34+(ArtifactsInput!$M$7-ArtifactsInput!$M$7)*CHOOSE(ArtifactsInput!$N$7+1,6,7.2,8.4,9.6,10.8,12)))/100)),(1/Q604))+MIN((Skills!T6*(1+((Inputs!$B$34+(ArtifactsInput!$M$7-ArtifactsInput!$M$7)*CHOOSE(ArtifactsInput!$N$7+1,6,7.2,8.4,9.6,10.8,12)))/100)),MAX(0,Inputs!$B$43-((R604-1)*(1/Q604)))))/Inputs!$B$43),IF(Inputs!$B$38="pvp",MIN((Skills!T6*(1+((Inputs!$B$34+(ArtifactsInput!$M$7-ArtifactsInput!$M$7)*CHOOSE(ArtifactsInput!$N$7+1,6,7.2,8.4,9.6,10.8,12)))/100)),15)/15,MIN(1,(Skills!T6*(1+((Inputs!$B$34+(ArtifactsInput!$M$7-ArtifactsInput!$M$7)*CHOOSE(ArtifactsInput!$N$7+1,6,7.2,8.4,9.6,10.8,12)))/100))/(1/Q604))))+F615*IF(AND(Inputs!$B$38&lt;&gt;"pvp",Inputs!$B$43&gt;0),(((R615-1)*MIN((Skills!T17*(1+((Inputs!$B$34+(ArtifactsInput!$M$7-ArtifactsInput!$M$7)*CHOOSE(ArtifactsInput!$N$7+1,6,7.2,8.4,9.6,10.8,12)))/100)),(1/Q615))+MIN((Skills!T17*(1+((Inputs!$B$34+(ArtifactsInput!$M$7-ArtifactsInput!$M$7)*CHOOSE(ArtifactsInput!$N$7+1,6,7.2,8.4,9.6,10.8,12)))/100)),MAX(0,Inputs!$B$43-((R615-1)*(1/Q615)))))/Inputs!$B$43),IF(Inputs!$B$38="pvp",MIN((Skills!T17*(1+((Inputs!$B$34+(ArtifactsInput!$M$7-ArtifactsInput!$M$7)*CHOOSE(ArtifactsInput!$N$7+1,6,7.2,8.4,9.6,10.8,12)))/100)),15)/15,MIN(1,(Skills!T17*(1+((Inputs!$B$34+(ArtifactsInput!$M$7-ArtifactsInput!$M$7)*CHOOSE(ArtifactsInput!$N$7+1,6,7.2,8.4,9.6,10.8,12)))/100))/(1/Q615)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MIN((Skills!T19*(1+((Inputs!$B$34+(ArtifactsInput!$M$7-ArtifactsInput!$M$7)*CHOOSE(ArtifactsInput!$N$7+1,6,7.2,8.4,9.6,10.8,12)))/100)),(1/Q617))+MIN((Skills!T19*(1+((Inputs!$B$34+(ArtifactsInput!$M$7-ArtifactsInput!$M$7)*CHOOSE(ArtifactsInput!$N$7+1,6,7.2,8.4,9.6,10.8,12)))/100)),MAX(0,Inputs!$B$43-((R617-1)*(1/Q617)))))/Inputs!$B$43),IF(Inputs!$B$38="pvp",MIN((Skills!T19*(1+((Inputs!$B$34+(ArtifactsInput!$M$7-ArtifactsInput!$M$7)*CHOOSE(ArtifactsInput!$N$7+1,6,7.2,8.4,9.6,10.8,12)))/100)),15)/15,MIN(1,(Skills!T19*(1+((Inputs!$B$34+(ArtifactsInput!$M$7-ArtifactsInput!$M$7)*CHOOSE(ArtifactsInput!$N$7+1,6,7.2,8.4,9.6,10.8,12)))/100))/(1/Q617))))/100),1)</f>
        <v>1.7965808377980694</v>
      </c>
    </row>
    <row r="631" spans="1:21" x14ac:dyDescent="0.2">
      <c r="A631" t="s">
        <v>359</v>
      </c>
      <c r="B631">
        <f>F616*IF(AND(Inputs!$B$38&lt;&gt;"pvp",Inputs!$B$43&gt;0),(((R616-1)*MIN((Skills!T18*(1+((Inputs!$B$34+(ArtifactsInput!$M$7-ArtifactsInput!$M$7)*CHOOSE(ArtifactsInput!$N$7+1,6,7.2,8.4,9.6,10.8,12)))/100)),(1/Q616))+MIN((Skills!T18*(1+((Inputs!$B$34+(ArtifactsInput!$M$7-ArtifactsInput!$M$7)*CHOOSE(ArtifactsInput!$N$7+1,6,7.2,8.4,9.6,10.8,12)))/100)),MAX(0,Inputs!$B$43-((R616-1)*(1/Q616)))))/Inputs!$B$43),IF(Inputs!$B$38="pvp",MIN((Skills!T18*(1+((Inputs!$B$34+(ArtifactsInput!$M$7-ArtifactsInput!$M$7)*CHOOSE(ArtifactsInput!$N$7+1,6,7.2,8.4,9.6,10.8,12)))/100)),15)/15,MIN(1,(Skills!T18*(1+((Inputs!$B$34+(ArtifactsInput!$M$7-ArtifactsInput!$M$7)*CHOOSE(ArtifactsInput!$N$7+1,6,7.2,8.4,9.6,10.8,12)))/100))/(1/Q616))))</f>
        <v>6.4968749999999993</v>
      </c>
    </row>
    <row r="632" spans="1:21" x14ac:dyDescent="0.2">
      <c r="A632" t="s">
        <v>436</v>
      </c>
      <c r="B632">
        <f>1+MIN(150,150*(1-(1-(Inputs!$B$11+(ArtifactsInput!$M$15-ArtifactsInput!$M$15)*CHOOSE(ArtifactsInput!$N$15+1,8,9.6,11.2,12.8,14.4,16))/150)*(1-B631/150)))/100</f>
        <v>1.6982958749999999</v>
      </c>
    </row>
    <row r="633" spans="1:21" x14ac:dyDescent="0.2">
      <c r="A633" t="s">
        <v>437</v>
      </c>
      <c r="B633">
        <f>IF(AND(Inputs!$B$38&lt;&gt;"pvp",Inputs!$B$43&gt;0),SUMPRODUCT((Skills!F2:F28=TRUE)*(C600:C626=TRUE)*R600:R626)/Inputs!$B$43,SUMPRODUCT((Skills!F2:F28=TRUE)*(C600:C626=TRUE)*Q600:Q626))</f>
        <v>0.47499999999999998</v>
      </c>
    </row>
    <row r="634" spans="1:21" x14ac:dyDescent="0.2">
      <c r="A634" t="s">
        <v>362</v>
      </c>
      <c r="B634">
        <f>MAX(0,B632-B633)</f>
        <v>1.2232958749999998</v>
      </c>
    </row>
    <row r="635" spans="1:21" x14ac:dyDescent="0.2">
      <c r="A635" t="s">
        <v>438</v>
      </c>
      <c r="B635">
        <f>IF(AND(Inputs!$B$38&lt;&gt;"pvp",Inputs!$B$43&gt;0),SUMPRODUCT((Skills!V2:V28=TRUE)*(C600:C626=TRUE)*R600:R626*Skills!W2:W28)/Inputs!$B$43,SUMPRODUCT((Skills!V2:V28=TRUE)*(C600:C626=TRUE)*Q600:Q626*Skills!W2:W28))+B634</f>
        <v>1.5482958749999998</v>
      </c>
    </row>
    <row r="636" spans="1:21" x14ac:dyDescent="0.2">
      <c r="A636" t="s">
        <v>439</v>
      </c>
      <c r="B636">
        <f>IF(AND(Inputs!$B$38&lt;&gt;"pvp",Inputs!$B$43&gt;0),SUMPRODUCT((Skills!T2:T28&gt;0)*(Skills!F2:F28=TRUE)*(C600:C626=TRUE))/B632,0)</f>
        <v>2.3553021937358238</v>
      </c>
    </row>
    <row r="637" spans="1:21" x14ac:dyDescent="0.2">
      <c r="A637" t="s">
        <v>440</v>
      </c>
      <c r="B637">
        <f>SUM(S600:S626)</f>
        <v>9554886690670796</v>
      </c>
    </row>
    <row r="638" spans="1:21" x14ac:dyDescent="0.2">
      <c r="A638" t="s">
        <v>441</v>
      </c>
      <c r="B638">
        <f>SUM(U600:U626)</f>
        <v>5.6880402255386624E+16</v>
      </c>
    </row>
    <row r="639" spans="1:21" x14ac:dyDescent="0.2">
      <c r="A639" s="6" t="s">
        <v>348</v>
      </c>
      <c r="B639" s="6">
        <f>SUM(O600:O626)</f>
        <v>3.3217644473028708E+16</v>
      </c>
    </row>
    <row r="642" spans="1:26" x14ac:dyDescent="0.2">
      <c r="A642" s="6" t="s">
        <v>454</v>
      </c>
    </row>
    <row r="643" spans="1:26" x14ac:dyDescent="0.2">
      <c r="A643" s="5" t="s">
        <v>136</v>
      </c>
      <c r="B643" s="5" t="s">
        <v>137</v>
      </c>
      <c r="C643" s="5" t="s">
        <v>328</v>
      </c>
      <c r="D643" s="5" t="s">
        <v>329</v>
      </c>
      <c r="E643" s="5" t="s">
        <v>330</v>
      </c>
      <c r="F643" s="5" t="s">
        <v>331</v>
      </c>
      <c r="G643" s="5" t="s">
        <v>332</v>
      </c>
      <c r="H643" s="5" t="s">
        <v>333</v>
      </c>
      <c r="I643" s="5" t="s">
        <v>334</v>
      </c>
      <c r="J643" s="5" t="s">
        <v>335</v>
      </c>
      <c r="K643" s="5" t="s">
        <v>336</v>
      </c>
      <c r="L643" s="5" t="s">
        <v>337</v>
      </c>
      <c r="M643" s="5" t="s">
        <v>338</v>
      </c>
      <c r="N643" s="5" t="s">
        <v>339</v>
      </c>
      <c r="O643" s="5" t="s">
        <v>340</v>
      </c>
      <c r="P643" s="5" t="s">
        <v>341</v>
      </c>
      <c r="R643" t="s">
        <v>434</v>
      </c>
    </row>
    <row r="644" spans="1:26" x14ac:dyDescent="0.2">
      <c r="A644" t="str">
        <f>Skills!A2</f>
        <v>BASIC_ATTACK</v>
      </c>
      <c r="B644" t="str">
        <f>Skills!B2</f>
        <v>Basic Attack</v>
      </c>
      <c r="C644" t="b">
        <f>TRUE</f>
        <v>1</v>
      </c>
      <c r="F644">
        <f>T646+Skills!O2</f>
        <v>537.6</v>
      </c>
      <c r="G644">
        <f>Calc!G2</f>
        <v>5</v>
      </c>
      <c r="H644">
        <f>Calc!H2</f>
        <v>1</v>
      </c>
      <c r="I644">
        <f>IF(Skills!X2&lt;&gt;"",1+(Skills!X2/10)*(Z645/1000)/100,1)</f>
        <v>1</v>
      </c>
      <c r="J644">
        <f>((Inputs!$B$6*(1+Inputs!$B$7/100))+(((Inputs!$B$12*(1+Inputs!$B$13/100))-(Inputs!$B$12*(1+Inputs!$B$13/100)))+0.25*(Inputs!$B$14-Inputs!$B$14))*(1+Inputs!$B$7/100))*(F644/100)</f>
        <v>1941459186.9980164</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6659307626894.2617</v>
      </c>
      <c r="L644">
        <f>K644*(MIN(Inputs!$B$22+(F664-Calc!F22),(Inputs!$B$23+(IF(ArtifactsInput!$M$15,CHOOSE(ArtifactsInput!$N$15+1,25,30,35,40,45,50)/100*(Inputs!$B$11-Inputs!$B$11),0))))/100+(Inputs!$B$23+(IF(ArtifactsInput!$M$15,CHOOSE(ArtifactsInput!$N$15+1,25,30,35,40,45,50)/100*(Inputs!$B$11-Inputs!$B$11),0)))/100)/2</f>
        <v>22142197859423.422</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104489031698619.11</v>
      </c>
      <c r="N644">
        <f>L644*(1-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104489031698619.11</v>
      </c>
      <c r="O644">
        <f>(1-Summary!$B$11)*S644+Summary!$B$11*U644</f>
        <v>1.2587173118740508E+16</v>
      </c>
      <c r="P644">
        <f>IF(B683=0,0,O644/B683)</f>
        <v>0.37958225741637897</v>
      </c>
      <c r="Q644">
        <f>IFERROR(1/(IF(Inputs!$B$38="pvp",15,MAX(0.1,Skills!E2-IF(TRUE=TRUE,Inputs!$B$32,0)))*(1-IF(AND(ArtifactsInput!$M$27,Inputs!$B$4="Chapter Hunt"),CHOOSE(ArtifactsInput!$N$27+1,20,24,28,32,36,40),0)/100)),0)</f>
        <v>10</v>
      </c>
      <c r="R644">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2089873373865522.2</v>
      </c>
      <c r="T644">
        <f>MAX(0,(Inputs!$B$3-100)*3)+Inputs!$B$28+Inputs!$B$29</f>
        <v>185</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2.3084472863615492E+16</v>
      </c>
      <c r="Z644">
        <f>MAX(0,(Inputs!$B$3-100)*3)+Inputs!$B$28+Inputs!$B$29</f>
        <v>185</v>
      </c>
    </row>
    <row r="645" spans="1:26" x14ac:dyDescent="0.2">
      <c r="A645" t="str">
        <f>Skills!A3</f>
        <v>IGNITE</v>
      </c>
      <c r="B645" t="str">
        <f>Skills!B3</f>
        <v>Ignite</v>
      </c>
      <c r="C645" t="b">
        <f>TRUE</f>
        <v>1</v>
      </c>
      <c r="D645">
        <f>IF(Skills!C3=1,60+Inputs!$B$25+Inputs!$B$29,IF(Skills!C3=2,90+Inputs!$B$26+Inputs!$B$29,IF(Skills!C3=3,120+Inputs!$B$27+Inputs!$B$29,MAX(0,(Inputs!$B$3-100)*3)+Inputs!$B$28+Inputs!$B$29)))</f>
        <v>168</v>
      </c>
      <c r="E645">
        <f>INDEX(FactorTable!$B$2:$Y$301, MATCH(ROUND(MIN(300,MAX(1,D645)),0), FactorTable!$A$2:$A$301,0), Skills!M3+1)</f>
        <v>1672</v>
      </c>
      <c r="F645">
        <f>IF(Skills!N3=TRUE,(Skills!L3/10)*(E645/1000),Skills!L3/10)+Skills!O3</f>
        <v>121.736</v>
      </c>
      <c r="G645">
        <f>Calc!G3</f>
        <v>3</v>
      </c>
      <c r="H645">
        <f>Calc!H3</f>
        <v>1</v>
      </c>
      <c r="I645">
        <f>IF(Skills!X3&lt;&gt;"",1+(Skills!X3/10)*(Z645/1000)/100,1)</f>
        <v>4.8250000000000002</v>
      </c>
      <c r="J645">
        <f>((Inputs!$B$6*(1+Inputs!$B$7/100))+(((Inputs!$B$12*(1+Inputs!$B$13/100))-(Inputs!$B$12*(1+Inputs!$B$13/100)))+0.25*(Inputs!$B$14-Inputs!$B$14))*(1+Inputs!$B$7/100))*(F645/100)</f>
        <v>439630720.9605478</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10658554617221.965</v>
      </c>
      <c r="L645">
        <f>K645*(MIN(Inputs!$B$22+(F664-Calc!F22),(Inputs!$B$23+(IF(ArtifactsInput!$M$15,CHOOSE(ArtifactsInput!$N$15+1,25,30,35,40,45,50)/100*(Inputs!$B$11-Inputs!$B$11),0))))/100+(Inputs!$B$23+(IF(ArtifactsInput!$M$15,CHOOSE(ArtifactsInput!$N$15+1,25,30,35,40,45,50)/100*(Inputs!$B$11-Inputs!$B$11),0)))/100)/2</f>
        <v>35439694102263.031</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645">
        <f>L645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645">
        <f>(1-Summary!$B$11)*S645+Summary!$B$11*U645</f>
        <v>2907465947806250</v>
      </c>
      <c r="P645">
        <f>IF(B683=0,0,O645/B683)</f>
        <v>8.7678343454767577E-2</v>
      </c>
      <c r="Q645">
        <f>IFERROR(1/(IF(Inputs!$B$38="pvp",15,MAX(0.1,Skills!E3-IF(FALSE=TRUE,Inputs!$B$32,0)))*(1-IF(AND(ArtifactsInput!$M$27,Inputs!$B$4="Chapter Hunt"),CHOOSE(ArtifactsInput!$N$27+1,20,24,28,32,36,40),0)/100)),0)</f>
        <v>1</v>
      </c>
      <c r="R645">
        <f>IF(AND(Inputs!$B$38&lt;&gt;"pvp",Inputs!$B$43&gt;0),IF(MAX(0,Inputs!$B$43-B680)&lt;=0,0,(INT(MAX(0,Inputs!$B$43-B680)/(IF(Inputs!$B$38="pvp",15,MAX(0.1,Skills!E3-IF(FALSE=TRUE,Inputs!$B$32,0)))*(1-IF(AND(ArtifactsInput!$M$27,Inputs!$B$4="Chapter Hunt"),CHOOSE(ArtifactsInput!$N$27+1,20,24,28,32,36,40),0)/100)))+1)),0)</f>
        <v>38</v>
      </c>
      <c r="S645">
        <f>IF(C645,(H645*N645*IF(AND(Inputs!$B$38&lt;&gt;"pvp",Inputs!$B$43&gt;0),((Skills!G3*((R645-1)*IF(Skills!H3&gt;0,Skills!I3/Skills!H3,1)+IF(Skills!H3&gt;0,MIN(Skills!I3,MAX(0,MAX(0,Inputs!$B$43-B680)-((R645-1)*(IF(Inputs!$B$38="pvp",15,MAX(0.1,Skills!E3-IF(FALSE=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645">
        <f>INDEX(FactorTable!$B$2:$Y$301, MATCH(ROUND(MIN(300,MAX(1,T644)),0), FactorTable!$A$2:$A$301,0), 22)</f>
        <v>1740</v>
      </c>
      <c r="U645">
        <f>IF(C645,(H645*N645*IF(AND(Inputs!$B$38&lt;&gt;"pvp",Inputs!$B$43&gt;0),((Skills!G3*((R645-1)*IF(Skills!H3&gt;0,Skills!I3/Skills!H3,1)+IF(Skills!H3&gt;0,MIN(Skills!I3,MAX(0,MAX(0,Inputs!$B$43-B680)-((R645-1)*(IF(Inputs!$B$38="pvp",15,MAX(0.1,Skills!E3-IF(FALSE=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645">
        <f>INDEX(FactorTable!$B$2:$Y$301, MATCH(ROUND(MIN(300,MAX(1,Z644)),0), FactorTable!$A$2:$A$301,0), 24)</f>
        <v>7650</v>
      </c>
    </row>
    <row r="646" spans="1:26" x14ac:dyDescent="0.2">
      <c r="A646" t="str">
        <f>Skills!A4</f>
        <v>POISON_BREATH</v>
      </c>
      <c r="B646" t="str">
        <f>Skills!B4</f>
        <v>Poison Breath</v>
      </c>
      <c r="C646" t="b">
        <f>TRUE</f>
        <v>1</v>
      </c>
      <c r="D646">
        <f>IF(Skills!C4=1,60+Inputs!$B$25+Inputs!$B$29,IF(Skills!C4=2,90+Inputs!$B$26+Inputs!$B$29,IF(Skills!C4=3,120+Inputs!$B$27+Inputs!$B$29,MAX(0,(Inputs!$B$3-100)*3)+Inputs!$B$28+Inputs!$B$29)))</f>
        <v>168</v>
      </c>
      <c r="E646">
        <f>INDEX(FactorTable!$B$2:$Y$301, MATCH(ROUND(MIN(300,MAX(1,D646)),0), FactorTable!$A$2:$A$301,0), Skills!M4+1)</f>
        <v>1840</v>
      </c>
      <c r="F646">
        <f>IF(Skills!N4=TRUE,(Skills!L4/10)*(E646/1000),Skills!L4/10)+Skills!O4</f>
        <v>438</v>
      </c>
      <c r="G646">
        <f>Calc!G4</f>
        <v>3</v>
      </c>
      <c r="H646">
        <f>Calc!H4</f>
        <v>1</v>
      </c>
      <c r="I646">
        <f>IF(Skills!X4&lt;&gt;"",1+(Skills!X4/10)*(Z645/1000)/100,1)</f>
        <v>7.12</v>
      </c>
      <c r="J646">
        <f>((Inputs!$B$6*(1+Inputs!$B$7/100))+(((Inputs!$B$12*(1+Inputs!$B$13/100))-(Inputs!$B$12*(1+Inputs!$B$13/100)))+0.25*(Inputs!$B$14-Inputs!$B$14))*(1+Inputs!$B$7/100))*(F646/100)</f>
        <v>1581769203.69258</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56589528290529.523</v>
      </c>
      <c r="L646">
        <f>K646*(MIN(Inputs!$B$22+(F664-Calc!F22),(Inputs!$B$23+(IF(ArtifactsInput!$M$15,CHOOSE(ArtifactsInput!$N$15+1,25,30,35,40,45,50)/100*(Inputs!$B$11-Inputs!$B$11),0))))/100+(Inputs!$B$23+(IF(ArtifactsInput!$M$15,CHOOSE(ArtifactsInput!$N$15+1,25,30,35,40,45,50)/100*(Inputs!$B$11-Inputs!$B$11),0)))/100)/2</f>
        <v>188160181566010.69</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646">
        <f>L646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646">
        <f>(1-Summary!$B$11)*S646+Summary!$B$11*U646</f>
        <v>2120704790543594.2</v>
      </c>
      <c r="P646">
        <f>IF(B683=0,0,O646/B683)</f>
        <v>6.3952557426080303E-2</v>
      </c>
      <c r="Q646">
        <f>IFERROR(1/(IF(Inputs!$B$38="pvp",15,MAX(0.1,Skills!E4-IF(TRUE=TRUE,Inputs!$B$32,0)))*(1-IF(AND(ArtifactsInput!$M$27,Inputs!$B$4="Chapter Hunt"),CHOOSE(ArtifactsInput!$N$27+1,20,24,28,32,36,40),0)/100)),0)</f>
        <v>5.5555555555555552E-2</v>
      </c>
      <c r="R646">
        <f>IF(AND(Inputs!$B$38&lt;&gt;"pvp",Inputs!$B$43&gt;0),IF(MAX(0,Inputs!$B$43-B680)&lt;=0,0,(INT(MAX(0,Inputs!$B$43-B680)/(IF(Inputs!$B$38="pvp",15,MAX(0.1,Skills!E4-IF(TRUE=TRUE,Inputs!$B$32,0)))*(1-IF(AND(ArtifactsInput!$M$27,Inputs!$B$4="Chapter Hunt"),CHOOSE(ArtifactsInput!$N$27+1,20,24,28,32,36,40),0)/100)))+1)),0)</f>
        <v>3</v>
      </c>
      <c r="S646">
        <f>IF(C646,(H646*N646*IF(AND(Inputs!$B$38&lt;&gt;"pvp",Inputs!$B$43&gt;0),((Skills!G4*((R646-1)*IF(Skills!H4&gt;0,Skills!I4/Skills!H4,1)+IF(Skills!H4&gt;0,MIN(Skills!I4,MAX(0,MAX(0,Inputs!$B$43-B680)-((R646-1)*(IF(Inputs!$B$38="pvp",15,MAX(0.1,Skills!E4-IF(TRUE=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646">
        <f>290*T645/1000</f>
        <v>504.6</v>
      </c>
      <c r="U646">
        <f>IF(C646,(H646*N646*IF(AND(Inputs!$B$38&lt;&gt;"pvp",Inputs!$B$43&gt;0),((Skills!G4*((R646-1)*IF(Skills!H4&gt;0,Skills!I4/Skills!H4,1)+IF(Skills!H4&gt;0,MIN(Skills!I4,MAX(0,MAX(0,Inputs!$B$43-B680)-((R646-1)*(IF(Inputs!$B$38="pvp",15,MAX(0.1,Skills!E4-IF(TRUE=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647" spans="1:26" x14ac:dyDescent="0.2">
      <c r="A647" t="str">
        <f>Skills!A5</f>
        <v>ELEMENTAL_DRAIN</v>
      </c>
      <c r="B647" t="str">
        <f>Skills!B5</f>
        <v>Elemental Drain</v>
      </c>
      <c r="C647" t="b">
        <f>TRUE</f>
        <v>1</v>
      </c>
      <c r="D647">
        <f>IF(Skills!C5=1,60+Inputs!$B$25+Inputs!$B$29,IF(Skills!C5=2,90+Inputs!$B$26+Inputs!$B$29,IF(Skills!C5=3,120+Inputs!$B$27+Inputs!$B$29,MAX(0,(Inputs!$B$3-100)*3)+Inputs!$B$28+Inputs!$B$29)))</f>
        <v>168</v>
      </c>
      <c r="E647">
        <f>INDEX(FactorTable!$B$2:$Y$301, MATCH(ROUND(MIN(300,MAX(1,D647)),0), FactorTable!$A$2:$A$301,0), Skills!M5+1)</f>
        <v>1672</v>
      </c>
      <c r="F647">
        <f>IF(Skills!N5=TRUE,(Skills!L5/10)*(E647/1000),Skills!L5/10)+Skills!O5</f>
        <v>20.064</v>
      </c>
      <c r="G647">
        <f>Calc!G5</f>
        <v>5</v>
      </c>
      <c r="H647">
        <f>Calc!H5</f>
        <v>1</v>
      </c>
      <c r="I647">
        <f>IF(Skills!X5&lt;&gt;"",1+(Skills!X5/10)*(Z645/1000)/100,1)</f>
        <v>12.475</v>
      </c>
      <c r="J647">
        <f>((Inputs!$B$6*(1+Inputs!$B$7/100))+(((Inputs!$B$12*(1+Inputs!$B$13/100))-(Inputs!$B$12*(1+Inputs!$B$13/100)))+0.25*(Inputs!$B$14-Inputs!$B$14))*(1+Inputs!$B$7/100))*(F647/100)</f>
        <v>72458030.371890247</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4541925884983.542</v>
      </c>
      <c r="L647">
        <f>K647*(MIN(Inputs!$B$22+(F664-Calc!F22),(Inputs!$B$23+(IF(ArtifactsInput!$M$15,CHOOSE(ArtifactsInput!$N$15+1,25,30,35,40,45,50)/100*(Inputs!$B$11-Inputs!$B$11),0))))/100+(Inputs!$B$23+(IF(ArtifactsInput!$M$15,CHOOSE(ArtifactsInput!$N$15+1,25,30,35,40,45,50)/100*(Inputs!$B$11-Inputs!$B$11),0)))/100)/2</f>
        <v>15101903567570.277</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647">
        <f>L647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647">
        <f>(1-Summary!$B$11)*S647+Summary!$B$11*U647</f>
        <v>1046004996783807</v>
      </c>
      <c r="P647">
        <f>IF(B683=0,0,O647/B683)</f>
        <v>3.1543614614854727E-2</v>
      </c>
      <c r="Q647">
        <f>IFERROR(1/(IF(Inputs!$B$38="pvp",15,MAX(0.1,Skills!E5-IF(FALSE=TRUE,Inputs!$B$32,0)))*(1-IF(AND(ArtifactsInput!$M$27,Inputs!$B$4="Chapter Hunt"),CHOOSE(ArtifactsInput!$N$27+1,20,24,28,32,36,40),0)/100)),0)</f>
        <v>1</v>
      </c>
      <c r="R647">
        <f>IF(AND(Inputs!$B$38&lt;&gt;"pvp",Inputs!$B$43&gt;0),IF(MAX(0,Inputs!$B$43-B680)&lt;=0,0,(INT(MAX(0,Inputs!$B$43-B680)/(IF(Inputs!$B$38="pvp",15,MAX(0.1,Skills!E5-IF(FALSE=TRUE,Inputs!$B$32,0)))*(1-IF(AND(ArtifactsInput!$M$27,Inputs!$B$4="Chapter Hunt"),CHOOSE(ArtifactsInput!$N$27+1,20,24,28,32,36,40),0)/100)))+1)),0)</f>
        <v>38</v>
      </c>
      <c r="S647">
        <f>IF(C647,(H647*N647*IF(AND(Inputs!$B$38&lt;&gt;"pvp",Inputs!$B$43&gt;0),((Skills!G5*((R647-1)*IF(Skills!H5&gt;0,Skills!I5/Skills!H5,1)+IF(Skills!H5&gt;0,MIN(Skills!I5,MAX(0,MAX(0,Inputs!$B$43-B680)-((R647-1)*(IF(Inputs!$B$38="pvp",15,MAX(0.1,Skills!E5-IF(FALSE=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647">
        <f>IF(C647,(H647*N647*IF(AND(Inputs!$B$38&lt;&gt;"pvp",Inputs!$B$43&gt;0),((Skills!G5*((R647-1)*IF(Skills!H5&gt;0,Skills!I5/Skills!H5,1)+IF(Skills!H5&gt;0,MIN(Skills!I5,MAX(0,MAX(0,Inputs!$B$43-B680)-((R647-1)*(IF(Inputs!$B$38="pvp",15,MAX(0.1,Skills!E5-IF(FALSE=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648" spans="1:26" x14ac:dyDescent="0.2">
      <c r="A648" t="str">
        <f>Skills!A6</f>
        <v>MEDITATION</v>
      </c>
      <c r="B648" t="str">
        <f>Skills!B6</f>
        <v>Meditation</v>
      </c>
      <c r="C648" t="b">
        <f>TRUE</f>
        <v>1</v>
      </c>
      <c r="D648">
        <f>IF(Skills!C6=1,60+Inputs!$B$25+Inputs!$B$29,IF(Skills!C6=2,90+Inputs!$B$26+Inputs!$B$29,IF(Skills!C6=3,120+Inputs!$B$27+Inputs!$B$29,MAX(0,(Inputs!$B$3-100)*3)+Inputs!$B$28+Inputs!$B$29)))</f>
        <v>168</v>
      </c>
      <c r="E648">
        <f>INDEX(FactorTable!$B$2:$Y$301, MATCH(ROUND(MIN(300,MAX(1,D648)),0), FactorTable!$A$2:$A$301,0), Skills!M6+1)</f>
        <v>1672</v>
      </c>
      <c r="F648">
        <f>IF(Skills!N6=TRUE,(Skills!L6/10)*(E648/1000),Skills!L6/10)+Skills!O6</f>
        <v>33.44</v>
      </c>
      <c r="G648">
        <f>Calc!G6</f>
        <v>1</v>
      </c>
      <c r="H648">
        <f>Calc!H6</f>
        <v>1</v>
      </c>
      <c r="I648">
        <f>IF(Skills!X6&lt;&gt;"",1+(Skills!X6/10)*(Z645/1000)/100,1)</f>
        <v>1</v>
      </c>
      <c r="O648">
        <f>(1-Summary!$B$11)*S648+Summary!$B$11*U648</f>
        <v>0</v>
      </c>
      <c r="P648">
        <f>IF(B683=0,0,O648/B683)</f>
        <v>0</v>
      </c>
      <c r="Q648">
        <f>IFERROR(1/(IF(Inputs!$B$38="pvp",15,MAX(0.1,Skills!E6-IF(TRUE=TRUE,Inputs!$B$32,0)))*(1-IF(AND(ArtifactsInput!$M$27,Inputs!$B$4="Chapter Hunt"),CHOOSE(ArtifactsInput!$N$27+1,20,24,28,32,36,40),0)/100)),0)</f>
        <v>3.3333333333333333E-2</v>
      </c>
      <c r="R648">
        <f>IF(AND(Inputs!$B$38&lt;&gt;"pvp",Inputs!$B$43&gt;0),IF(Inputs!$B$43&lt;=0,0,(INT(Inputs!$B$43/(IF(Inputs!$B$38="pvp",15,MAX(0.1,Skills!E6-IF(TRUE=TRUE,Inputs!$B$32,0)))*(1-IF(AND(ArtifactsInput!$M$27,Inputs!$B$4="Chapter Hunt"),CHOOSE(ArtifactsInput!$N$27+1,20,24,28,32,36,40),0)/100)))+1)),0)</f>
        <v>2</v>
      </c>
      <c r="S648">
        <v>0</v>
      </c>
      <c r="U648">
        <v>0</v>
      </c>
    </row>
    <row r="649" spans="1:26" x14ac:dyDescent="0.2">
      <c r="A649" t="str">
        <f>Skills!A7</f>
        <v>POISON_MIST_BURST</v>
      </c>
      <c r="B649" t="str">
        <f>Skills!B7</f>
        <v>Poison Mist (burst)</v>
      </c>
      <c r="C649" t="b">
        <f>TRUE</f>
        <v>1</v>
      </c>
      <c r="D649">
        <f>IF(Skills!C7=1,60+Inputs!$B$25+Inputs!$B$29,IF(Skills!C7=2,90+Inputs!$B$26+Inputs!$B$29,IF(Skills!C7=3,120+Inputs!$B$27+Inputs!$B$29,MAX(0,(Inputs!$B$3-100)*3)+Inputs!$B$28+Inputs!$B$29)))</f>
        <v>184</v>
      </c>
      <c r="E649">
        <f>INDEX(FactorTable!$B$2:$Y$301, MATCH(ROUND(MIN(300,MAX(1,D649)),0), FactorTable!$A$2:$A$301,0), Skills!M7+1)</f>
        <v>1920</v>
      </c>
      <c r="F649">
        <f>IF(Skills!N7=TRUE,(Skills!L7/10)*(E649/1000),Skills!L7/10)+Skills!O7</f>
        <v>357.2</v>
      </c>
      <c r="G649">
        <f>Calc!G7</f>
        <v>3</v>
      </c>
      <c r="H649">
        <f>Calc!H7</f>
        <v>1</v>
      </c>
      <c r="I649">
        <f>IF(Skills!X7&lt;&gt;"",1+(Skills!X7/10)*(Z645/1000)/100,1)</f>
        <v>1.7650000000000001</v>
      </c>
      <c r="J649">
        <f>((Inputs!$B$6*(1+Inputs!$B$7/100))+(((Inputs!$B$12*(1+Inputs!$B$13/100))-(Inputs!$B$12*(1+Inputs!$B$13/100)))+0.25*(Inputs!$B$14-Inputs!$B$14))*(1+Inputs!$B$7/100))*(F649/100)</f>
        <v>1289972510.4086521</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11440318873772.086</v>
      </c>
      <c r="L649">
        <f>K649*(MIN(Inputs!$B$22+(F664-Calc!F22),(Inputs!$B$23+(IF(ArtifactsInput!$M$15,CHOOSE(ArtifactsInput!$N$15+1,25,30,35,40,45,50)/100*(Inputs!$B$11-Inputs!$B$11),0))))/100+(Inputs!$B$23+(IF(ArtifactsInput!$M$15,CHOOSE(ArtifactsInput!$N$15+1,25,30,35,40,45,50)/100*(Inputs!$B$11-Inputs!$B$11),0)))/100)/2</f>
        <v>38039060255292.188</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649">
        <f>L649*(1-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649">
        <f>(1-Summary!$B$11)*S649+Summary!$B$11*U649</f>
        <v>447913158316422</v>
      </c>
      <c r="P649">
        <f>IF(B683=0,0,O649/B683)</f>
        <v>1.3507392498408717E-2</v>
      </c>
      <c r="Q649">
        <f>IFERROR(1/(IF(Inputs!$B$38="pvp",15,MAX(0.1,Skills!E7-IF(TRUE=TRUE,Inputs!$B$32,0)))*(1-IF(AND(ArtifactsInput!$M$27,Inputs!$B$4="Chapter Hunt"),CHOOSE(ArtifactsInput!$N$27+1,20,24,28,32,36,40),0)/100)),0)</f>
        <v>4.0816326530612242E-2</v>
      </c>
      <c r="R649">
        <f>IF(AND(Inputs!$B$38&lt;&gt;"pvp",Inputs!$B$43&gt;0),IF(MAX(0,Inputs!$B$43-B680)&lt;=0,0,(INT(MAX(0,Inputs!$B$43-B680)/(IF(Inputs!$B$38="pvp",15,MAX(0.1,Skills!E7-IF(TRUE=TRUE,Inputs!$B$32,0)))*(1-IF(AND(ArtifactsInput!$M$27,Inputs!$B$4="Chapter Hunt"),CHOOSE(ArtifactsInput!$N$27+1,20,24,28,32,36,40),0)/100)))+1)),0)</f>
        <v>2</v>
      </c>
      <c r="S649">
        <f>IF(C649,(H649*N649*IF(AND(Inputs!$B$38&lt;&gt;"pvp",Inputs!$B$43&gt;0),((Skills!G7*((R649-1)*IF(Skills!H7&gt;0,Skills!I7/Skills!H7,1)+IF(Skills!H7&gt;0,MIN(Skills!I7,MAX(0,MAX(0,Inputs!$B$43-B680)-((R649-1)*(IF(Inputs!$B$38="pvp",15,MAX(0.1,Skills!E7-IF(TRUE=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649">
        <f>IF(C649,(H649*N649*IF(AND(Inputs!$B$38&lt;&gt;"pvp",Inputs!$B$43&gt;0),((Skills!G7*((R649-1)*IF(Skills!H7&gt;0,Skills!I7/Skills!H7,1)+IF(Skills!H7&gt;0,MIN(Skills!I7,MAX(0,MAX(0,Inputs!$B$43-B680)-((R649-1)*(IF(Inputs!$B$38="pvp",15,MAX(0.1,Skills!E7-IF(TRUE=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650" spans="1:26" x14ac:dyDescent="0.2">
      <c r="A650" t="str">
        <f>Skills!A8</f>
        <v>POISON_MIST_DOT</v>
      </c>
      <c r="B650" t="str">
        <f>Skills!B8</f>
        <v>Poison Mist (fog DoT)</v>
      </c>
      <c r="C650" t="b">
        <f>TRUE</f>
        <v>1</v>
      </c>
      <c r="D650">
        <f>IF(Skills!C8=1,60+Inputs!$B$25+Inputs!$B$29,IF(Skills!C8=2,90+Inputs!$B$26+Inputs!$B$29,IF(Skills!C8=3,120+Inputs!$B$27+Inputs!$B$29,MAX(0,(Inputs!$B$3-100)*3)+Inputs!$B$28+Inputs!$B$29)))</f>
        <v>184</v>
      </c>
      <c r="E650">
        <f>INDEX(FactorTable!$B$2:$Y$301, MATCH(ROUND(MIN(300,MAX(1,D650)),0), FactorTable!$A$2:$A$301,0), Skills!M8+1)</f>
        <v>1920</v>
      </c>
      <c r="F650">
        <f>IF(Skills!N8=TRUE,(Skills!L8/10)*(E650/1000),Skills!L8/10)+Skills!O8</f>
        <v>134.4</v>
      </c>
      <c r="G650">
        <f>Calc!G8</f>
        <v>50</v>
      </c>
      <c r="H650">
        <f>Calc!H8</f>
        <v>1</v>
      </c>
      <c r="I650">
        <f>IF(Skills!X8&lt;&gt;"",1+(Skills!X8/10)*(Z645/1000)/100,1)</f>
        <v>1.7650000000000001</v>
      </c>
      <c r="J650">
        <f>((Inputs!$B$6*(1+Inputs!$B$7/100))+(((Inputs!$B$12*(1+Inputs!$B$13/100))-(Inputs!$B$12*(1+Inputs!$B$13/100)))+0.25*(Inputs!$B$14-Inputs!$B$14))*(1+Inputs!$B$7/100))*(F650/100)</f>
        <v>485364796.74950409</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4304532073446.1597</v>
      </c>
      <c r="L650">
        <f>K650*(MIN(Inputs!$B$22+(F664-Calc!F22),(Inputs!$B$23+(IF(ArtifactsInput!$M$15,CHOOSE(ArtifactsInput!$N$15+1,25,30,35,40,45,50)/100*(Inputs!$B$11-Inputs!$B$11),0))))/100+(Inputs!$B$23+(IF(ArtifactsInput!$M$15,CHOOSE(ArtifactsInput!$N$15+1,25,30,35,40,45,50)/100*(Inputs!$B$11-Inputs!$B$11),0)))/100)/2</f>
        <v>14312569144208.482</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650">
        <f>L650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650">
        <f>(1-Summary!$B$11)*S650+Summary!$B$11*U650</f>
        <v>2327471980535951</v>
      </c>
      <c r="P650">
        <f>IF(B683=0,0,O650/B683)</f>
        <v>7.0187885723908106E-2</v>
      </c>
      <c r="Q650">
        <f>IFERROR(1/(IF(Inputs!$B$38="pvp",15,MAX(0.1,Skills!E8-IF(TRUE=TRUE,Inputs!$B$32,0)))*(1-IF(AND(ArtifactsInput!$M$27,Inputs!$B$4="Chapter Hunt"),CHOOSE(ArtifactsInput!$N$27+1,20,24,28,32,36,40),0)/100)),0)</f>
        <v>4.0816326530612242E-2</v>
      </c>
      <c r="R650">
        <f>IF(AND(Inputs!$B$38&lt;&gt;"pvp",Inputs!$B$43&gt;0),IF(MAX(0,Inputs!$B$43-B680)&lt;=0,0,(INT(MAX(0,Inputs!$B$43-B680)/(IF(Inputs!$B$38="pvp",15,MAX(0.1,Skills!E8-IF(TRUE=TRUE,Inputs!$B$32,0)))*(1-IF(AND(ArtifactsInput!$M$27,Inputs!$B$4="Chapter Hunt"),CHOOSE(ArtifactsInput!$N$27+1,20,24,28,32,36,40),0)/100)))+1)),0)</f>
        <v>2</v>
      </c>
      <c r="S650">
        <f>IF(C650,(H650*N650*IF(AND(Inputs!$B$38&lt;&gt;"pvp",Inputs!$B$43&gt;0),((Skills!G8*((R650-1)*IF(Skills!H8&gt;0,Skills!I8/Skills!H8,1)+IF(Skills!H8&gt;0,MIN(Skills!I8,MAX(0,MAX(0,Inputs!$B$43-B680)-((R650-1)*(IF(Inputs!$B$38="pvp",15,MAX(0.1,Skills!E8-IF(TRUE=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650">
        <f>IF(C650,(H650*N650*IF(AND(Inputs!$B$38&lt;&gt;"pvp",Inputs!$B$43&gt;0),((Skills!G8*((R650-1)*IF(Skills!H8&gt;0,Skills!I8/Skills!H8,1)+IF(Skills!H8&gt;0,MIN(Skills!I8,MAX(0,MAX(0,Inputs!$B$43-B680)-((R650-1)*(IF(Inputs!$B$38="pvp",15,MAX(0.1,Skills!E8-IF(TRUE=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651" spans="1:26" x14ac:dyDescent="0.2">
      <c r="A651" t="str">
        <f>Skills!A9</f>
        <v>MIST_ERUPTION</v>
      </c>
      <c r="B651" t="str">
        <f>Skills!B9</f>
        <v>Mist Eruption</v>
      </c>
      <c r="C651" t="b">
        <f>Inputs!$B$3&gt;=103</f>
        <v>1</v>
      </c>
      <c r="D651">
        <f>IF(Skills!C9=1,60+Inputs!$B$25+Inputs!$B$29,IF(Skills!C9=2,90+Inputs!$B$26+Inputs!$B$29,IF(Skills!C9=3,120+Inputs!$B$27+Inputs!$B$29,MAX(0,(Inputs!$B$3-100)*3)+Inputs!$B$28+Inputs!$B$29)))</f>
        <v>185</v>
      </c>
      <c r="E651">
        <f>INDEX(FactorTable!$B$2:$Y$301, MATCH(ROUND(MIN(300,MAX(1,D651)),0), FactorTable!$A$2:$A$301,0), Skills!M9+1)</f>
        <v>1925</v>
      </c>
      <c r="F651">
        <f>IF(Skills!N9=TRUE,(Skills!L9/10)*(E651/1000),Skills!L9/10)+Skills!O9</f>
        <v>5775</v>
      </c>
      <c r="G651">
        <f>Calc!G9</f>
        <v>2.5</v>
      </c>
      <c r="H651">
        <f>Calc!H9</f>
        <v>1</v>
      </c>
      <c r="I651">
        <f>IF(Skills!X9&lt;&gt;"",1+(Skills!X9/10)*(Z645/1000)/100,1)</f>
        <v>1</v>
      </c>
      <c r="J651">
        <f>((Inputs!$B$6*(1+Inputs!$B$7/100))+(((Inputs!$B$12*(1+Inputs!$B$13/100))-(Inputs!$B$12*(1+Inputs!$B$13/100)))+0.25*(Inputs!$B$14-Inputs!$B$14))*(1+Inputs!$B$7/100))*(F651/100)</f>
        <v>20855518610.330254</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104793406533081.95</v>
      </c>
      <c r="L651">
        <f>K651*(MIN(Inputs!$B$22+(F664-Calc!F22),(Inputs!$B$23+(IF(ArtifactsInput!$M$15,CHOOSE(ArtifactsInput!$N$15+1,25,30,35,40,45,50)/100*(Inputs!$B$11-Inputs!$B$11),0))))/100+(Inputs!$B$23+(IF(ArtifactsInput!$M$15,CHOOSE(ArtifactsInput!$N$15+1,25,30,35,40,45,50)/100*(Inputs!$B$11-Inputs!$B$11),0)))/100)/2</f>
        <v>348438076722497.5</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651">
        <f>L651*(1-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651">
        <f>(1-Summary!$B$11)*S651+Summary!$B$11*U651</f>
        <v>3419073236278675</v>
      </c>
      <c r="P651">
        <f>IF(B683=0,0,O651/B683)</f>
        <v>0.10310651367512499</v>
      </c>
      <c r="Q651">
        <f>IFERROR(1/(IF(Inputs!$B$38="pvp",15,MAX(0.1,Skills!E9-IF(TRUE=TRUE,Inputs!$B$32,0)))*(1-IF(AND(ArtifactsInput!$M$27,Inputs!$B$4="Chapter Hunt"),CHOOSE(ArtifactsInput!$N$27+1,20,24,28,32,36,40),0)/100)),0)</f>
        <v>4.0816326530612242E-2</v>
      </c>
      <c r="R651">
        <f>IF(AND(Inputs!$B$38&lt;&gt;"pvp",Inputs!$B$43&gt;0),IF(MAX(0,Inputs!$B$43-B680)&lt;=0,0,(INT(MAX(0,Inputs!$B$43-B680)/(IF(Inputs!$B$38="pvp",15,MAX(0.1,Skills!E9-IF(TRUE=TRUE,Inputs!$B$32,0)))*(1-IF(AND(ArtifactsInput!$M$27,Inputs!$B$4="Chapter Hunt"),CHOOSE(ArtifactsInput!$N$27+1,20,24,28,32,36,40),0)/100)))+1)),0)</f>
        <v>2</v>
      </c>
      <c r="S651">
        <f>IF(C651,(H651*N651*IF(AND(Inputs!$B$38&lt;&gt;"pvp",Inputs!$B$43&gt;0),((Skills!G9*((R651-1)*IF(Skills!H9&gt;0,Skills!I9/Skills!H9,1)+IF(Skills!H9&gt;0,MIN(Skills!I9,MAX(0,MAX(0,Inputs!$B$43-B680)-((R651-1)*(IF(Inputs!$B$38="pvp",15,MAX(0.1,Skills!E9-IF(TRUE=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651">
        <f>IF(C651,(H651*N651*IF(AND(Inputs!$B$38&lt;&gt;"pvp",Inputs!$B$43&gt;0),((Skills!G9*((R651-1)*IF(Skills!H9&gt;0,Skills!I9/Skills!H9,1)+IF(Skills!H9&gt;0,MIN(Skills!I9,MAX(0,MAX(0,Inputs!$B$43-B680)-((R651-1)*(IF(Inputs!$B$38="pvp",15,MAX(0.1,Skills!E9-IF(TRUE=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652" spans="1:26" x14ac:dyDescent="0.2">
      <c r="A652" t="str">
        <f>Skills!A10</f>
        <v>CREEPING_TOXIN</v>
      </c>
      <c r="B652" t="str">
        <f>Skills!B10</f>
        <v>Creeping Toxin</v>
      </c>
      <c r="C652" t="b">
        <f>TRUE</f>
        <v>1</v>
      </c>
      <c r="D652">
        <f>IF(Skills!C10=1,60+Inputs!$B$25+Inputs!$B$29,IF(Skills!C10=2,90+Inputs!$B$26+Inputs!$B$29,IF(Skills!C10=3,120+Inputs!$B$27+Inputs!$B$29,MAX(0,(Inputs!$B$3-100)*3)+Inputs!$B$28+Inputs!$B$29)))</f>
        <v>184</v>
      </c>
      <c r="E652">
        <f>INDEX(FactorTable!$B$2:$Y$301, MATCH(ROUND(MIN(300,MAX(1,D652)),0), FactorTable!$A$2:$A$301,0), Skills!M10+1)</f>
        <v>1920</v>
      </c>
      <c r="F652">
        <f>IF(Skills!N10=TRUE,(Skills!L10/10)*(E652/1000),Skills!L10/10)+Skills!O10</f>
        <v>280.39999999999998</v>
      </c>
      <c r="G652">
        <f>Calc!G10</f>
        <v>15</v>
      </c>
      <c r="H652">
        <f>Calc!H10</f>
        <v>1</v>
      </c>
      <c r="I652">
        <f>IF(Skills!X10&lt;&gt;"",1+(Skills!X10/10)*(Z645/1000)/100,1)</f>
        <v>1.7650000000000001</v>
      </c>
      <c r="J652">
        <f>((Inputs!$B$6*(1+Inputs!$B$7/100))+(((Inputs!$B$12*(1+Inputs!$B$13/100))-(Inputs!$B$12*(1+Inputs!$B$13/100)))+0.25*(Inputs!$B$14-Inputs!$B$14))*(1+Inputs!$B$7/100))*(F652/100)</f>
        <v>1012621197.9803641</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8980586260374.2793</v>
      </c>
      <c r="L652">
        <f>K652*(MIN(Inputs!$B$22+(F664-Calc!F22),(Inputs!$B$23+(IF(ArtifactsInput!$M$15,CHOOSE(ArtifactsInput!$N$15+1,25,30,35,40,45,50)/100*(Inputs!$B$11-Inputs!$B$11),0))))/100+(Inputs!$B$23+(IF(ArtifactsInput!$M$15,CHOOSE(ArtifactsInput!$N$15+1,25,30,35,40,45,50)/100*(Inputs!$B$11-Inputs!$B$11),0)))/100)/2</f>
        <v>29860449315744.48</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652">
        <f>L652*(1-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652">
        <f>(1-Summary!$B$11)*S652+Summary!$B$11*U652</f>
        <v>324323455609081.62</v>
      </c>
      <c r="P652">
        <f>IF(B683=0,0,O652/B683)</f>
        <v>9.7803874032594777E-3</v>
      </c>
      <c r="Q652">
        <f>IFERROR(1/(IF(Inputs!$B$38="pvp",15,MAX(0.1,Skills!E10-IF(TRUE=TRUE,Inputs!$B$32,0)))*(1-IF(AND(ArtifactsInput!$M$27,Inputs!$B$4="Chapter Hunt"),CHOOSE(ArtifactsInput!$N$27+1,20,24,28,32,36,40),0)/100)),0)</f>
        <v>3.7037037037037035E-2</v>
      </c>
      <c r="R652">
        <f>IF(AND(Inputs!$B$38&lt;&gt;"pvp",Inputs!$B$43&gt;0),IF(MAX(0,Inputs!$B$43-B680)&lt;=0,0,(INT(MAX(0,Inputs!$B$43-B680)/(IF(Inputs!$B$38="pvp",15,MAX(0.1,Skills!E10-IF(TRUE=TRUE,Inputs!$B$32,0)))*(1-IF(AND(ArtifactsInput!$M$27,Inputs!$B$4="Chapter Hunt"),CHOOSE(ArtifactsInput!$N$27+1,20,24,28,32,36,40),0)/100)))+1)),0)</f>
        <v>2</v>
      </c>
      <c r="S652">
        <f>IF(C652,(H652*N652*IF(AND(Inputs!$B$38&lt;&gt;"pvp",Inputs!$B$43&gt;0),((Skills!G10*((R652-1)*IF(Skills!H10&gt;0,Skills!I10/Skills!H10,1)+IF(Skills!H10&gt;0,MIN(Skills!I10,MAX(0,MAX(0,Inputs!$B$43-B680)-((R652-1)*(IF(Inputs!$B$38="pvp",15,MAX(0.1,Skills!E10-IF(TRUE=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652">
        <f>IF(C652,(H652*N652*IF(AND(Inputs!$B$38&lt;&gt;"pvp",Inputs!$B$43&gt;0),((Skills!G10*((R652-1)*IF(Skills!H10&gt;0,Skills!I10/Skills!H10,1)+IF(Skills!H10&gt;0,MIN(Skills!I10,MAX(0,MAX(0,Inputs!$B$43-B680)-((R652-1)*(IF(Inputs!$B$38="pvp",15,MAX(0.1,Skills!E10-IF(TRUE=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653" spans="1:26" x14ac:dyDescent="0.2">
      <c r="A653" t="str">
        <f>Skills!A11</f>
        <v>BURNING_MAGIC</v>
      </c>
      <c r="B653" t="str">
        <f>Skills!B11</f>
        <v>Burning Magic</v>
      </c>
      <c r="C653" t="b">
        <f>TRUE</f>
        <v>1</v>
      </c>
      <c r="D653">
        <f>IF(Skills!C11=1,60+Inputs!$B$25+Inputs!$B$29,IF(Skills!C11=2,90+Inputs!$B$26+Inputs!$B$29,IF(Skills!C11=3,120+Inputs!$B$27+Inputs!$B$29,MAX(0,(Inputs!$B$3-100)*3)+Inputs!$B$28+Inputs!$B$29)))</f>
        <v>184</v>
      </c>
      <c r="E653">
        <f>INDEX(FactorTable!$B$2:$Y$301, MATCH(ROUND(MIN(300,MAX(1,D653)),0), FactorTable!$A$2:$A$301,0), Skills!M11+1)</f>
        <v>0</v>
      </c>
      <c r="F653">
        <f>IF(Skills!N11=TRUE,(Skills!L11/10)*(E653/1000),Skills!L11/10)+Skills!O11</f>
        <v>5</v>
      </c>
      <c r="G653">
        <f>Calc!G11</f>
        <v>1</v>
      </c>
      <c r="H653">
        <f>Calc!H11</f>
        <v>1</v>
      </c>
      <c r="I653">
        <f>IF(Skills!X11&lt;&gt;"",1+(Skills!X11/10)*(Z645/1000)/100,1)</f>
        <v>1</v>
      </c>
      <c r="O653">
        <f>(1-Summary!$B$11)*S653+Summary!$B$11*U653</f>
        <v>0</v>
      </c>
      <c r="P653">
        <f>IF(B683=0,0,O653/B683)</f>
        <v>0</v>
      </c>
      <c r="Q653">
        <f>IFERROR(1/(IF(Inputs!$B$38="pvp",15,MAX(0.1,Skills!E11-IF(TRUE=TRUE,Inputs!$B$32,0)))*(1-IF(AND(ArtifactsInput!$M$27,Inputs!$B$4="Chapter Hunt"),CHOOSE(ArtifactsInput!$N$27+1,20,24,28,32,36,40),0)/100)),0)</f>
        <v>10</v>
      </c>
      <c r="R653">
        <v>0</v>
      </c>
      <c r="S653">
        <v>0</v>
      </c>
      <c r="U653">
        <v>0</v>
      </c>
    </row>
    <row r="654" spans="1:26" x14ac:dyDescent="0.2">
      <c r="A654" t="str">
        <f>Skills!A12</f>
        <v>ELEMENTAL_DECREASE</v>
      </c>
      <c r="B654" t="str">
        <f>Skills!B12</f>
        <v>Elemental Decrease</v>
      </c>
      <c r="C654" t="b">
        <f>TRUE</f>
        <v>1</v>
      </c>
      <c r="D654">
        <f>IF(Skills!C12=1,60+Inputs!$B$25+Inputs!$B$29,IF(Skills!C12=2,90+Inputs!$B$26+Inputs!$B$29,IF(Skills!C12=3,120+Inputs!$B$27+Inputs!$B$29,MAX(0,(Inputs!$B$3-100)*3)+Inputs!$B$28+Inputs!$B$29)))</f>
        <v>184</v>
      </c>
      <c r="E654">
        <f>INDEX(FactorTable!$B$2:$Y$301, MATCH(ROUND(MIN(300,MAX(1,D654)),0), FactorTable!$A$2:$A$301,0), Skills!M12+1)</f>
        <v>1552</v>
      </c>
      <c r="F654">
        <f>IF(Skills!N12=TRUE,(Skills!L12/10)*(E654/1000),Skills!L12/10)+Skills!O12</f>
        <v>18.624000000000002</v>
      </c>
      <c r="G654">
        <f>Calc!G12</f>
        <v>1</v>
      </c>
      <c r="H654">
        <f>Calc!H12</f>
        <v>0.5</v>
      </c>
      <c r="I654">
        <f>IF(Skills!X12&lt;&gt;"",1+(Skills!X12/10)*(Z645/1000)/100,1)</f>
        <v>1</v>
      </c>
      <c r="O654">
        <f>(1-Summary!$B$11)*S654+Summary!$B$11*U654</f>
        <v>0</v>
      </c>
      <c r="P654">
        <f>IF(B683=0,0,O654/B683)</f>
        <v>0</v>
      </c>
      <c r="Q654">
        <f>IFERROR(1/(IF(Inputs!$B$38="pvp",15,MAX(0.1,Skills!E12-IF(TRUE=TRUE,Inputs!$B$32,0)))*(1-IF(AND(ArtifactsInput!$M$27,Inputs!$B$4="Chapter Hunt"),CHOOSE(ArtifactsInput!$N$27+1,20,24,28,32,36,40),0)/100)),0)</f>
        <v>10</v>
      </c>
      <c r="R654">
        <v>0</v>
      </c>
      <c r="S654">
        <v>0</v>
      </c>
      <c r="U654">
        <v>0</v>
      </c>
    </row>
    <row r="655" spans="1:26" x14ac:dyDescent="0.2">
      <c r="A655" t="str">
        <f>Skills!A13</f>
        <v>METEOR_SHOWER_BURST</v>
      </c>
      <c r="B655" t="str">
        <f>Skills!B13</f>
        <v>Meteor Shower (burst)</v>
      </c>
      <c r="C655" t="b">
        <f>Inputs!$B$3&gt;=105</f>
        <v>1</v>
      </c>
      <c r="D655">
        <f>IF(Skills!C13=1,60+Inputs!$B$25+Inputs!$B$29,IF(Skills!C13=2,90+Inputs!$B$26+Inputs!$B$29,IF(Skills!C13=3,120+Inputs!$B$27+Inputs!$B$29,MAX(0,(Inputs!$B$3-100)*3)+Inputs!$B$28+Inputs!$B$29)))</f>
        <v>185</v>
      </c>
      <c r="E655">
        <f>INDEX(FactorTable!$B$2:$Y$301, MATCH(ROUND(MIN(300,MAX(1,D655)),0), FactorTable!$A$2:$A$301,0), Skills!M13+1)</f>
        <v>1925</v>
      </c>
      <c r="F655">
        <f>IF(Skills!N13=TRUE,(Skills!L13/10)*(E655/1000),Skills!L13/10)+Skills!O13</f>
        <v>1155</v>
      </c>
      <c r="G655">
        <f>Calc!G13</f>
        <v>9</v>
      </c>
      <c r="H655">
        <f>Calc!H13</f>
        <v>1</v>
      </c>
      <c r="I655">
        <f>IF(Skills!X13&lt;&gt;"",1+(Skills!X13/10)*(Z645/1000)/100,1)</f>
        <v>1</v>
      </c>
      <c r="J655">
        <f>((Inputs!$B$6*(1+Inputs!$B$7/100))+(((Inputs!$B$12*(1+Inputs!$B$13/100))-(Inputs!$B$12*(1+Inputs!$B$13/100)))+0.25*(Inputs!$B$14-Inputs!$B$14))*(1+Inputs!$B$7/100))*(F655/100)</f>
        <v>4171103722.0660505</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20958681306616.391</v>
      </c>
      <c r="L655">
        <f>K655*(MIN(Inputs!$B$22+(F664-Calc!F22),(Inputs!$B$23+(IF(ArtifactsInput!$M$15,CHOOSE(ArtifactsInput!$N$15+1,25,30,35,40,45,50)/100*(Inputs!$B$11-Inputs!$B$11),0))))/100+(Inputs!$B$23+(IF(ArtifactsInput!$M$15,CHOOSE(ArtifactsInput!$N$15+1,25,30,35,40,45,50)/100*(Inputs!$B$11-Inputs!$B$11),0)))/100)/2</f>
        <v>69687615344499.5</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655">
        <f>L655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655">
        <f>(1-Summary!$B$11)*S655+Summary!$B$11*U655</f>
        <v>1793579843045520.5</v>
      </c>
      <c r="P655">
        <f>IF(B683=0,0,O655/B683)</f>
        <v>5.4087687462254938E-2</v>
      </c>
      <c r="Q655">
        <f>IFERROR(1/(IF(Inputs!$B$38="pvp",15,MAX(0.1,Skills!E13-IF(TRUE=TRUE,Inputs!$B$32,0)))*(1-IF(AND(ArtifactsInput!$M$27,Inputs!$B$4="Chapter Hunt"),CHOOSE(ArtifactsInput!$N$27+1,20,24,28,32,36,40),0)/100)),0)</f>
        <v>3.0303030303030304E-2</v>
      </c>
      <c r="R655">
        <f>IF(AND(Inputs!$B$38&lt;&gt;"pvp",Inputs!$B$43&gt;0),IF(MAX(0,Inputs!$B$43-B680)&lt;=0,0,(INT(MAX(0,Inputs!$B$43-B680)/(IF(Inputs!$B$38="pvp",15,MAX(0.1,Skills!E13-IF(TRUE=TRUE,Inputs!$B$32,0)))*(1-IF(AND(ArtifactsInput!$M$27,Inputs!$B$4="Chapter Hunt"),CHOOSE(ArtifactsInput!$N$27+1,20,24,28,32,36,40),0)/100)))+1)),0)</f>
        <v>2</v>
      </c>
      <c r="S655">
        <f>IF(C655,(H655*N655*IF(AND(Inputs!$B$38&lt;&gt;"pvp",Inputs!$B$43&gt;0),((Skills!G13*((R655-1)*IF(Skills!H13&gt;0,Skills!I13/Skills!H13,1)+IF(Skills!H13&gt;0,MIN(Skills!I13,MAX(0,MAX(0,Inputs!$B$43-B680)-((R655-1)*(IF(Inputs!$B$38="pvp",15,MAX(0.1,Skills!E13-IF(TRUE=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655">
        <f>IF(C655,(H655*N655*IF(AND(Inputs!$B$38&lt;&gt;"pvp",Inputs!$B$43&gt;0),((Skills!G13*((R655-1)*IF(Skills!H13&gt;0,Skills!I13/Skills!H13,1)+IF(Skills!H13&gt;0,MIN(Skills!I13,MAX(0,MAX(0,Inputs!$B$43-B680)-((R655-1)*(IF(Inputs!$B$38="pvp",15,MAX(0.1,Skills!E13-IF(TRUE=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656" spans="1:26" x14ac:dyDescent="0.2">
      <c r="A656" t="str">
        <f>Skills!A14</f>
        <v>METEOR_PROC</v>
      </c>
      <c r="B656" t="str">
        <f>Skills!B14</f>
        <v>Meteor Proc (30% on-hit, 1s ICD)</v>
      </c>
      <c r="C656" t="b">
        <f>Inputs!$B$3&gt;=113</f>
        <v>1</v>
      </c>
      <c r="D656">
        <f>IF(Skills!C14=1,60+Inputs!$B$25+Inputs!$B$29,IF(Skills!C14=2,90+Inputs!$B$26+Inputs!$B$29,IF(Skills!C14=3,120+Inputs!$B$27+Inputs!$B$29,MAX(0,(Inputs!$B$3-100)*3)+Inputs!$B$28+Inputs!$B$29)))</f>
        <v>185</v>
      </c>
      <c r="E656">
        <f>INDEX(FactorTable!$B$2:$Y$301, MATCH(ROUND(MIN(300,MAX(1,D656)),0), FactorTable!$A$2:$A$301,0), Skills!M14+1)</f>
        <v>1740</v>
      </c>
      <c r="F656">
        <f>IF(Skills!N14=TRUE,(Skills!L14/10)*(E656/1000),Skills!L14/10)+Skills!O14</f>
        <v>1653</v>
      </c>
      <c r="G656">
        <f>Calc!G14</f>
        <v>0</v>
      </c>
      <c r="H656">
        <f>Calc!H14</f>
        <v>0.30000000000000004</v>
      </c>
      <c r="I656">
        <f>IF(Skills!X14&lt;&gt;"",1+(Skills!X14/10)*(Z645/1000)/100,1)</f>
        <v>1</v>
      </c>
      <c r="J656">
        <f>((Inputs!$B$6*(1+Inputs!$B$7/100))+(((Inputs!$B$12*(1+Inputs!$B$13/100))-(Inputs!$B$12*(1+Inputs!$B$13/100)))+0.25*(Inputs!$B$14-Inputs!$B$14))*(1+Inputs!$B$7/100))*(F656/100)</f>
        <v>5969553638.5932312</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29995411428430.203</v>
      </c>
      <c r="L656">
        <f>K656*(MIN(Inputs!$B$22+(F664-Calc!F22),(Inputs!$B$23+(IF(ArtifactsInput!$M$15,CHOOSE(ArtifactsInput!$N$15+1,25,30,35,40,45,50)/100*(Inputs!$B$11-Inputs!$B$11),0))))/100+(Inputs!$B$23+(IF(ArtifactsInput!$M$15,CHOOSE(ArtifactsInput!$N$15+1,25,30,35,40,45,50)/100*(Inputs!$B$11-Inputs!$B$11),0)))/100)/2</f>
        <v>99734742999530.438</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656">
        <f>L656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656">
        <f>(1-Summary!$B$11)*S656+Summary!$B$11*U656</f>
        <v>461258197543910.38</v>
      </c>
      <c r="P656">
        <f>IF(B683=0,0,O656/B683)</f>
        <v>1.3909829174816885E-2</v>
      </c>
      <c r="Q656">
        <f>IFERROR(1/(IF(Inputs!$B$38="pvp",15,MAX(0.1,Skills!E14-IF(TRUE=TRUE,Inputs!$B$32,0)))*(1-IF(AND(ArtifactsInput!$M$27,Inputs!$B$4="Chapter Hunt"),CHOOSE(ArtifactsInput!$N$27+1,20,24,28,32,36,40),0)/100)),0)</f>
        <v>10</v>
      </c>
      <c r="R656">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657" spans="1:21" x14ac:dyDescent="0.2">
      <c r="A657" t="str">
        <f>Skills!A15</f>
        <v>FLAME_HAZE_BURST</v>
      </c>
      <c r="B657" t="str">
        <f>Skills!B15</f>
        <v>Flame Haze (burst)</v>
      </c>
      <c r="C657" t="b">
        <f>Inputs!$B$3&gt;=107</f>
        <v>1</v>
      </c>
      <c r="D657">
        <f>IF(Skills!C15=1,60+Inputs!$B$25+Inputs!$B$29,IF(Skills!C15=2,90+Inputs!$B$26+Inputs!$B$29,IF(Skills!C15=3,120+Inputs!$B$27+Inputs!$B$29,MAX(0,(Inputs!$B$3-100)*3)+Inputs!$B$28+Inputs!$B$29)))</f>
        <v>185</v>
      </c>
      <c r="E657">
        <f>INDEX(FactorTable!$B$2:$Y$301, MATCH(ROUND(MIN(300,MAX(1,D657)),0), FactorTable!$A$2:$A$301,0), Skills!M15+1)</f>
        <v>1925</v>
      </c>
      <c r="F657">
        <f>IF(Skills!N15=TRUE,(Skills!L15/10)*(E657/1000),Skills!L15/10)+Skills!O15</f>
        <v>2310</v>
      </c>
      <c r="G657">
        <f>Calc!G15</f>
        <v>3</v>
      </c>
      <c r="H657">
        <f>Calc!H15</f>
        <v>1</v>
      </c>
      <c r="I657">
        <f>IF(Skills!X15&lt;&gt;"",1+(Skills!X15/10)*(Z645/1000)/100,1)</f>
        <v>1</v>
      </c>
      <c r="J657">
        <f>((Inputs!$B$6*(1+Inputs!$B$7/100))+(((Inputs!$B$12*(1+Inputs!$B$13/100))-(Inputs!$B$12*(1+Inputs!$B$13/100)))+0.25*(Inputs!$B$14-Inputs!$B$14))*(1+Inputs!$B$7/100))*(F657/100)</f>
        <v>8342207444.1321011</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41917362613232.781</v>
      </c>
      <c r="L657">
        <f>K657*(MIN(Inputs!$B$22+(F664-Calc!F22),(Inputs!$B$23+(IF(ArtifactsInput!$M$15,CHOOSE(ArtifactsInput!$N$15+1,25,30,35,40,45,50)/100*(Inputs!$B$11-Inputs!$B$11),0))))/100+(Inputs!$B$23+(IF(ArtifactsInput!$M$15,CHOOSE(ArtifactsInput!$N$15+1,25,30,35,40,45,50)/100*(Inputs!$B$11-Inputs!$B$11),0)))/100)/2</f>
        <v>139375230688999</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657">
        <f>L657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657">
        <f>(1-Summary!$B$11)*S657+Summary!$B$11*U657</f>
        <v>1641155153413763.8</v>
      </c>
      <c r="P657">
        <f>IF(B683=0,0,O657/B683)</f>
        <v>4.949112656405999E-2</v>
      </c>
      <c r="Q657">
        <f>IFERROR(1/(IF(Inputs!$B$38="pvp",15,MAX(0.1,Skills!E15-IF(TRUE=TRUE,Inputs!$B$32,0)))*(1-IF(AND(ArtifactsInput!$M$27,Inputs!$B$4="Chapter Hunt"),CHOOSE(ArtifactsInput!$N$27+1,20,24,28,32,36,40),0)/100)),0)</f>
        <v>0.04</v>
      </c>
      <c r="R657">
        <f>IF(AND(Inputs!$B$38&lt;&gt;"pvp",Inputs!$B$43&gt;0),IF(MAX(0,Inputs!$B$43-B680)&lt;=0,0,(INT(MAX(0,Inputs!$B$43-B680)/(IF(Inputs!$B$38="pvp",15,MAX(0.1,Skills!E15-IF(TRUE=TRUE,Inputs!$B$32,0)))*(1-IF(AND(ArtifactsInput!$M$27,Inputs!$B$4="Chapter Hunt"),CHOOSE(ArtifactsInput!$N$27+1,20,24,28,32,36,40),0)/100)))+1)),0)</f>
        <v>2</v>
      </c>
      <c r="S657">
        <f>IF(C657,(H657*N657*IF(AND(Inputs!$B$38&lt;&gt;"pvp",Inputs!$B$43&gt;0),((Skills!G15*((R657-1)*IF(Skills!H15&gt;0,Skills!I15/Skills!H15,1)+IF(Skills!H15&gt;0,MIN(Skills!I15,MAX(0,MAX(0,Inputs!$B$43-B680)-((R657-1)*(IF(Inputs!$B$38="pvp",15,MAX(0.1,Skills!E15-IF(TRUE=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657">
        <f>IF(C657,(H657*N657*IF(AND(Inputs!$B$38&lt;&gt;"pvp",Inputs!$B$43&gt;0),((Skills!G15*((R657-1)*IF(Skills!H15&gt;0,Skills!I15/Skills!H15,1)+IF(Skills!H15&gt;0,MIN(Skills!I15,MAX(0,MAX(0,Inputs!$B$43-B680)-((R657-1)*(IF(Inputs!$B$38="pvp",15,MAX(0.1,Skills!E15-IF(TRUE=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658" spans="1:21" x14ac:dyDescent="0.2">
      <c r="A658" t="str">
        <f>Skills!A16</f>
        <v>FLAME_HAZE_DOT</v>
      </c>
      <c r="B658" t="str">
        <f>Skills!B16</f>
        <v>Flame Haze (burn DoT)</v>
      </c>
      <c r="C658" t="b">
        <f>Inputs!$B$3&gt;=107</f>
        <v>1</v>
      </c>
      <c r="D658">
        <f>IF(Skills!C16=1,60+Inputs!$B$25+Inputs!$B$29,IF(Skills!C16=2,90+Inputs!$B$26+Inputs!$B$29,IF(Skills!C16=3,120+Inputs!$B$27+Inputs!$B$29,MAX(0,(Inputs!$B$3-100)*3)+Inputs!$B$28+Inputs!$B$29)))</f>
        <v>185</v>
      </c>
      <c r="E658">
        <f>INDEX(FactorTable!$B$2:$Y$301, MATCH(ROUND(MIN(300,MAX(1,D658)),0), FactorTable!$A$2:$A$301,0), Skills!M16+1)</f>
        <v>1925</v>
      </c>
      <c r="F658">
        <f>IF(Skills!N16=TRUE,(Skills!L16/10)*(E658/1000),Skills!L16/10)+Skills!O16</f>
        <v>288.75</v>
      </c>
      <c r="G658">
        <f>Calc!G16</f>
        <v>30</v>
      </c>
      <c r="H658">
        <f>Calc!H16</f>
        <v>1</v>
      </c>
      <c r="I658">
        <f>IF(Skills!X16&lt;&gt;"",1+(Skills!X16/10)*(Z645/1000)/100,1)</f>
        <v>1</v>
      </c>
      <c r="J658">
        <f>((Inputs!$B$6*(1+Inputs!$B$7/100))+(((Inputs!$B$12*(1+Inputs!$B$13/100))-(Inputs!$B$12*(1+Inputs!$B$13/100)))+0.25*(Inputs!$B$14-Inputs!$B$14))*(1+Inputs!$B$7/100))*(F658/100)</f>
        <v>1042775930.5165126</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5239670326654.0977</v>
      </c>
      <c r="L658">
        <f>K658*(MIN(Inputs!$B$22+(F664-Calc!F22),(Inputs!$B$23+(IF(ArtifactsInput!$M$15,CHOOSE(ArtifactsInput!$N$15+1,25,30,35,40,45,50)/100*(Inputs!$B$11-Inputs!$B$11),0))))/100+(Inputs!$B$23+(IF(ArtifactsInput!$M$15,CHOOSE(ArtifactsInput!$N$15+1,25,30,35,40,45,50)/100*(Inputs!$B$11-Inputs!$B$11),0)))/100)/2</f>
        <v>17421903836124.875</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658">
        <f>L658*(1-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658">
        <f>(1-Summary!$B$11)*S658+Summary!$B$11*U658</f>
        <v>1890384927888193</v>
      </c>
      <c r="P658">
        <f>IF(B683=0,0,O658/B683)</f>
        <v>5.7006968248125504E-2</v>
      </c>
      <c r="Q658">
        <f>IFERROR(1/(IF(Inputs!$B$38="pvp",15,MAX(0.1,Skills!E16-IF(TRUE=TRUE,Inputs!$B$32,0)))*(1-IF(AND(ArtifactsInput!$M$27,Inputs!$B$4="Chapter Hunt"),CHOOSE(ArtifactsInput!$N$27+1,20,24,28,32,36,40),0)/100)),0)</f>
        <v>0.04</v>
      </c>
      <c r="R658">
        <f>IF(AND(Inputs!$B$38&lt;&gt;"pvp",Inputs!$B$43&gt;0),IF(MAX(0,Inputs!$B$43-B680)&lt;=0,0,(INT(MAX(0,Inputs!$B$43-B680)/(IF(Inputs!$B$38="pvp",15,MAX(0.1,Skills!E16-IF(TRUE=TRUE,Inputs!$B$32,0)))*(1-IF(AND(ArtifactsInput!$M$27,Inputs!$B$4="Chapter Hunt"),CHOOSE(ArtifactsInput!$N$27+1,20,24,28,32,36,40),0)/100)))+1)),0)</f>
        <v>2</v>
      </c>
      <c r="S658">
        <f>IF(C658,(H658*N658*IF(AND(Inputs!$B$38&lt;&gt;"pvp",Inputs!$B$43&gt;0),((Skills!G16*((R658-1)*IF(Skills!H16&gt;0,Skills!I16/Skills!H16,1)+IF(Skills!H16&gt;0,MIN(Skills!I16,MAX(0,MAX(0,Inputs!$B$43-B680)-((R658-1)*(IF(Inputs!$B$38="pvp",15,MAX(0.1,Skills!E16-IF(TRUE=TRUE,Inputs!$B$32,0)))*(1-IF(AND(ArtifactsInput!$M$27,Inputs!$B$4="Chapter Hunt"),CHOOSE(ArtifactsInput!$N$27+1,20,24,28,32,36,40),0)/100)))))/Skills!H16,1)))/Inputs!$B$43),G658*Q658)*(1+IF(Inputs!$B$3&gt;=126,0.05*(B678+Q655+(H656*B679)/(1+Skills!H14*H656*B679)+Q666),0)*(1/Q657)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658">
        <f>IF(C658,(H658*N658*IF(AND(Inputs!$B$38&lt;&gt;"pvp",Inputs!$B$43&gt;0),((Skills!G16*((R658-1)*IF(Skills!H16&gt;0,Skills!I16/Skills!H16,1)+IF(Skills!H16&gt;0,MIN(Skills!I16,MAX(0,MAX(0,Inputs!$B$43-B680)-((R658-1)*(IF(Inputs!$B$38="pvp",15,MAX(0.1,Skills!E16-IF(TRUE=TRUE,Inputs!$B$32,0)))*(1-IF(AND(ArtifactsInput!$M$27,Inputs!$B$4="Chapter Hunt"),CHOOSE(ArtifactsInput!$N$27+1,20,24,28,32,36,40),0)/100)))))/Skills!H16,1)))/Inputs!$B$43),G658*Q658)*(1+IF(Inputs!$B$3&gt;=126,0.05*(B678+Q655+(H656*B679)/(1+Skills!H14*H656*B679)+Q666),0)*(1/Q657)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659" spans="1:21" x14ac:dyDescent="0.2">
      <c r="A659" t="str">
        <f>Skills!A17</f>
        <v>MAGIC_GUARD</v>
      </c>
      <c r="B659" t="str">
        <f>Skills!B17</f>
        <v>Magic Guard</v>
      </c>
      <c r="C659" t="b">
        <f>TRUE</f>
        <v>1</v>
      </c>
      <c r="D659">
        <f>IF(Skills!C17=1,60+Inputs!$B$25+Inputs!$B$29,IF(Skills!C17=2,90+Inputs!$B$26+Inputs!$B$29,IF(Skills!C17=3,120+Inputs!$B$27+Inputs!$B$29,MAX(0,(Inputs!$B$3-100)*3)+Inputs!$B$28+Inputs!$B$29)))</f>
        <v>127</v>
      </c>
      <c r="E659">
        <f>INDEX(FactorTable!$B$2:$Y$301, MATCH(ROUND(MIN(300,MAX(1,D659)),0), FactorTable!$A$2:$A$301,0), Skills!M17+1)</f>
        <v>1508</v>
      </c>
      <c r="F659">
        <f>IF(Skills!N17=TRUE,(Skills!L17/10)*(E659/1000),Skills!L17/10)+Skills!O17</f>
        <v>18.096</v>
      </c>
      <c r="G659">
        <f>Calc!G17</f>
        <v>1</v>
      </c>
      <c r="H659">
        <f>Calc!H17</f>
        <v>1</v>
      </c>
      <c r="I659">
        <f>IF(Skills!X17&lt;&gt;"",1+(Skills!X17/10)*(Z645/1000)/100,1)</f>
        <v>1</v>
      </c>
      <c r="O659">
        <f>(1-Summary!$B$11)*S659+Summary!$B$11*U659</f>
        <v>0</v>
      </c>
      <c r="P659">
        <f>IF(B683=0,0,O659/B683)</f>
        <v>0</v>
      </c>
      <c r="Q659">
        <f>IFERROR(1/(IF(Inputs!$B$38="pvp",15,MAX(0.1,Skills!E17-IF(TRUE=TRUE,Inputs!$B$32,0)))*(1-IF(AND(ArtifactsInput!$M$27,Inputs!$B$4="Chapter Hunt"),CHOOSE(ArtifactsInput!$N$27+1,20,24,28,32,36,40),0)/100)),0)</f>
        <v>4.7619047619047616E-2</v>
      </c>
      <c r="R659">
        <f>IF(AND(Inputs!$B$38&lt;&gt;"pvp",Inputs!$B$43&gt;0),IF(Inputs!$B$43&lt;=0,0,(INT(Inputs!$B$43/(IF(Inputs!$B$38="pvp",15,MAX(0.1,Skills!E17-IF(TRUE=TRUE,Inputs!$B$32,0)))*(1-IF(AND(ArtifactsInput!$M$27,Inputs!$B$4="Chapter Hunt"),CHOOSE(ArtifactsInput!$N$27+1,20,24,28,32,36,40),0)/100)))+1)),0)</f>
        <v>2</v>
      </c>
      <c r="S659">
        <v>0</v>
      </c>
      <c r="U659">
        <v>0</v>
      </c>
    </row>
    <row r="660" spans="1:21" x14ac:dyDescent="0.2">
      <c r="A660" t="str">
        <f>Skills!A18</f>
        <v>NIMBLE_FEET</v>
      </c>
      <c r="B660" t="str">
        <f>Skills!B18</f>
        <v>Nimble Feet</v>
      </c>
      <c r="C660" t="b">
        <f>TRUE</f>
        <v>1</v>
      </c>
      <c r="D660">
        <f>IF(Skills!C18=1,60+Inputs!$B$25+Inputs!$B$29,IF(Skills!C18=2,90+Inputs!$B$26+Inputs!$B$29,IF(Skills!C18=3,120+Inputs!$B$27+Inputs!$B$29,MAX(0,(Inputs!$B$3-100)*3)+Inputs!$B$28+Inputs!$B$29)))</f>
        <v>127</v>
      </c>
      <c r="E660">
        <f>INDEX(FactorTable!$B$2:$Y$301, MATCH(ROUND(MIN(300,MAX(1,D660)),0), FactorTable!$A$2:$A$301,0), Skills!M18+1)</f>
        <v>0</v>
      </c>
      <c r="F660">
        <f>IF(Skills!N18=TRUE,(Skills!L18/10)*(E660/1000),Skills!L18/10)+Skills!O18</f>
        <v>15</v>
      </c>
      <c r="G660">
        <f>Calc!G18</f>
        <v>1</v>
      </c>
      <c r="H660">
        <f>Calc!H18</f>
        <v>1</v>
      </c>
      <c r="I660">
        <f>IF(Skills!X18&lt;&gt;"",1+(Skills!X18/10)*(Z645/1000)/100,1)</f>
        <v>1</v>
      </c>
      <c r="O660">
        <f>(1-Summary!$B$11)*S660+Summary!$B$11*U660</f>
        <v>0</v>
      </c>
      <c r="P660">
        <f>IF(B683=0,0,O660/B683)</f>
        <v>0</v>
      </c>
      <c r="Q660">
        <f>IFERROR(1/(IF(Inputs!$B$38="pvp",15,MAX(0.1,Skills!E18-IF(TRUE=TRUE,Inputs!$B$32,0)))*(1-IF(AND(ArtifactsInput!$M$27,Inputs!$B$4="Chapter Hunt"),CHOOSE(ArtifactsInput!$N$27+1,20,24,28,32,36,40),0)/100)),0)</f>
        <v>1.6666666666666666E-2</v>
      </c>
      <c r="R660">
        <f>IF(AND(Inputs!$B$38&lt;&gt;"pvp",Inputs!$B$43&gt;0),IF(Inputs!$B$43&lt;=0,0,(INT(Inputs!$B$43/(IF(Inputs!$B$38="pvp",15,MAX(0.1,Skills!E18-IF(TRUE=TRUE,Inputs!$B$32,0)))*(1-IF(AND(ArtifactsInput!$M$27,Inputs!$B$4="Chapter Hunt"),CHOOSE(ArtifactsInput!$N$27+1,20,24,28,32,36,40),0)/100)))+1)),0)</f>
        <v>1</v>
      </c>
      <c r="S660">
        <v>0</v>
      </c>
      <c r="U660">
        <v>0</v>
      </c>
    </row>
    <row r="661" spans="1:21" x14ac:dyDescent="0.2">
      <c r="A661" t="str">
        <f>Skills!A19</f>
        <v>INFINITY</v>
      </c>
      <c r="B661" t="str">
        <f>Skills!B19</f>
        <v>Infinity</v>
      </c>
      <c r="C661" t="b">
        <f>Inputs!$B$3&gt;=110</f>
        <v>1</v>
      </c>
      <c r="D661">
        <f>IF(Skills!C19=1,60+Inputs!$B$25+Inputs!$B$29,IF(Skills!C19=2,90+Inputs!$B$26+Inputs!$B$29,IF(Skills!C19=3,120+Inputs!$B$27+Inputs!$B$29,MAX(0,(Inputs!$B$3-100)*3)+Inputs!$B$28+Inputs!$B$29)))</f>
        <v>185</v>
      </c>
      <c r="E661">
        <f>INDEX(FactorTable!$B$2:$Y$301, MATCH(ROUND(MIN(300,MAX(1,D661)),0), FactorTable!$A$2:$A$301,0), Skills!M19+1)</f>
        <v>1740</v>
      </c>
      <c r="F661">
        <f>IF(Skills!N19=TRUE,(Skills!L19/10)*(E661/1000),Skills!L19/10)+Skills!O19</f>
        <v>37.700579999999995</v>
      </c>
      <c r="G661">
        <f>Calc!G19</f>
        <v>1</v>
      </c>
      <c r="H661">
        <f>Calc!H19</f>
        <v>1</v>
      </c>
      <c r="I661">
        <f>IF(Skills!X19&lt;&gt;"",1+(Skills!X19/10)*(Z645/1000)/100,1)</f>
        <v>1</v>
      </c>
      <c r="O661">
        <f>(1-Summary!$B$11)*S661+Summary!$B$11*U661</f>
        <v>0</v>
      </c>
      <c r="P661">
        <f>IF(B683=0,0,O661/B683)</f>
        <v>0</v>
      </c>
      <c r="Q661">
        <f>IFERROR(1/(IF(Inputs!$B$38="pvp",15,MAX(0.1,Skills!E19-IF(TRUE=TRUE,Inputs!$B$32,0)))*(1-IF(AND(ArtifactsInput!$M$27,Inputs!$B$4="Chapter Hunt"),CHOOSE(ArtifactsInput!$N$27+1,20,24,28,32,36,40),0)/100)),0)</f>
        <v>3.3333333333333333E-2</v>
      </c>
      <c r="R661">
        <f>IF(AND(Inputs!$B$38&lt;&gt;"pvp",Inputs!$B$43&gt;0),IF(Inputs!$B$43&lt;=0,0,(INT(Inputs!$B$43/(IF(Inputs!$B$38="pvp",15,MAX(0.1,Skills!E19-IF(TRUE=TRUE,Inputs!$B$32,0)))*(1-IF(AND(ArtifactsInput!$M$27,Inputs!$B$4="Chapter Hunt"),CHOOSE(ArtifactsInput!$N$27+1,20,24,28,32,36,40),0)/100)))+1)),0)</f>
        <v>2</v>
      </c>
      <c r="S661">
        <v>0</v>
      </c>
      <c r="U661">
        <v>0</v>
      </c>
    </row>
    <row r="662" spans="1:21" x14ac:dyDescent="0.2">
      <c r="A662" t="str">
        <f>Skills!A20</f>
        <v>MAGIC_CRITICAL_RATE</v>
      </c>
      <c r="B662" t="str">
        <f>Skills!B20</f>
        <v>Magic Critical (Crit Rate)</v>
      </c>
      <c r="C662" t="b">
        <f>TRUE</f>
        <v>1</v>
      </c>
      <c r="D662">
        <f>IF(Skills!C20=1,60+Inputs!$B$25+Inputs!$B$29,IF(Skills!C20=2,90+Inputs!$B$26+Inputs!$B$29,IF(Skills!C20=3,120+Inputs!$B$27+Inputs!$B$29,MAX(0,(Inputs!$B$3-100)*3)+Inputs!$B$28+Inputs!$B$29)))</f>
        <v>184</v>
      </c>
      <c r="E662">
        <f>INDEX(FactorTable!$B$2:$Y$301, MATCH(ROUND(MIN(300,MAX(1,D662)),0), FactorTable!$A$2:$A$301,0), Skills!M20+1)</f>
        <v>1552</v>
      </c>
      <c r="F662">
        <f>IF(Skills!N20=TRUE,(Skills!L20/10)*(E662/1000),Skills!L20/10)+Skills!O20</f>
        <v>12.416</v>
      </c>
      <c r="G662">
        <f>Calc!G20</f>
        <v>1</v>
      </c>
      <c r="H662">
        <f>Calc!H20</f>
        <v>1</v>
      </c>
      <c r="I662">
        <f>IF(Skills!X20&lt;&gt;"",1+(Skills!X20/10)*(Z645/1000)/100,1)</f>
        <v>1</v>
      </c>
      <c r="O662">
        <f>(1-Summary!$B$11)*S662+Summary!$B$11*U662</f>
        <v>0</v>
      </c>
      <c r="P662">
        <f>IF(B683=0,0,O662/B683)</f>
        <v>0</v>
      </c>
      <c r="Q662">
        <f>IFERROR(1/(IF(Inputs!$B$38="pvp",15,MAX(0.1,Skills!E20-IF(TRUE=TRUE,Inputs!$B$32,0)))*(1-IF(AND(ArtifactsInput!$M$27,Inputs!$B$4="Chapter Hunt"),CHOOSE(ArtifactsInput!$N$27+1,20,24,28,32,36,40),0)/100)),0)</f>
        <v>10</v>
      </c>
      <c r="R662">
        <v>0</v>
      </c>
      <c r="S662">
        <v>0</v>
      </c>
      <c r="U662">
        <v>0</v>
      </c>
    </row>
    <row r="663" spans="1:21" x14ac:dyDescent="0.2">
      <c r="A663" t="str">
        <f>Skills!A21</f>
        <v>MAGIC_CRITICAL_DAMAGE</v>
      </c>
      <c r="B663" t="str">
        <f>Skills!B21</f>
        <v>Magic Critical (Crit Damage)</v>
      </c>
      <c r="C663" t="b">
        <f>TRUE</f>
        <v>1</v>
      </c>
      <c r="D663">
        <f>IF(Skills!C21=1,60+Inputs!$B$25+Inputs!$B$29,IF(Skills!C21=2,90+Inputs!$B$26+Inputs!$B$29,IF(Skills!C21=3,120+Inputs!$B$27+Inputs!$B$29,MAX(0,(Inputs!$B$3-100)*3)+Inputs!$B$28+Inputs!$B$29)))</f>
        <v>184</v>
      </c>
      <c r="E663">
        <f>INDEX(FactorTable!$B$2:$Y$301, MATCH(ROUND(MIN(300,MAX(1,D663)),0), FactorTable!$A$2:$A$301,0), Skills!M21+1)</f>
        <v>1552</v>
      </c>
      <c r="F663">
        <f>IF(Skills!N21=TRUE,(Skills!L21/10)*(E663/1000),Skills!L21/10)+Skills!O21</f>
        <v>18.624000000000002</v>
      </c>
      <c r="G663">
        <f>Calc!G21</f>
        <v>1</v>
      </c>
      <c r="H663">
        <f>Calc!H21</f>
        <v>1</v>
      </c>
      <c r="I663">
        <f>IF(Skills!X21&lt;&gt;"",1+(Skills!X21/10)*(Z645/1000)/100,1)</f>
        <v>1</v>
      </c>
      <c r="O663">
        <f>(1-Summary!$B$11)*S663+Summary!$B$11*U663</f>
        <v>0</v>
      </c>
      <c r="P663">
        <f>IF(B683=0,0,O663/B683)</f>
        <v>0</v>
      </c>
      <c r="Q663">
        <f>IFERROR(1/(IF(Inputs!$B$38="pvp",15,MAX(0.1,Skills!E21-IF(TRUE=TRUE,Inputs!$B$32,0)))*(1-IF(AND(ArtifactsInput!$M$27,Inputs!$B$4="Chapter Hunt"),CHOOSE(ArtifactsInput!$N$27+1,20,24,28,32,36,40),0)/100)),0)</f>
        <v>10</v>
      </c>
      <c r="R663">
        <v>0</v>
      </c>
      <c r="S663">
        <v>0</v>
      </c>
      <c r="U663">
        <v>0</v>
      </c>
    </row>
    <row r="664" spans="1:21" x14ac:dyDescent="0.2">
      <c r="A664" t="str">
        <f>Skills!A22</f>
        <v>SPELL_MASTERY</v>
      </c>
      <c r="B664" t="str">
        <f>Skills!B22</f>
        <v>Spell Mastery</v>
      </c>
      <c r="C664" t="b">
        <f>TRUE</f>
        <v>1</v>
      </c>
      <c r="D664">
        <f>IF(Skills!C22=1,60+Inputs!$B$25+Inputs!$B$29,IF(Skills!C22=2,90+Inputs!$B$26+Inputs!$B$29,IF(Skills!C22=3,120+Inputs!$B$27+Inputs!$B$29,MAX(0,(Inputs!$B$3-100)*3)+Inputs!$B$28+Inputs!$B$29)))</f>
        <v>168</v>
      </c>
      <c r="E664">
        <f>INDEX(FactorTable!$B$2:$Y$301, MATCH(ROUND(MIN(300,MAX(1,D664)),0), FactorTable!$A$2:$A$301,0), Skills!M22+1)</f>
        <v>1504</v>
      </c>
      <c r="F664">
        <f>IF(Skills!N22=TRUE,(Skills!L22/10)*(E664/1000),Skills!L22/10)+Skills!O22</f>
        <v>22.56</v>
      </c>
      <c r="G664">
        <f>Calc!G22</f>
        <v>1</v>
      </c>
      <c r="H664">
        <f>Calc!H22</f>
        <v>1</v>
      </c>
      <c r="I664">
        <f>IF(Skills!X22&lt;&gt;"",1+(Skills!X22/10)*(Z645/1000)/100,1)</f>
        <v>1</v>
      </c>
      <c r="O664">
        <f>(1-Summary!$B$11)*S664+Summary!$B$11*U664</f>
        <v>0</v>
      </c>
      <c r="P664">
        <f>IF(B683=0,0,O664/B683)</f>
        <v>0</v>
      </c>
      <c r="Q664">
        <f>IFERROR(1/(IF(Inputs!$B$38="pvp",15,MAX(0.1,Skills!E22-IF(TRUE=TRUE,Inputs!$B$32,0)))*(1-IF(AND(ArtifactsInput!$M$27,Inputs!$B$4="Chapter Hunt"),CHOOSE(ArtifactsInput!$N$27+1,20,24,28,32,36,40),0)/100)),0)</f>
        <v>10</v>
      </c>
      <c r="R664">
        <v>0</v>
      </c>
      <c r="S664">
        <v>0</v>
      </c>
      <c r="U664">
        <v>0</v>
      </c>
    </row>
    <row r="665" spans="1:21" x14ac:dyDescent="0.2">
      <c r="A665" t="str">
        <f>Skills!A23</f>
        <v>ELEMENT_AMPLIFICATION</v>
      </c>
      <c r="B665" t="str">
        <f>Skills!B23</f>
        <v>Element Amplification</v>
      </c>
      <c r="C665" t="b">
        <f>TRUE</f>
        <v>1</v>
      </c>
      <c r="D665">
        <f>IF(Skills!C23=1,60+Inputs!$B$25+Inputs!$B$29,IF(Skills!C23=2,90+Inputs!$B$26+Inputs!$B$29,IF(Skills!C23=3,120+Inputs!$B$27+Inputs!$B$29,MAX(0,(Inputs!$B$3-100)*3)+Inputs!$B$28+Inputs!$B$29)))</f>
        <v>185</v>
      </c>
      <c r="E665">
        <f>INDEX(FactorTable!$B$2:$Y$301, MATCH(ROUND(MIN(300,MAX(1,D665)),0), FactorTable!$A$2:$A$301,0), Skills!M23+1)</f>
        <v>1555</v>
      </c>
      <c r="F665">
        <f>IF(Skills!N23=TRUE,(Skills!L23/10)*(E665/1000),Skills!L23/10)+Skills!O23</f>
        <v>23.324999999999999</v>
      </c>
      <c r="G665">
        <f>Calc!G23</f>
        <v>1</v>
      </c>
      <c r="H665">
        <f>Calc!H23</f>
        <v>1</v>
      </c>
      <c r="I665">
        <f>IF(Skills!X23&lt;&gt;"",1+(Skills!X23/10)*(Z645/1000)/100,1)</f>
        <v>1</v>
      </c>
      <c r="O665">
        <f>(1-Summary!$B$11)*S665+Summary!$B$11*U665</f>
        <v>0</v>
      </c>
      <c r="P665">
        <f>IF(B683=0,0,O665/B683)</f>
        <v>0</v>
      </c>
      <c r="Q665">
        <f>IFERROR(1/(IF(Inputs!$B$38="pvp",15,MAX(0.1,Skills!E23-IF(TRUE=TRUE,Inputs!$B$32,0)))*(1-IF(AND(ArtifactsInput!$M$27,Inputs!$B$4="Chapter Hunt"),CHOOSE(ArtifactsInput!$N$27+1,20,24,28,32,36,40),0)/100)),0)</f>
        <v>10</v>
      </c>
      <c r="R665">
        <v>0</v>
      </c>
      <c r="S665">
        <v>0</v>
      </c>
      <c r="U665">
        <v>0</v>
      </c>
    </row>
    <row r="666" spans="1:21" x14ac:dyDescent="0.2">
      <c r="A666" t="str">
        <f>Skills!A24</f>
        <v>IFRIT</v>
      </c>
      <c r="B666" t="str">
        <f>Skills!B24</f>
        <v>Ifrit</v>
      </c>
      <c r="C666" t="b">
        <f>Inputs!$B$3&gt;=115</f>
        <v>1</v>
      </c>
      <c r="D666">
        <f>IF(Skills!C24=1,60+Inputs!$B$25+Inputs!$B$29,IF(Skills!C24=2,90+Inputs!$B$26+Inputs!$B$29,IF(Skills!C24=3,120+Inputs!$B$27+Inputs!$B$29,MAX(0,(Inputs!$B$3-100)*3)+Inputs!$B$28+Inputs!$B$29)))</f>
        <v>185</v>
      </c>
      <c r="E666">
        <f>INDEX(FactorTable!$B$2:$Y$301, MATCH(ROUND(MIN(300,MAX(1,D666)),0), FactorTable!$A$2:$A$301,0), Skills!M24+1)</f>
        <v>1925</v>
      </c>
      <c r="F666">
        <f>IF(Skills!N24=TRUE,(Skills!L24/10)*(E666/1000),Skills!L24/10)+Skills!O24</f>
        <v>6737.5</v>
      </c>
      <c r="G666">
        <f>Calc!G24</f>
        <v>7.5</v>
      </c>
      <c r="H666">
        <f>Calc!H24</f>
        <v>1</v>
      </c>
      <c r="I666">
        <f>IF(Skills!X24&lt;&gt;"",1+(Skills!X24/10)*(Z645/1000)/100,1)</f>
        <v>1</v>
      </c>
      <c r="J666">
        <f>((Inputs!$B$6*(1+Inputs!$B$7/100))+(((Inputs!$B$12*(1+Inputs!$B$13/100))-(Inputs!$B$12*(1+Inputs!$B$13/100)))+0.25*(Inputs!$B$14-Inputs!$B$14))*(1+Inputs!$B$7/100))*(F666/100)</f>
        <v>24331438378.718628</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122258974288595.61</v>
      </c>
      <c r="L666">
        <f>K666*(MIN(Inputs!$B$22+(F664-Calc!F22),(Inputs!$B$23+(IF(ArtifactsInput!$M$15,CHOOSE(ArtifactsInput!$N$15+1,25,30,35,40,45,50)/100*(Inputs!$B$11-Inputs!$B$11),0))))/100+(Inputs!$B$23+(IF(ArtifactsInput!$M$15,CHOOSE(ArtifactsInput!$N$15+1,25,30,35,40,45,50)/100*(Inputs!$B$11-Inputs!$B$11),0)))/100)/2</f>
        <v>406511089509580.44</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666">
        <f>L666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666">
        <f>(1-Summary!$B$11)*S666+Summary!$B$11*U666</f>
        <v>2194085169658842.8</v>
      </c>
      <c r="P666">
        <f>IF(B683=0,0,O666/B683)</f>
        <v>6.6165436337959668E-2</v>
      </c>
      <c r="Q666">
        <f>IFERROR(1/(IF(Inputs!$B$38="pvp",15,MAX(0.1,Skills!E24-IF(TRUE=TRUE,Inputs!$B$32,0)))*(1-IF(AND(ArtifactsInput!$M$27,Inputs!$B$4="Chapter Hunt"),CHOOSE(ArtifactsInput!$N$27+1,20,24,28,32,36,40),0)/100)),0)</f>
        <v>1.2500000000000001E-2</v>
      </c>
      <c r="R666">
        <f>IF(AND(Inputs!$B$38&lt;&gt;"pvp",Inputs!$B$43&gt;0),IF(MAX(0,Inputs!$B$43-B680)&lt;=0,0,(INT(MAX(0,Inputs!$B$43-B680)/(IF(Inputs!$B$38="pvp",15,MAX(0.1,Skills!E24-IF(TRUE=TRUE,Inputs!$B$32,0)))*(1-IF(AND(ArtifactsInput!$M$27,Inputs!$B$4="Chapter Hunt"),CHOOSE(ArtifactsInput!$N$27+1,20,24,28,32,36,40),0)/100)))+1)),0)</f>
        <v>1</v>
      </c>
      <c r="S666">
        <f>IF(C666,(H666*N666*IF(AND(Inputs!$B$38&lt;&gt;"pvp",Inputs!$B$43&gt;0),((Skills!G24*((R666-1)*IF(Skills!H24&gt;0,Skills!I24/Skills!H24,1)+IF(Skills!H24&gt;0,MIN(Skills!I24,MAX(0,MAX(0,Inputs!$B$43-B680)-((R666-1)*(IF(Inputs!$B$38="pvp",15,MAX(0.1,Skills!E24-IF(TRUE=TRUE,Inputs!$B$32,0)))*(1-IF(AND(ArtifactsInput!$M$27,Inputs!$B$4="Chapter Hunt"),CHOOSE(ArtifactsInput!$N$27+1,20,24,28,32,36,40),0)/100)))))/Skills!H24,1)))/Inputs!$B$43),G666*Q666)*(1+IF(Inputs!$B$3&gt;=130,0.2*(Skills!I16/(1/Q657)+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666">
        <f>IF(C666,(H666*N666*IF(AND(Inputs!$B$38&lt;&gt;"pvp",Inputs!$B$43&gt;0),((Skills!G24*((R666-1)*IF(Skills!H24&gt;0,Skills!I24/Skills!H24,1)+IF(Skills!H24&gt;0,MIN(Skills!I24,MAX(0,MAX(0,Inputs!$B$43-B680)-((R666-1)*(IF(Inputs!$B$38="pvp",15,MAX(0.1,Skills!E24-IF(TRUE=TRUE,Inputs!$B$32,0)))*(1-IF(AND(ArtifactsInput!$M$27,Inputs!$B$4="Chapter Hunt"),CHOOSE(ArtifactsInput!$N$27+1,20,24,28,32,36,40),0)/100)))))/Skills!H24,1)))/Inputs!$B$43),G666*Q666)*(1+IF(Inputs!$B$3&gt;=130,0.2*(Skills!I16/(1/Q657)+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667" spans="1:21" x14ac:dyDescent="0.2">
      <c r="A667" t="str">
        <f>Skills!A25</f>
        <v>BUFF_MASTERY</v>
      </c>
      <c r="B667" t="str">
        <f>Skills!B25</f>
        <v>Buff Mastery</v>
      </c>
      <c r="C667" t="b">
        <f>Inputs!$B$3&gt;=117</f>
        <v>1</v>
      </c>
      <c r="D667">
        <f>IF(Skills!C25=1,60+Inputs!$B$25+Inputs!$B$29,IF(Skills!C25=2,90+Inputs!$B$26+Inputs!$B$29,IF(Skills!C25=3,120+Inputs!$B$27+Inputs!$B$29,MAX(0,(Inputs!$B$3-100)*3)+Inputs!$B$28+Inputs!$B$29)))</f>
        <v>185</v>
      </c>
      <c r="E667">
        <f>INDEX(FactorTable!$B$2:$Y$301, MATCH(ROUND(MIN(300,MAX(1,D667)),0), FactorTable!$A$2:$A$301,0), Skills!M25+1)</f>
        <v>1555</v>
      </c>
      <c r="F667">
        <f>IF(Skills!N25=TRUE,(Skills!L25/10)*(E667/1000),Skills!L25/10)+Skills!O25</f>
        <v>15.549999999999999</v>
      </c>
      <c r="G667">
        <f>Calc!G25</f>
        <v>1</v>
      </c>
      <c r="H667">
        <f>Calc!H25</f>
        <v>1</v>
      </c>
      <c r="I667">
        <f>IF(Skills!X25&lt;&gt;"",1+(Skills!X25/10)*(Z645/1000)/100,1)</f>
        <v>1</v>
      </c>
      <c r="O667">
        <f>(1-Summary!$B$11)*S667+Summary!$B$11*U667</f>
        <v>0</v>
      </c>
      <c r="P667">
        <f>IF(B683=0,0,O667/B683)</f>
        <v>0</v>
      </c>
      <c r="Q667">
        <f>IFERROR(1/(IF(Inputs!$B$38="pvp",15,MAX(0.1,Skills!E25-IF(TRUE=TRUE,Inputs!$B$32,0)))*(1-IF(AND(ArtifactsInput!$M$27,Inputs!$B$4="Chapter Hunt"),CHOOSE(ArtifactsInput!$N$27+1,20,24,28,32,36,40),0)/100)),0)</f>
        <v>10</v>
      </c>
      <c r="R667">
        <v>0</v>
      </c>
      <c r="S667">
        <v>0</v>
      </c>
      <c r="U667">
        <v>0</v>
      </c>
    </row>
    <row r="668" spans="1:21" x14ac:dyDescent="0.2">
      <c r="A668" t="str">
        <f>Skills!A26</f>
        <v>ARCANE_AIM</v>
      </c>
      <c r="B668" t="str">
        <f>Skills!B26</f>
        <v>Arcane Aim</v>
      </c>
      <c r="C668" t="b">
        <f>Inputs!$B$3&gt;=120</f>
        <v>0</v>
      </c>
      <c r="D668">
        <f>IF(Skills!C26=1,60+Inputs!$B$25+Inputs!$B$29,IF(Skills!C26=2,90+Inputs!$B$26+Inputs!$B$29,IF(Skills!C26=3,120+Inputs!$B$27+Inputs!$B$29,MAX(0,(Inputs!$B$3-100)*3)+Inputs!$B$28+Inputs!$B$29)))</f>
        <v>185</v>
      </c>
      <c r="E668">
        <f>INDEX(FactorTable!$B$2:$Y$301, MATCH(ROUND(MIN(300,MAX(1,D668)),0), FactorTable!$A$2:$A$301,0), Skills!M26+1)</f>
        <v>1555</v>
      </c>
      <c r="F668">
        <f>IF(Skills!N26=TRUE,(Skills!L26/10)*(E668/1000),Skills!L26/10)+Skills!O26</f>
        <v>4.665</v>
      </c>
      <c r="G668">
        <f>Calc!G26</f>
        <v>1</v>
      </c>
      <c r="H668">
        <f>Calc!H26</f>
        <v>1</v>
      </c>
      <c r="I668">
        <f>IF(Skills!X26&lt;&gt;"",1+(Skills!X26/10)*(Z645/1000)/100,1)</f>
        <v>1</v>
      </c>
      <c r="O668">
        <f>(1-Summary!$B$11)*S668+Summary!$B$11*U668</f>
        <v>0</v>
      </c>
      <c r="P668">
        <f>IF(B683=0,0,O668/B683)</f>
        <v>0</v>
      </c>
      <c r="Q668">
        <f>IFERROR(1/(IF(Inputs!$B$38="pvp",15,MAX(0.1,Skills!E26-IF(TRUE=TRUE,Inputs!$B$32,0)))*(1-IF(AND(ArtifactsInput!$M$27,Inputs!$B$4="Chapter Hunt"),CHOOSE(ArtifactsInput!$N$27+1,20,24,28,32,36,40),0)/100)),0)</f>
        <v>10</v>
      </c>
      <c r="R668">
        <v>0</v>
      </c>
      <c r="S668">
        <v>0</v>
      </c>
      <c r="U668">
        <v>0</v>
      </c>
    </row>
    <row r="669" spans="1:21" x14ac:dyDescent="0.2">
      <c r="A669" t="str">
        <f>Skills!A27</f>
        <v>FERVENT_DRAIN</v>
      </c>
      <c r="B669" t="str">
        <f>Skills!B27</f>
        <v>Fervent Drain</v>
      </c>
      <c r="C669" t="b">
        <f>Inputs!$B$3&gt;=125</f>
        <v>0</v>
      </c>
      <c r="D669">
        <f>IF(Skills!C27=1,60+Inputs!$B$25+Inputs!$B$29,IF(Skills!C27=2,90+Inputs!$B$26+Inputs!$B$29,IF(Skills!C27=3,120+Inputs!$B$27+Inputs!$B$29,MAX(0,(Inputs!$B$3-100)*3)+Inputs!$B$28+Inputs!$B$29)))</f>
        <v>185</v>
      </c>
      <c r="E669">
        <f>INDEX(FactorTable!$B$2:$Y$301, MATCH(ROUND(MIN(300,MAX(1,D669)),0), FactorTable!$A$2:$A$301,0), Skills!M27+1)</f>
        <v>1555</v>
      </c>
      <c r="F669">
        <f>IF(Skills!N27=TRUE,(Skills!L27/10)*(E669/1000),Skills!L27/10)+Skills!O27</f>
        <v>6.22</v>
      </c>
      <c r="G669">
        <f>Calc!G27</f>
        <v>1</v>
      </c>
      <c r="H669">
        <f>Calc!H27</f>
        <v>1</v>
      </c>
      <c r="I669">
        <f>IF(Skills!X27&lt;&gt;"",1+(Skills!X27/10)*(Z645/1000)/100,1)</f>
        <v>1</v>
      </c>
      <c r="O669">
        <f>(1-Summary!$B$11)*S669+Summary!$B$11*U669</f>
        <v>0</v>
      </c>
      <c r="P669">
        <f>IF(B683=0,0,O669/B683)</f>
        <v>0</v>
      </c>
      <c r="Q669">
        <f>IFERROR(1/(IF(Inputs!$B$38="pvp",15,MAX(0.1,Skills!E27-IF(TRUE=TRUE,Inputs!$B$32,0)))*(1-IF(AND(ArtifactsInput!$M$27,Inputs!$B$4="Chapter Hunt"),CHOOSE(ArtifactsInput!$N$27+1,20,24,28,32,36,40),0)/100)),0)</f>
        <v>10</v>
      </c>
      <c r="R669">
        <v>0</v>
      </c>
      <c r="S669">
        <v>0</v>
      </c>
      <c r="U669">
        <v>0</v>
      </c>
    </row>
    <row r="670" spans="1:21" x14ac:dyDescent="0.2">
      <c r="A670" t="str">
        <f>Skills!A28</f>
        <v>FLAME_HAZE_FOG</v>
      </c>
      <c r="B670" t="str">
        <f>Skills!B28</f>
        <v>Flame Haze (poison fog DoT)</v>
      </c>
      <c r="C670" t="b">
        <f>Inputs!$B$3&gt;=118</f>
        <v>0</v>
      </c>
      <c r="D670">
        <f>IF(Skills!C28=1,60+Inputs!$B$25+Inputs!$B$29,IF(Skills!C28=2,90+Inputs!$B$26+Inputs!$B$29,IF(Skills!C28=3,120+Inputs!$B$27+Inputs!$B$29,MAX(0,(Inputs!$B$3-100)*3)+Inputs!$B$28+Inputs!$B$29)))</f>
        <v>185</v>
      </c>
      <c r="E670">
        <f>INDEX(FactorTable!$B$2:$Y$301, MATCH(ROUND(MIN(300,MAX(1,D670)),0), FactorTable!$A$2:$A$301,0), Skills!M28+1)</f>
        <v>1925</v>
      </c>
      <c r="F670">
        <f>IF(Skills!N28=TRUE,(Skills!L28/10)*(E670/1000),Skills!L28/10)+Skills!O28</f>
        <v>134.75</v>
      </c>
      <c r="G670">
        <f>Calc!G28</f>
        <v>50</v>
      </c>
      <c r="H670">
        <f>Calc!H28</f>
        <v>1</v>
      </c>
      <c r="I670">
        <f>IF(Skills!X28&lt;&gt;"",1+(Skills!X28/10)*(Z645/1000)/100,1)</f>
        <v>1</v>
      </c>
      <c r="J670">
        <f>((Inputs!$B$6*(1+Inputs!$B$7/100))+(((Inputs!$B$12*(1+Inputs!$B$13/100))-(Inputs!$B$12*(1+Inputs!$B$13/100)))+0.25*(Inputs!$B$14-Inputs!$B$14))*(1+Inputs!$B$7/100))*(F670/100)</f>
        <v>486628767.57437253</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2445179485771.9116</v>
      </c>
      <c r="L670">
        <f>K670*(MIN(Inputs!$B$22+(F664-Calc!F22),(Inputs!$B$23+(IF(ArtifactsInput!$M$15,CHOOSE(ArtifactsInput!$N$15+1,25,30,35,40,45,50)/100*(Inputs!$B$11-Inputs!$B$11),0))))/100+(Inputs!$B$23+(IF(ArtifactsInput!$M$15,CHOOSE(ArtifactsInput!$N$15+1,25,30,35,40,45,50)/100*(Inputs!$B$11-Inputs!$B$11),0)))/100)/2</f>
        <v>8130221790191.6064</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670">
        <f>L670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670">
        <f>(1-Summary!$B$11)*S670+Summary!$B$11*U670</f>
        <v>0</v>
      </c>
      <c r="P670">
        <f>IF(B683=0,0,O670/B683)</f>
        <v>0</v>
      </c>
      <c r="Q670">
        <f>IFERROR(1/(IF(Inputs!$B$38="pvp",15,MAX(0.1,Skills!E28-IF(TRUE=TRUE,Inputs!$B$32,0)))*(1-IF(AND(ArtifactsInput!$M$27,Inputs!$B$4="Chapter Hunt"),CHOOSE(ArtifactsInput!$N$27+1,20,24,28,32,36,40),0)/100)),0)</f>
        <v>0.04</v>
      </c>
      <c r="R670">
        <f>IF(AND(Inputs!$B$38&lt;&gt;"pvp",Inputs!$B$43&gt;0),IF(MAX(0,Inputs!$B$43-B680)&lt;=0,0,(INT(MAX(0,Inputs!$B$43-B680)/(IF(Inputs!$B$38="pvp",15,MAX(0.1,Skills!E28-IF(TRUE=TRUE,Inputs!$B$32,0)))*(1-IF(AND(ArtifactsInput!$M$27,Inputs!$B$4="Chapter Hunt"),CHOOSE(ArtifactsInput!$N$27+1,20,24,28,32,36,40),0)/100)))+1)),0)</f>
        <v>2</v>
      </c>
      <c r="S670">
        <f>IF(C670,(H670*N670*IF(AND(Inputs!$B$38&lt;&gt;"pvp",Inputs!$B$43&gt;0),((Skills!G28*((R670-1)*IF(Skills!H28&gt;0,Skills!I28/Skills!H28,1)+IF(Skills!H28&gt;0,MIN(Skills!I28,MAX(0,MAX(0,Inputs!$B$43-B680)-((R670-1)*(IF(Inputs!$B$38="pvp",15,MAX(0.1,Skills!E28-IF(TRUE=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670">
        <f>IF(C670,(H670*N670*IF(AND(Inputs!$B$38&lt;&gt;"pvp",Inputs!$B$43&gt;0),((Skills!G28*((R670-1)*IF(Skills!H28&gt;0,Skills!I28/Skills!H28,1)+IF(Skills!H28&gt;0,MIN(Skills!I28,MAX(0,MAX(0,Inputs!$B$43-B680)-((R670-1)*(IF(Inputs!$B$38="pvp",15,MAX(0.1,Skills!E28-IF(TRUE=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672" spans="1:21" x14ac:dyDescent="0.2">
      <c r="A672" t="s">
        <v>356</v>
      </c>
      <c r="B672">
        <f>1+(F653*Skills!Z11)/100</f>
        <v>1.25</v>
      </c>
    </row>
    <row r="673" spans="1:26" x14ac:dyDescent="0.2">
      <c r="A673" t="s">
        <v>435</v>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1.18624</v>
      </c>
    </row>
    <row r="674" spans="1:26" x14ac:dyDescent="0.2">
      <c r="A674" t="s">
        <v>358</v>
      </c>
      <c r="B674">
        <f>(1+(F648*IF(AND(Inputs!$B$38&lt;&gt;"pvp",Inputs!$B$43&gt;0),(((R648-1)*MIN((Skills!T6*(1+((Inputs!$B$34+(ArtifactsInput!$M$7-ArtifactsInput!$M$7)*CHOOSE(ArtifactsInput!$N$7+1,6,7.2,8.4,9.6,10.8,12)))/100)),(1/Q648))+MIN((Skills!T6*(1+((Inputs!$B$34+(ArtifactsInput!$M$7-ArtifactsInput!$M$7)*CHOOSE(ArtifactsInput!$N$7+1,6,7.2,8.4,9.6,10.8,12)))/100)),MAX(0,Inputs!$B$43-((R648-1)*(1/Q648)))))/Inputs!$B$43),IF(Inputs!$B$38="pvp",MIN((Skills!T6*(1+((Inputs!$B$34+(ArtifactsInput!$M$7-ArtifactsInput!$M$7)*CHOOSE(ArtifactsInput!$N$7+1,6,7.2,8.4,9.6,10.8,12)))/100)),15)/15,MIN(1,(Skills!T6*(1+((Inputs!$B$34+(ArtifactsInput!$M$7-ArtifactsInput!$M$7)*CHOOSE(ArtifactsInput!$N$7+1,6,7.2,8.4,9.6,10.8,12)))/100))/(1/Q648))))+F659*IF(AND(Inputs!$B$38&lt;&gt;"pvp",Inputs!$B$43&gt;0),(((R659-1)*MIN((Skills!T17*(1+((Inputs!$B$34+(ArtifactsInput!$M$7-ArtifactsInput!$M$7)*CHOOSE(ArtifactsInput!$N$7+1,6,7.2,8.4,9.6,10.8,12)))/100)),(1/Q659))+MIN((Skills!T17*(1+((Inputs!$B$34+(ArtifactsInput!$M$7-ArtifactsInput!$M$7)*CHOOSE(ArtifactsInput!$N$7+1,6,7.2,8.4,9.6,10.8,12)))/100)),MAX(0,Inputs!$B$43-((R659-1)*(1/Q659)))))/Inputs!$B$43),IF(Inputs!$B$38="pvp",MIN((Skills!T17*(1+((Inputs!$B$34+(ArtifactsInput!$M$7-ArtifactsInput!$M$7)*CHOOSE(ArtifactsInput!$N$7+1,6,7.2,8.4,9.6,10.8,12)))/100)),15)/15,MIN(1,(Skills!T17*(1+((Inputs!$B$34+(ArtifactsInput!$M$7-ArtifactsInput!$M$7)*CHOOSE(ArtifactsInput!$N$7+1,6,7.2,8.4,9.6,10.8,12)))/100))/(1/Q659)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MIN((Skills!T19*(1+((Inputs!$B$34+(ArtifactsInput!$M$7-ArtifactsInput!$M$7)*CHOOSE(ArtifactsInput!$N$7+1,6,7.2,8.4,9.6,10.8,12)))/100)),(1/Q661))+MIN((Skills!T19*(1+((Inputs!$B$34+(ArtifactsInput!$M$7-ArtifactsInput!$M$7)*CHOOSE(ArtifactsInput!$N$7+1,6,7.2,8.4,9.6,10.8,12)))/100)),MAX(0,Inputs!$B$43-((R661-1)*(1/Q661)))))/Inputs!$B$43),IF(Inputs!$B$38="pvp",MIN((Skills!T19*(1+((Inputs!$B$34+(ArtifactsInput!$M$7-ArtifactsInput!$M$7)*CHOOSE(ArtifactsInput!$N$7+1,6,7.2,8.4,9.6,10.8,12)))/100)),15)/15,MIN(1,(Skills!T19*(1+((Inputs!$B$34+(ArtifactsInput!$M$7-ArtifactsInput!$M$7)*CHOOSE(ArtifactsInput!$N$7+1,6,7.2,8.4,9.6,10.8,12)))/100))/(1/Q661))))/100),1)</f>
        <v>1.7965808377980694</v>
      </c>
    </row>
    <row r="675" spans="1:26" x14ac:dyDescent="0.2">
      <c r="A675" t="s">
        <v>359</v>
      </c>
      <c r="B675">
        <f>F660*IF(AND(Inputs!$B$38&lt;&gt;"pvp",Inputs!$B$43&gt;0),(((R660-1)*MIN((Skills!T18*(1+((Inputs!$B$34+(ArtifactsInput!$M$7-ArtifactsInput!$M$7)*CHOOSE(ArtifactsInput!$N$7+1,6,7.2,8.4,9.6,10.8,12)))/100)),(1/Q660))+MIN((Skills!T18*(1+((Inputs!$B$34+(ArtifactsInput!$M$7-ArtifactsInput!$M$7)*CHOOSE(ArtifactsInput!$N$7+1,6,7.2,8.4,9.6,10.8,12)))/100)),MAX(0,Inputs!$B$43-((R660-1)*(1/Q660)))))/Inputs!$B$43),IF(Inputs!$B$38="pvp",MIN((Skills!T18*(1+((Inputs!$B$34+(ArtifactsInput!$M$7-ArtifactsInput!$M$7)*CHOOSE(ArtifactsInput!$N$7+1,6,7.2,8.4,9.6,10.8,12)))/100)),15)/15,MIN(1,(Skills!T18*(1+((Inputs!$B$34+(ArtifactsInput!$M$7-ArtifactsInput!$M$7)*CHOOSE(ArtifactsInput!$N$7+1,6,7.2,8.4,9.6,10.8,12)))/100))/(1/Q660))))</f>
        <v>6.4968749999999993</v>
      </c>
    </row>
    <row r="676" spans="1:26" x14ac:dyDescent="0.2">
      <c r="A676" t="s">
        <v>436</v>
      </c>
      <c r="B676">
        <f>1+MIN(150,150*(1-(1-(Inputs!$B$11+(ArtifactsInput!$M$15-ArtifactsInput!$M$15)*CHOOSE(ArtifactsInput!$N$15+1,8,9.6,11.2,12.8,14.4,16))/150)*(1-B675/150)))/100</f>
        <v>1.6982958749999999</v>
      </c>
    </row>
    <row r="677" spans="1:26" x14ac:dyDescent="0.2">
      <c r="A677" t="s">
        <v>437</v>
      </c>
      <c r="B677">
        <f>IF(AND(Inputs!$B$38&lt;&gt;"pvp",Inputs!$B$43&gt;0),SUMPRODUCT((Skills!F2:F28=TRUE)*(C644:C670=TRUE)*R644:R670)/Inputs!$B$43,SUMPRODUCT((Skills!F2:F28=TRUE)*(C644:C670=TRUE)*Q644:Q670))</f>
        <v>0.47499999999999998</v>
      </c>
    </row>
    <row r="678" spans="1:26" x14ac:dyDescent="0.2">
      <c r="A678" t="s">
        <v>362</v>
      </c>
      <c r="B678">
        <f>MAX(0,B676-B677)</f>
        <v>1.2232958749999998</v>
      </c>
    </row>
    <row r="679" spans="1:26" x14ac:dyDescent="0.2">
      <c r="A679" t="s">
        <v>438</v>
      </c>
      <c r="B679">
        <f>IF(AND(Inputs!$B$38&lt;&gt;"pvp",Inputs!$B$43&gt;0),SUMPRODUCT((Skills!V2:V28=TRUE)*(C644:C670=TRUE)*R644:R670*Skills!W2:W28)/Inputs!$B$43,SUMPRODUCT((Skills!V2:V28=TRUE)*(C644:C670=TRUE)*Q644:Q670*Skills!W2:W28))+B678</f>
        <v>1.5482958749999998</v>
      </c>
    </row>
    <row r="680" spans="1:26" x14ac:dyDescent="0.2">
      <c r="A680" t="s">
        <v>439</v>
      </c>
      <c r="B680">
        <f>IF(AND(Inputs!$B$38&lt;&gt;"pvp",Inputs!$B$43&gt;0),SUMPRODUCT((Skills!T2:T28&gt;0)*(Skills!F2:F28=TRUE)*(C644:C670=TRUE))/B676,0)</f>
        <v>2.3553021937358238</v>
      </c>
    </row>
    <row r="681" spans="1:26" x14ac:dyDescent="0.2">
      <c r="A681" t="s">
        <v>440</v>
      </c>
      <c r="B681">
        <f>SUM(S644:S670)</f>
        <v>9529507657086484</v>
      </c>
    </row>
    <row r="682" spans="1:26" x14ac:dyDescent="0.2">
      <c r="A682" t="s">
        <v>441</v>
      </c>
      <c r="B682">
        <f>SUM(U644:U670)</f>
        <v>5.6791680295242552E+16</v>
      </c>
    </row>
    <row r="683" spans="1:26" x14ac:dyDescent="0.2">
      <c r="A683" s="6" t="s">
        <v>348</v>
      </c>
      <c r="B683" s="6">
        <f>SUM(O644:O670)</f>
        <v>3.3160593976164524E+16</v>
      </c>
    </row>
    <row r="686" spans="1:26" x14ac:dyDescent="0.2">
      <c r="A686" s="6" t="s">
        <v>455</v>
      </c>
    </row>
    <row r="687" spans="1:26" x14ac:dyDescent="0.2">
      <c r="A687" s="5" t="s">
        <v>136</v>
      </c>
      <c r="B687" s="5" t="s">
        <v>137</v>
      </c>
      <c r="C687" s="5" t="s">
        <v>328</v>
      </c>
      <c r="D687" s="5" t="s">
        <v>329</v>
      </c>
      <c r="E687" s="5" t="s">
        <v>330</v>
      </c>
      <c r="F687" s="5" t="s">
        <v>331</v>
      </c>
      <c r="G687" s="5" t="s">
        <v>332</v>
      </c>
      <c r="H687" s="5" t="s">
        <v>333</v>
      </c>
      <c r="I687" s="5" t="s">
        <v>334</v>
      </c>
      <c r="J687" s="5" t="s">
        <v>335</v>
      </c>
      <c r="K687" s="5" t="s">
        <v>336</v>
      </c>
      <c r="L687" s="5" t="s">
        <v>337</v>
      </c>
      <c r="M687" s="5" t="s">
        <v>338</v>
      </c>
      <c r="N687" s="5" t="s">
        <v>339</v>
      </c>
      <c r="O687" s="5" t="s">
        <v>340</v>
      </c>
      <c r="P687" s="5" t="s">
        <v>341</v>
      </c>
      <c r="R687" t="s">
        <v>434</v>
      </c>
    </row>
    <row r="688" spans="1:26" x14ac:dyDescent="0.2">
      <c r="A688" t="str">
        <f>Skills!A2</f>
        <v>BASIC_ATTACK</v>
      </c>
      <c r="B688" t="str">
        <f>Skills!B2</f>
        <v>Basic Attack</v>
      </c>
      <c r="C688" t="b">
        <f>TRUE</f>
        <v>1</v>
      </c>
      <c r="F688">
        <f>T690+Skills!O2</f>
        <v>537.6</v>
      </c>
      <c r="G688">
        <f>Calc!G2</f>
        <v>5</v>
      </c>
      <c r="H688">
        <f>Calc!H2</f>
        <v>1</v>
      </c>
      <c r="I688">
        <f>IF(Skills!X2&lt;&gt;"",1+(Skills!X2/10)*(Z689/1000)/100,1)</f>
        <v>1</v>
      </c>
      <c r="J688">
        <f>((Inputs!$B$6*(1+Inputs!$B$7/100))+(((Inputs!$B$12*(1+Inputs!$B$13/100))-(Inputs!$B$12*(1+Inputs!$B$13/100)))+0.25*(Inputs!$B$14-Inputs!$B$14))*(1+Inputs!$B$7/100))*(F688/100)</f>
        <v>1941459186.9980164</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6620290711466.1074</v>
      </c>
      <c r="L688">
        <f>K688*(MIN(Inputs!$B$22+(F708-Calc!F22),(Inputs!$B$23+(IF(ArtifactsInput!$M$15,CHOOSE(ArtifactsInput!$N$15+1,25,30,35,40,45,50)/100*(Inputs!$B$11-Inputs!$B$11),0))))/100+(Inputs!$B$23+(IF(ArtifactsInput!$M$15,CHOOSE(ArtifactsInput!$N$15+1,25,30,35,40,45,50)/100*(Inputs!$B$11-Inputs!$B$11),0)))/100)/2</f>
        <v>22012466615624.809</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688">
        <f>L688*(1-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688">
        <f>(1-Summary!$B$11)*S688+Summary!$B$11*U688</f>
        <v>1.251342481087288E+16</v>
      </c>
      <c r="P688">
        <f>IF(B727=0,0,O688/B727)</f>
        <v>0.37726116828016854</v>
      </c>
      <c r="Q688">
        <f>IFERROR(1/(IF(Inputs!$B$38="pvp",15,MAX(0.1,Skills!E2-IF(TRUE=TRUE,Inputs!$B$32,0)))*(1-IF(AND(ArtifactsInput!$M$27,Inputs!$B$4="Chapter Hunt"),CHOOSE(ArtifactsInput!$N$27+1,20,24,28,32,36,40),0)/100)),0)</f>
        <v>10</v>
      </c>
      <c r="R688">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688">
        <f>MAX(0,(Inputs!$B$3-100)*3)+Inputs!$B$28+Inputs!$B$29</f>
        <v>185</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688">
        <f>MAX(0,(Inputs!$B$3-100)*3)+Inputs!$B$28+Inputs!$B$29</f>
        <v>185</v>
      </c>
    </row>
    <row r="689" spans="1:26" x14ac:dyDescent="0.2">
      <c r="A689" t="str">
        <f>Skills!A3</f>
        <v>IGNITE</v>
      </c>
      <c r="B689" t="str">
        <f>Skills!B3</f>
        <v>Ignite</v>
      </c>
      <c r="C689" t="b">
        <f>TRUE</f>
        <v>1</v>
      </c>
      <c r="D689">
        <f>IF(Skills!C3=1,60+Inputs!$B$25+Inputs!$B$29,IF(Skills!C3=2,90+Inputs!$B$26+Inputs!$B$29,IF(Skills!C3=3,120+Inputs!$B$27+Inputs!$B$29,MAX(0,(Inputs!$B$3-100)*3)+Inputs!$B$28+Inputs!$B$29)))</f>
        <v>168</v>
      </c>
      <c r="E689">
        <f>INDEX(FactorTable!$B$2:$Y$301, MATCH(ROUND(MIN(300,MAX(1,D689)),0), FactorTable!$A$2:$A$301,0), Skills!M3+1)</f>
        <v>1672</v>
      </c>
      <c r="F689">
        <f>IF(Skills!N3=TRUE,(Skills!L3/10)*(E689/1000),Skills!L3/10)+Skills!O3</f>
        <v>121.736</v>
      </c>
      <c r="G689">
        <f>Calc!G3</f>
        <v>3</v>
      </c>
      <c r="H689">
        <f>Calc!H3</f>
        <v>1</v>
      </c>
      <c r="I689">
        <f>IF(Skills!X3&lt;&gt;"",1+(Skills!X3/10)*(Z689/1000)/100,1)</f>
        <v>4.8250000000000002</v>
      </c>
      <c r="J689">
        <f>((Inputs!$B$6*(1+Inputs!$B$7/100))+(((Inputs!$B$12*(1+Inputs!$B$13/100))-(Inputs!$B$12*(1+Inputs!$B$13/100)))+0.25*(Inputs!$B$14-Inputs!$B$14))*(1+Inputs!$B$7/100))*(F689/100)</f>
        <v>439630720.9605478</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10701184095495.609</v>
      </c>
      <c r="L689">
        <f>K689*(MIN(Inputs!$B$22+(F708-Calc!F22),(Inputs!$B$23+(IF(ArtifactsInput!$M$15,CHOOSE(ArtifactsInput!$N$15+1,25,30,35,40,45,50)/100*(Inputs!$B$11-Inputs!$B$11),0))))/100+(Inputs!$B$23+(IF(ArtifactsInput!$M$15,CHOOSE(ArtifactsInput!$N$15+1,25,30,35,40,45,50)/100*(Inputs!$B$11-Inputs!$B$11),0)))/100)/2</f>
        <v>35581437117522.906</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167908801757590.56</v>
      </c>
      <c r="N689">
        <f>L689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167908801757590.56</v>
      </c>
      <c r="O689">
        <f>(1-Summary!$B$11)*S689+Summary!$B$11*U689</f>
        <v>2919094518555712</v>
      </c>
      <c r="P689">
        <f>IF(B727=0,0,O689/B727)</f>
        <v>8.8006363168753085E-2</v>
      </c>
      <c r="Q689">
        <f>IFERROR(1/(IF(Inputs!$B$38="pvp",15,MAX(0.1,Skills!E3-IF(FALSE=TRUE,Inputs!$B$32,0)))*(1-IF(AND(ArtifactsInput!$M$27,Inputs!$B$4="Chapter Hunt"),CHOOSE(ArtifactsInput!$N$27+1,20,24,28,32,36,40),0)/100)),0)</f>
        <v>1</v>
      </c>
      <c r="R689">
        <f>IF(AND(Inputs!$B$38&lt;&gt;"pvp",Inputs!$B$43&gt;0),IF(MAX(0,Inputs!$B$43-B724)&lt;=0,0,(INT(MAX(0,Inputs!$B$43-B724)/(IF(Inputs!$B$38="pvp",15,MAX(0.1,Skills!E3-IF(FALSE=TRUE,Inputs!$B$32,0)))*(1-IF(AND(ArtifactsInput!$M$27,Inputs!$B$4="Chapter Hunt"),CHOOSE(ArtifactsInput!$N$27+1,20,24,28,32,36,40),0)/100)))+1)),0)</f>
        <v>38</v>
      </c>
      <c r="S689">
        <f>IF(C689,(H689*N689*IF(AND(Inputs!$B$38&lt;&gt;"pvp",Inputs!$B$43&gt;0),((Skills!G3*((R689-1)*IF(Skills!H3&gt;0,Skills!I3/Skills!H3,1)+IF(Skills!H3&gt;0,MIN(Skills!I3,MAX(0,MAX(0,Inputs!$B$43-B724)-((R689-1)*(IF(Inputs!$B$38="pvp",15,MAX(0.1,Skills!E3-IF(FALSE=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1516972069478952</v>
      </c>
      <c r="T689">
        <f>INDEX(FactorTable!$B$2:$Y$301, MATCH(ROUND(MIN(300,MAX(1,T688)),0), FactorTable!$A$2:$A$301,0), 22)</f>
        <v>1740</v>
      </c>
      <c r="U689">
        <f>IF(C689,(H689*N689*IF(AND(Inputs!$B$38&lt;&gt;"pvp",Inputs!$B$43&gt;0),((Skills!G3*((R689-1)*IF(Skills!H3&gt;0,Skills!I3/Skills!H3,1)+IF(Skills!H3&gt;0,MIN(Skills!I3,MAX(0,MAX(0,Inputs!$B$43-B724)-((R689-1)*(IF(Inputs!$B$38="pvp",15,MAX(0.1,Skills!E3-IF(FALSE=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4321216967632472</v>
      </c>
      <c r="Z689">
        <f>INDEX(FactorTable!$B$2:$Y$301, MATCH(ROUND(MIN(300,MAX(1,Z688)),0), FactorTable!$A$2:$A$301,0), 24)</f>
        <v>7650</v>
      </c>
    </row>
    <row r="690" spans="1:26" x14ac:dyDescent="0.2">
      <c r="A690" t="str">
        <f>Skills!A4</f>
        <v>POISON_BREATH</v>
      </c>
      <c r="B690" t="str">
        <f>Skills!B4</f>
        <v>Poison Breath</v>
      </c>
      <c r="C690" t="b">
        <f>TRUE</f>
        <v>1</v>
      </c>
      <c r="D690">
        <f>IF(Skills!C4=1,60+Inputs!$B$25+Inputs!$B$29,IF(Skills!C4=2,90+Inputs!$B$26+Inputs!$B$29,IF(Skills!C4=3,120+Inputs!$B$27+Inputs!$B$29,MAX(0,(Inputs!$B$3-100)*3)+Inputs!$B$28+Inputs!$B$29)))</f>
        <v>168</v>
      </c>
      <c r="E690">
        <f>INDEX(FactorTable!$B$2:$Y$301, MATCH(ROUND(MIN(300,MAX(1,D690)),0), FactorTable!$A$2:$A$301,0), Skills!M4+1)</f>
        <v>1840</v>
      </c>
      <c r="F690">
        <f>IF(Skills!N4=TRUE,(Skills!L4/10)*(E690/1000),Skills!L4/10)+Skills!O4</f>
        <v>438</v>
      </c>
      <c r="G690">
        <f>Calc!G4</f>
        <v>3</v>
      </c>
      <c r="H690">
        <f>Calc!H4</f>
        <v>1</v>
      </c>
      <c r="I690">
        <f>IF(Skills!X4&lt;&gt;"",1+(Skills!X4/10)*(Z689/1000)/100,1)</f>
        <v>7.12</v>
      </c>
      <c r="J690">
        <f>((Inputs!$B$6*(1+Inputs!$B$7/100))+(((Inputs!$B$12*(1+Inputs!$B$13/100))-(Inputs!$B$12*(1+Inputs!$B$13/100)))+0.25*(Inputs!$B$14-Inputs!$B$14))*(1+Inputs!$B$7/100))*(F690/100)</f>
        <v>1581769203.69258</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56815861236544.469</v>
      </c>
      <c r="L690">
        <f>K690*(MIN(Inputs!$B$22+(F708-Calc!F22),(Inputs!$B$23+(IF(ArtifactsInput!$M$15,CHOOSE(ArtifactsInput!$N$15+1,25,30,35,40,45,50)/100*(Inputs!$B$11-Inputs!$B$11),0))))/100+(Inputs!$B$23+(IF(ArtifactsInput!$M$15,CHOOSE(ArtifactsInput!$N$15+1,25,30,35,40,45,50)/100*(Inputs!$B$11-Inputs!$B$11),0)))/100)/2</f>
        <v>188912738611510.38</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891479213507717.38</v>
      </c>
      <c r="N690">
        <f>L690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891479213507717.38</v>
      </c>
      <c r="O690">
        <f>(1-Summary!$B$11)*S690+Summary!$B$11*U690</f>
        <v>2129186666561494.2</v>
      </c>
      <c r="P690">
        <f>IF(B727=0,0,O690/B727)</f>
        <v>6.419181490710657E-2</v>
      </c>
      <c r="Q690">
        <f>IFERROR(1/(IF(Inputs!$B$38="pvp",15,MAX(0.1,Skills!E4-IF(TRUE=TRUE,Inputs!$B$32,0)))*(1-IF(AND(ArtifactsInput!$M$27,Inputs!$B$4="Chapter Hunt"),CHOOSE(ArtifactsInput!$N$27+1,20,24,28,32,36,40),0)/100)),0)</f>
        <v>5.5555555555555552E-2</v>
      </c>
      <c r="R690">
        <f>IF(AND(Inputs!$B$38&lt;&gt;"pvp",Inputs!$B$43&gt;0),IF(MAX(0,Inputs!$B$43-B724)&lt;=0,0,(INT(MAX(0,Inputs!$B$43-B724)/(IF(Inputs!$B$38="pvp",15,MAX(0.1,Skills!E4-IF(TRUE=TRUE,Inputs!$B$32,0)))*(1-IF(AND(ArtifactsInput!$M$27,Inputs!$B$4="Chapter Hunt"),CHOOSE(ArtifactsInput!$N$27+1,20,24,28,32,36,40),0)/100)))+1)),0)</f>
        <v>3</v>
      </c>
      <c r="S690">
        <f>IF(C690,(H690*N690*IF(AND(Inputs!$B$38&lt;&gt;"pvp",Inputs!$B$43&gt;0),((Skills!G4*((R690-1)*IF(Skills!H4&gt;0,Skills!I4/Skills!H4,1)+IF(Skills!H4&gt;0,MIN(Skills!I4,MAX(0,MAX(0,Inputs!$B$43-B724)-((R690-1)*(IF(Inputs!$B$38="pvp",15,MAX(0.1,Skills!E4-IF(TRUE=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635847549034379.38</v>
      </c>
      <c r="T690">
        <f>290*T689/1000</f>
        <v>504.6</v>
      </c>
      <c r="U690">
        <f>IF(C690,(H690*N690*IF(AND(Inputs!$B$38&lt;&gt;"pvp",Inputs!$B$43&gt;0),((Skills!G4*((R690-1)*IF(Skills!H4&gt;0,Skills!I4/Skills!H4,1)+IF(Skills!H4&gt;0,MIN(Skills!I4,MAX(0,MAX(0,Inputs!$B$43-B724)-((R690-1)*(IF(Inputs!$B$38="pvp",15,MAX(0.1,Skills!E4-IF(TRUE=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3622525784088609</v>
      </c>
    </row>
    <row r="691" spans="1:26" x14ac:dyDescent="0.2">
      <c r="A691" t="str">
        <f>Skills!A5</f>
        <v>ELEMENTAL_DRAIN</v>
      </c>
      <c r="B691" t="str">
        <f>Skills!B5</f>
        <v>Elemental Drain</v>
      </c>
      <c r="C691" t="b">
        <f>TRUE</f>
        <v>1</v>
      </c>
      <c r="D691">
        <f>IF(Skills!C5=1,60+Inputs!$B$25+Inputs!$B$29,IF(Skills!C5=2,90+Inputs!$B$26+Inputs!$B$29,IF(Skills!C5=3,120+Inputs!$B$27+Inputs!$B$29,MAX(0,(Inputs!$B$3-100)*3)+Inputs!$B$28+Inputs!$B$29)))</f>
        <v>168</v>
      </c>
      <c r="E691">
        <f>INDEX(FactorTable!$B$2:$Y$301, MATCH(ROUND(MIN(300,MAX(1,D691)),0), FactorTable!$A$2:$A$301,0), Skills!M5+1)</f>
        <v>1672</v>
      </c>
      <c r="F691">
        <f>IF(Skills!N5=TRUE,(Skills!L5/10)*(E691/1000),Skills!L5/10)+Skills!O5</f>
        <v>20.064</v>
      </c>
      <c r="G691">
        <f>Calc!G5</f>
        <v>5</v>
      </c>
      <c r="H691">
        <f>Calc!H5</f>
        <v>1</v>
      </c>
      <c r="I691">
        <f>IF(Skills!X5&lt;&gt;"",1+(Skills!X5/10)*(Z689/1000)/100,1)</f>
        <v>12.475</v>
      </c>
      <c r="J691">
        <f>((Inputs!$B$6*(1+Inputs!$B$7/100))+(((Inputs!$B$12*(1+Inputs!$B$13/100))-(Inputs!$B$12*(1+Inputs!$B$13/100)))+0.25*(Inputs!$B$14-Inputs!$B$14))*(1+Inputs!$B$7/100))*(F691/100)</f>
        <v>72458030.371890247</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4560091568585.8535</v>
      </c>
      <c r="L691">
        <f>K691*(MIN(Inputs!$B$22+(F708-Calc!F22),(Inputs!$B$23+(IF(ArtifactsInput!$M$15,CHOOSE(ArtifactsInput!$N$15+1,25,30,35,40,45,50)/100*(Inputs!$B$11-Inputs!$B$11),0))))/100+(Inputs!$B$23+(IF(ArtifactsInput!$M$15,CHOOSE(ArtifactsInput!$N$15+1,25,30,35,40,45,50)/100*(Inputs!$B$11-Inputs!$B$11),0)))/100)/2</f>
        <v>15162304465547.963</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71550914772920.828</v>
      </c>
      <c r="N691">
        <f>L691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71550914772920.828</v>
      </c>
      <c r="O691">
        <f>(1-Summary!$B$11)*S691+Summary!$B$11*U691</f>
        <v>1050188551579545.5</v>
      </c>
      <c r="P691">
        <f>IF(B727=0,0,O691/B727)</f>
        <v>3.166162468480286E-2</v>
      </c>
      <c r="Q691">
        <f>IFERROR(1/(IF(Inputs!$B$38="pvp",15,MAX(0.1,Skills!E5-IF(FALSE=TRUE,Inputs!$B$32,0)))*(1-IF(AND(ArtifactsInput!$M$27,Inputs!$B$4="Chapter Hunt"),CHOOSE(ArtifactsInput!$N$27+1,20,24,28,32,36,40),0)/100)),0)</f>
        <v>1</v>
      </c>
      <c r="R691">
        <f>IF(AND(Inputs!$B$38&lt;&gt;"pvp",Inputs!$B$43&gt;0),IF(MAX(0,Inputs!$B$43-B724)&lt;=0,0,(INT(MAX(0,Inputs!$B$43-B724)/(IF(Inputs!$B$38="pvp",15,MAX(0.1,Skills!E5-IF(FALSE=TRUE,Inputs!$B$32,0)))*(1-IF(AND(ArtifactsInput!$M$27,Inputs!$B$4="Chapter Hunt"),CHOOSE(ArtifactsInput!$N$27+1,20,24,28,32,36,40),0)/100)))+1)),0)</f>
        <v>38</v>
      </c>
      <c r="S691">
        <f>IF(C691,(H691*N691*IF(AND(Inputs!$B$38&lt;&gt;"pvp",Inputs!$B$43&gt;0),((Skills!G5*((R691-1)*IF(Skills!H5&gt;0,Skills!I5/Skills!H5,1)+IF(Skills!H5&gt;0,MIN(Skills!I5,MAX(0,MAX(0,Inputs!$B$43-B724)-((R691-1)*(IF(Inputs!$B$38="pvp",15,MAX(0.1,Skills!E5-IF(FALSE=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1077377899193255.4</v>
      </c>
      <c r="U691">
        <f>IF(C691,(H691*N691*IF(AND(Inputs!$B$38&lt;&gt;"pvp",Inputs!$B$43&gt;0),((Skills!G5*((R691-1)*IF(Skills!H5&gt;0,Skills!I5/Skills!H5,1)+IF(Skills!H5&gt;0,MIN(Skills!I5,MAX(0,MAX(0,Inputs!$B$43-B724)-((R691-1)*(IF(Inputs!$B$38="pvp",15,MAX(0.1,Skills!E5-IF(FALSE=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1022999203965835.5</v>
      </c>
    </row>
    <row r="692" spans="1:26" x14ac:dyDescent="0.2">
      <c r="A692" t="str">
        <f>Skills!A6</f>
        <v>MEDITATION</v>
      </c>
      <c r="B692" t="str">
        <f>Skills!B6</f>
        <v>Meditation</v>
      </c>
      <c r="C692" t="b">
        <f>TRUE</f>
        <v>1</v>
      </c>
      <c r="D692">
        <f>IF(Skills!C6=1,60+Inputs!$B$25+Inputs!$B$29,IF(Skills!C6=2,90+Inputs!$B$26+Inputs!$B$29,IF(Skills!C6=3,120+Inputs!$B$27+Inputs!$B$29,MAX(0,(Inputs!$B$3-100)*3)+Inputs!$B$28+Inputs!$B$29)))</f>
        <v>168</v>
      </c>
      <c r="E692">
        <f>INDEX(FactorTable!$B$2:$Y$301, MATCH(ROUND(MIN(300,MAX(1,D692)),0), FactorTable!$A$2:$A$301,0), Skills!M6+1)</f>
        <v>1672</v>
      </c>
      <c r="F692">
        <f>IF(Skills!N6=TRUE,(Skills!L6/10)*(E692/1000),Skills!L6/10)+Skills!O6</f>
        <v>33.44</v>
      </c>
      <c r="G692">
        <f>Calc!G6</f>
        <v>1</v>
      </c>
      <c r="H692">
        <f>Calc!H6</f>
        <v>1</v>
      </c>
      <c r="I692">
        <f>IF(Skills!X6&lt;&gt;"",1+(Skills!X6/10)*(Z689/1000)/100,1)</f>
        <v>1</v>
      </c>
      <c r="O692">
        <f>(1-Summary!$B$11)*S692+Summary!$B$11*U692</f>
        <v>0</v>
      </c>
      <c r="P692">
        <f>IF(B727=0,0,O692/B727)</f>
        <v>0</v>
      </c>
      <c r="Q692">
        <f>IFERROR(1/(IF(Inputs!$B$38="pvp",15,MAX(0.1,Skills!E6-IF(TRUE=TRUE,Inputs!$B$32,0)))*(1-IF(AND(ArtifactsInput!$M$27,Inputs!$B$4="Chapter Hunt"),CHOOSE(ArtifactsInput!$N$27+1,20,24,28,32,36,40),0)/100)),0)</f>
        <v>3.3333333333333333E-2</v>
      </c>
      <c r="R692">
        <f>IF(AND(Inputs!$B$38&lt;&gt;"pvp",Inputs!$B$43&gt;0),IF(Inputs!$B$43&lt;=0,0,(INT(Inputs!$B$43/(IF(Inputs!$B$38="pvp",15,MAX(0.1,Skills!E6-IF(TRUE=TRUE,Inputs!$B$32,0)))*(1-IF(AND(ArtifactsInput!$M$27,Inputs!$B$4="Chapter Hunt"),CHOOSE(ArtifactsInput!$N$27+1,20,24,28,32,36,40),0)/100)))+1)),0)</f>
        <v>2</v>
      </c>
      <c r="S692">
        <v>0</v>
      </c>
      <c r="U692">
        <v>0</v>
      </c>
    </row>
    <row r="693" spans="1:26" x14ac:dyDescent="0.2">
      <c r="A693" t="str">
        <f>Skills!A7</f>
        <v>POISON_MIST_BURST</v>
      </c>
      <c r="B693" t="str">
        <f>Skills!B7</f>
        <v>Poison Mist (burst)</v>
      </c>
      <c r="C693" t="b">
        <f>TRUE</f>
        <v>1</v>
      </c>
      <c r="D693">
        <f>IF(Skills!C7=1,60+Inputs!$B$25+Inputs!$B$29,IF(Skills!C7=2,90+Inputs!$B$26+Inputs!$B$29,IF(Skills!C7=3,120+Inputs!$B$27+Inputs!$B$29,MAX(0,(Inputs!$B$3-100)*3)+Inputs!$B$28+Inputs!$B$29)))</f>
        <v>184</v>
      </c>
      <c r="E693">
        <f>INDEX(FactorTable!$B$2:$Y$301, MATCH(ROUND(MIN(300,MAX(1,D693)),0), FactorTable!$A$2:$A$301,0), Skills!M7+1)</f>
        <v>1920</v>
      </c>
      <c r="F693">
        <f>IF(Skills!N7=TRUE,(Skills!L7/10)*(E693/1000),Skills!L7/10)+Skills!O7</f>
        <v>357.2</v>
      </c>
      <c r="G693">
        <f>Calc!G7</f>
        <v>3</v>
      </c>
      <c r="H693">
        <f>Calc!H7</f>
        <v>1</v>
      </c>
      <c r="I693">
        <f>IF(Skills!X7&lt;&gt;"",1+(Skills!X7/10)*(Z689/1000)/100,1)</f>
        <v>1.7650000000000001</v>
      </c>
      <c r="J693">
        <f>((Inputs!$B$6*(1+Inputs!$B$7/100))+(((Inputs!$B$12*(1+Inputs!$B$13/100))-(Inputs!$B$12*(1+Inputs!$B$13/100)))+0.25*(Inputs!$B$14-Inputs!$B$14))*(1+Inputs!$B$7/100))*(F693/100)</f>
        <v>1289972510.4086521</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11486075061396.721</v>
      </c>
      <c r="L693">
        <f>K693*(MIN(Inputs!$B$22+(F708-Calc!F22),(Inputs!$B$23+(IF(ArtifactsInput!$M$15,CHOOSE(ArtifactsInput!$N$15+1,25,30,35,40,45,50)/100*(Inputs!$B$11-Inputs!$B$11),0))))/100+(Inputs!$B$23+(IF(ArtifactsInput!$M$15,CHOOSE(ArtifactsInput!$N$15+1,25,30,35,40,45,50)/100*(Inputs!$B$11-Inputs!$B$11),0)))/100)/2</f>
        <v>38191199579144.102</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180224270813981</v>
      </c>
      <c r="N693">
        <f>L693*(1-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180224270813981</v>
      </c>
      <c r="O693">
        <f>(1-Summary!$B$11)*S693+Summary!$B$11*U693</f>
        <v>449704611748586.06</v>
      </c>
      <c r="P693">
        <f>IF(B727=0,0,O693/B727)</f>
        <v>1.3557925969382698E-2</v>
      </c>
      <c r="Q693">
        <f>IFERROR(1/(IF(Inputs!$B$38="pvp",15,MAX(0.1,Skills!E7-IF(TRUE=TRUE,Inputs!$B$32,0)))*(1-IF(AND(ArtifactsInput!$M$27,Inputs!$B$4="Chapter Hunt"),CHOOSE(ArtifactsInput!$N$27+1,20,24,28,32,36,40),0)/100)),0)</f>
        <v>4.0816326530612242E-2</v>
      </c>
      <c r="R693">
        <f>IF(AND(Inputs!$B$38&lt;&gt;"pvp",Inputs!$B$43&gt;0),IF(MAX(0,Inputs!$B$43-B724)&lt;=0,0,(INT(MAX(0,Inputs!$B$43-B724)/(IF(Inputs!$B$38="pvp",15,MAX(0.1,Skills!E7-IF(TRUE=TRUE,Inputs!$B$32,0)))*(1-IF(AND(ArtifactsInput!$M$27,Inputs!$B$4="Chapter Hunt"),CHOOSE(ArtifactsInput!$N$27+1,20,24,28,32,36,40),0)/100)))+1)),0)</f>
        <v>2</v>
      </c>
      <c r="S693">
        <f>IF(C693,(H693*N693*IF(AND(Inputs!$B$38&lt;&gt;"pvp",Inputs!$B$43&gt;0),((Skills!G7*((R693-1)*IF(Skills!H7&gt;0,Skills!I7/Skills!H7,1)+IF(Skills!H7&gt;0,MIN(Skills!I7,MAX(0,MAX(0,Inputs!$B$43-B724)-((R693-1)*(IF(Inputs!$B$38="pvp",15,MAX(0.1,Skills!E7-IF(TRUE=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85696640772047.953</v>
      </c>
      <c r="U693">
        <f>IF(C693,(H693*N693*IF(AND(Inputs!$B$38&lt;&gt;"pvp",Inputs!$B$43&gt;0),((Skills!G7*((R693-1)*IF(Skills!H7&gt;0,Skills!I7/Skills!H7,1)+IF(Skills!H7&gt;0,MIN(Skills!I7,MAX(0,MAX(0,Inputs!$B$43-B724)-((R693-1)*(IF(Inputs!$B$38="pvp",15,MAX(0.1,Skills!E7-IF(TRUE=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813712582725124.12</v>
      </c>
    </row>
    <row r="694" spans="1:26" x14ac:dyDescent="0.2">
      <c r="A694" t="str">
        <f>Skills!A8</f>
        <v>POISON_MIST_DOT</v>
      </c>
      <c r="B694" t="str">
        <f>Skills!B8</f>
        <v>Poison Mist (fog DoT)</v>
      </c>
      <c r="C694" t="b">
        <f>TRUE</f>
        <v>1</v>
      </c>
      <c r="D694">
        <f>IF(Skills!C8=1,60+Inputs!$B$25+Inputs!$B$29,IF(Skills!C8=2,90+Inputs!$B$26+Inputs!$B$29,IF(Skills!C8=3,120+Inputs!$B$27+Inputs!$B$29,MAX(0,(Inputs!$B$3-100)*3)+Inputs!$B$28+Inputs!$B$29)))</f>
        <v>184</v>
      </c>
      <c r="E694">
        <f>INDEX(FactorTable!$B$2:$Y$301, MATCH(ROUND(MIN(300,MAX(1,D694)),0), FactorTable!$A$2:$A$301,0), Skills!M8+1)</f>
        <v>1920</v>
      </c>
      <c r="F694">
        <f>IF(Skills!N8=TRUE,(Skills!L8/10)*(E694/1000),Skills!L8/10)+Skills!O8</f>
        <v>134.4</v>
      </c>
      <c r="G694">
        <f>Calc!G8</f>
        <v>50</v>
      </c>
      <c r="H694">
        <f>Calc!H8</f>
        <v>1</v>
      </c>
      <c r="I694">
        <f>IF(Skills!X8&lt;&gt;"",1+(Skills!X8/10)*(Z689/1000)/100,1)</f>
        <v>1.7650000000000001</v>
      </c>
      <c r="J694">
        <f>((Inputs!$B$6*(1+Inputs!$B$7/100))+(((Inputs!$B$12*(1+Inputs!$B$13/100))-(Inputs!$B$12*(1+Inputs!$B$13/100)))+0.25*(Inputs!$B$14-Inputs!$B$14))*(1+Inputs!$B$7/100))*(F694/100)</f>
        <v>485364796.74950409</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4321748287378.833</v>
      </c>
      <c r="L694">
        <f>K694*(MIN(Inputs!$B$22+(F708-Calc!F22),(Inputs!$B$23+(IF(ArtifactsInput!$M$15,CHOOSE(ArtifactsInput!$N$15+1,25,30,35,40,45,50)/100*(Inputs!$B$11-Inputs!$B$11),0))))/100+(Inputs!$B$23+(IF(ArtifactsInput!$M$15,CHOOSE(ArtifactsInput!$N$15+1,25,30,35,40,45,50)/100*(Inputs!$B$11-Inputs!$B$11),0)))/100)/2</f>
        <v>14369813055534.621</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67811147809067.867</v>
      </c>
      <c r="N694">
        <f>L694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67811147809067.867</v>
      </c>
      <c r="O694">
        <f>(1-Summary!$B$11)*S694+Summary!$B$11*U694</f>
        <v>2336780833357932.5</v>
      </c>
      <c r="P694">
        <f>IF(B727=0,0,O694/B727)</f>
        <v>7.0450470637048929E-2</v>
      </c>
      <c r="Q694">
        <f>IFERROR(1/(IF(Inputs!$B$38="pvp",15,MAX(0.1,Skills!E8-IF(TRUE=TRUE,Inputs!$B$32,0)))*(1-IF(AND(ArtifactsInput!$M$27,Inputs!$B$4="Chapter Hunt"),CHOOSE(ArtifactsInput!$N$27+1,20,24,28,32,36,40),0)/100)),0)</f>
        <v>4.0816326530612242E-2</v>
      </c>
      <c r="R694">
        <f>IF(AND(Inputs!$B$38&lt;&gt;"pvp",Inputs!$B$43&gt;0),IF(MAX(0,Inputs!$B$43-B724)&lt;=0,0,(INT(MAX(0,Inputs!$B$43-B724)/(IF(Inputs!$B$38="pvp",15,MAX(0.1,Skills!E8-IF(TRUE=TRUE,Inputs!$B$32,0)))*(1-IF(AND(ArtifactsInput!$M$27,Inputs!$B$4="Chapter Hunt"),CHOOSE(ArtifactsInput!$N$27+1,20,24,28,32,36,40),0)/100)))+1)),0)</f>
        <v>2</v>
      </c>
      <c r="S694">
        <f>IF(C694,(H694*N694*IF(AND(Inputs!$B$38&lt;&gt;"pvp",Inputs!$B$43&gt;0),((Skills!G8*((R694-1)*IF(Skills!H8&gt;0,Skills!I8/Skills!H8,1)+IF(Skills!H8&gt;0,MIN(Skills!I8,MAX(0,MAX(0,Inputs!$B$43-B724)-((R694-1)*(IF(Inputs!$B$38="pvp",15,MAX(0.1,Skills!E8-IF(TRUE=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445301787901692</v>
      </c>
      <c r="U694">
        <f>IF(C694,(H694*N694*IF(AND(Inputs!$B$38&lt;&gt;"pvp",Inputs!$B$43&gt;0),((Skills!G8*((R694-1)*IF(Skills!H8&gt;0,Skills!I8/Skills!H8,1)+IF(Skills!H8&gt;0,MIN(Skills!I8,MAX(0,MAX(0,Inputs!$B$43-B724)-((R694-1)*(IF(Inputs!$B$38="pvp",15,MAX(0.1,Skills!E8-IF(TRUE=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4228259878814173</v>
      </c>
    </row>
    <row r="695" spans="1:26" x14ac:dyDescent="0.2">
      <c r="A695" t="str">
        <f>Skills!A9</f>
        <v>MIST_ERUPTION</v>
      </c>
      <c r="B695" t="str">
        <f>Skills!B9</f>
        <v>Mist Eruption</v>
      </c>
      <c r="C695" t="b">
        <f>Inputs!$B$3&gt;=103</f>
        <v>1</v>
      </c>
      <c r="D695">
        <f>IF(Skills!C9=1,60+Inputs!$B$25+Inputs!$B$29,IF(Skills!C9=2,90+Inputs!$B$26+Inputs!$B$29,IF(Skills!C9=3,120+Inputs!$B$27+Inputs!$B$29,MAX(0,(Inputs!$B$3-100)*3)+Inputs!$B$28+Inputs!$B$29)))</f>
        <v>185</v>
      </c>
      <c r="E695">
        <f>INDEX(FactorTable!$B$2:$Y$301, MATCH(ROUND(MIN(300,MAX(1,D695)),0), FactorTable!$A$2:$A$301,0), Skills!M9+1)</f>
        <v>1925</v>
      </c>
      <c r="F695">
        <f>IF(Skills!N9=TRUE,(Skills!L9/10)*(E695/1000),Skills!L9/10)+Skills!O9</f>
        <v>5775</v>
      </c>
      <c r="G695">
        <f>Calc!G9</f>
        <v>2.5</v>
      </c>
      <c r="H695">
        <f>Calc!H9</f>
        <v>1</v>
      </c>
      <c r="I695">
        <f>IF(Skills!X9&lt;&gt;"",1+(Skills!X9/10)*(Z689/1000)/100,1)</f>
        <v>1</v>
      </c>
      <c r="J695">
        <f>((Inputs!$B$6*(1+Inputs!$B$7/100))+(((Inputs!$B$12*(1+Inputs!$B$13/100))-(Inputs!$B$12*(1+Inputs!$B$13/100)))+0.25*(Inputs!$B$14-Inputs!$B$14))*(1+Inputs!$B$7/100))*(F695/100)</f>
        <v>20855518610.330254</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105212533554282.84</v>
      </c>
      <c r="L695">
        <f>K695*(MIN(Inputs!$B$22+(F708-Calc!F22),(Inputs!$B$23+(IF(ArtifactsInput!$M$15,CHOOSE(ArtifactsInput!$N$15+1,25,30,35,40,45,50)/100*(Inputs!$B$11-Inputs!$B$11),0))))/100+(Inputs!$B$23+(IF(ArtifactsInput!$M$15,CHOOSE(ArtifactsInput!$N$15+1,25,30,35,40,45,50)/100*(Inputs!$B$11-Inputs!$B$11),0)))/100)/2</f>
        <v>349831674067990.5</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1650855669926847</v>
      </c>
      <c r="N695">
        <f>L695*(1-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1650855669926847</v>
      </c>
      <c r="O695">
        <f>(1-Summary!$B$11)*S695+Summary!$B$11*U695</f>
        <v>3432748008654137</v>
      </c>
      <c r="P695">
        <f>IF(B727=0,0,O695/B727)</f>
        <v>0.10349225281883045</v>
      </c>
      <c r="Q695">
        <f>IFERROR(1/(IF(Inputs!$B$38="pvp",15,MAX(0.1,Skills!E9-IF(TRUE=TRUE,Inputs!$B$32,0)))*(1-IF(AND(ArtifactsInput!$M$27,Inputs!$B$4="Chapter Hunt"),CHOOSE(ArtifactsInput!$N$27+1,20,24,28,32,36,40),0)/100)),0)</f>
        <v>4.0816326530612242E-2</v>
      </c>
      <c r="R695">
        <f>IF(AND(Inputs!$B$38&lt;&gt;"pvp",Inputs!$B$43&gt;0),IF(MAX(0,Inputs!$B$43-B724)&lt;=0,0,(INT(MAX(0,Inputs!$B$43-B724)/(IF(Inputs!$B$38="pvp",15,MAX(0.1,Skills!E9-IF(TRUE=TRUE,Inputs!$B$32,0)))*(1-IF(AND(ArtifactsInput!$M$27,Inputs!$B$4="Chapter Hunt"),CHOOSE(ArtifactsInput!$N$27+1,20,24,28,32,36,40),0)/100)))+1)),0)</f>
        <v>2</v>
      </c>
      <c r="S695">
        <f>IF(C695,(H695*N695*IF(AND(Inputs!$B$38&lt;&gt;"pvp",Inputs!$B$43&gt;0),((Skills!G9*((R695-1)*IF(Skills!H9&gt;0,Skills!I9/Skills!H9,1)+IF(Skills!H9&gt;0,MIN(Skills!I9,MAX(0,MAX(0,Inputs!$B$43-B724)-((R695-1)*(IF(Inputs!$B$38="pvp",15,MAX(0.1,Skills!E9-IF(TRUE=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654151559208513.12</v>
      </c>
      <c r="U695">
        <f>IF(C695,(H695*N695*IF(AND(Inputs!$B$38&lt;&gt;"pvp",Inputs!$B$43&gt;0),((Skills!G9*((R695-1)*IF(Skills!H9&gt;0,Skills!I9/Skills!H9,1)+IF(Skills!H9&gt;0,MIN(Skills!I9,MAX(0,MAX(0,Inputs!$B$43-B724)-((R695-1)*(IF(Inputs!$B$38="pvp",15,MAX(0.1,Skills!E9-IF(TRUE=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6211344458099761</v>
      </c>
    </row>
    <row r="696" spans="1:26" x14ac:dyDescent="0.2">
      <c r="A696" t="str">
        <f>Skills!A10</f>
        <v>CREEPING_TOXIN</v>
      </c>
      <c r="B696" t="str">
        <f>Skills!B10</f>
        <v>Creeping Toxin</v>
      </c>
      <c r="C696" t="b">
        <f>TRUE</f>
        <v>1</v>
      </c>
      <c r="D696">
        <f>IF(Skills!C10=1,60+Inputs!$B$25+Inputs!$B$29,IF(Skills!C10=2,90+Inputs!$B$26+Inputs!$B$29,IF(Skills!C10=3,120+Inputs!$B$27+Inputs!$B$29,MAX(0,(Inputs!$B$3-100)*3)+Inputs!$B$28+Inputs!$B$29)))</f>
        <v>184</v>
      </c>
      <c r="E696">
        <f>INDEX(FactorTable!$B$2:$Y$301, MATCH(ROUND(MIN(300,MAX(1,D696)),0), FactorTable!$A$2:$A$301,0), Skills!M10+1)</f>
        <v>1920</v>
      </c>
      <c r="F696">
        <f>IF(Skills!N10=TRUE,(Skills!L10/10)*(E696/1000),Skills!L10/10)+Skills!O10</f>
        <v>280.39999999999998</v>
      </c>
      <c r="G696">
        <f>Calc!G10</f>
        <v>15</v>
      </c>
      <c r="H696">
        <f>Calc!H10</f>
        <v>1</v>
      </c>
      <c r="I696">
        <f>IF(Skills!X10&lt;&gt;"",1+(Skills!X10/10)*(Z689/1000)/100,1)</f>
        <v>1.7650000000000001</v>
      </c>
      <c r="J696">
        <f>((Inputs!$B$6*(1+Inputs!$B$7/100))+(((Inputs!$B$12*(1+Inputs!$B$13/100))-(Inputs!$B$12*(1+Inputs!$B$13/100)))+0.25*(Inputs!$B$14-Inputs!$B$14))*(1+Inputs!$B$7/100))*(F696/100)</f>
        <v>1012621197.9803641</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9016504611465.959</v>
      </c>
      <c r="L696">
        <f>K696*(MIN(Inputs!$B$22+(F708-Calc!F22),(Inputs!$B$23+(IF(ArtifactsInput!$M$15,CHOOSE(ArtifactsInput!$N$15+1,25,30,35,40,45,50)/100*(Inputs!$B$11-Inputs!$B$11),0))))/100+(Inputs!$B$23+(IF(ArtifactsInput!$M$15,CHOOSE(ArtifactsInput!$N$15+1,25,30,35,40,45,50)/100*(Inputs!$B$11-Inputs!$B$11),0)))/100)/2</f>
        <v>29979877833124.316</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141475043494513.62</v>
      </c>
      <c r="N696">
        <f>L696*(1-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141475043494513.62</v>
      </c>
      <c r="O696">
        <f>(1-Summary!$B$11)*S696+Summary!$B$11*U696</f>
        <v>325620605194653.19</v>
      </c>
      <c r="P696">
        <f>IF(B727=0,0,O696/B727)</f>
        <v>9.8169775092340483E-3</v>
      </c>
      <c r="Q696">
        <f>IFERROR(1/(IF(Inputs!$B$38="pvp",15,MAX(0.1,Skills!E10-IF(TRUE=TRUE,Inputs!$B$32,0)))*(1-IF(AND(ArtifactsInput!$M$27,Inputs!$B$4="Chapter Hunt"),CHOOSE(ArtifactsInput!$N$27+1,20,24,28,32,36,40),0)/100)),0)</f>
        <v>3.7037037037037035E-2</v>
      </c>
      <c r="R696">
        <f>IF(AND(Inputs!$B$38&lt;&gt;"pvp",Inputs!$B$43&gt;0),IF(MAX(0,Inputs!$B$43-B724)&lt;=0,0,(INT(MAX(0,Inputs!$B$43-B724)/(IF(Inputs!$B$38="pvp",15,MAX(0.1,Skills!E10-IF(TRUE=TRUE,Inputs!$B$32,0)))*(1-IF(AND(ArtifactsInput!$M$27,Inputs!$B$4="Chapter Hunt"),CHOOSE(ArtifactsInput!$N$27+1,20,24,28,32,36,40),0)/100)))+1)),0)</f>
        <v>2</v>
      </c>
      <c r="S696">
        <f>IF(C696,(H696*N696*IF(AND(Inputs!$B$38&lt;&gt;"pvp",Inputs!$B$43&gt;0),((Skills!G10*((R696-1)*IF(Skills!H10&gt;0,Skills!I10/Skills!H10,1)+IF(Skills!H10&gt;0,MIN(Skills!I10,MAX(0,MAX(0,Inputs!$B$43-B724)-((R696-1)*(IF(Inputs!$B$38="pvp",15,MAX(0.1,Skills!E10-IF(TRUE=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287525715450431.94</v>
      </c>
      <c r="U696">
        <f>IF(C696,(H696*N696*IF(AND(Inputs!$B$38&lt;&gt;"pvp",Inputs!$B$43&gt;0),((Skills!G10*((R696-1)*IF(Skills!H10&gt;0,Skills!I10/Skills!H10,1)+IF(Skills!H10&gt;0,MIN(Skills!I10,MAX(0,MAX(0,Inputs!$B$43-B724)-((R696-1)*(IF(Inputs!$B$38="pvp",15,MAX(0.1,Skills!E10-IF(TRUE=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363715494938874.44</v>
      </c>
    </row>
    <row r="697" spans="1:26" x14ac:dyDescent="0.2">
      <c r="A697" t="str">
        <f>Skills!A11</f>
        <v>BURNING_MAGIC</v>
      </c>
      <c r="B697" t="str">
        <f>Skills!B11</f>
        <v>Burning Magic</v>
      </c>
      <c r="C697" t="b">
        <f>TRUE</f>
        <v>1</v>
      </c>
      <c r="D697">
        <f>IF(Skills!C11=1,60+Inputs!$B$25+Inputs!$B$29,IF(Skills!C11=2,90+Inputs!$B$26+Inputs!$B$29,IF(Skills!C11=3,120+Inputs!$B$27+Inputs!$B$29,MAX(0,(Inputs!$B$3-100)*3)+Inputs!$B$28+Inputs!$B$29)))</f>
        <v>184</v>
      </c>
      <c r="E697">
        <f>INDEX(FactorTable!$B$2:$Y$301, MATCH(ROUND(MIN(300,MAX(1,D697)),0), FactorTable!$A$2:$A$301,0), Skills!M11+1)</f>
        <v>0</v>
      </c>
      <c r="F697">
        <f>IF(Skills!N11=TRUE,(Skills!L11/10)*(E697/1000),Skills!L11/10)+Skills!O11</f>
        <v>5</v>
      </c>
      <c r="G697">
        <f>Calc!G11</f>
        <v>1</v>
      </c>
      <c r="H697">
        <f>Calc!H11</f>
        <v>1</v>
      </c>
      <c r="I697">
        <f>IF(Skills!X11&lt;&gt;"",1+(Skills!X11/10)*(Z689/1000)/100,1)</f>
        <v>1</v>
      </c>
      <c r="O697">
        <f>(1-Summary!$B$11)*S697+Summary!$B$11*U697</f>
        <v>0</v>
      </c>
      <c r="P697">
        <f>IF(B727=0,0,O697/B727)</f>
        <v>0</v>
      </c>
      <c r="Q697">
        <f>IFERROR(1/(IF(Inputs!$B$38="pvp",15,MAX(0.1,Skills!E11-IF(TRUE=TRUE,Inputs!$B$32,0)))*(1-IF(AND(ArtifactsInput!$M$27,Inputs!$B$4="Chapter Hunt"),CHOOSE(ArtifactsInput!$N$27+1,20,24,28,32,36,40),0)/100)),0)</f>
        <v>10</v>
      </c>
      <c r="R697">
        <v>0</v>
      </c>
      <c r="S697">
        <v>0</v>
      </c>
      <c r="U697">
        <v>0</v>
      </c>
    </row>
    <row r="698" spans="1:26" x14ac:dyDescent="0.2">
      <c r="A698" t="str">
        <f>Skills!A12</f>
        <v>ELEMENTAL_DECREASE</v>
      </c>
      <c r="B698" t="str">
        <f>Skills!B12</f>
        <v>Elemental Decrease</v>
      </c>
      <c r="C698" t="b">
        <f>TRUE</f>
        <v>1</v>
      </c>
      <c r="D698">
        <f>IF(Skills!C12=1,60+Inputs!$B$25+Inputs!$B$29,IF(Skills!C12=2,90+Inputs!$B$26+Inputs!$B$29,IF(Skills!C12=3,120+Inputs!$B$27+Inputs!$B$29,MAX(0,(Inputs!$B$3-100)*3)+Inputs!$B$28+Inputs!$B$29)))</f>
        <v>184</v>
      </c>
      <c r="E698">
        <f>INDEX(FactorTable!$B$2:$Y$301, MATCH(ROUND(MIN(300,MAX(1,D698)),0), FactorTable!$A$2:$A$301,0), Skills!M12+1)</f>
        <v>1552</v>
      </c>
      <c r="F698">
        <f>IF(Skills!N12=TRUE,(Skills!L12/10)*(E698/1000),Skills!L12/10)+Skills!O12</f>
        <v>18.624000000000002</v>
      </c>
      <c r="G698">
        <f>Calc!G12</f>
        <v>1</v>
      </c>
      <c r="H698">
        <f>Calc!H12</f>
        <v>0.5</v>
      </c>
      <c r="I698">
        <f>IF(Skills!X12&lt;&gt;"",1+(Skills!X12/10)*(Z689/1000)/100,1)</f>
        <v>1</v>
      </c>
      <c r="O698">
        <f>(1-Summary!$B$11)*S698+Summary!$B$11*U698</f>
        <v>0</v>
      </c>
      <c r="P698">
        <f>IF(B727=0,0,O698/B727)</f>
        <v>0</v>
      </c>
      <c r="Q698">
        <f>IFERROR(1/(IF(Inputs!$B$38="pvp",15,MAX(0.1,Skills!E12-IF(TRUE=TRUE,Inputs!$B$32,0)))*(1-IF(AND(ArtifactsInput!$M$27,Inputs!$B$4="Chapter Hunt"),CHOOSE(ArtifactsInput!$N$27+1,20,24,28,32,36,40),0)/100)),0)</f>
        <v>10</v>
      </c>
      <c r="R698">
        <v>0</v>
      </c>
      <c r="S698">
        <v>0</v>
      </c>
      <c r="U698">
        <v>0</v>
      </c>
    </row>
    <row r="699" spans="1:26" x14ac:dyDescent="0.2">
      <c r="A699" t="str">
        <f>Skills!A13</f>
        <v>METEOR_SHOWER_BURST</v>
      </c>
      <c r="B699" t="str">
        <f>Skills!B13</f>
        <v>Meteor Shower (burst)</v>
      </c>
      <c r="C699" t="b">
        <f>Inputs!$B$3&gt;=105</f>
        <v>1</v>
      </c>
      <c r="D699">
        <f>IF(Skills!C13=1,60+Inputs!$B$25+Inputs!$B$29,IF(Skills!C13=2,90+Inputs!$B$26+Inputs!$B$29,IF(Skills!C13=3,120+Inputs!$B$27+Inputs!$B$29,MAX(0,(Inputs!$B$3-100)*3)+Inputs!$B$28+Inputs!$B$29)))</f>
        <v>185</v>
      </c>
      <c r="E699">
        <f>INDEX(FactorTable!$B$2:$Y$301, MATCH(ROUND(MIN(300,MAX(1,D699)),0), FactorTable!$A$2:$A$301,0), Skills!M13+1)</f>
        <v>1925</v>
      </c>
      <c r="F699">
        <f>IF(Skills!N13=TRUE,(Skills!L13/10)*(E699/1000),Skills!L13/10)+Skills!O13</f>
        <v>1155</v>
      </c>
      <c r="G699">
        <f>Calc!G13</f>
        <v>9</v>
      </c>
      <c r="H699">
        <f>Calc!H13</f>
        <v>1</v>
      </c>
      <c r="I699">
        <f>IF(Skills!X13&lt;&gt;"",1+(Skills!X13/10)*(Z689/1000)/100,1)</f>
        <v>1</v>
      </c>
      <c r="J699">
        <f>((Inputs!$B$6*(1+Inputs!$B$7/100))+(((Inputs!$B$12*(1+Inputs!$B$13/100))-(Inputs!$B$12*(1+Inputs!$B$13/100)))+0.25*(Inputs!$B$14-Inputs!$B$14))*(1+Inputs!$B$7/100))*(F699/100)</f>
        <v>4171103722.0660505</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21042506710856.57</v>
      </c>
      <c r="L699">
        <f>K699*(MIN(Inputs!$B$22+(F708-Calc!F22),(Inputs!$B$23+(IF(ArtifactsInput!$M$15,CHOOSE(ArtifactsInput!$N$15+1,25,30,35,40,45,50)/100*(Inputs!$B$11-Inputs!$B$11),0))))/100+(Inputs!$B$23+(IF(ArtifactsInput!$M$15,CHOOSE(ArtifactsInput!$N$15+1,25,30,35,40,45,50)/100*(Inputs!$B$11-Inputs!$B$11),0)))/100)/2</f>
        <v>69966334813598.102</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330171133985369.38</v>
      </c>
      <c r="N699">
        <f>L699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330171133985369.38</v>
      </c>
      <c r="O699">
        <f>(1-Summary!$B$11)*S699+Summary!$B$11*U699</f>
        <v>1800753364756204.8</v>
      </c>
      <c r="P699">
        <f>IF(B727=0,0,O699/B727)</f>
        <v>5.4290038773564309E-2</v>
      </c>
      <c r="Q699">
        <f>IFERROR(1/(IF(Inputs!$B$38="pvp",15,MAX(0.1,Skills!E13-IF(TRUE=TRUE,Inputs!$B$32,0)))*(1-IF(AND(ArtifactsInput!$M$27,Inputs!$B$4="Chapter Hunt"),CHOOSE(ArtifactsInput!$N$27+1,20,24,28,32,36,40),0)/100)),0)</f>
        <v>3.0303030303030304E-2</v>
      </c>
      <c r="R699">
        <f>IF(AND(Inputs!$B$38&lt;&gt;"pvp",Inputs!$B$43&gt;0),IF(MAX(0,Inputs!$B$43-B724)&lt;=0,0,(INT(MAX(0,Inputs!$B$43-B724)/(IF(Inputs!$B$38="pvp",15,MAX(0.1,Skills!E13-IF(TRUE=TRUE,Inputs!$B$32,0)))*(1-IF(AND(ArtifactsInput!$M$27,Inputs!$B$4="Chapter Hunt"),CHOOSE(ArtifactsInput!$N$27+1,20,24,28,32,36,40),0)/100)))+1)),0)</f>
        <v>2</v>
      </c>
      <c r="S699">
        <f>IF(C699,(H699*N699*IF(AND(Inputs!$B$38&lt;&gt;"pvp",Inputs!$B$43&gt;0),((Skills!G13*((R699-1)*IF(Skills!H13&gt;0,Skills!I13/Skills!H13,1)+IF(Skills!H13&gt;0,MIN(Skills!I13,MAX(0,MAX(0,Inputs!$B$43-B724)-((R699-1)*(IF(Inputs!$B$38="pvp",15,MAX(0.1,Skills!E13-IF(TRUE=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470989122630129.38</v>
      </c>
      <c r="U699">
        <f>IF(C699,(H699*N699*IF(AND(Inputs!$B$38&lt;&gt;"pvp",Inputs!$B$43&gt;0),((Skills!G13*((R699-1)*IF(Skills!H13&gt;0,Skills!I13/Skills!H13,1)+IF(Skills!H13&gt;0,MIN(Skills!I13,MAX(0,MAX(0,Inputs!$B$43-B724)-((R699-1)*(IF(Inputs!$B$38="pvp",15,MAX(0.1,Skills!E13-IF(TRUE=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3130517606882280</v>
      </c>
    </row>
    <row r="700" spans="1:26" x14ac:dyDescent="0.2">
      <c r="A700" t="str">
        <f>Skills!A14</f>
        <v>METEOR_PROC</v>
      </c>
      <c r="B700" t="str">
        <f>Skills!B14</f>
        <v>Meteor Proc (30% on-hit, 1s ICD)</v>
      </c>
      <c r="C700" t="b">
        <f>Inputs!$B$3&gt;=113</f>
        <v>1</v>
      </c>
      <c r="D700">
        <f>IF(Skills!C14=1,60+Inputs!$B$25+Inputs!$B$29,IF(Skills!C14=2,90+Inputs!$B$26+Inputs!$B$29,IF(Skills!C14=3,120+Inputs!$B$27+Inputs!$B$29,MAX(0,(Inputs!$B$3-100)*3)+Inputs!$B$28+Inputs!$B$29)))</f>
        <v>185</v>
      </c>
      <c r="E700">
        <f>INDEX(FactorTable!$B$2:$Y$301, MATCH(ROUND(MIN(300,MAX(1,D700)),0), FactorTable!$A$2:$A$301,0), Skills!M14+1)</f>
        <v>1740</v>
      </c>
      <c r="F700">
        <f>IF(Skills!N14=TRUE,(Skills!L14/10)*(E700/1000),Skills!L14/10)+Skills!O14</f>
        <v>1653</v>
      </c>
      <c r="G700">
        <f>Calc!G14</f>
        <v>0</v>
      </c>
      <c r="H700">
        <f>Calc!H14</f>
        <v>0.30000000000000004</v>
      </c>
      <c r="I700">
        <f>IF(Skills!X14&lt;&gt;"",1+(Skills!X14/10)*(Z689/1000)/100,1)</f>
        <v>1</v>
      </c>
      <c r="J700">
        <f>((Inputs!$B$6*(1+Inputs!$B$7/100))+(((Inputs!$B$12*(1+Inputs!$B$13/100))-(Inputs!$B$12*(1+Inputs!$B$13/100)))+0.25*(Inputs!$B$14-Inputs!$B$14))*(1+Inputs!$B$7/100))*(F700/100)</f>
        <v>5969553638.5932312</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30115379734238.875</v>
      </c>
      <c r="L700">
        <f>K700*(MIN(Inputs!$B$22+(F708-Calc!F22),(Inputs!$B$23+(IF(ArtifactsInput!$M$15,CHOOSE(ArtifactsInput!$N$15+1,25,30,35,40,45,50)/100*(Inputs!$B$11-Inputs!$B$11),0))))/100+(Inputs!$B$23+(IF(ArtifactsInput!$M$15,CHOOSE(ArtifactsInput!$N$15+1,25,30,35,40,45,50)/100*(Inputs!$B$11-Inputs!$B$11),0)))/100)/2</f>
        <v>100133637616344.27</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472530635911528.5</v>
      </c>
      <c r="N700">
        <f>L700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472530635911528.5</v>
      </c>
      <c r="O700">
        <f>(1-Summary!$B$11)*S700+Summary!$B$11*U700</f>
        <v>463103025198024.56</v>
      </c>
      <c r="P700">
        <f>IF(B727=0,0,O700/B727)</f>
        <v>1.3961868230388962E-2</v>
      </c>
      <c r="Q700">
        <f>IFERROR(1/(IF(Inputs!$B$38="pvp",15,MAX(0.1,Skills!E14-IF(TRUE=TRUE,Inputs!$B$32,0)))*(1-IF(AND(ArtifactsInput!$M$27,Inputs!$B$4="Chapter Hunt"),CHOOSE(ArtifactsInput!$N$27+1,20,24,28,32,36,40),0)/100)),0)</f>
        <v>10</v>
      </c>
      <c r="R700">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475092747533248.5</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451113302862800.62</v>
      </c>
    </row>
    <row r="701" spans="1:26" x14ac:dyDescent="0.2">
      <c r="A701" t="str">
        <f>Skills!A15</f>
        <v>FLAME_HAZE_BURST</v>
      </c>
      <c r="B701" t="str">
        <f>Skills!B15</f>
        <v>Flame Haze (burst)</v>
      </c>
      <c r="C701" t="b">
        <f>Inputs!$B$3&gt;=107</f>
        <v>1</v>
      </c>
      <c r="D701">
        <f>IF(Skills!C15=1,60+Inputs!$B$25+Inputs!$B$29,IF(Skills!C15=2,90+Inputs!$B$26+Inputs!$B$29,IF(Skills!C15=3,120+Inputs!$B$27+Inputs!$B$29,MAX(0,(Inputs!$B$3-100)*3)+Inputs!$B$28+Inputs!$B$29)))</f>
        <v>185</v>
      </c>
      <c r="E701">
        <f>INDEX(FactorTable!$B$2:$Y$301, MATCH(ROUND(MIN(300,MAX(1,D701)),0), FactorTable!$A$2:$A$301,0), Skills!M15+1)</f>
        <v>1925</v>
      </c>
      <c r="F701">
        <f>IF(Skills!N15=TRUE,(Skills!L15/10)*(E701/1000),Skills!L15/10)+Skills!O15</f>
        <v>2310</v>
      </c>
      <c r="G701">
        <f>Calc!G15</f>
        <v>3</v>
      </c>
      <c r="H701">
        <f>Calc!H15</f>
        <v>1</v>
      </c>
      <c r="I701">
        <f>IF(Skills!X15&lt;&gt;"",1+(Skills!X15/10)*(Z689/1000)/100,1)</f>
        <v>1</v>
      </c>
      <c r="J701">
        <f>((Inputs!$B$6*(1+Inputs!$B$7/100))+(((Inputs!$B$12*(1+Inputs!$B$13/100))-(Inputs!$B$12*(1+Inputs!$B$13/100)))+0.25*(Inputs!$B$14-Inputs!$B$14))*(1+Inputs!$B$7/100))*(F701/100)</f>
        <v>8342207444.1321011</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42085013421713.141</v>
      </c>
      <c r="L701">
        <f>K701*(MIN(Inputs!$B$22+(F708-Calc!F22),(Inputs!$B$23+(IF(ArtifactsInput!$M$15,CHOOSE(ArtifactsInput!$N$15+1,25,30,35,40,45,50)/100*(Inputs!$B$11-Inputs!$B$11),0))))/100+(Inputs!$B$23+(IF(ArtifactsInput!$M$15,CHOOSE(ArtifactsInput!$N$15+1,25,30,35,40,45,50)/100*(Inputs!$B$11-Inputs!$B$11),0)))/100)/2</f>
        <v>139932669627196.2</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660342267970738.75</v>
      </c>
      <c r="N701">
        <f>L701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660342267970738.75</v>
      </c>
      <c r="O701">
        <f>(1-Summary!$B$11)*S701+Summary!$B$11*U701</f>
        <v>1647719044153985.5</v>
      </c>
      <c r="P701">
        <f>IF(B727=0,0,O701/B727)</f>
        <v>4.9676281353038615E-2</v>
      </c>
      <c r="Q701">
        <f>IFERROR(1/(IF(Inputs!$B$38="pvp",15,MAX(0.1,Skills!E15-IF(TRUE=TRUE,Inputs!$B$32,0)))*(1-IF(AND(ArtifactsInput!$M$27,Inputs!$B$4="Chapter Hunt"),CHOOSE(ArtifactsInput!$N$27+1,20,24,28,32,36,40),0)/100)),0)</f>
        <v>0.04</v>
      </c>
      <c r="R701">
        <f>IF(AND(Inputs!$B$38&lt;&gt;"pvp",Inputs!$B$43&gt;0),IF(MAX(0,Inputs!$B$43-B724)&lt;=0,0,(INT(MAX(0,Inputs!$B$43-B724)/(IF(Inputs!$B$38="pvp",15,MAX(0.1,Skills!E15-IF(TRUE=TRUE,Inputs!$B$32,0)))*(1-IF(AND(ArtifactsInput!$M$27,Inputs!$B$4="Chapter Hunt"),CHOOSE(ArtifactsInput!$N$27+1,20,24,28,32,36,40),0)/100)))+1)),0)</f>
        <v>2</v>
      </c>
      <c r="S701">
        <f>IF(C701,(H701*N701*IF(AND(Inputs!$B$38&lt;&gt;"pvp",Inputs!$B$43&gt;0),((Skills!G15*((R701-1)*IF(Skills!H15&gt;0,Skills!I15/Skills!H15,1)+IF(Skills!H15&gt;0,MIN(Skills!I15,MAX(0,MAX(0,Inputs!$B$43-B724)-((R701-1)*(IF(Inputs!$B$38="pvp",15,MAX(0.1,Skills!E15-IF(TRUE=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313992748420086.25</v>
      </c>
      <c r="U701">
        <f>IF(C701,(H701*N701*IF(AND(Inputs!$B$38&lt;&gt;"pvp",Inputs!$B$43&gt;0),((Skills!G15*((R701-1)*IF(Skills!H15&gt;0,Skills!I15/Skills!H15,1)+IF(Skills!H15&gt;0,MIN(Skills!I15,MAX(0,MAX(0,Inputs!$B$43-B724)-((R701-1)*(IF(Inputs!$B$38="pvp",15,MAX(0.1,Skills!E15-IF(TRUE=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2981445339887885</v>
      </c>
    </row>
    <row r="702" spans="1:26" x14ac:dyDescent="0.2">
      <c r="A702" t="str">
        <f>Skills!A16</f>
        <v>FLAME_HAZE_DOT</v>
      </c>
      <c r="B702" t="str">
        <f>Skills!B16</f>
        <v>Flame Haze (burn DoT)</v>
      </c>
      <c r="C702" t="b">
        <f>Inputs!$B$3&gt;=107</f>
        <v>1</v>
      </c>
      <c r="D702">
        <f>IF(Skills!C16=1,60+Inputs!$B$25+Inputs!$B$29,IF(Skills!C16=2,90+Inputs!$B$26+Inputs!$B$29,IF(Skills!C16=3,120+Inputs!$B$27+Inputs!$B$29,MAX(0,(Inputs!$B$3-100)*3)+Inputs!$B$28+Inputs!$B$29)))</f>
        <v>185</v>
      </c>
      <c r="E702">
        <f>INDEX(FactorTable!$B$2:$Y$301, MATCH(ROUND(MIN(300,MAX(1,D702)),0), FactorTable!$A$2:$A$301,0), Skills!M16+1)</f>
        <v>1925</v>
      </c>
      <c r="F702">
        <f>IF(Skills!N16=TRUE,(Skills!L16/10)*(E702/1000),Skills!L16/10)+Skills!O16</f>
        <v>288.75</v>
      </c>
      <c r="G702">
        <f>Calc!G16</f>
        <v>30</v>
      </c>
      <c r="H702">
        <f>Calc!H16</f>
        <v>1</v>
      </c>
      <c r="I702">
        <f>IF(Skills!X16&lt;&gt;"",1+(Skills!X16/10)*(Z689/1000)/100,1)</f>
        <v>1</v>
      </c>
      <c r="J702">
        <f>((Inputs!$B$6*(1+Inputs!$B$7/100))+(((Inputs!$B$12*(1+Inputs!$B$13/100))-(Inputs!$B$12*(1+Inputs!$B$13/100)))+0.25*(Inputs!$B$14-Inputs!$B$14))*(1+Inputs!$B$7/100))*(F702/100)</f>
        <v>1042775930.5165126</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5260626677714.1426</v>
      </c>
      <c r="L702">
        <f>K702*(MIN(Inputs!$B$22+(F708-Calc!F22),(Inputs!$B$23+(IF(ArtifactsInput!$M$15,CHOOSE(ArtifactsInput!$N$15+1,25,30,35,40,45,50)/100*(Inputs!$B$11-Inputs!$B$11),0))))/100+(Inputs!$B$23+(IF(ArtifactsInput!$M$15,CHOOSE(ArtifactsInput!$N$15+1,25,30,35,40,45,50)/100*(Inputs!$B$11-Inputs!$B$11),0)))/100)/2</f>
        <v>17491583703399.525</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82542783496342.344</v>
      </c>
      <c r="N702">
        <f>L702*(1-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82542783496342.344</v>
      </c>
      <c r="O702">
        <f>(1-Summary!$B$11)*S702+Summary!$B$11*U702</f>
        <v>1897945626885974.8</v>
      </c>
      <c r="P702">
        <f>IF(B727=0,0,O702/B727)</f>
        <v>5.7220241089321194E-2</v>
      </c>
      <c r="Q702">
        <f>IFERROR(1/(IF(Inputs!$B$38="pvp",15,MAX(0.1,Skills!E16-IF(TRUE=TRUE,Inputs!$B$32,0)))*(1-IF(AND(ArtifactsInput!$M$27,Inputs!$B$4="Chapter Hunt"),CHOOSE(ArtifactsInput!$N$27+1,20,24,28,32,36,40),0)/100)),0)</f>
        <v>0.04</v>
      </c>
      <c r="R702">
        <f>IF(AND(Inputs!$B$38&lt;&gt;"pvp",Inputs!$B$43&gt;0),IF(MAX(0,Inputs!$B$43-B724)&lt;=0,0,(INT(MAX(0,Inputs!$B$43-B724)/(IF(Inputs!$B$38="pvp",15,MAX(0.1,Skills!E16-IF(TRUE=TRUE,Inputs!$B$32,0)))*(1-IF(AND(ArtifactsInput!$M$27,Inputs!$B$4="Chapter Hunt"),CHOOSE(ArtifactsInput!$N$27+1,20,24,28,32,36,40),0)/100)))+1)),0)</f>
        <v>2</v>
      </c>
      <c r="S702">
        <f>IF(C702,(H702*N702*IF(AND(Inputs!$B$38&lt;&gt;"pvp",Inputs!$B$43&gt;0),((Skills!G16*((R702-1)*IF(Skills!H16&gt;0,Skills!I16/Skills!H16,1)+IF(Skills!H16&gt;0,MIN(Skills!I16,MAX(0,MAX(0,Inputs!$B$43-B724)-((R702-1)*(IF(Inputs!$B$38="pvp",15,MAX(0.1,Skills!E16-IF(TRUE=TRUE,Inputs!$B$32,0)))*(1-IF(AND(ArtifactsInput!$M$27,Inputs!$B$4="Chapter Hunt"),CHOOSE(ArtifactsInput!$N$27+1,20,24,28,32,36,40),0)/100)))))/Skills!H16,1)))/Inputs!$B$43),G702*Q702)*(1+IF(Inputs!$B$3&gt;=126,0.05*(B722+Q699+(H700*B723)/(1+Skills!H14*H700*B723)+Q710),0)*(1/Q701)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361676443476317.44</v>
      </c>
      <c r="U702">
        <f>IF(C702,(H702*N702*IF(AND(Inputs!$B$38&lt;&gt;"pvp",Inputs!$B$43&gt;0),((Skills!G16*((R702-1)*IF(Skills!H16&gt;0,Skills!I16/Skills!H16,1)+IF(Skills!H16&gt;0,MIN(Skills!I16,MAX(0,MAX(0,Inputs!$B$43-B724)-((R702-1)*(IF(Inputs!$B$38="pvp",15,MAX(0.1,Skills!E16-IF(TRUE=TRUE,Inputs!$B$32,0)))*(1-IF(AND(ArtifactsInput!$M$27,Inputs!$B$4="Chapter Hunt"),CHOOSE(ArtifactsInput!$N$27+1,20,24,28,32,36,40),0)/100)))))/Skills!H16,1)))/Inputs!$B$43),G702*Q702)*(1+IF(Inputs!$B$3&gt;=126,0.05*(B722+Q699+(H700*B723)/(1+Skills!H14*H700*B723)+Q710),0)*(1/Q701)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3434214810295632</v>
      </c>
    </row>
    <row r="703" spans="1:26" x14ac:dyDescent="0.2">
      <c r="A703" t="str">
        <f>Skills!A17</f>
        <v>MAGIC_GUARD</v>
      </c>
      <c r="B703" t="str">
        <f>Skills!B17</f>
        <v>Magic Guard</v>
      </c>
      <c r="C703" t="b">
        <f>TRUE</f>
        <v>1</v>
      </c>
      <c r="D703">
        <f>IF(Skills!C17=1,60+Inputs!$B$25+Inputs!$B$29,IF(Skills!C17=2,90+Inputs!$B$26+Inputs!$B$29,IF(Skills!C17=3,120+Inputs!$B$27+Inputs!$B$29,MAX(0,(Inputs!$B$3-100)*3)+Inputs!$B$28+Inputs!$B$29)))</f>
        <v>127</v>
      </c>
      <c r="E703">
        <f>INDEX(FactorTable!$B$2:$Y$301, MATCH(ROUND(MIN(300,MAX(1,D703)),0), FactorTable!$A$2:$A$301,0), Skills!M17+1)</f>
        <v>1508</v>
      </c>
      <c r="F703">
        <f>IF(Skills!N17=TRUE,(Skills!L17/10)*(E703/1000),Skills!L17/10)+Skills!O17</f>
        <v>18.096</v>
      </c>
      <c r="G703">
        <f>Calc!G17</f>
        <v>1</v>
      </c>
      <c r="H703">
        <f>Calc!H17</f>
        <v>1</v>
      </c>
      <c r="I703">
        <f>IF(Skills!X17&lt;&gt;"",1+(Skills!X17/10)*(Z689/1000)/100,1)</f>
        <v>1</v>
      </c>
      <c r="O703">
        <f>(1-Summary!$B$11)*S703+Summary!$B$11*U703</f>
        <v>0</v>
      </c>
      <c r="P703">
        <f>IF(B727=0,0,O703/B727)</f>
        <v>0</v>
      </c>
      <c r="Q703">
        <f>IFERROR(1/(IF(Inputs!$B$38="pvp",15,MAX(0.1,Skills!E17-IF(TRUE=TRUE,Inputs!$B$32,0)))*(1-IF(AND(ArtifactsInput!$M$27,Inputs!$B$4="Chapter Hunt"),CHOOSE(ArtifactsInput!$N$27+1,20,24,28,32,36,40),0)/100)),0)</f>
        <v>4.7619047619047616E-2</v>
      </c>
      <c r="R703">
        <f>IF(AND(Inputs!$B$38&lt;&gt;"pvp",Inputs!$B$43&gt;0),IF(Inputs!$B$43&lt;=0,0,(INT(Inputs!$B$43/(IF(Inputs!$B$38="pvp",15,MAX(0.1,Skills!E17-IF(TRUE=TRUE,Inputs!$B$32,0)))*(1-IF(AND(ArtifactsInput!$M$27,Inputs!$B$4="Chapter Hunt"),CHOOSE(ArtifactsInput!$N$27+1,20,24,28,32,36,40),0)/100)))+1)),0)</f>
        <v>2</v>
      </c>
      <c r="S703">
        <v>0</v>
      </c>
      <c r="U703">
        <v>0</v>
      </c>
    </row>
    <row r="704" spans="1:26" x14ac:dyDescent="0.2">
      <c r="A704" t="str">
        <f>Skills!A18</f>
        <v>NIMBLE_FEET</v>
      </c>
      <c r="B704" t="str">
        <f>Skills!B18</f>
        <v>Nimble Feet</v>
      </c>
      <c r="C704" t="b">
        <f>TRUE</f>
        <v>1</v>
      </c>
      <c r="D704">
        <f>IF(Skills!C18=1,60+Inputs!$B$25+Inputs!$B$29,IF(Skills!C18=2,90+Inputs!$B$26+Inputs!$B$29,IF(Skills!C18=3,120+Inputs!$B$27+Inputs!$B$29,MAX(0,(Inputs!$B$3-100)*3)+Inputs!$B$28+Inputs!$B$29)))</f>
        <v>127</v>
      </c>
      <c r="E704">
        <f>INDEX(FactorTable!$B$2:$Y$301, MATCH(ROUND(MIN(300,MAX(1,D704)),0), FactorTable!$A$2:$A$301,0), Skills!M18+1)</f>
        <v>0</v>
      </c>
      <c r="F704">
        <f>IF(Skills!N18=TRUE,(Skills!L18/10)*(E704/1000),Skills!L18/10)+Skills!O18</f>
        <v>15</v>
      </c>
      <c r="G704">
        <f>Calc!G18</f>
        <v>1</v>
      </c>
      <c r="H704">
        <f>Calc!H18</f>
        <v>1</v>
      </c>
      <c r="I704">
        <f>IF(Skills!X18&lt;&gt;"",1+(Skills!X18/10)*(Z689/1000)/100,1)</f>
        <v>1</v>
      </c>
      <c r="O704">
        <f>(1-Summary!$B$11)*S704+Summary!$B$11*U704</f>
        <v>0</v>
      </c>
      <c r="P704">
        <f>IF(B727=0,0,O704/B727)</f>
        <v>0</v>
      </c>
      <c r="Q704">
        <f>IFERROR(1/(IF(Inputs!$B$38="pvp",15,MAX(0.1,Skills!E18-IF(TRUE=TRUE,Inputs!$B$32,0)))*(1-IF(AND(ArtifactsInput!$M$27,Inputs!$B$4="Chapter Hunt"),CHOOSE(ArtifactsInput!$N$27+1,20,24,28,32,36,40),0)/100)),0)</f>
        <v>1.6666666666666666E-2</v>
      </c>
      <c r="R704">
        <f>IF(AND(Inputs!$B$38&lt;&gt;"pvp",Inputs!$B$43&gt;0),IF(Inputs!$B$43&lt;=0,0,(INT(Inputs!$B$43/(IF(Inputs!$B$38="pvp",15,MAX(0.1,Skills!E18-IF(TRUE=TRUE,Inputs!$B$32,0)))*(1-IF(AND(ArtifactsInput!$M$27,Inputs!$B$4="Chapter Hunt"),CHOOSE(ArtifactsInput!$N$27+1,20,24,28,32,36,40),0)/100)))+1)),0)</f>
        <v>1</v>
      </c>
      <c r="S704">
        <v>0</v>
      </c>
      <c r="U704">
        <v>0</v>
      </c>
    </row>
    <row r="705" spans="1:21" x14ac:dyDescent="0.2">
      <c r="A705" t="str">
        <f>Skills!A19</f>
        <v>INFINITY</v>
      </c>
      <c r="B705" t="str">
        <f>Skills!B19</f>
        <v>Infinity</v>
      </c>
      <c r="C705" t="b">
        <f>Inputs!$B$3&gt;=110</f>
        <v>1</v>
      </c>
      <c r="D705">
        <f>IF(Skills!C19=1,60+Inputs!$B$25+Inputs!$B$29,IF(Skills!C19=2,90+Inputs!$B$26+Inputs!$B$29,IF(Skills!C19=3,120+Inputs!$B$27+Inputs!$B$29,MAX(0,(Inputs!$B$3-100)*3)+Inputs!$B$28+Inputs!$B$29)))</f>
        <v>185</v>
      </c>
      <c r="E705">
        <f>INDEX(FactorTable!$B$2:$Y$301, MATCH(ROUND(MIN(300,MAX(1,D705)),0), FactorTable!$A$2:$A$301,0), Skills!M19+1)</f>
        <v>1740</v>
      </c>
      <c r="F705">
        <f>IF(Skills!N19=TRUE,(Skills!L19/10)*(E705/1000),Skills!L19/10)+Skills!O19</f>
        <v>37.700579999999995</v>
      </c>
      <c r="G705">
        <f>Calc!G19</f>
        <v>1</v>
      </c>
      <c r="H705">
        <f>Calc!H19</f>
        <v>1</v>
      </c>
      <c r="I705">
        <f>IF(Skills!X19&lt;&gt;"",1+(Skills!X19/10)*(Z689/1000)/100,1)</f>
        <v>1</v>
      </c>
      <c r="O705">
        <f>(1-Summary!$B$11)*S705+Summary!$B$11*U705</f>
        <v>0</v>
      </c>
      <c r="P705">
        <f>IF(B727=0,0,O705/B727)</f>
        <v>0</v>
      </c>
      <c r="Q705">
        <f>IFERROR(1/(IF(Inputs!$B$38="pvp",15,MAX(0.1,Skills!E19-IF(TRUE=TRUE,Inputs!$B$32,0)))*(1-IF(AND(ArtifactsInput!$M$27,Inputs!$B$4="Chapter Hunt"),CHOOSE(ArtifactsInput!$N$27+1,20,24,28,32,36,40),0)/100)),0)</f>
        <v>3.3333333333333333E-2</v>
      </c>
      <c r="R705">
        <f>IF(AND(Inputs!$B$38&lt;&gt;"pvp",Inputs!$B$43&gt;0),IF(Inputs!$B$43&lt;=0,0,(INT(Inputs!$B$43/(IF(Inputs!$B$38="pvp",15,MAX(0.1,Skills!E19-IF(TRUE=TRUE,Inputs!$B$32,0)))*(1-IF(AND(ArtifactsInput!$M$27,Inputs!$B$4="Chapter Hunt"),CHOOSE(ArtifactsInput!$N$27+1,20,24,28,32,36,40),0)/100)))+1)),0)</f>
        <v>2</v>
      </c>
      <c r="S705">
        <v>0</v>
      </c>
      <c r="U705">
        <v>0</v>
      </c>
    </row>
    <row r="706" spans="1:21" x14ac:dyDescent="0.2">
      <c r="A706" t="str">
        <f>Skills!A20</f>
        <v>MAGIC_CRITICAL_RATE</v>
      </c>
      <c r="B706" t="str">
        <f>Skills!B20</f>
        <v>Magic Critical (Crit Rate)</v>
      </c>
      <c r="C706" t="b">
        <f>TRUE</f>
        <v>1</v>
      </c>
      <c r="D706">
        <f>IF(Skills!C20=1,60+Inputs!$B$25+Inputs!$B$29,IF(Skills!C20=2,90+Inputs!$B$26+Inputs!$B$29,IF(Skills!C20=3,120+Inputs!$B$27+Inputs!$B$29,MAX(0,(Inputs!$B$3-100)*3)+Inputs!$B$28+Inputs!$B$29)))</f>
        <v>184</v>
      </c>
      <c r="E706">
        <f>INDEX(FactorTable!$B$2:$Y$301, MATCH(ROUND(MIN(300,MAX(1,D706)),0), FactorTable!$A$2:$A$301,0), Skills!M20+1)</f>
        <v>1552</v>
      </c>
      <c r="F706">
        <f>IF(Skills!N20=TRUE,(Skills!L20/10)*(E706/1000),Skills!L20/10)+Skills!O20</f>
        <v>12.416</v>
      </c>
      <c r="G706">
        <f>Calc!G20</f>
        <v>1</v>
      </c>
      <c r="H706">
        <f>Calc!H20</f>
        <v>1</v>
      </c>
      <c r="I706">
        <f>IF(Skills!X20&lt;&gt;"",1+(Skills!X20/10)*(Z689/1000)/100,1)</f>
        <v>1</v>
      </c>
      <c r="O706">
        <f>(1-Summary!$B$11)*S706+Summary!$B$11*U706</f>
        <v>0</v>
      </c>
      <c r="P706">
        <f>IF(B727=0,0,O706/B727)</f>
        <v>0</v>
      </c>
      <c r="Q706">
        <f>IFERROR(1/(IF(Inputs!$B$38="pvp",15,MAX(0.1,Skills!E20-IF(TRUE=TRUE,Inputs!$B$32,0)))*(1-IF(AND(ArtifactsInput!$M$27,Inputs!$B$4="Chapter Hunt"),CHOOSE(ArtifactsInput!$N$27+1,20,24,28,32,36,40),0)/100)),0)</f>
        <v>10</v>
      </c>
      <c r="R706">
        <v>0</v>
      </c>
      <c r="S706">
        <v>0</v>
      </c>
      <c r="U706">
        <v>0</v>
      </c>
    </row>
    <row r="707" spans="1:21" x14ac:dyDescent="0.2">
      <c r="A707" t="str">
        <f>Skills!A21</f>
        <v>MAGIC_CRITICAL_DAMAGE</v>
      </c>
      <c r="B707" t="str">
        <f>Skills!B21</f>
        <v>Magic Critical (Crit Damage)</v>
      </c>
      <c r="C707" t="b">
        <f>TRUE</f>
        <v>1</v>
      </c>
      <c r="D707">
        <f>IF(Skills!C21=1,60+Inputs!$B$25+Inputs!$B$29,IF(Skills!C21=2,90+Inputs!$B$26+Inputs!$B$29,IF(Skills!C21=3,120+Inputs!$B$27+Inputs!$B$29,MAX(0,(Inputs!$B$3-100)*3)+Inputs!$B$28+Inputs!$B$29)))</f>
        <v>184</v>
      </c>
      <c r="E707">
        <f>INDEX(FactorTable!$B$2:$Y$301, MATCH(ROUND(MIN(300,MAX(1,D707)),0), FactorTable!$A$2:$A$301,0), Skills!M21+1)</f>
        <v>1552</v>
      </c>
      <c r="F707">
        <f>IF(Skills!N21=TRUE,(Skills!L21/10)*(E707/1000),Skills!L21/10)+Skills!O21</f>
        <v>18.624000000000002</v>
      </c>
      <c r="G707">
        <f>Calc!G21</f>
        <v>1</v>
      </c>
      <c r="H707">
        <f>Calc!H21</f>
        <v>1</v>
      </c>
      <c r="I707">
        <f>IF(Skills!X21&lt;&gt;"",1+(Skills!X21/10)*(Z689/1000)/100,1)</f>
        <v>1</v>
      </c>
      <c r="O707">
        <f>(1-Summary!$B$11)*S707+Summary!$B$11*U707</f>
        <v>0</v>
      </c>
      <c r="P707">
        <f>IF(B727=0,0,O707/B727)</f>
        <v>0</v>
      </c>
      <c r="Q707">
        <f>IFERROR(1/(IF(Inputs!$B$38="pvp",15,MAX(0.1,Skills!E21-IF(TRUE=TRUE,Inputs!$B$32,0)))*(1-IF(AND(ArtifactsInput!$M$27,Inputs!$B$4="Chapter Hunt"),CHOOSE(ArtifactsInput!$N$27+1,20,24,28,32,36,40),0)/100)),0)</f>
        <v>10</v>
      </c>
      <c r="R707">
        <v>0</v>
      </c>
      <c r="S707">
        <v>0</v>
      </c>
      <c r="U707">
        <v>0</v>
      </c>
    </row>
    <row r="708" spans="1:21" x14ac:dyDescent="0.2">
      <c r="A708" t="str">
        <f>Skills!A22</f>
        <v>SPELL_MASTERY</v>
      </c>
      <c r="B708" t="str">
        <f>Skills!B22</f>
        <v>Spell Mastery</v>
      </c>
      <c r="C708" t="b">
        <f>TRUE</f>
        <v>1</v>
      </c>
      <c r="D708">
        <f>IF(Skills!C22=1,60+Inputs!$B$25+Inputs!$B$29,IF(Skills!C22=2,90+Inputs!$B$26+Inputs!$B$29,IF(Skills!C22=3,120+Inputs!$B$27+Inputs!$B$29,MAX(0,(Inputs!$B$3-100)*3)+Inputs!$B$28+Inputs!$B$29)))</f>
        <v>168</v>
      </c>
      <c r="E708">
        <f>INDEX(FactorTable!$B$2:$Y$301, MATCH(ROUND(MIN(300,MAX(1,D708)),0), FactorTable!$A$2:$A$301,0), Skills!M22+1)</f>
        <v>1504</v>
      </c>
      <c r="F708">
        <f>IF(Skills!N22=TRUE,(Skills!L22/10)*(E708/1000),Skills!L22/10)+Skills!O22</f>
        <v>22.56</v>
      </c>
      <c r="G708">
        <f>Calc!G22</f>
        <v>1</v>
      </c>
      <c r="H708">
        <f>Calc!H22</f>
        <v>1</v>
      </c>
      <c r="I708">
        <f>IF(Skills!X22&lt;&gt;"",1+(Skills!X22/10)*(Z689/1000)/100,1)</f>
        <v>1</v>
      </c>
      <c r="O708">
        <f>(1-Summary!$B$11)*S708+Summary!$B$11*U708</f>
        <v>0</v>
      </c>
      <c r="P708">
        <f>IF(B727=0,0,O708/B727)</f>
        <v>0</v>
      </c>
      <c r="Q708">
        <f>IFERROR(1/(IF(Inputs!$B$38="pvp",15,MAX(0.1,Skills!E22-IF(TRUE=TRUE,Inputs!$B$32,0)))*(1-IF(AND(ArtifactsInput!$M$27,Inputs!$B$4="Chapter Hunt"),CHOOSE(ArtifactsInput!$N$27+1,20,24,28,32,36,40),0)/100)),0)</f>
        <v>10</v>
      </c>
      <c r="R708">
        <v>0</v>
      </c>
      <c r="S708">
        <v>0</v>
      </c>
      <c r="U708">
        <v>0</v>
      </c>
    </row>
    <row r="709" spans="1:21" x14ac:dyDescent="0.2">
      <c r="A709" t="str">
        <f>Skills!A23</f>
        <v>ELEMENT_AMPLIFICATION</v>
      </c>
      <c r="B709" t="str">
        <f>Skills!B23</f>
        <v>Element Amplification</v>
      </c>
      <c r="C709" t="b">
        <f>TRUE</f>
        <v>1</v>
      </c>
      <c r="D709">
        <f>IF(Skills!C23=1,60+Inputs!$B$25+Inputs!$B$29,IF(Skills!C23=2,90+Inputs!$B$26+Inputs!$B$29,IF(Skills!C23=3,120+Inputs!$B$27+Inputs!$B$29,MAX(0,(Inputs!$B$3-100)*3)+Inputs!$B$28+Inputs!$B$29)))</f>
        <v>185</v>
      </c>
      <c r="E709">
        <f>INDEX(FactorTable!$B$2:$Y$301, MATCH(ROUND(MIN(300,MAX(1,D709)),0), FactorTable!$A$2:$A$301,0), Skills!M23+1)</f>
        <v>1555</v>
      </c>
      <c r="F709">
        <f>IF(Skills!N23=TRUE,(Skills!L23/10)*(E709/1000),Skills!L23/10)+Skills!O23</f>
        <v>23.324999999999999</v>
      </c>
      <c r="G709">
        <f>Calc!G23</f>
        <v>1</v>
      </c>
      <c r="H709">
        <f>Calc!H23</f>
        <v>1</v>
      </c>
      <c r="I709">
        <f>IF(Skills!X23&lt;&gt;"",1+(Skills!X23/10)*(Z689/1000)/100,1)</f>
        <v>1</v>
      </c>
      <c r="O709">
        <f>(1-Summary!$B$11)*S709+Summary!$B$11*U709</f>
        <v>0</v>
      </c>
      <c r="P709">
        <f>IF(B727=0,0,O709/B727)</f>
        <v>0</v>
      </c>
      <c r="Q709">
        <f>IFERROR(1/(IF(Inputs!$B$38="pvp",15,MAX(0.1,Skills!E23-IF(TRUE=TRUE,Inputs!$B$32,0)))*(1-IF(AND(ArtifactsInput!$M$27,Inputs!$B$4="Chapter Hunt"),CHOOSE(ArtifactsInput!$N$27+1,20,24,28,32,36,40),0)/100)),0)</f>
        <v>10</v>
      </c>
      <c r="R709">
        <v>0</v>
      </c>
      <c r="S709">
        <v>0</v>
      </c>
      <c r="U709">
        <v>0</v>
      </c>
    </row>
    <row r="710" spans="1:21" x14ac:dyDescent="0.2">
      <c r="A710" t="str">
        <f>Skills!A24</f>
        <v>IFRIT</v>
      </c>
      <c r="B710" t="str">
        <f>Skills!B24</f>
        <v>Ifrit</v>
      </c>
      <c r="C710" t="b">
        <f>Inputs!$B$3&gt;=115</f>
        <v>1</v>
      </c>
      <c r="D710">
        <f>IF(Skills!C24=1,60+Inputs!$B$25+Inputs!$B$29,IF(Skills!C24=2,90+Inputs!$B$26+Inputs!$B$29,IF(Skills!C24=3,120+Inputs!$B$27+Inputs!$B$29,MAX(0,(Inputs!$B$3-100)*3)+Inputs!$B$28+Inputs!$B$29)))</f>
        <v>185</v>
      </c>
      <c r="E710">
        <f>INDEX(FactorTable!$B$2:$Y$301, MATCH(ROUND(MIN(300,MAX(1,D710)),0), FactorTable!$A$2:$A$301,0), Skills!M24+1)</f>
        <v>1925</v>
      </c>
      <c r="F710">
        <f>IF(Skills!N24=TRUE,(Skills!L24/10)*(E710/1000),Skills!L24/10)+Skills!O24</f>
        <v>6737.5</v>
      </c>
      <c r="G710">
        <f>Calc!G24</f>
        <v>7.5</v>
      </c>
      <c r="H710">
        <f>Calc!H24</f>
        <v>1</v>
      </c>
      <c r="I710">
        <f>IF(Skills!X24&lt;&gt;"",1+(Skills!X24/10)*(Z689/1000)/100,1)</f>
        <v>1</v>
      </c>
      <c r="J710">
        <f>((Inputs!$B$6*(1+Inputs!$B$7/100))+(((Inputs!$B$12*(1+Inputs!$B$13/100))-(Inputs!$B$12*(1+Inputs!$B$13/100)))+0.25*(Inputs!$B$14-Inputs!$B$14))*(1+Inputs!$B$7/100))*(F710/100)</f>
        <v>24331438378.718628</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122747955813329.98</v>
      </c>
      <c r="L710">
        <f>K710*(MIN(Inputs!$B$22+(F708-Calc!F22),(Inputs!$B$23+(IF(ArtifactsInput!$M$15,CHOOSE(ArtifactsInput!$N$15+1,25,30,35,40,45,50)/100*(Inputs!$B$11-Inputs!$B$11),0))))/100+(Inputs!$B$23+(IF(ArtifactsInput!$M$15,CHOOSE(ArtifactsInput!$N$15+1,25,30,35,40,45,50)/100*(Inputs!$B$11-Inputs!$B$11),0)))/100)/2</f>
        <v>408136953079322.25</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1925998281581321.5</v>
      </c>
      <c r="N710">
        <f>L710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1925998281581321.5</v>
      </c>
      <c r="O710">
        <f>(1-Summary!$B$11)*S710+Summary!$B$11*U710</f>
        <v>2202860534558636</v>
      </c>
      <c r="P710">
        <f>IF(B727=0,0,O710/B727)</f>
        <v>6.6412972578359791E-2</v>
      </c>
      <c r="Q710">
        <f>IFERROR(1/(IF(Inputs!$B$38="pvp",15,MAX(0.1,Skills!E24-IF(TRUE=TRUE,Inputs!$B$32,0)))*(1-IF(AND(ArtifactsInput!$M$27,Inputs!$B$4="Chapter Hunt"),CHOOSE(ArtifactsInput!$N$27+1,20,24,28,32,36,40),0)/100)),0)</f>
        <v>1.2500000000000001E-2</v>
      </c>
      <c r="R710">
        <f>IF(AND(Inputs!$B$38&lt;&gt;"pvp",Inputs!$B$43&gt;0),IF(MAX(0,Inputs!$B$43-B724)&lt;=0,0,(INT(MAX(0,Inputs!$B$43-B724)/(IF(Inputs!$B$38="pvp",15,MAX(0.1,Skills!E24-IF(TRUE=TRUE,Inputs!$B$32,0)))*(1-IF(AND(ArtifactsInput!$M$27,Inputs!$B$4="Chapter Hunt"),CHOOSE(ArtifactsInput!$N$27+1,20,24,28,32,36,40),0)/100)))+1)),0)</f>
        <v>1</v>
      </c>
      <c r="S710">
        <f>IF(C710,(H710*N710*IF(AND(Inputs!$B$38&lt;&gt;"pvp",Inputs!$B$43&gt;0),((Skills!G24*((R710-1)*IF(Skills!H24&gt;0,Skills!I24/Skills!H24,1)+IF(Skills!H24&gt;0,MIN(Skills!I24,MAX(0,MAX(0,Inputs!$B$43-B724)-((R710-1)*(IF(Inputs!$B$38="pvp",15,MAX(0.1,Skills!E24-IF(TRUE=TRUE,Inputs!$B$32,0)))*(1-IF(AND(ArtifactsInput!$M$27,Inputs!$B$4="Chapter Hunt"),CHOOSE(ArtifactsInput!$N$27+1,20,24,28,32,36,40),0)/100)))))/Skills!H24,1)))/Inputs!$B$43),G710*Q710)*(1+IF(Inputs!$B$3&gt;=130,0.2*(Skills!I16/(1/Q701)+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1144765228614897.8</v>
      </c>
      <c r="U710">
        <f>IF(C710,(H710*N710*IF(AND(Inputs!$B$38&lt;&gt;"pvp",Inputs!$B$43&gt;0),((Skills!G24*((R710-1)*IF(Skills!H24&gt;0,Skills!I24/Skills!H24,1)+IF(Skills!H24&gt;0,MIN(Skills!I24,MAX(0,MAX(0,Inputs!$B$43-B724)-((R710-1)*(IF(Inputs!$B$38="pvp",15,MAX(0.1,Skills!E24-IF(TRUE=TRUE,Inputs!$B$32,0)))*(1-IF(AND(ArtifactsInput!$M$27,Inputs!$B$4="Chapter Hunt"),CHOOSE(ArtifactsInput!$N$27+1,20,24,28,32,36,40),0)/100)))))/Skills!H24,1)))/Inputs!$B$43),G710*Q710)*(1+IF(Inputs!$B$3&gt;=130,0.2*(Skills!I16/(1/Q701)+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3260955840502374.5</v>
      </c>
    </row>
    <row r="711" spans="1:21" x14ac:dyDescent="0.2">
      <c r="A711" t="str">
        <f>Skills!A25</f>
        <v>BUFF_MASTERY</v>
      </c>
      <c r="B711" t="str">
        <f>Skills!B25</f>
        <v>Buff Mastery</v>
      </c>
      <c r="C711" t="b">
        <f>Inputs!$B$3&gt;=117</f>
        <v>1</v>
      </c>
      <c r="D711">
        <f>IF(Skills!C25=1,60+Inputs!$B$25+Inputs!$B$29,IF(Skills!C25=2,90+Inputs!$B$26+Inputs!$B$29,IF(Skills!C25=3,120+Inputs!$B$27+Inputs!$B$29,MAX(0,(Inputs!$B$3-100)*3)+Inputs!$B$28+Inputs!$B$29)))</f>
        <v>185</v>
      </c>
      <c r="E711">
        <f>INDEX(FactorTable!$B$2:$Y$301, MATCH(ROUND(MIN(300,MAX(1,D711)),0), FactorTable!$A$2:$A$301,0), Skills!M25+1)</f>
        <v>1555</v>
      </c>
      <c r="F711">
        <f>IF(Skills!N25=TRUE,(Skills!L25/10)*(E711/1000),Skills!L25/10)+Skills!O25</f>
        <v>15.549999999999999</v>
      </c>
      <c r="G711">
        <f>Calc!G25</f>
        <v>1</v>
      </c>
      <c r="H711">
        <f>Calc!H25</f>
        <v>1</v>
      </c>
      <c r="I711">
        <f>IF(Skills!X25&lt;&gt;"",1+(Skills!X25/10)*(Z689/1000)/100,1)</f>
        <v>1</v>
      </c>
      <c r="O711">
        <f>(1-Summary!$B$11)*S711+Summary!$B$11*U711</f>
        <v>0</v>
      </c>
      <c r="P711">
        <f>IF(B727=0,0,O711/B727)</f>
        <v>0</v>
      </c>
      <c r="Q711">
        <f>IFERROR(1/(IF(Inputs!$B$38="pvp",15,MAX(0.1,Skills!E25-IF(TRUE=TRUE,Inputs!$B$32,0)))*(1-IF(AND(ArtifactsInput!$M$27,Inputs!$B$4="Chapter Hunt"),CHOOSE(ArtifactsInput!$N$27+1,20,24,28,32,36,40),0)/100)),0)</f>
        <v>10</v>
      </c>
      <c r="R711">
        <v>0</v>
      </c>
      <c r="S711">
        <v>0</v>
      </c>
      <c r="U711">
        <v>0</v>
      </c>
    </row>
    <row r="712" spans="1:21" x14ac:dyDescent="0.2">
      <c r="A712" t="str">
        <f>Skills!A26</f>
        <v>ARCANE_AIM</v>
      </c>
      <c r="B712" t="str">
        <f>Skills!B26</f>
        <v>Arcane Aim</v>
      </c>
      <c r="C712" t="b">
        <f>Inputs!$B$3&gt;=120</f>
        <v>0</v>
      </c>
      <c r="D712">
        <f>IF(Skills!C26=1,60+Inputs!$B$25+Inputs!$B$29,IF(Skills!C26=2,90+Inputs!$B$26+Inputs!$B$29,IF(Skills!C26=3,120+Inputs!$B$27+Inputs!$B$29,MAX(0,(Inputs!$B$3-100)*3)+Inputs!$B$28+Inputs!$B$29)))</f>
        <v>185</v>
      </c>
      <c r="E712">
        <f>INDEX(FactorTable!$B$2:$Y$301, MATCH(ROUND(MIN(300,MAX(1,D712)),0), FactorTable!$A$2:$A$301,0), Skills!M26+1)</f>
        <v>1555</v>
      </c>
      <c r="F712">
        <f>IF(Skills!N26=TRUE,(Skills!L26/10)*(E712/1000),Skills!L26/10)+Skills!O26</f>
        <v>4.665</v>
      </c>
      <c r="G712">
        <f>Calc!G26</f>
        <v>1</v>
      </c>
      <c r="H712">
        <f>Calc!H26</f>
        <v>1</v>
      </c>
      <c r="I712">
        <f>IF(Skills!X26&lt;&gt;"",1+(Skills!X26/10)*(Z689/1000)/100,1)</f>
        <v>1</v>
      </c>
      <c r="O712">
        <f>(1-Summary!$B$11)*S712+Summary!$B$11*U712</f>
        <v>0</v>
      </c>
      <c r="P712">
        <f>IF(B727=0,0,O712/B727)</f>
        <v>0</v>
      </c>
      <c r="Q712">
        <f>IFERROR(1/(IF(Inputs!$B$38="pvp",15,MAX(0.1,Skills!E26-IF(TRUE=TRUE,Inputs!$B$32,0)))*(1-IF(AND(ArtifactsInput!$M$27,Inputs!$B$4="Chapter Hunt"),CHOOSE(ArtifactsInput!$N$27+1,20,24,28,32,36,40),0)/100)),0)</f>
        <v>10</v>
      </c>
      <c r="R712">
        <v>0</v>
      </c>
      <c r="S712">
        <v>0</v>
      </c>
      <c r="U712">
        <v>0</v>
      </c>
    </row>
    <row r="713" spans="1:21" x14ac:dyDescent="0.2">
      <c r="A713" t="str">
        <f>Skills!A27</f>
        <v>FERVENT_DRAIN</v>
      </c>
      <c r="B713" t="str">
        <f>Skills!B27</f>
        <v>Fervent Drain</v>
      </c>
      <c r="C713" t="b">
        <f>Inputs!$B$3&gt;=125</f>
        <v>0</v>
      </c>
      <c r="D713">
        <f>IF(Skills!C27=1,60+Inputs!$B$25+Inputs!$B$29,IF(Skills!C27=2,90+Inputs!$B$26+Inputs!$B$29,IF(Skills!C27=3,120+Inputs!$B$27+Inputs!$B$29,MAX(0,(Inputs!$B$3-100)*3)+Inputs!$B$28+Inputs!$B$29)))</f>
        <v>185</v>
      </c>
      <c r="E713">
        <f>INDEX(FactorTable!$B$2:$Y$301, MATCH(ROUND(MIN(300,MAX(1,D713)),0), FactorTable!$A$2:$A$301,0), Skills!M27+1)</f>
        <v>1555</v>
      </c>
      <c r="F713">
        <f>IF(Skills!N27=TRUE,(Skills!L27/10)*(E713/1000),Skills!L27/10)+Skills!O27</f>
        <v>6.22</v>
      </c>
      <c r="G713">
        <f>Calc!G27</f>
        <v>1</v>
      </c>
      <c r="H713">
        <f>Calc!H27</f>
        <v>1</v>
      </c>
      <c r="I713">
        <f>IF(Skills!X27&lt;&gt;"",1+(Skills!X27/10)*(Z689/1000)/100,1)</f>
        <v>1</v>
      </c>
      <c r="O713">
        <f>(1-Summary!$B$11)*S713+Summary!$B$11*U713</f>
        <v>0</v>
      </c>
      <c r="P713">
        <f>IF(B727=0,0,O713/B727)</f>
        <v>0</v>
      </c>
      <c r="Q713">
        <f>IFERROR(1/(IF(Inputs!$B$38="pvp",15,MAX(0.1,Skills!E27-IF(TRUE=TRUE,Inputs!$B$32,0)))*(1-IF(AND(ArtifactsInput!$M$27,Inputs!$B$4="Chapter Hunt"),CHOOSE(ArtifactsInput!$N$27+1,20,24,28,32,36,40),0)/100)),0)</f>
        <v>10</v>
      </c>
      <c r="R713">
        <v>0</v>
      </c>
      <c r="S713">
        <v>0</v>
      </c>
      <c r="U713">
        <v>0</v>
      </c>
    </row>
    <row r="714" spans="1:21" x14ac:dyDescent="0.2">
      <c r="A714" t="str">
        <f>Skills!A28</f>
        <v>FLAME_HAZE_FOG</v>
      </c>
      <c r="B714" t="str">
        <f>Skills!B28</f>
        <v>Flame Haze (poison fog DoT)</v>
      </c>
      <c r="C714" t="b">
        <f>Inputs!$B$3&gt;=118</f>
        <v>0</v>
      </c>
      <c r="D714">
        <f>IF(Skills!C28=1,60+Inputs!$B$25+Inputs!$B$29,IF(Skills!C28=2,90+Inputs!$B$26+Inputs!$B$29,IF(Skills!C28=3,120+Inputs!$B$27+Inputs!$B$29,MAX(0,(Inputs!$B$3-100)*3)+Inputs!$B$28+Inputs!$B$29)))</f>
        <v>185</v>
      </c>
      <c r="E714">
        <f>INDEX(FactorTable!$B$2:$Y$301, MATCH(ROUND(MIN(300,MAX(1,D714)),0), FactorTable!$A$2:$A$301,0), Skills!M28+1)</f>
        <v>1925</v>
      </c>
      <c r="F714">
        <f>IF(Skills!N28=TRUE,(Skills!L28/10)*(E714/1000),Skills!L28/10)+Skills!O28</f>
        <v>134.75</v>
      </c>
      <c r="G714">
        <f>Calc!G28</f>
        <v>50</v>
      </c>
      <c r="H714">
        <f>Calc!H28</f>
        <v>1</v>
      </c>
      <c r="I714">
        <f>IF(Skills!X28&lt;&gt;"",1+(Skills!X28/10)*(Z689/1000)/100,1)</f>
        <v>1</v>
      </c>
      <c r="J714">
        <f>((Inputs!$B$6*(1+Inputs!$B$7/100))+(((Inputs!$B$12*(1+Inputs!$B$13/100))-(Inputs!$B$12*(1+Inputs!$B$13/100)))+0.25*(Inputs!$B$14-Inputs!$B$14))*(1+Inputs!$B$7/100))*(F714/100)</f>
        <v>486628767.57437253</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2454959116266.5991</v>
      </c>
      <c r="L714">
        <f>K714*(MIN(Inputs!$B$22+(F708-Calc!F22),(Inputs!$B$23+(IF(ArtifactsInput!$M$15,CHOOSE(ArtifactsInput!$N$15+1,25,30,35,40,45,50)/100*(Inputs!$B$11-Inputs!$B$11),0))))/100+(Inputs!$B$23+(IF(ArtifactsInput!$M$15,CHOOSE(ArtifactsInput!$N$15+1,25,30,35,40,45,50)/100*(Inputs!$B$11-Inputs!$B$11),0)))/100)/2</f>
        <v>8162739061586.4424</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38519965631626.414</v>
      </c>
      <c r="N714">
        <f>L714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38519965631626.414</v>
      </c>
      <c r="O714">
        <f>(1-Summary!$B$11)*S714+Summary!$B$11*U714</f>
        <v>0</v>
      </c>
      <c r="P714">
        <f>IF(B727=0,0,O714/B727)</f>
        <v>0</v>
      </c>
      <c r="Q714">
        <f>IFERROR(1/(IF(Inputs!$B$38="pvp",15,MAX(0.1,Skills!E28-IF(TRUE=TRUE,Inputs!$B$32,0)))*(1-IF(AND(ArtifactsInput!$M$27,Inputs!$B$4="Chapter Hunt"),CHOOSE(ArtifactsInput!$N$27+1,20,24,28,32,36,40),0)/100)),0)</f>
        <v>0.04</v>
      </c>
      <c r="R714">
        <f>IF(AND(Inputs!$B$38&lt;&gt;"pvp",Inputs!$B$43&gt;0),IF(MAX(0,Inputs!$B$43-B724)&lt;=0,0,(INT(MAX(0,Inputs!$B$43-B724)/(IF(Inputs!$B$38="pvp",15,MAX(0.1,Skills!E28-IF(TRUE=TRUE,Inputs!$B$32,0)))*(1-IF(AND(ArtifactsInput!$M$27,Inputs!$B$4="Chapter Hunt"),CHOOSE(ArtifactsInput!$N$27+1,20,24,28,32,36,40),0)/100)))+1)),0)</f>
        <v>2</v>
      </c>
      <c r="S714">
        <f>IF(C714,(H714*N714*IF(AND(Inputs!$B$38&lt;&gt;"pvp",Inputs!$B$43&gt;0),((Skills!G28*((R714-1)*IF(Skills!H28&gt;0,Skills!I28/Skills!H28,1)+IF(Skills!H28&gt;0,MIN(Skills!I28,MAX(0,MAX(0,Inputs!$B$43-B724)-((R714-1)*(IF(Inputs!$B$38="pvp",15,MAX(0.1,Skills!E28-IF(TRUE=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714">
        <f>IF(C714,(H714*N714*IF(AND(Inputs!$B$38&lt;&gt;"pvp",Inputs!$B$43&gt;0),((Skills!G28*((R714-1)*IF(Skills!H28&gt;0,Skills!I28/Skills!H28,1)+IF(Skills!H28&gt;0,MIN(Skills!I28,MAX(0,MAX(0,Inputs!$B$43-B724)-((R714-1)*(IF(Inputs!$B$38="pvp",15,MAX(0.1,Skills!E28-IF(TRUE=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716" spans="1:21" x14ac:dyDescent="0.2">
      <c r="A716" t="s">
        <v>356</v>
      </c>
      <c r="B716">
        <f>1+(F697*Skills!Z11)/100</f>
        <v>1.25</v>
      </c>
    </row>
    <row r="717" spans="1:21" x14ac:dyDescent="0.2">
      <c r="A717" t="s">
        <v>435</v>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1.18624</v>
      </c>
    </row>
    <row r="718" spans="1:21" x14ac:dyDescent="0.2">
      <c r="A718" t="s">
        <v>358</v>
      </c>
      <c r="B718">
        <f>(1+(F692*IF(AND(Inputs!$B$38&lt;&gt;"pvp",Inputs!$B$43&gt;0),(((R692-1)*MIN((Skills!T6*(1+((Inputs!$B$34+(ArtifactsInput!$M$7-ArtifactsInput!$M$7)*CHOOSE(ArtifactsInput!$N$7+1,6,7.2,8.4,9.6,10.8,12)))/100)),(1/Q692))+MIN((Skills!T6*(1+((Inputs!$B$34+(ArtifactsInput!$M$7-ArtifactsInput!$M$7)*CHOOSE(ArtifactsInput!$N$7+1,6,7.2,8.4,9.6,10.8,12)))/100)),MAX(0,Inputs!$B$43-((R692-1)*(1/Q692)))))/Inputs!$B$43),IF(Inputs!$B$38="pvp",MIN((Skills!T6*(1+((Inputs!$B$34+(ArtifactsInput!$M$7-ArtifactsInput!$M$7)*CHOOSE(ArtifactsInput!$N$7+1,6,7.2,8.4,9.6,10.8,12)))/100)),15)/15,MIN(1,(Skills!T6*(1+((Inputs!$B$34+(ArtifactsInput!$M$7-ArtifactsInput!$M$7)*CHOOSE(ArtifactsInput!$N$7+1,6,7.2,8.4,9.6,10.8,12)))/100))/(1/Q692))))+F703*IF(AND(Inputs!$B$38&lt;&gt;"pvp",Inputs!$B$43&gt;0),(((R703-1)*MIN((Skills!T17*(1+((Inputs!$B$34+(ArtifactsInput!$M$7-ArtifactsInput!$M$7)*CHOOSE(ArtifactsInput!$N$7+1,6,7.2,8.4,9.6,10.8,12)))/100)),(1/Q703))+MIN((Skills!T17*(1+((Inputs!$B$34+(ArtifactsInput!$M$7-ArtifactsInput!$M$7)*CHOOSE(ArtifactsInput!$N$7+1,6,7.2,8.4,9.6,10.8,12)))/100)),MAX(0,Inputs!$B$43-((R703-1)*(1/Q703)))))/Inputs!$B$43),IF(Inputs!$B$38="pvp",MIN((Skills!T17*(1+((Inputs!$B$34+(ArtifactsInput!$M$7-ArtifactsInput!$M$7)*CHOOSE(ArtifactsInput!$N$7+1,6,7.2,8.4,9.6,10.8,12)))/100)),15)/15,MIN(1,(Skills!T17*(1+((Inputs!$B$34+(ArtifactsInput!$M$7-ArtifactsInput!$M$7)*CHOOSE(ArtifactsInput!$N$7+1,6,7.2,8.4,9.6,10.8,12)))/100))/(1/Q703)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MIN((Skills!T19*(1+((Inputs!$B$34+(ArtifactsInput!$M$7-ArtifactsInput!$M$7)*CHOOSE(ArtifactsInput!$N$7+1,6,7.2,8.4,9.6,10.8,12)))/100)),(1/Q705))+MIN((Skills!T19*(1+((Inputs!$B$34+(ArtifactsInput!$M$7-ArtifactsInput!$M$7)*CHOOSE(ArtifactsInput!$N$7+1,6,7.2,8.4,9.6,10.8,12)))/100)),MAX(0,Inputs!$B$43-((R705-1)*(1/Q705)))))/Inputs!$B$43),IF(Inputs!$B$38="pvp",MIN((Skills!T19*(1+((Inputs!$B$34+(ArtifactsInput!$M$7-ArtifactsInput!$M$7)*CHOOSE(ArtifactsInput!$N$7+1,6,7.2,8.4,9.6,10.8,12)))/100)),15)/15,MIN(1,(Skills!T19*(1+((Inputs!$B$34+(ArtifactsInput!$M$7-ArtifactsInput!$M$7)*CHOOSE(ArtifactsInput!$N$7+1,6,7.2,8.4,9.6,10.8,12)))/100))/(1/Q705))))/100),1)</f>
        <v>1.7965808377980694</v>
      </c>
    </row>
    <row r="719" spans="1:21" x14ac:dyDescent="0.2">
      <c r="A719" t="s">
        <v>359</v>
      </c>
      <c r="B719">
        <f>F704*IF(AND(Inputs!$B$38&lt;&gt;"pvp",Inputs!$B$43&gt;0),(((R704-1)*MIN((Skills!T18*(1+((Inputs!$B$34+(ArtifactsInput!$M$7-ArtifactsInput!$M$7)*CHOOSE(ArtifactsInput!$N$7+1,6,7.2,8.4,9.6,10.8,12)))/100)),(1/Q704))+MIN((Skills!T18*(1+((Inputs!$B$34+(ArtifactsInput!$M$7-ArtifactsInput!$M$7)*CHOOSE(ArtifactsInput!$N$7+1,6,7.2,8.4,9.6,10.8,12)))/100)),MAX(0,Inputs!$B$43-((R704-1)*(1/Q704)))))/Inputs!$B$43),IF(Inputs!$B$38="pvp",MIN((Skills!T18*(1+((Inputs!$B$34+(ArtifactsInput!$M$7-ArtifactsInput!$M$7)*CHOOSE(ArtifactsInput!$N$7+1,6,7.2,8.4,9.6,10.8,12)))/100)),15)/15,MIN(1,(Skills!T18*(1+((Inputs!$B$34+(ArtifactsInput!$M$7-ArtifactsInput!$M$7)*CHOOSE(ArtifactsInput!$N$7+1,6,7.2,8.4,9.6,10.8,12)))/100))/(1/Q704))))</f>
        <v>6.4968749999999993</v>
      </c>
    </row>
    <row r="720" spans="1:21" x14ac:dyDescent="0.2">
      <c r="A720" t="s">
        <v>436</v>
      </c>
      <c r="B720">
        <f>1+MIN(150,150*(1-(1-(Inputs!$B$11+(ArtifactsInput!$M$15-ArtifactsInput!$M$15)*CHOOSE(ArtifactsInput!$N$15+1,8,9.6,11.2,12.8,14.4,16))/150)*(1-B719/150)))/100</f>
        <v>1.6982958749999999</v>
      </c>
    </row>
    <row r="721" spans="1:26" x14ac:dyDescent="0.2">
      <c r="A721" t="s">
        <v>437</v>
      </c>
      <c r="B721">
        <f>IF(AND(Inputs!$B$38&lt;&gt;"pvp",Inputs!$B$43&gt;0),SUMPRODUCT((Skills!F2:F28=TRUE)*(C688:C714=TRUE)*R688:R714)/Inputs!$B$43,SUMPRODUCT((Skills!F2:F28=TRUE)*(C688:C714=TRUE)*Q688:Q714))</f>
        <v>0.47499999999999998</v>
      </c>
    </row>
    <row r="722" spans="1:26" x14ac:dyDescent="0.2">
      <c r="A722" t="s">
        <v>362</v>
      </c>
      <c r="B722">
        <f>MAX(0,B720-B721)</f>
        <v>1.2232958749999998</v>
      </c>
    </row>
    <row r="723" spans="1:26" x14ac:dyDescent="0.2">
      <c r="A723" t="s">
        <v>438</v>
      </c>
      <c r="B723">
        <f>IF(AND(Inputs!$B$38&lt;&gt;"pvp",Inputs!$B$43&gt;0),SUMPRODUCT((Skills!V2:V28=TRUE)*(C688:C714=TRUE)*R688:R714*Skills!W2:W28)/Inputs!$B$43,SUMPRODUCT((Skills!V2:V28=TRUE)*(C688:C714=TRUE)*Q688:Q714*Skills!W2:W28))+B722</f>
        <v>1.5482958749999998</v>
      </c>
    </row>
    <row r="724" spans="1:26" x14ac:dyDescent="0.2">
      <c r="A724" t="s">
        <v>439</v>
      </c>
      <c r="B724">
        <f>IF(AND(Inputs!$B$38&lt;&gt;"pvp",Inputs!$B$43&gt;0),SUMPRODUCT((Skills!T2:T28&gt;0)*(Skills!F2:F28=TRUE)*(C688:C714=TRUE))/B720,0)</f>
        <v>2.3553021937358238</v>
      </c>
    </row>
    <row r="725" spans="1:26" x14ac:dyDescent="0.2">
      <c r="A725" t="s">
        <v>440</v>
      </c>
      <c r="B725">
        <f>SUM(S688:S714)</f>
        <v>9547018307426278</v>
      </c>
    </row>
    <row r="726" spans="1:26" x14ac:dyDescent="0.2">
      <c r="A726" t="s">
        <v>441</v>
      </c>
      <c r="B726">
        <f>SUM(U688:U714)</f>
        <v>5.6791242096729256E+16</v>
      </c>
    </row>
    <row r="727" spans="1:26" x14ac:dyDescent="0.2">
      <c r="A727" s="6" t="s">
        <v>348</v>
      </c>
      <c r="B727" s="6">
        <f>SUM(O688:O714)</f>
        <v>3.3169130202077764E+16</v>
      </c>
    </row>
    <row r="730" spans="1:26" x14ac:dyDescent="0.2">
      <c r="A730" s="6" t="s">
        <v>456</v>
      </c>
    </row>
    <row r="731" spans="1:26" x14ac:dyDescent="0.2">
      <c r="A731" s="5" t="s">
        <v>136</v>
      </c>
      <c r="B731" s="5" t="s">
        <v>137</v>
      </c>
      <c r="C731" s="5" t="s">
        <v>328</v>
      </c>
      <c r="D731" s="5" t="s">
        <v>329</v>
      </c>
      <c r="E731" s="5" t="s">
        <v>330</v>
      </c>
      <c r="F731" s="5" t="s">
        <v>331</v>
      </c>
      <c r="G731" s="5" t="s">
        <v>332</v>
      </c>
      <c r="H731" s="5" t="s">
        <v>333</v>
      </c>
      <c r="I731" s="5" t="s">
        <v>334</v>
      </c>
      <c r="J731" s="5" t="s">
        <v>335</v>
      </c>
      <c r="K731" s="5" t="s">
        <v>336</v>
      </c>
      <c r="L731" s="5" t="s">
        <v>337</v>
      </c>
      <c r="M731" s="5" t="s">
        <v>338</v>
      </c>
      <c r="N731" s="5" t="s">
        <v>339</v>
      </c>
      <c r="O731" s="5" t="s">
        <v>340</v>
      </c>
      <c r="P731" s="5" t="s">
        <v>341</v>
      </c>
      <c r="R731" t="s">
        <v>434</v>
      </c>
    </row>
    <row r="732" spans="1:26" x14ac:dyDescent="0.2">
      <c r="A732" t="str">
        <f>Skills!A2</f>
        <v>BASIC_ATTACK</v>
      </c>
      <c r="B732" t="str">
        <f>Skills!B2</f>
        <v>Basic Attack</v>
      </c>
      <c r="C732" t="b">
        <f>TRUE</f>
        <v>1</v>
      </c>
      <c r="F732">
        <f>T734+Skills!O2</f>
        <v>537.6</v>
      </c>
      <c r="G732">
        <f>Calc!G2</f>
        <v>5</v>
      </c>
      <c r="H732">
        <f>Calc!H2</f>
        <v>1</v>
      </c>
      <c r="I732">
        <f>IF(Skills!X2&lt;&gt;"",1+(Skills!X2/10)*(Z733/1000)/100,1)</f>
        <v>1</v>
      </c>
      <c r="J732">
        <f>((Inputs!$B$6*(1+Inputs!$B$7/100))+(((Inputs!$B$12*(1+Inputs!$B$13/100))-(Inputs!$B$12*(1+Inputs!$B$13/100)))+0.25*(Inputs!$B$14-Inputs!$B$14))*(1+Inputs!$B$7/100))*(F732/100)</f>
        <v>1941459186.9980164</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6622217514454.8604</v>
      </c>
      <c r="L732">
        <f>K732*(MIN(Inputs!$B$22+(F752-Calc!F22),(Inputs!$B$23+(IF(ArtifactsInput!$M$15,CHOOSE(ArtifactsInput!$N$15+1,25,30,35,40,45,50)/100*(Inputs!$B$11-Inputs!$B$11),0))))/100+(Inputs!$B$23+(IF(ArtifactsInput!$M$15,CHOOSE(ArtifactsInput!$N$15+1,25,30,35,40,45,50)/100*(Inputs!$B$11-Inputs!$B$11),0)))/100)/2</f>
        <v>22018873235562.41</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103907062798619</v>
      </c>
      <c r="N732">
        <f>L732*(1-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103907062798619</v>
      </c>
      <c r="O732">
        <f>(1-Summary!$B$11)*S732+Summary!$B$11*U732</f>
        <v>1.2517066781501656E+16</v>
      </c>
      <c r="P732">
        <f>IF(B771=0,0,O732/B771)</f>
        <v>0.378199388854495</v>
      </c>
      <c r="Q732">
        <f>IFERROR(1/(IF(Inputs!$B$38="pvp",15,MAX(0.1,Skills!E2-IF(TRUE=TRUE,Inputs!$B$32,0)))*(1-IF(AND(ArtifactsInput!$M$27,Inputs!$B$4="Chapter Hunt"),CHOOSE(ArtifactsInput!$N$27+1,20,24,28,32,36,40),0)/100)),0)</f>
        <v>10</v>
      </c>
      <c r="R732">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2078233479335385.5</v>
      </c>
      <c r="T732">
        <f>MAX(0,(Inputs!$B$3-100)*3)+Inputs!$B$28+Inputs!$B$29</f>
        <v>185</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2.2955900083667928E+16</v>
      </c>
      <c r="Z732">
        <f>MAX(0,(Inputs!$B$3-100)*3)+Inputs!$B$28+Inputs!$B$29</f>
        <v>185</v>
      </c>
    </row>
    <row r="733" spans="1:26" x14ac:dyDescent="0.2">
      <c r="A733" t="str">
        <f>Skills!A3</f>
        <v>IGNITE</v>
      </c>
      <c r="B733" t="str">
        <f>Skills!B3</f>
        <v>Ignite</v>
      </c>
      <c r="C733" t="b">
        <f>TRUE</f>
        <v>1</v>
      </c>
      <c r="D733">
        <f>IF(Skills!C3=1,60+(Inputs!$B$25+1)+Inputs!$B$29,IF(Skills!C3=2,90+Inputs!$B$26+Inputs!$B$29,IF(Skills!C3=3,120+Inputs!$B$27+Inputs!$B$29,MAX(0,(Inputs!$B$3-100)*3)+Inputs!$B$28+Inputs!$B$29)))</f>
        <v>168</v>
      </c>
      <c r="E733">
        <f>INDEX(FactorTable!$B$2:$Y$301, MATCH(ROUND(MIN(300,MAX(1,D733)),0), FactorTable!$A$2:$A$301,0), Skills!M3+1)</f>
        <v>1672</v>
      </c>
      <c r="F733">
        <f>IF(Skills!N3=TRUE,(Skills!L3/10)*(E733/1000),Skills!L3/10)+Skills!O3</f>
        <v>121.736</v>
      </c>
      <c r="G733">
        <f>Calc!G3</f>
        <v>3</v>
      </c>
      <c r="H733">
        <f>Calc!H3</f>
        <v>1</v>
      </c>
      <c r="I733">
        <f>IF(Skills!X3&lt;&gt;"",1+(Skills!X3/10)*(Z733/1000)/100,1)</f>
        <v>4.8250000000000002</v>
      </c>
      <c r="J733">
        <f>((Inputs!$B$6*(1+Inputs!$B$7/100))+(((Inputs!$B$12*(1+Inputs!$B$13/100))-(Inputs!$B$12*(1+Inputs!$B$13/100)))+0.25*(Inputs!$B$14-Inputs!$B$14))*(1+Inputs!$B$7/100))*(F733/100)</f>
        <v>439630720.9605478</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10661656737021.127</v>
      </c>
      <c r="L733">
        <f>K733*(MIN(Inputs!$B$22+(F752-Calc!F22),(Inputs!$B$23+(IF(ArtifactsInput!$M$15,CHOOSE(ArtifactsInput!$N$15+1,25,30,35,40,45,50)/100*(Inputs!$B$11-Inputs!$B$11),0))))/100+(Inputs!$B$23+(IF(ArtifactsInput!$M$15,CHOOSE(ArtifactsInput!$N$15+1,25,30,35,40,45,50)/100*(Inputs!$B$11-Inputs!$B$11),0)))/100)/2</f>
        <v>35450008650595.25</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167288590822158.97</v>
      </c>
      <c r="N733">
        <f>L733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167288590822158.97</v>
      </c>
      <c r="O733">
        <f>(1-Summary!$B$11)*S733+Summary!$B$11*U733</f>
        <v>2908312151443233.5</v>
      </c>
      <c r="P733">
        <f>IF(B771=0,0,O733/B771)</f>
        <v>8.7873772463965091E-2</v>
      </c>
      <c r="Q733">
        <f>IFERROR(1/(IF(Inputs!$B$38="pvp",15,MAX(0.1,Skills!E3-IF(FALSE=TRUE,Inputs!$B$32,0)))*(1-IF(AND(ArtifactsInput!$M$27,Inputs!$B$4="Chapter Hunt"),CHOOSE(ArtifactsInput!$N$27+1,20,24,28,32,36,40),0)/100)),0)</f>
        <v>1</v>
      </c>
      <c r="R733">
        <f>IF(AND(Inputs!$B$38&lt;&gt;"pvp",Inputs!$B$43&gt;0),IF(MAX(0,Inputs!$B$43-B768)&lt;=0,0,(INT(MAX(0,Inputs!$B$43-B768)/(IF(Inputs!$B$38="pvp",15,MAX(0.1,Skills!E3-IF(FALSE=TRUE,Inputs!$B$32,0)))*(1-IF(AND(ArtifactsInput!$M$27,Inputs!$B$4="Chapter Hunt"),CHOOSE(ArtifactsInput!$N$27+1,20,24,28,32,36,40),0)/100)))+1)),0)</f>
        <v>38</v>
      </c>
      <c r="S733">
        <f>IF(C733,(H733*N733*IF(AND(Inputs!$B$38&lt;&gt;"pvp",Inputs!$B$43&gt;0),((Skills!G3*((R733-1)*IF(Skills!H3&gt;0,Skills!I3/Skills!H3,1)+IF(Skills!H3&gt;0,MIN(Skills!I3,MAX(0,MAX(0,Inputs!$B$43-B768)-((R733-1)*(IF(Inputs!$B$38="pvp",15,MAX(0.1,Skills!E3-IF(FALSE=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1511368773782795.2</v>
      </c>
      <c r="T733">
        <f>INDEX(FactorTable!$B$2:$Y$301, MATCH(ROUND(MIN(300,MAX(1,T732)),0), FactorTable!$A$2:$A$301,0), 22)</f>
        <v>1740</v>
      </c>
      <c r="U733">
        <f>IF(C733,(H733*N733*IF(AND(Inputs!$B$38&lt;&gt;"pvp",Inputs!$B$43&gt;0),((Skills!G3*((R733-1)*IF(Skills!H3&gt;0,Skills!I3/Skills!H3,1)+IF(Skills!H3&gt;0,MIN(Skills!I3,MAX(0,MAX(0,Inputs!$B$43-B768)-((R733-1)*(IF(Inputs!$B$38="pvp",15,MAX(0.1,Skills!E3-IF(FALSE=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4305255529103672</v>
      </c>
      <c r="Z733">
        <f>INDEX(FactorTable!$B$2:$Y$301, MATCH(ROUND(MIN(300,MAX(1,Z732)),0), FactorTable!$A$2:$A$301,0), 24)</f>
        <v>7650</v>
      </c>
    </row>
    <row r="734" spans="1:26" x14ac:dyDescent="0.2">
      <c r="A734" t="str">
        <f>Skills!A4</f>
        <v>POISON_BREATH</v>
      </c>
      <c r="B734" t="str">
        <f>Skills!B4</f>
        <v>Poison Breath</v>
      </c>
      <c r="C734" t="b">
        <f>TRUE</f>
        <v>1</v>
      </c>
      <c r="D734">
        <f>IF(Skills!C4=1,60+(Inputs!$B$25+1)+Inputs!$B$29,IF(Skills!C4=2,90+Inputs!$B$26+Inputs!$B$29,IF(Skills!C4=3,120+Inputs!$B$27+Inputs!$B$29,MAX(0,(Inputs!$B$3-100)*3)+Inputs!$B$28+Inputs!$B$29)))</f>
        <v>168</v>
      </c>
      <c r="E734">
        <f>INDEX(FactorTable!$B$2:$Y$301, MATCH(ROUND(MIN(300,MAX(1,D734)),0), FactorTable!$A$2:$A$301,0), Skills!M4+1)</f>
        <v>1840</v>
      </c>
      <c r="F734">
        <f>IF(Skills!N4=TRUE,(Skills!L4/10)*(E734/1000),Skills!L4/10)+Skills!O4</f>
        <v>438</v>
      </c>
      <c r="G734">
        <f>Calc!G4</f>
        <v>3</v>
      </c>
      <c r="H734">
        <f>Calc!H4</f>
        <v>1</v>
      </c>
      <c r="I734">
        <f>IF(Skills!X4&lt;&gt;"",1+(Skills!X4/10)*(Z733/1000)/100,1)</f>
        <v>7.12</v>
      </c>
      <c r="J734">
        <f>((Inputs!$B$6*(1+Inputs!$B$7/100))+(((Inputs!$B$12*(1+Inputs!$B$13/100))-(Inputs!$B$12*(1+Inputs!$B$13/100)))+0.25*(Inputs!$B$14-Inputs!$B$14))*(1+Inputs!$B$7/100))*(F734/100)</f>
        <v>1581769203.69258</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56605998393882.156</v>
      </c>
      <c r="L734">
        <f>K734*(MIN(Inputs!$B$22+(F752-Calc!F22),(Inputs!$B$23+(IF(ArtifactsInput!$M$15,CHOOSE(ArtifactsInput!$N$15+1,25,30,35,40,45,50)/100*(Inputs!$B$11-Inputs!$B$11),0))))/100+(Inputs!$B$23+(IF(ArtifactsInput!$M$15,CHOOSE(ArtifactsInput!$N$15+1,25,30,35,40,45,50)/100*(Inputs!$B$11-Inputs!$B$11),0)))/100)/2</f>
        <v>188214944659658.19</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888186323848926.88</v>
      </c>
      <c r="N734">
        <f>L734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888186323848926.88</v>
      </c>
      <c r="O734">
        <f>(1-Summary!$B$11)*S734+Summary!$B$11*U734</f>
        <v>2121322011222680.8</v>
      </c>
      <c r="P734">
        <f>IF(B771=0,0,O734/B771)</f>
        <v>6.4095103286790744E-2</v>
      </c>
      <c r="Q734">
        <f>IFERROR(1/(IF(Inputs!$B$38="pvp",15,MAX(0.1,Skills!E4-IF(TRUE=TRUE,Inputs!$B$32,0)))*(1-IF(AND(ArtifactsInput!$M$27,Inputs!$B$4="Chapter Hunt"),CHOOSE(ArtifactsInput!$N$27+1,20,24,28,32,36,40),0)/100)),0)</f>
        <v>5.5555555555555552E-2</v>
      </c>
      <c r="R734">
        <f>IF(AND(Inputs!$B$38&lt;&gt;"pvp",Inputs!$B$43&gt;0),IF(MAX(0,Inputs!$B$43-B768)&lt;=0,0,(INT(MAX(0,Inputs!$B$43-B768)/(IF(Inputs!$B$38="pvp",15,MAX(0.1,Skills!E4-IF(TRUE=TRUE,Inputs!$B$32,0)))*(1-IF(AND(ArtifactsInput!$M$27,Inputs!$B$4="Chapter Hunt"),CHOOSE(ArtifactsInput!$N$27+1,20,24,28,32,36,40),0)/100)))+1)),0)</f>
        <v>3</v>
      </c>
      <c r="S734">
        <f>IF(C734,(H734*N734*IF(AND(Inputs!$B$38&lt;&gt;"pvp",Inputs!$B$43&gt;0),((Skills!G4*((R734-1)*IF(Skills!H4&gt;0,Skills!I4/Skills!H4,1)+IF(Skills!H4&gt;0,MIN(Skills!I4,MAX(0,MAX(0,Inputs!$B$43-B768)-((R734-1)*(IF(Inputs!$B$38="pvp",15,MAX(0.1,Skills!E4-IF(TRUE=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633498895485247.12</v>
      </c>
      <c r="T734">
        <f>290*T733/1000</f>
        <v>504.6</v>
      </c>
      <c r="U734">
        <f>IF(C734,(H734*N734*IF(AND(Inputs!$B$38&lt;&gt;"pvp",Inputs!$B$43&gt;0),((Skills!G4*((R734-1)*IF(Skills!H4&gt;0,Skills!I4/Skills!H4,1)+IF(Skills!H4&gt;0,MIN(Skills!I4,MAX(0,MAX(0,Inputs!$B$43-B768)-((R734-1)*(IF(Inputs!$B$38="pvp",15,MAX(0.1,Skills!E4-IF(TRUE=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3609145126960114.5</v>
      </c>
    </row>
    <row r="735" spans="1:26" x14ac:dyDescent="0.2">
      <c r="A735" t="str">
        <f>Skills!A5</f>
        <v>ELEMENTAL_DRAIN</v>
      </c>
      <c r="B735" t="str">
        <f>Skills!B5</f>
        <v>Elemental Drain</v>
      </c>
      <c r="C735" t="b">
        <f>TRUE</f>
        <v>1</v>
      </c>
      <c r="D735">
        <f>IF(Skills!C5=1,60+(Inputs!$B$25+1)+Inputs!$B$29,IF(Skills!C5=2,90+Inputs!$B$26+Inputs!$B$29,IF(Skills!C5=3,120+Inputs!$B$27+Inputs!$B$29,MAX(0,(Inputs!$B$3-100)*3)+Inputs!$B$28+Inputs!$B$29)))</f>
        <v>168</v>
      </c>
      <c r="E735">
        <f>INDEX(FactorTable!$B$2:$Y$301, MATCH(ROUND(MIN(300,MAX(1,D735)),0), FactorTable!$A$2:$A$301,0), Skills!M5+1)</f>
        <v>1672</v>
      </c>
      <c r="F735">
        <f>IF(Skills!N5=TRUE,(Skills!L5/10)*(E735/1000),Skills!L5/10)+Skills!O5</f>
        <v>20.064</v>
      </c>
      <c r="G735">
        <f>Calc!G5</f>
        <v>5</v>
      </c>
      <c r="H735">
        <f>Calc!H5</f>
        <v>1</v>
      </c>
      <c r="I735">
        <f>IF(Skills!X5&lt;&gt;"",1+(Skills!X5/10)*(Z733/1000)/100,1)</f>
        <v>12.475</v>
      </c>
      <c r="J735">
        <f>((Inputs!$B$6*(1+Inputs!$B$7/100))+(((Inputs!$B$12*(1+Inputs!$B$13/100))-(Inputs!$B$12*(1+Inputs!$B$13/100)))+0.25*(Inputs!$B$14-Inputs!$B$14))*(1+Inputs!$B$7/100))*(F735/100)</f>
        <v>72458030.371890247</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4543247790131.1104</v>
      </c>
      <c r="L735">
        <f>K735*(MIN(Inputs!$B$22+(F752-Calc!F22),(Inputs!$B$23+(IF(ArtifactsInput!$M$15,CHOOSE(ArtifactsInput!$N$15+1,25,30,35,40,45,50)/100*(Inputs!$B$11-Inputs!$B$11),0))))/100+(Inputs!$B$23+(IF(ArtifactsInput!$M$15,CHOOSE(ArtifactsInput!$N$15+1,25,30,35,40,45,50)/100*(Inputs!$B$11-Inputs!$B$11),0)))/100)/2</f>
        <v>15106298902185.943</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71286624519415.453</v>
      </c>
      <c r="N735">
        <f>L735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71286624519415.453</v>
      </c>
      <c r="O735">
        <f>(1-Summary!$B$11)*S735+Summary!$B$11*U735</f>
        <v>1046309431383720.2</v>
      </c>
      <c r="P735">
        <f>IF(B771=0,0,O735/B771)</f>
        <v>3.1613923166633764E-2</v>
      </c>
      <c r="Q735">
        <f>IFERROR(1/(IF(Inputs!$B$38="pvp",15,MAX(0.1,Skills!E5-IF(FALSE=TRUE,Inputs!$B$32,0)))*(1-IF(AND(ArtifactsInput!$M$27,Inputs!$B$4="Chapter Hunt"),CHOOSE(ArtifactsInput!$N$27+1,20,24,28,32,36,40),0)/100)),0)</f>
        <v>1</v>
      </c>
      <c r="R735">
        <f>IF(AND(Inputs!$B$38&lt;&gt;"pvp",Inputs!$B$43&gt;0),IF(MAX(0,Inputs!$B$43-B768)&lt;=0,0,(INT(MAX(0,Inputs!$B$43-B768)/(IF(Inputs!$B$38="pvp",15,MAX(0.1,Skills!E5-IF(FALSE=TRUE,Inputs!$B$32,0)))*(1-IF(AND(ArtifactsInput!$M$27,Inputs!$B$4="Chapter Hunt"),CHOOSE(ArtifactsInput!$N$27+1,20,24,28,32,36,40),0)/100)))+1)),0)</f>
        <v>38</v>
      </c>
      <c r="S735">
        <f>IF(C735,(H735*N735*IF(AND(Inputs!$B$38&lt;&gt;"pvp",Inputs!$B$43&gt;0),((Skills!G5*((R735-1)*IF(Skills!H5&gt;0,Skills!I5/Skills!H5,1)+IF(Skills!H5&gt;0,MIN(Skills!I5,MAX(0,MAX(0,Inputs!$B$43-B768)-((R735-1)*(IF(Inputs!$B$38="pvp",15,MAX(0.1,Skills!E5-IF(FALSE=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1073398348701098.1</v>
      </c>
      <c r="U735">
        <f>IF(C735,(H735*N735*IF(AND(Inputs!$B$38&lt;&gt;"pvp",Inputs!$B$43&gt;0),((Skills!G5*((R735-1)*IF(Skills!H5&gt;0,Skills!I5/Skills!H5,1)+IF(Skills!H5&gt;0,MIN(Skills!I5,MAX(0,MAX(0,Inputs!$B$43-B768)-((R735-1)*(IF(Inputs!$B$38="pvp",15,MAX(0.1,Skills!E5-IF(FALSE=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1019220514066342.2</v>
      </c>
    </row>
    <row r="736" spans="1:26" x14ac:dyDescent="0.2">
      <c r="A736" t="str">
        <f>Skills!A6</f>
        <v>MEDITATION</v>
      </c>
      <c r="B736" t="str">
        <f>Skills!B6</f>
        <v>Meditation</v>
      </c>
      <c r="C736" t="b">
        <f>TRUE</f>
        <v>1</v>
      </c>
      <c r="D736">
        <f>IF(Skills!C6=1,60+(Inputs!$B$25+1)+Inputs!$B$29,IF(Skills!C6=2,90+Inputs!$B$26+Inputs!$B$29,IF(Skills!C6=3,120+Inputs!$B$27+Inputs!$B$29,MAX(0,(Inputs!$B$3-100)*3)+Inputs!$B$28+Inputs!$B$29)))</f>
        <v>168</v>
      </c>
      <c r="E736">
        <f>INDEX(FactorTable!$B$2:$Y$301, MATCH(ROUND(MIN(300,MAX(1,D736)),0), FactorTable!$A$2:$A$301,0), Skills!M6+1)</f>
        <v>1672</v>
      </c>
      <c r="F736">
        <f>IF(Skills!N6=TRUE,(Skills!L6/10)*(E736/1000),Skills!L6/10)+Skills!O6</f>
        <v>33.44</v>
      </c>
      <c r="G736">
        <f>Calc!G6</f>
        <v>1</v>
      </c>
      <c r="H736">
        <f>Calc!H6</f>
        <v>1</v>
      </c>
      <c r="I736">
        <f>IF(Skills!X6&lt;&gt;"",1+(Skills!X6/10)*(Z733/1000)/100,1)</f>
        <v>1</v>
      </c>
      <c r="O736">
        <f>(1-Summary!$B$11)*S736+Summary!$B$11*U736</f>
        <v>0</v>
      </c>
      <c r="P736">
        <f>IF(B771=0,0,O736/B771)</f>
        <v>0</v>
      </c>
      <c r="Q736">
        <f>IFERROR(1/(IF(Inputs!$B$38="pvp",15,MAX(0.1,Skills!E6-IF(TRUE=TRUE,Inputs!$B$32,0)))*(1-IF(AND(ArtifactsInput!$M$27,Inputs!$B$4="Chapter Hunt"),CHOOSE(ArtifactsInput!$N$27+1,20,24,28,32,36,40),0)/100)),0)</f>
        <v>3.3333333333333333E-2</v>
      </c>
      <c r="R736">
        <f>IF(AND(Inputs!$B$38&lt;&gt;"pvp",Inputs!$B$43&gt;0),IF(Inputs!$B$43&lt;=0,0,(INT(Inputs!$B$43/(IF(Inputs!$B$38="pvp",15,MAX(0.1,Skills!E6-IF(TRUE=TRUE,Inputs!$B$32,0)))*(1-IF(AND(ArtifactsInput!$M$27,Inputs!$B$4="Chapter Hunt"),CHOOSE(ArtifactsInput!$N$27+1,20,24,28,32,36,40),0)/100)))+1)),0)</f>
        <v>2</v>
      </c>
      <c r="S736">
        <v>0</v>
      </c>
      <c r="U736">
        <v>0</v>
      </c>
    </row>
    <row r="737" spans="1:21" x14ac:dyDescent="0.2">
      <c r="A737" t="str">
        <f>Skills!A7</f>
        <v>POISON_MIST_BURST</v>
      </c>
      <c r="B737" t="str">
        <f>Skills!B7</f>
        <v>Poison Mist (burst)</v>
      </c>
      <c r="C737" t="b">
        <f>TRUE</f>
        <v>1</v>
      </c>
      <c r="D737">
        <f>IF(Skills!C7=1,60+(Inputs!$B$25+1)+Inputs!$B$29,IF(Skills!C7=2,90+Inputs!$B$26+Inputs!$B$29,IF(Skills!C7=3,120+Inputs!$B$27+Inputs!$B$29,MAX(0,(Inputs!$B$3-100)*3)+Inputs!$B$28+Inputs!$B$29)))</f>
        <v>184</v>
      </c>
      <c r="E737">
        <f>INDEX(FactorTable!$B$2:$Y$301, MATCH(ROUND(MIN(300,MAX(1,D737)),0), FactorTable!$A$2:$A$301,0), Skills!M7+1)</f>
        <v>1920</v>
      </c>
      <c r="F737">
        <f>IF(Skills!N7=TRUE,(Skills!L7/10)*(E737/1000),Skills!L7/10)+Skills!O7</f>
        <v>357.2</v>
      </c>
      <c r="G737">
        <f>Calc!G7</f>
        <v>3</v>
      </c>
      <c r="H737">
        <f>Calc!H7</f>
        <v>1</v>
      </c>
      <c r="I737">
        <f>IF(Skills!X7&lt;&gt;"",1+(Skills!X7/10)*(Z733/1000)/100,1)</f>
        <v>1.7650000000000001</v>
      </c>
      <c r="J737">
        <f>((Inputs!$B$6*(1+Inputs!$B$7/100))+(((Inputs!$B$12*(1+Inputs!$B$13/100))-(Inputs!$B$12*(1+Inputs!$B$13/100)))+0.25*(Inputs!$B$14-Inputs!$B$14))*(1+Inputs!$B$7/100))*(F737/100)</f>
        <v>1289972510.4086521</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11443648522205.814</v>
      </c>
      <c r="L737">
        <f>K737*(MIN(Inputs!$B$22+(F752-Calc!F22),(Inputs!$B$23+(IF(ArtifactsInput!$M$15,CHOOSE(ArtifactsInput!$N$15+1,25,30,35,40,45,50)/100*(Inputs!$B$11-Inputs!$B$11),0))))/100+(Inputs!$B$23+(IF(ArtifactsInput!$M$15,CHOOSE(ArtifactsInput!$N$15+1,25,30,35,40,45,50)/100*(Inputs!$B$11-Inputs!$B$11),0)))/100)/2</f>
        <v>38050131336334.336</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179558569776161.72</v>
      </c>
      <c r="N737">
        <f>L737*(1-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179558569776161.72</v>
      </c>
      <c r="O737">
        <f>(1-Summary!$B$11)*S737+Summary!$B$11*U737</f>
        <v>448043521233967.5</v>
      </c>
      <c r="P737">
        <f>IF(B771=0,0,O737/B771)</f>
        <v>1.3537499549121507E-2</v>
      </c>
      <c r="Q737">
        <f>IFERROR(1/(IF(Inputs!$B$38="pvp",15,MAX(0.1,Skills!E7-IF(TRUE=TRUE,Inputs!$B$32,0)))*(1-IF(AND(ArtifactsInput!$M$27,Inputs!$B$4="Chapter Hunt"),CHOOSE(ArtifactsInput!$N$27+1,20,24,28,32,36,40),0)/100)),0)</f>
        <v>4.0816326530612242E-2</v>
      </c>
      <c r="R737">
        <f>IF(AND(Inputs!$B$38&lt;&gt;"pvp",Inputs!$B$43&gt;0),IF(MAX(0,Inputs!$B$43-B768)&lt;=0,0,(INT(MAX(0,Inputs!$B$43-B768)/(IF(Inputs!$B$38="pvp",15,MAX(0.1,Skills!E7-IF(TRUE=TRUE,Inputs!$B$32,0)))*(1-IF(AND(ArtifactsInput!$M$27,Inputs!$B$4="Chapter Hunt"),CHOOSE(ArtifactsInput!$N$27+1,20,24,28,32,36,40),0)/100)))+1)),0)</f>
        <v>2</v>
      </c>
      <c r="S737">
        <f>IF(C737,(H737*N737*IF(AND(Inputs!$B$38&lt;&gt;"pvp",Inputs!$B$43&gt;0),((Skills!G7*((R737-1)*IF(Skills!H7&gt;0,Skills!I7/Skills!H7,1)+IF(Skills!H7&gt;0,MIN(Skills!I7,MAX(0,MAX(0,Inputs!$B$43-B768)-((R737-1)*(IF(Inputs!$B$38="pvp",15,MAX(0.1,Skills!E7-IF(TRUE=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85380099928564.891</v>
      </c>
      <c r="U737">
        <f>IF(C737,(H737*N737*IF(AND(Inputs!$B$38&lt;&gt;"pvp",Inputs!$B$43&gt;0),((Skills!G7*((R737-1)*IF(Skills!H7&gt;0,Skills!I7/Skills!H7,1)+IF(Skills!H7&gt;0,MIN(Skills!I7,MAX(0,MAX(0,Inputs!$B$43-B768)-((R737-1)*(IF(Inputs!$B$38="pvp",15,MAX(0.1,Skills!E7-IF(TRUE=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810706942539370.12</v>
      </c>
    </row>
    <row r="738" spans="1:21" x14ac:dyDescent="0.2">
      <c r="A738" t="str">
        <f>Skills!A8</f>
        <v>POISON_MIST_DOT</v>
      </c>
      <c r="B738" t="str">
        <f>Skills!B8</f>
        <v>Poison Mist (fog DoT)</v>
      </c>
      <c r="C738" t="b">
        <f>TRUE</f>
        <v>1</v>
      </c>
      <c r="D738">
        <f>IF(Skills!C8=1,60+(Inputs!$B$25+1)+Inputs!$B$29,IF(Skills!C8=2,90+Inputs!$B$26+Inputs!$B$29,IF(Skills!C8=3,120+Inputs!$B$27+Inputs!$B$29,MAX(0,(Inputs!$B$3-100)*3)+Inputs!$B$28+Inputs!$B$29)))</f>
        <v>184</v>
      </c>
      <c r="E738">
        <f>INDEX(FactorTable!$B$2:$Y$301, MATCH(ROUND(MIN(300,MAX(1,D738)),0), FactorTable!$A$2:$A$301,0), Skills!M8+1)</f>
        <v>1920</v>
      </c>
      <c r="F738">
        <f>IF(Skills!N8=TRUE,(Skills!L8/10)*(E738/1000),Skills!L8/10)+Skills!O8</f>
        <v>134.4</v>
      </c>
      <c r="G738">
        <f>Calc!G8</f>
        <v>50</v>
      </c>
      <c r="H738">
        <f>Calc!H8</f>
        <v>1</v>
      </c>
      <c r="I738">
        <f>IF(Skills!X8&lt;&gt;"",1+(Skills!X8/10)*(Z733/1000)/100,1)</f>
        <v>1.7650000000000001</v>
      </c>
      <c r="J738">
        <f>((Inputs!$B$6*(1+Inputs!$B$7/100))+(((Inputs!$B$12*(1+Inputs!$B$13/100))-(Inputs!$B$12*(1+Inputs!$B$13/100)))+0.25*(Inputs!$B$14-Inputs!$B$14))*(1+Inputs!$B$7/100))*(F738/100)</f>
        <v>485364796.74950409</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4305784886294.6851</v>
      </c>
      <c r="L738">
        <f>K738*(MIN(Inputs!$B$22+(F752-Calc!F22),(Inputs!$B$23+(IF(ArtifactsInput!$M$15,CHOOSE(ArtifactsInput!$N$15+1,25,30,35,40,45,50)/100*(Inputs!$B$11-Inputs!$B$11),0))))/100+(Inputs!$B$23+(IF(ArtifactsInput!$M$15,CHOOSE(ArtifactsInput!$N$15+1,25,30,35,40,45,50)/100*(Inputs!$B$11-Inputs!$B$11),0)))/100)/2</f>
        <v>14316734746929.828</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67560671270761.852</v>
      </c>
      <c r="N738">
        <f>L738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67560671270761.852</v>
      </c>
      <c r="O738">
        <f>(1-Summary!$B$11)*S738+Summary!$B$11*U738</f>
        <v>2328149379786797.5</v>
      </c>
      <c r="P738">
        <f>IF(B771=0,0,O738/B771)</f>
        <v>7.0344329703392813E-2</v>
      </c>
      <c r="Q738">
        <f>IFERROR(1/(IF(Inputs!$B$38="pvp",15,MAX(0.1,Skills!E8-IF(TRUE=TRUE,Inputs!$B$32,0)))*(1-IF(AND(ArtifactsInput!$M$27,Inputs!$B$4="Chapter Hunt"),CHOOSE(ArtifactsInput!$N$27+1,20,24,28,32,36,40),0)/100)),0)</f>
        <v>4.0816326530612242E-2</v>
      </c>
      <c r="R738">
        <f>IF(AND(Inputs!$B$38&lt;&gt;"pvp",Inputs!$B$43&gt;0),IF(MAX(0,Inputs!$B$43-B768)&lt;=0,0,(INT(MAX(0,Inputs!$B$43-B768)/(IF(Inputs!$B$38="pvp",15,MAX(0.1,Skills!E8-IF(TRUE=TRUE,Inputs!$B$32,0)))*(1-IF(AND(ArtifactsInput!$M$27,Inputs!$B$4="Chapter Hunt"),CHOOSE(ArtifactsInput!$N$27+1,20,24,28,32,36,40),0)/100)))+1)),0)</f>
        <v>2</v>
      </c>
      <c r="S738">
        <f>IF(C738,(H738*N738*IF(AND(Inputs!$B$38&lt;&gt;"pvp",Inputs!$B$43&gt;0),((Skills!G8*((R738-1)*IF(Skills!H8&gt;0,Skills!I8/Skills!H8,1)+IF(Skills!H8&gt;0,MIN(Skills!I8,MAX(0,MAX(0,Inputs!$B$43-B768)-((R738-1)*(IF(Inputs!$B$38="pvp",15,MAX(0.1,Skills!E8-IF(TRUE=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443656960259942.81</v>
      </c>
      <c r="U738">
        <f>IF(C738,(H738*N738*IF(AND(Inputs!$B$38&lt;&gt;"pvp",Inputs!$B$43&gt;0),((Skills!G8*((R738-1)*IF(Skills!H8&gt;0,Skills!I8/Skills!H8,1)+IF(Skills!H8&gt;0,MIN(Skills!I8,MAX(0,MAX(0,Inputs!$B$43-B768)-((R738-1)*(IF(Inputs!$B$38="pvp",15,MAX(0.1,Skills!E8-IF(TRUE=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4212641799313652</v>
      </c>
    </row>
    <row r="739" spans="1:21" x14ac:dyDescent="0.2">
      <c r="A739" t="str">
        <f>Skills!A9</f>
        <v>MIST_ERUPTION</v>
      </c>
      <c r="B739" t="str">
        <f>Skills!B9</f>
        <v>Mist Eruption</v>
      </c>
      <c r="C739" t="b">
        <f>Inputs!$B$3&gt;=103</f>
        <v>1</v>
      </c>
      <c r="D739">
        <f>IF(Skills!C9=1,60+(Inputs!$B$25+1)+Inputs!$B$29,IF(Skills!C9=2,90+Inputs!$B$26+Inputs!$B$29,IF(Skills!C9=3,120+Inputs!$B$27+Inputs!$B$29,MAX(0,(Inputs!$B$3-100)*3)+Inputs!$B$28+Inputs!$B$29)))</f>
        <v>185</v>
      </c>
      <c r="E739">
        <f>INDEX(FactorTable!$B$2:$Y$301, MATCH(ROUND(MIN(300,MAX(1,D739)),0), FactorTable!$A$2:$A$301,0), Skills!M9+1)</f>
        <v>1925</v>
      </c>
      <c r="F739">
        <f>IF(Skills!N9=TRUE,(Skills!L9/10)*(E739/1000),Skills!L9/10)+Skills!O9</f>
        <v>5775</v>
      </c>
      <c r="G739">
        <f>Calc!G9</f>
        <v>2.5</v>
      </c>
      <c r="H739">
        <f>Calc!H9</f>
        <v>1</v>
      </c>
      <c r="I739">
        <f>IF(Skills!X9&lt;&gt;"",1+(Skills!X9/10)*(Z733/1000)/100,1)</f>
        <v>1</v>
      </c>
      <c r="J739">
        <f>((Inputs!$B$6*(1+Inputs!$B$7/100))+(((Inputs!$B$12*(1+Inputs!$B$13/100))-(Inputs!$B$12*(1+Inputs!$B$13/100)))+0.25*(Inputs!$B$14-Inputs!$B$14))*(1+Inputs!$B$7/100))*(F739/100)</f>
        <v>20855518610.330254</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104823906137662.73</v>
      </c>
      <c r="L739">
        <f>K739*(MIN(Inputs!$B$22+(F752-Calc!F22),(Inputs!$B$23+(IF(ArtifactsInput!$M$15,CHOOSE(ArtifactsInput!$N$15+1,25,30,35,40,45,50)/100*(Inputs!$B$11-Inputs!$B$11),0))))/100+(Inputs!$B$23+(IF(ArtifactsInput!$M$15,CHOOSE(ArtifactsInput!$N$15+1,25,30,35,40,45,50)/100*(Inputs!$B$11-Inputs!$B$11),0)))/100)/2</f>
        <v>348539487907728.62</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1644757843436571.2</v>
      </c>
      <c r="N739">
        <f>L739*(1-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1644757843436571.2</v>
      </c>
      <c r="O739">
        <f>(1-Summary!$B$11)*S739+Summary!$B$11*U739</f>
        <v>3420068340695920</v>
      </c>
      <c r="P739">
        <f>IF(B771=0,0,O739/B771)</f>
        <v>0.10333633101673266</v>
      </c>
      <c r="Q739">
        <f>IFERROR(1/(IF(Inputs!$B$38="pvp",15,MAX(0.1,Skills!E9-IF(TRUE=TRUE,Inputs!$B$32,0)))*(1-IF(AND(ArtifactsInput!$M$27,Inputs!$B$4="Chapter Hunt"),CHOOSE(ArtifactsInput!$N$27+1,20,24,28,32,36,40),0)/100)),0)</f>
        <v>4.0816326530612242E-2</v>
      </c>
      <c r="R739">
        <f>IF(AND(Inputs!$B$38&lt;&gt;"pvp",Inputs!$B$43&gt;0),IF(MAX(0,Inputs!$B$43-B768)&lt;=0,0,(INT(MAX(0,Inputs!$B$43-B768)/(IF(Inputs!$B$38="pvp",15,MAX(0.1,Skills!E9-IF(TRUE=TRUE,Inputs!$B$32,0)))*(1-IF(AND(ArtifactsInput!$M$27,Inputs!$B$4="Chapter Hunt"),CHOOSE(ArtifactsInput!$N$27+1,20,24,28,32,36,40),0)/100)))+1)),0)</f>
        <v>2</v>
      </c>
      <c r="S739">
        <f>IF(C739,(H739*N739*IF(AND(Inputs!$B$38&lt;&gt;"pvp",Inputs!$B$43&gt;0),((Skills!G9*((R739-1)*IF(Skills!H9&gt;0,Skills!I9/Skills!H9,1)+IF(Skills!H9&gt;0,MIN(Skills!I9,MAX(0,MAX(0,Inputs!$B$43-B768)-((R739-1)*(IF(Inputs!$B$38="pvp",15,MAX(0.1,Skills!E9-IF(TRUE=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651735295461741.38</v>
      </c>
      <c r="U739">
        <f>IF(C739,(H739*N739*IF(AND(Inputs!$B$38&lt;&gt;"pvp",Inputs!$B$43&gt;0),((Skills!G9*((R739-1)*IF(Skills!H9&gt;0,Skills!I9/Skills!H9,1)+IF(Skills!H9&gt;0,MIN(Skills!I9,MAX(0,MAX(0,Inputs!$B$43-B768)-((R739-1)*(IF(Inputs!$B$38="pvp",15,MAX(0.1,Skills!E9-IF(TRUE=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6188401385930099</v>
      </c>
    </row>
    <row r="740" spans="1:21" x14ac:dyDescent="0.2">
      <c r="A740" t="str">
        <f>Skills!A10</f>
        <v>CREEPING_TOXIN</v>
      </c>
      <c r="B740" t="str">
        <f>Skills!B10</f>
        <v>Creeping Toxin</v>
      </c>
      <c r="C740" t="b">
        <f>TRUE</f>
        <v>1</v>
      </c>
      <c r="D740">
        <f>IF(Skills!C10=1,60+(Inputs!$B$25+1)+Inputs!$B$29,IF(Skills!C10=2,90+Inputs!$B$26+Inputs!$B$29,IF(Skills!C10=3,120+Inputs!$B$27+Inputs!$B$29,MAX(0,(Inputs!$B$3-100)*3)+Inputs!$B$28+Inputs!$B$29)))</f>
        <v>184</v>
      </c>
      <c r="E740">
        <f>INDEX(FactorTable!$B$2:$Y$301, MATCH(ROUND(MIN(300,MAX(1,D740)),0), FactorTable!$A$2:$A$301,0), Skills!M10+1)</f>
        <v>1920</v>
      </c>
      <c r="F740">
        <f>IF(Skills!N10=TRUE,(Skills!L10/10)*(E740/1000),Skills!L10/10)+Skills!O10</f>
        <v>280.39999999999998</v>
      </c>
      <c r="G740">
        <f>Calc!G10</f>
        <v>15</v>
      </c>
      <c r="H740">
        <f>Calc!H10</f>
        <v>1</v>
      </c>
      <c r="I740">
        <f>IF(Skills!X10&lt;&gt;"",1+(Skills!X10/10)*(Z733/1000)/100,1)</f>
        <v>1.7650000000000001</v>
      </c>
      <c r="J740">
        <f>((Inputs!$B$6*(1+Inputs!$B$7/100))+(((Inputs!$B$12*(1+Inputs!$B$13/100))-(Inputs!$B$12*(1+Inputs!$B$13/100)))+0.25*(Inputs!$B$14-Inputs!$B$14))*(1+Inputs!$B$7/100))*(F740/100)</f>
        <v>1012621197.9803641</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8983200015751.707</v>
      </c>
      <c r="L740">
        <f>K740*(MIN(Inputs!$B$22+(F752-Calc!F22),(Inputs!$B$23+(IF(ArtifactsInput!$M$15,CHOOSE(ArtifactsInput!$N$15+1,25,30,35,40,45,50)/100*(Inputs!$B$11-Inputs!$B$11),0))))/100+(Inputs!$B$23+(IF(ArtifactsInput!$M$15,CHOOSE(ArtifactsInput!$N$15+1,25,30,35,40,45,50)/100*(Inputs!$B$11-Inputs!$B$11),0)))/100)/2</f>
        <v>29869140052374.426</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140952471907154.91</v>
      </c>
      <c r="N740">
        <f>L740*(1-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140952471907154.91</v>
      </c>
      <c r="O740">
        <f>(1-Summary!$B$11)*S740+Summary!$B$11*U740</f>
        <v>324417848352667.25</v>
      </c>
      <c r="P740">
        <f>IF(B771=0,0,O740/B771)</f>
        <v>9.8021872154419772E-3</v>
      </c>
      <c r="Q740">
        <f>IFERROR(1/(IF(Inputs!$B$38="pvp",15,MAX(0.1,Skills!E10-IF(TRUE=TRUE,Inputs!$B$32,0)))*(1-IF(AND(ArtifactsInput!$M$27,Inputs!$B$4="Chapter Hunt"),CHOOSE(ArtifactsInput!$N$27+1,20,24,28,32,36,40),0)/100)),0)</f>
        <v>3.7037037037037035E-2</v>
      </c>
      <c r="R740">
        <f>IF(AND(Inputs!$B$38&lt;&gt;"pvp",Inputs!$B$43&gt;0),IF(MAX(0,Inputs!$B$43-B768)&lt;=0,0,(INT(MAX(0,Inputs!$B$43-B768)/(IF(Inputs!$B$38="pvp",15,MAX(0.1,Skills!E10-IF(TRUE=TRUE,Inputs!$B$32,0)))*(1-IF(AND(ArtifactsInput!$M$27,Inputs!$B$4="Chapter Hunt"),CHOOSE(ArtifactsInput!$N$27+1,20,24,28,32,36,40),0)/100)))+1)),0)</f>
        <v>2</v>
      </c>
      <c r="S740">
        <f>IF(C740,(H740*N740*IF(AND(Inputs!$B$38&lt;&gt;"pvp",Inputs!$B$43&gt;0),((Skills!G10*((R740-1)*IF(Skills!H10&gt;0,Skills!I10/Skills!H10,1)+IF(Skills!H10&gt;0,MIN(Skills!I10,MAX(0,MAX(0,Inputs!$B$43-B768)-((R740-1)*(IF(Inputs!$B$38="pvp",15,MAX(0.1,Skills!E10-IF(TRUE=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286463671108065.56</v>
      </c>
      <c r="U740">
        <f>IF(C740,(H740*N740*IF(AND(Inputs!$B$38&lt;&gt;"pvp",Inputs!$B$43&gt;0),((Skills!G10*((R740-1)*IF(Skills!H10&gt;0,Skills!I10/Skills!H10,1)+IF(Skills!H10&gt;0,MIN(Skills!I10,MAX(0,MAX(0,Inputs!$B$43-B768)-((R740-1)*(IF(Inputs!$B$38="pvp",15,MAX(0.1,Skills!E10-IF(TRUE=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362372025597269</v>
      </c>
    </row>
    <row r="741" spans="1:21" x14ac:dyDescent="0.2">
      <c r="A741" t="str">
        <f>Skills!A11</f>
        <v>BURNING_MAGIC</v>
      </c>
      <c r="B741" t="str">
        <f>Skills!B11</f>
        <v>Burning Magic</v>
      </c>
      <c r="C741" t="b">
        <f>TRUE</f>
        <v>1</v>
      </c>
      <c r="D741">
        <f>IF(Skills!C11=1,60+(Inputs!$B$25+1)+Inputs!$B$29,IF(Skills!C11=2,90+Inputs!$B$26+Inputs!$B$29,IF(Skills!C11=3,120+Inputs!$B$27+Inputs!$B$29,MAX(0,(Inputs!$B$3-100)*3)+Inputs!$B$28+Inputs!$B$29)))</f>
        <v>184</v>
      </c>
      <c r="E741">
        <f>INDEX(FactorTable!$B$2:$Y$301, MATCH(ROUND(MIN(300,MAX(1,D741)),0), FactorTable!$A$2:$A$301,0), Skills!M11+1)</f>
        <v>0</v>
      </c>
      <c r="F741">
        <f>IF(Skills!N11=TRUE,(Skills!L11/10)*(E741/1000),Skills!L11/10)+Skills!O11</f>
        <v>5</v>
      </c>
      <c r="G741">
        <f>Calc!G11</f>
        <v>1</v>
      </c>
      <c r="H741">
        <f>Calc!H11</f>
        <v>1</v>
      </c>
      <c r="I741">
        <f>IF(Skills!X11&lt;&gt;"",1+(Skills!X11/10)*(Z733/1000)/100,1)</f>
        <v>1</v>
      </c>
      <c r="O741">
        <f>(1-Summary!$B$11)*S741+Summary!$B$11*U741</f>
        <v>0</v>
      </c>
      <c r="P741">
        <f>IF(B771=0,0,O741/B771)</f>
        <v>0</v>
      </c>
      <c r="Q741">
        <f>IFERROR(1/(IF(Inputs!$B$38="pvp",15,MAX(0.1,Skills!E11-IF(TRUE=TRUE,Inputs!$B$32,0)))*(1-IF(AND(ArtifactsInput!$M$27,Inputs!$B$4="Chapter Hunt"),CHOOSE(ArtifactsInput!$N$27+1,20,24,28,32,36,40),0)/100)),0)</f>
        <v>10</v>
      </c>
      <c r="R741">
        <v>0</v>
      </c>
      <c r="S741">
        <v>0</v>
      </c>
      <c r="U741">
        <v>0</v>
      </c>
    </row>
    <row r="742" spans="1:21" x14ac:dyDescent="0.2">
      <c r="A742" t="str">
        <f>Skills!A12</f>
        <v>ELEMENTAL_DECREASE</v>
      </c>
      <c r="B742" t="str">
        <f>Skills!B12</f>
        <v>Elemental Decrease</v>
      </c>
      <c r="C742" t="b">
        <f>TRUE</f>
        <v>1</v>
      </c>
      <c r="D742">
        <f>IF(Skills!C12=1,60+(Inputs!$B$25+1)+Inputs!$B$29,IF(Skills!C12=2,90+Inputs!$B$26+Inputs!$B$29,IF(Skills!C12=3,120+Inputs!$B$27+Inputs!$B$29,MAX(0,(Inputs!$B$3-100)*3)+Inputs!$B$28+Inputs!$B$29)))</f>
        <v>184</v>
      </c>
      <c r="E742">
        <f>INDEX(FactorTable!$B$2:$Y$301, MATCH(ROUND(MIN(300,MAX(1,D742)),0), FactorTable!$A$2:$A$301,0), Skills!M12+1)</f>
        <v>1552</v>
      </c>
      <c r="F742">
        <f>IF(Skills!N12=TRUE,(Skills!L12/10)*(E742/1000),Skills!L12/10)+Skills!O12</f>
        <v>18.624000000000002</v>
      </c>
      <c r="G742">
        <f>Calc!G12</f>
        <v>1</v>
      </c>
      <c r="H742">
        <f>Calc!H12</f>
        <v>0.5</v>
      </c>
      <c r="I742">
        <f>IF(Skills!X12&lt;&gt;"",1+(Skills!X12/10)*(Z733/1000)/100,1)</f>
        <v>1</v>
      </c>
      <c r="O742">
        <f>(1-Summary!$B$11)*S742+Summary!$B$11*U742</f>
        <v>0</v>
      </c>
      <c r="P742">
        <f>IF(B771=0,0,O742/B771)</f>
        <v>0</v>
      </c>
      <c r="Q742">
        <f>IFERROR(1/(IF(Inputs!$B$38="pvp",15,MAX(0.1,Skills!E12-IF(TRUE=TRUE,Inputs!$B$32,0)))*(1-IF(AND(ArtifactsInput!$M$27,Inputs!$B$4="Chapter Hunt"),CHOOSE(ArtifactsInput!$N$27+1,20,24,28,32,36,40),0)/100)),0)</f>
        <v>10</v>
      </c>
      <c r="R742">
        <v>0</v>
      </c>
      <c r="S742">
        <v>0</v>
      </c>
      <c r="U742">
        <v>0</v>
      </c>
    </row>
    <row r="743" spans="1:21" x14ac:dyDescent="0.2">
      <c r="A743" t="str">
        <f>Skills!A13</f>
        <v>METEOR_SHOWER_BURST</v>
      </c>
      <c r="B743" t="str">
        <f>Skills!B13</f>
        <v>Meteor Shower (burst)</v>
      </c>
      <c r="C743" t="b">
        <f>Inputs!$B$3&gt;=105</f>
        <v>1</v>
      </c>
      <c r="D743">
        <f>IF(Skills!C13=1,60+(Inputs!$B$25+1)+Inputs!$B$29,IF(Skills!C13=2,90+Inputs!$B$26+Inputs!$B$29,IF(Skills!C13=3,120+Inputs!$B$27+Inputs!$B$29,MAX(0,(Inputs!$B$3-100)*3)+Inputs!$B$28+Inputs!$B$29)))</f>
        <v>185</v>
      </c>
      <c r="E743">
        <f>INDEX(FactorTable!$B$2:$Y$301, MATCH(ROUND(MIN(300,MAX(1,D743)),0), FactorTable!$A$2:$A$301,0), Skills!M13+1)</f>
        <v>1925</v>
      </c>
      <c r="F743">
        <f>IF(Skills!N13=TRUE,(Skills!L13/10)*(E743/1000),Skills!L13/10)+Skills!O13</f>
        <v>1155</v>
      </c>
      <c r="G743">
        <f>Calc!G13</f>
        <v>9</v>
      </c>
      <c r="H743">
        <f>Calc!H13</f>
        <v>1</v>
      </c>
      <c r="I743">
        <f>IF(Skills!X13&lt;&gt;"",1+(Skills!X13/10)*(Z733/1000)/100,1)</f>
        <v>1</v>
      </c>
      <c r="J743">
        <f>((Inputs!$B$6*(1+Inputs!$B$7/100))+(((Inputs!$B$12*(1+Inputs!$B$13/100))-(Inputs!$B$12*(1+Inputs!$B$13/100)))+0.25*(Inputs!$B$14-Inputs!$B$14))*(1+Inputs!$B$7/100))*(F743/100)</f>
        <v>4171103722.0660505</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20964781227532.547</v>
      </c>
      <c r="L743">
        <f>K743*(MIN(Inputs!$B$22+(F752-Calc!F22),(Inputs!$B$23+(IF(ArtifactsInput!$M$15,CHOOSE(ArtifactsInput!$N$15+1,25,30,35,40,45,50)/100*(Inputs!$B$11-Inputs!$B$11),0))))/100+(Inputs!$B$23+(IF(ArtifactsInput!$M$15,CHOOSE(ArtifactsInput!$N$15+1,25,30,35,40,45,50)/100*(Inputs!$B$11-Inputs!$B$11),0)))/100)/2</f>
        <v>69707897581545.719</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328951568687314.19</v>
      </c>
      <c r="N743">
        <f>L743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328951568687314.19</v>
      </c>
      <c r="O743">
        <f>(1-Summary!$B$11)*S743+Summary!$B$11*U743</f>
        <v>1794101855620611.5</v>
      </c>
      <c r="P743">
        <f>IF(B771=0,0,O743/B771)</f>
        <v>5.4208245204954361E-2</v>
      </c>
      <c r="Q743">
        <f>IFERROR(1/(IF(Inputs!$B$38="pvp",15,MAX(0.1,Skills!E13-IF(TRUE=TRUE,Inputs!$B$32,0)))*(1-IF(AND(ArtifactsInput!$M$27,Inputs!$B$4="Chapter Hunt"),CHOOSE(ArtifactsInput!$N$27+1,20,24,28,32,36,40),0)/100)),0)</f>
        <v>3.0303030303030304E-2</v>
      </c>
      <c r="R743">
        <f>IF(AND(Inputs!$B$38&lt;&gt;"pvp",Inputs!$B$43&gt;0),IF(MAX(0,Inputs!$B$43-B768)&lt;=0,0,(INT(MAX(0,Inputs!$B$43-B768)/(IF(Inputs!$B$38="pvp",15,MAX(0.1,Skills!E13-IF(TRUE=TRUE,Inputs!$B$32,0)))*(1-IF(AND(ArtifactsInput!$M$27,Inputs!$B$4="Chapter Hunt"),CHOOSE(ArtifactsInput!$N$27+1,20,24,28,32,36,40),0)/100)))+1)),0)</f>
        <v>2</v>
      </c>
      <c r="S743">
        <f>IF(C743,(H743*N743*IF(AND(Inputs!$B$38&lt;&gt;"pvp",Inputs!$B$43&gt;0),((Skills!G13*((R743-1)*IF(Skills!H13&gt;0,Skills!I13/Skills!H13,1)+IF(Skills!H13&gt;0,MIN(Skills!I13,MAX(0,MAX(0,Inputs!$B$43-B768)-((R743-1)*(IF(Inputs!$B$38="pvp",15,MAX(0.1,Skills!E13-IF(TRUE=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469249412732453.62</v>
      </c>
      <c r="U743">
        <f>IF(C743,(H743*N743*IF(AND(Inputs!$B$38&lt;&gt;"pvp",Inputs!$B$43&gt;0),((Skills!G13*((R743-1)*IF(Skills!H13&gt;0,Skills!I13/Skills!H13,1)+IF(Skills!H13&gt;0,MIN(Skills!I13,MAX(0,MAX(0,Inputs!$B$43-B768)-((R743-1)*(IF(Inputs!$B$38="pvp",15,MAX(0.1,Skills!E13-IF(TRUE=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3118954298508769.5</v>
      </c>
    </row>
    <row r="744" spans="1:21" x14ac:dyDescent="0.2">
      <c r="A744" t="str">
        <f>Skills!A14</f>
        <v>METEOR_PROC</v>
      </c>
      <c r="B744" t="str">
        <f>Skills!B14</f>
        <v>Meteor Proc (30% on-hit, 1s ICD)</v>
      </c>
      <c r="C744" t="b">
        <f>Inputs!$B$3&gt;=113</f>
        <v>1</v>
      </c>
      <c r="D744">
        <f>IF(Skills!C14=1,60+(Inputs!$B$25+1)+Inputs!$B$29,IF(Skills!C14=2,90+Inputs!$B$26+Inputs!$B$29,IF(Skills!C14=3,120+Inputs!$B$27+Inputs!$B$29,MAX(0,(Inputs!$B$3-100)*3)+Inputs!$B$28+Inputs!$B$29)))</f>
        <v>185</v>
      </c>
      <c r="E744">
        <f>INDEX(FactorTable!$B$2:$Y$301, MATCH(ROUND(MIN(300,MAX(1,D744)),0), FactorTable!$A$2:$A$301,0), Skills!M14+1)</f>
        <v>1740</v>
      </c>
      <c r="F744">
        <f>IF(Skills!N14=TRUE,(Skills!L14/10)*(E744/1000),Skills!L14/10)+Skills!O14</f>
        <v>1653</v>
      </c>
      <c r="G744">
        <f>Calc!G14</f>
        <v>0</v>
      </c>
      <c r="H744">
        <f>Calc!H14</f>
        <v>0.30000000000000004</v>
      </c>
      <c r="I744">
        <f>IF(Skills!X14&lt;&gt;"",1+(Skills!X14/10)*(Z733/1000)/100,1)</f>
        <v>1</v>
      </c>
      <c r="J744">
        <f>((Inputs!$B$6*(1+Inputs!$B$7/100))+(((Inputs!$B$12*(1+Inputs!$B$13/100))-(Inputs!$B$12*(1+Inputs!$B$13/100)))+0.25*(Inputs!$B$14-Inputs!$B$14))*(1+Inputs!$B$7/100))*(F744/100)</f>
        <v>5969553638.5932312</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30004141445118.004</v>
      </c>
      <c r="L744">
        <f>K744*(MIN(Inputs!$B$22+(F752-Calc!F22),(Inputs!$B$23+(IF(ArtifactsInput!$M$15,CHOOSE(ArtifactsInput!$N$15+1,25,30,35,40,45,50)/100*(Inputs!$B$11-Inputs!$B$11),0))))/100+(Inputs!$B$23+(IF(ArtifactsInput!$M$15,CHOOSE(ArtifactsInput!$N$15+1,25,30,35,40,45,50)/100*(Inputs!$B$11-Inputs!$B$11),0)))/100)/2</f>
        <v>99763770305017.375</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470785232069376.94</v>
      </c>
      <c r="N744">
        <f>L744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470785232069376.94</v>
      </c>
      <c r="O744">
        <f>(1-Summary!$B$11)*S744+Summary!$B$11*U744</f>
        <v>461392444469362.56</v>
      </c>
      <c r="P744">
        <f>IF(B771=0,0,O744/B771)</f>
        <v>1.3940833229257574E-2</v>
      </c>
      <c r="Q744">
        <f>IFERROR(1/(IF(Inputs!$B$38="pvp",15,MAX(0.1,Skills!E14-IF(TRUE=TRUE,Inputs!$B$32,0)))*(1-IF(AND(ArtifactsInput!$M$27,Inputs!$B$4="Chapter Hunt"),CHOOSE(ArtifactsInput!$N$27+1,20,24,28,32,36,40),0)/100)),0)</f>
        <v>10</v>
      </c>
      <c r="R744">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473337879924880.06</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449447009013845.06</v>
      </c>
    </row>
    <row r="745" spans="1:21" x14ac:dyDescent="0.2">
      <c r="A745" t="str">
        <f>Skills!A15</f>
        <v>FLAME_HAZE_BURST</v>
      </c>
      <c r="B745" t="str">
        <f>Skills!B15</f>
        <v>Flame Haze (burst)</v>
      </c>
      <c r="C745" t="b">
        <f>Inputs!$B$3&gt;=107</f>
        <v>1</v>
      </c>
      <c r="D745">
        <f>IF(Skills!C15=1,60+(Inputs!$B$25+1)+Inputs!$B$29,IF(Skills!C15=2,90+Inputs!$B$26+Inputs!$B$29,IF(Skills!C15=3,120+Inputs!$B$27+Inputs!$B$29,MAX(0,(Inputs!$B$3-100)*3)+Inputs!$B$28+Inputs!$B$29)))</f>
        <v>185</v>
      </c>
      <c r="E745">
        <f>INDEX(FactorTable!$B$2:$Y$301, MATCH(ROUND(MIN(300,MAX(1,D745)),0), FactorTable!$A$2:$A$301,0), Skills!M15+1)</f>
        <v>1925</v>
      </c>
      <c r="F745">
        <f>IF(Skills!N15=TRUE,(Skills!L15/10)*(E745/1000),Skills!L15/10)+Skills!O15</f>
        <v>2310</v>
      </c>
      <c r="G745">
        <f>Calc!G15</f>
        <v>3</v>
      </c>
      <c r="H745">
        <f>Calc!H15</f>
        <v>1</v>
      </c>
      <c r="I745">
        <f>IF(Skills!X15&lt;&gt;"",1+(Skills!X15/10)*(Z733/1000)/100,1)</f>
        <v>1</v>
      </c>
      <c r="J745">
        <f>((Inputs!$B$6*(1+Inputs!$B$7/100))+(((Inputs!$B$12*(1+Inputs!$B$13/100))-(Inputs!$B$12*(1+Inputs!$B$13/100)))+0.25*(Inputs!$B$14-Inputs!$B$14))*(1+Inputs!$B$7/100))*(F745/100)</f>
        <v>8342207444.1321011</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41929562455065.094</v>
      </c>
      <c r="L745">
        <f>K745*(MIN(Inputs!$B$22+(F752-Calc!F22),(Inputs!$B$23+(IF(ArtifactsInput!$M$15,CHOOSE(ArtifactsInput!$N$15+1,25,30,35,40,45,50)/100*(Inputs!$B$11-Inputs!$B$11),0))))/100+(Inputs!$B$23+(IF(ArtifactsInput!$M$15,CHOOSE(ArtifactsInput!$N$15+1,25,30,35,40,45,50)/100*(Inputs!$B$11-Inputs!$B$11),0)))/100)/2</f>
        <v>139415795163091.44</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657903137374628.38</v>
      </c>
      <c r="N745">
        <f>L745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657903137374628.38</v>
      </c>
      <c r="O745">
        <f>(1-Summary!$B$11)*S745+Summary!$B$11*U745</f>
        <v>1641632803534041</v>
      </c>
      <c r="P745">
        <f>IF(B771=0,0,O745/B771)</f>
        <v>4.960143888803166E-2</v>
      </c>
      <c r="Q745">
        <f>IFERROR(1/(IF(Inputs!$B$38="pvp",15,MAX(0.1,Skills!E15-IF(TRUE=TRUE,Inputs!$B$32,0)))*(1-IF(AND(ArtifactsInput!$M$27,Inputs!$B$4="Chapter Hunt"),CHOOSE(ArtifactsInput!$N$27+1,20,24,28,32,36,40),0)/100)),0)</f>
        <v>0.04</v>
      </c>
      <c r="R745">
        <f>IF(AND(Inputs!$B$38&lt;&gt;"pvp",Inputs!$B$43&gt;0),IF(MAX(0,Inputs!$B$43-B768)&lt;=0,0,(INT(MAX(0,Inputs!$B$43-B768)/(IF(Inputs!$B$38="pvp",15,MAX(0.1,Skills!E15-IF(TRUE=TRUE,Inputs!$B$32,0)))*(1-IF(AND(ArtifactsInput!$M$27,Inputs!$B$4="Chapter Hunt"),CHOOSE(ArtifactsInput!$N$27+1,20,24,28,32,36,40),0)/100)))+1)),0)</f>
        <v>2</v>
      </c>
      <c r="S745">
        <f>IF(C745,(H745*N745*IF(AND(Inputs!$B$38&lt;&gt;"pvp",Inputs!$B$43&gt;0),((Skills!G15*((R745-1)*IF(Skills!H15&gt;0,Skills!I15/Skills!H15,1)+IF(Skills!H15&gt;0,MIN(Skills!I15,MAX(0,MAX(0,Inputs!$B$43-B768)-((R745-1)*(IF(Inputs!$B$38="pvp",15,MAX(0.1,Skills!E15-IF(TRUE=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312832941821635.75</v>
      </c>
      <c r="U745">
        <f>IF(C745,(H745*N745*IF(AND(Inputs!$B$38&lt;&gt;"pvp",Inputs!$B$43&gt;0),((Skills!G15*((R745-1)*IF(Skills!H15&gt;0,Skills!I15/Skills!H15,1)+IF(Skills!H15&gt;0,MIN(Skills!I15,MAX(0,MAX(0,Inputs!$B$43-B768)-((R745-1)*(IF(Inputs!$B$38="pvp",15,MAX(0.1,Skills!E15-IF(TRUE=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2970432665246446.5</v>
      </c>
    </row>
    <row r="746" spans="1:21" x14ac:dyDescent="0.2">
      <c r="A746" t="str">
        <f>Skills!A16</f>
        <v>FLAME_HAZE_DOT</v>
      </c>
      <c r="B746" t="str">
        <f>Skills!B16</f>
        <v>Flame Haze (burn DoT)</v>
      </c>
      <c r="C746" t="b">
        <f>Inputs!$B$3&gt;=107</f>
        <v>1</v>
      </c>
      <c r="D746">
        <f>IF(Skills!C16=1,60+(Inputs!$B$25+1)+Inputs!$B$29,IF(Skills!C16=2,90+Inputs!$B$26+Inputs!$B$29,IF(Skills!C16=3,120+Inputs!$B$27+Inputs!$B$29,MAX(0,(Inputs!$B$3-100)*3)+Inputs!$B$28+Inputs!$B$29)))</f>
        <v>185</v>
      </c>
      <c r="E746">
        <f>INDEX(FactorTable!$B$2:$Y$301, MATCH(ROUND(MIN(300,MAX(1,D746)),0), FactorTable!$A$2:$A$301,0), Skills!M16+1)</f>
        <v>1925</v>
      </c>
      <c r="F746">
        <f>IF(Skills!N16=TRUE,(Skills!L16/10)*(E746/1000),Skills!L16/10)+Skills!O16</f>
        <v>288.75</v>
      </c>
      <c r="G746">
        <f>Calc!G16</f>
        <v>30</v>
      </c>
      <c r="H746">
        <f>Calc!H16</f>
        <v>1</v>
      </c>
      <c r="I746">
        <f>IF(Skills!X16&lt;&gt;"",1+(Skills!X16/10)*(Z733/1000)/100,1)</f>
        <v>1</v>
      </c>
      <c r="J746">
        <f>((Inputs!$B$6*(1+Inputs!$B$7/100))+(((Inputs!$B$12*(1+Inputs!$B$13/100))-(Inputs!$B$12*(1+Inputs!$B$13/100)))+0.25*(Inputs!$B$14-Inputs!$B$14))*(1+Inputs!$B$7/100))*(F746/100)</f>
        <v>1042775930.5165126</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5241195306883.1367</v>
      </c>
      <c r="L746">
        <f>K746*(MIN(Inputs!$B$22+(F752-Calc!F22),(Inputs!$B$23+(IF(ArtifactsInput!$M$15,CHOOSE(ArtifactsInput!$N$15+1,25,30,35,40,45,50)/100*(Inputs!$B$11-Inputs!$B$11),0))))/100+(Inputs!$B$23+(IF(ArtifactsInput!$M$15,CHOOSE(ArtifactsInput!$N$15+1,25,30,35,40,45,50)/100*(Inputs!$B$11-Inputs!$B$11),0)))/100)/2</f>
        <v>17426974395386.43</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82237892171828.547</v>
      </c>
      <c r="N746">
        <f>L746*(1-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82237892171828.547</v>
      </c>
      <c r="O746">
        <f>(1-Summary!$B$11)*S746+Summary!$B$11*U746</f>
        <v>1890935115106201</v>
      </c>
      <c r="P746">
        <f>IF(B771=0,0,O746/B771)</f>
        <v>5.713403286731316E-2</v>
      </c>
      <c r="Q746">
        <f>IFERROR(1/(IF(Inputs!$B$38="pvp",15,MAX(0.1,Skills!E16-IF(TRUE=TRUE,Inputs!$B$32,0)))*(1-IF(AND(ArtifactsInput!$M$27,Inputs!$B$4="Chapter Hunt"),CHOOSE(ArtifactsInput!$N$27+1,20,24,28,32,36,40),0)/100)),0)</f>
        <v>0.04</v>
      </c>
      <c r="R746">
        <f>IF(AND(Inputs!$B$38&lt;&gt;"pvp",Inputs!$B$43&gt;0),IF(MAX(0,Inputs!$B$43-B768)&lt;=0,0,(INT(MAX(0,Inputs!$B$43-B768)/(IF(Inputs!$B$38="pvp",15,MAX(0.1,Skills!E16-IF(TRUE=TRUE,Inputs!$B$32,0)))*(1-IF(AND(ArtifactsInput!$M$27,Inputs!$B$4="Chapter Hunt"),CHOOSE(ArtifactsInput!$N$27+1,20,24,28,32,36,40),0)/100)))+1)),0)</f>
        <v>2</v>
      </c>
      <c r="S746">
        <f>IF(C746,(H746*N746*IF(AND(Inputs!$B$38&lt;&gt;"pvp",Inputs!$B$43&gt;0),((Skills!G16*((R746-1)*IF(Skills!H16&gt;0,Skills!I16/Skills!H16,1)+IF(Skills!H16&gt;0,MIN(Skills!I16,MAX(0,MAX(0,Inputs!$B$43-B768)-((R746-1)*(IF(Inputs!$B$38="pvp",15,MAX(0.1,Skills!E16-IF(TRUE=TRUE,Inputs!$B$32,0)))*(1-IF(AND(ArtifactsInput!$M$27,Inputs!$B$4="Chapter Hunt"),CHOOSE(ArtifactsInput!$N$27+1,20,24,28,32,36,40),0)/100)))))/Skills!H16,1)))/Inputs!$B$43),G746*Q746)*(1+IF(Inputs!$B$3&gt;=126,0.05*(B766+Q743+(H744*B767)/(1+Skills!H14*H744*B767)+Q754),0)*(1/Q745)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360340505854322.69</v>
      </c>
      <c r="U746">
        <f>IF(C746,(H746*N746*IF(AND(Inputs!$B$38&lt;&gt;"pvp",Inputs!$B$43&gt;0),((Skills!G16*((R746-1)*IF(Skills!H16&gt;0,Skills!I16/Skills!H16,1)+IF(Skills!H16&gt;0,MIN(Skills!I16,MAX(0,MAX(0,Inputs!$B$43-B768)-((R746-1)*(IF(Inputs!$B$38="pvp",15,MAX(0.1,Skills!E16-IF(TRUE=TRUE,Inputs!$B$32,0)))*(1-IF(AND(ArtifactsInput!$M$27,Inputs!$B$4="Chapter Hunt"),CHOOSE(ArtifactsInput!$N$27+1,20,24,28,32,36,40),0)/100)))))/Skills!H16,1)))/Inputs!$B$43),G746*Q746)*(1+IF(Inputs!$B$3&gt;=126,0.05*(B766+Q743+(H744*B767)/(1+Skills!H14*H744*B767)+Q754),0)*(1/Q745)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3421529724358079.5</v>
      </c>
    </row>
    <row r="747" spans="1:21" x14ac:dyDescent="0.2">
      <c r="A747" t="str">
        <f>Skills!A17</f>
        <v>MAGIC_GUARD</v>
      </c>
      <c r="B747" t="str">
        <f>Skills!B17</f>
        <v>Magic Guard</v>
      </c>
      <c r="C747" t="b">
        <f>TRUE</f>
        <v>1</v>
      </c>
      <c r="D747">
        <f>IF(Skills!C17=1,60+(Inputs!$B$25+1)+Inputs!$B$29,IF(Skills!C17=2,90+Inputs!$B$26+Inputs!$B$29,IF(Skills!C17=3,120+Inputs!$B$27+Inputs!$B$29,MAX(0,(Inputs!$B$3-100)*3)+Inputs!$B$28+Inputs!$B$29)))</f>
        <v>128</v>
      </c>
      <c r="E747">
        <f>INDEX(FactorTable!$B$2:$Y$301, MATCH(ROUND(MIN(300,MAX(1,D747)),0), FactorTable!$A$2:$A$301,0), Skills!M17+1)</f>
        <v>1512</v>
      </c>
      <c r="F747">
        <f>IF(Skills!N17=TRUE,(Skills!L17/10)*(E747/1000),Skills!L17/10)+Skills!O17</f>
        <v>18.143999999999998</v>
      </c>
      <c r="G747">
        <f>Calc!G17</f>
        <v>1</v>
      </c>
      <c r="H747">
        <f>Calc!H17</f>
        <v>1</v>
      </c>
      <c r="I747">
        <f>IF(Skills!X17&lt;&gt;"",1+(Skills!X17/10)*(Z733/1000)/100,1)</f>
        <v>1</v>
      </c>
      <c r="O747">
        <f>(1-Summary!$B$11)*S747+Summary!$B$11*U747</f>
        <v>0</v>
      </c>
      <c r="P747">
        <f>IF(B771=0,0,O747/B771)</f>
        <v>0</v>
      </c>
      <c r="Q747">
        <f>IFERROR(1/(IF(Inputs!$B$38="pvp",15,MAX(0.1,Skills!E17-IF(TRUE=TRUE,Inputs!$B$32,0)))*(1-IF(AND(ArtifactsInput!$M$27,Inputs!$B$4="Chapter Hunt"),CHOOSE(ArtifactsInput!$N$27+1,20,24,28,32,36,40),0)/100)),0)</f>
        <v>4.7619047619047616E-2</v>
      </c>
      <c r="R747">
        <f>IF(AND(Inputs!$B$38&lt;&gt;"pvp",Inputs!$B$43&gt;0),IF(Inputs!$B$43&lt;=0,0,(INT(Inputs!$B$43/(IF(Inputs!$B$38="pvp",15,MAX(0.1,Skills!E17-IF(TRUE=TRUE,Inputs!$B$32,0)))*(1-IF(AND(ArtifactsInput!$M$27,Inputs!$B$4="Chapter Hunt"),CHOOSE(ArtifactsInput!$N$27+1,20,24,28,32,36,40),0)/100)))+1)),0)</f>
        <v>2</v>
      </c>
      <c r="S747">
        <v>0</v>
      </c>
      <c r="U747">
        <v>0</v>
      </c>
    </row>
    <row r="748" spans="1:21" x14ac:dyDescent="0.2">
      <c r="A748" t="str">
        <f>Skills!A18</f>
        <v>NIMBLE_FEET</v>
      </c>
      <c r="B748" t="str">
        <f>Skills!B18</f>
        <v>Nimble Feet</v>
      </c>
      <c r="C748" t="b">
        <f>TRUE</f>
        <v>1</v>
      </c>
      <c r="D748">
        <f>IF(Skills!C18=1,60+(Inputs!$B$25+1)+Inputs!$B$29,IF(Skills!C18=2,90+Inputs!$B$26+Inputs!$B$29,IF(Skills!C18=3,120+Inputs!$B$27+Inputs!$B$29,MAX(0,(Inputs!$B$3-100)*3)+Inputs!$B$28+Inputs!$B$29)))</f>
        <v>128</v>
      </c>
      <c r="E748">
        <f>INDEX(FactorTable!$B$2:$Y$301, MATCH(ROUND(MIN(300,MAX(1,D748)),0), FactorTable!$A$2:$A$301,0), Skills!M18+1)</f>
        <v>0</v>
      </c>
      <c r="F748">
        <f>IF(Skills!N18=TRUE,(Skills!L18/10)*(E748/1000),Skills!L18/10)+Skills!O18</f>
        <v>15</v>
      </c>
      <c r="G748">
        <f>Calc!G18</f>
        <v>1</v>
      </c>
      <c r="H748">
        <f>Calc!H18</f>
        <v>1</v>
      </c>
      <c r="I748">
        <f>IF(Skills!X18&lt;&gt;"",1+(Skills!X18/10)*(Z733/1000)/100,1)</f>
        <v>1</v>
      </c>
      <c r="O748">
        <f>(1-Summary!$B$11)*S748+Summary!$B$11*U748</f>
        <v>0</v>
      </c>
      <c r="P748">
        <f>IF(B771=0,0,O748/B771)</f>
        <v>0</v>
      </c>
      <c r="Q748">
        <f>IFERROR(1/(IF(Inputs!$B$38="pvp",15,MAX(0.1,Skills!E18-IF(TRUE=TRUE,Inputs!$B$32,0)))*(1-IF(AND(ArtifactsInput!$M$27,Inputs!$B$4="Chapter Hunt"),CHOOSE(ArtifactsInput!$N$27+1,20,24,28,32,36,40),0)/100)),0)</f>
        <v>1.6666666666666666E-2</v>
      </c>
      <c r="R748">
        <f>IF(AND(Inputs!$B$38&lt;&gt;"pvp",Inputs!$B$43&gt;0),IF(Inputs!$B$43&lt;=0,0,(INT(Inputs!$B$43/(IF(Inputs!$B$38="pvp",15,MAX(0.1,Skills!E18-IF(TRUE=TRUE,Inputs!$B$32,0)))*(1-IF(AND(ArtifactsInput!$M$27,Inputs!$B$4="Chapter Hunt"),CHOOSE(ArtifactsInput!$N$27+1,20,24,28,32,36,40),0)/100)))+1)),0)</f>
        <v>1</v>
      </c>
      <c r="S748">
        <v>0</v>
      </c>
      <c r="U748">
        <v>0</v>
      </c>
    </row>
    <row r="749" spans="1:21" x14ac:dyDescent="0.2">
      <c r="A749" t="str">
        <f>Skills!A19</f>
        <v>INFINITY</v>
      </c>
      <c r="B749" t="str">
        <f>Skills!B19</f>
        <v>Infinity</v>
      </c>
      <c r="C749" t="b">
        <f>Inputs!$B$3&gt;=110</f>
        <v>1</v>
      </c>
      <c r="D749">
        <f>IF(Skills!C19=1,60+(Inputs!$B$25+1)+Inputs!$B$29,IF(Skills!C19=2,90+Inputs!$B$26+Inputs!$B$29,IF(Skills!C19=3,120+Inputs!$B$27+Inputs!$B$29,MAX(0,(Inputs!$B$3-100)*3)+Inputs!$B$28+Inputs!$B$29)))</f>
        <v>185</v>
      </c>
      <c r="E749">
        <f>INDEX(FactorTable!$B$2:$Y$301, MATCH(ROUND(MIN(300,MAX(1,D749)),0), FactorTable!$A$2:$A$301,0), Skills!M19+1)</f>
        <v>1740</v>
      </c>
      <c r="F749">
        <f>IF(Skills!N19=TRUE,(Skills!L19/10)*(E749/1000),Skills!L19/10)+Skills!O19</f>
        <v>37.700579999999995</v>
      </c>
      <c r="G749">
        <f>Calc!G19</f>
        <v>1</v>
      </c>
      <c r="H749">
        <f>Calc!H19</f>
        <v>1</v>
      </c>
      <c r="I749">
        <f>IF(Skills!X19&lt;&gt;"",1+(Skills!X19/10)*(Z733/1000)/100,1)</f>
        <v>1</v>
      </c>
      <c r="O749">
        <f>(1-Summary!$B$11)*S749+Summary!$B$11*U749</f>
        <v>0</v>
      </c>
      <c r="P749">
        <f>IF(B771=0,0,O749/B771)</f>
        <v>0</v>
      </c>
      <c r="Q749">
        <f>IFERROR(1/(IF(Inputs!$B$38="pvp",15,MAX(0.1,Skills!E19-IF(TRUE=TRUE,Inputs!$B$32,0)))*(1-IF(AND(ArtifactsInput!$M$27,Inputs!$B$4="Chapter Hunt"),CHOOSE(ArtifactsInput!$N$27+1,20,24,28,32,36,40),0)/100)),0)</f>
        <v>3.3333333333333333E-2</v>
      </c>
      <c r="R749">
        <f>IF(AND(Inputs!$B$38&lt;&gt;"pvp",Inputs!$B$43&gt;0),IF(Inputs!$B$43&lt;=0,0,(INT(Inputs!$B$43/(IF(Inputs!$B$38="pvp",15,MAX(0.1,Skills!E19-IF(TRUE=TRUE,Inputs!$B$32,0)))*(1-IF(AND(ArtifactsInput!$M$27,Inputs!$B$4="Chapter Hunt"),CHOOSE(ArtifactsInput!$N$27+1,20,24,28,32,36,40),0)/100)))+1)),0)</f>
        <v>2</v>
      </c>
      <c r="S749">
        <v>0</v>
      </c>
      <c r="U749">
        <v>0</v>
      </c>
    </row>
    <row r="750" spans="1:21" x14ac:dyDescent="0.2">
      <c r="A750" t="str">
        <f>Skills!A20</f>
        <v>MAGIC_CRITICAL_RATE</v>
      </c>
      <c r="B750" t="str">
        <f>Skills!B20</f>
        <v>Magic Critical (Crit Rate)</v>
      </c>
      <c r="C750" t="b">
        <f>TRUE</f>
        <v>1</v>
      </c>
      <c r="D750">
        <f>IF(Skills!C20=1,60+(Inputs!$B$25+1)+Inputs!$B$29,IF(Skills!C20=2,90+Inputs!$B$26+Inputs!$B$29,IF(Skills!C20=3,120+Inputs!$B$27+Inputs!$B$29,MAX(0,(Inputs!$B$3-100)*3)+Inputs!$B$28+Inputs!$B$29)))</f>
        <v>184</v>
      </c>
      <c r="E750">
        <f>INDEX(FactorTable!$B$2:$Y$301, MATCH(ROUND(MIN(300,MAX(1,D750)),0), FactorTable!$A$2:$A$301,0), Skills!M20+1)</f>
        <v>1552</v>
      </c>
      <c r="F750">
        <f>IF(Skills!N20=TRUE,(Skills!L20/10)*(E750/1000),Skills!L20/10)+Skills!O20</f>
        <v>12.416</v>
      </c>
      <c r="G750">
        <f>Calc!G20</f>
        <v>1</v>
      </c>
      <c r="H750">
        <f>Calc!H20</f>
        <v>1</v>
      </c>
      <c r="I750">
        <f>IF(Skills!X20&lt;&gt;"",1+(Skills!X20/10)*(Z733/1000)/100,1)</f>
        <v>1</v>
      </c>
      <c r="O750">
        <f>(1-Summary!$B$11)*S750+Summary!$B$11*U750</f>
        <v>0</v>
      </c>
      <c r="P750">
        <f>IF(B771=0,0,O750/B771)</f>
        <v>0</v>
      </c>
      <c r="Q750">
        <f>IFERROR(1/(IF(Inputs!$B$38="pvp",15,MAX(0.1,Skills!E20-IF(TRUE=TRUE,Inputs!$B$32,0)))*(1-IF(AND(ArtifactsInput!$M$27,Inputs!$B$4="Chapter Hunt"),CHOOSE(ArtifactsInput!$N$27+1,20,24,28,32,36,40),0)/100)),0)</f>
        <v>10</v>
      </c>
      <c r="R750">
        <v>0</v>
      </c>
      <c r="S750">
        <v>0</v>
      </c>
      <c r="U750">
        <v>0</v>
      </c>
    </row>
    <row r="751" spans="1:21" x14ac:dyDescent="0.2">
      <c r="A751" t="str">
        <f>Skills!A21</f>
        <v>MAGIC_CRITICAL_DAMAGE</v>
      </c>
      <c r="B751" t="str">
        <f>Skills!B21</f>
        <v>Magic Critical (Crit Damage)</v>
      </c>
      <c r="C751" t="b">
        <f>TRUE</f>
        <v>1</v>
      </c>
      <c r="D751">
        <f>IF(Skills!C21=1,60+(Inputs!$B$25+1)+Inputs!$B$29,IF(Skills!C21=2,90+Inputs!$B$26+Inputs!$B$29,IF(Skills!C21=3,120+Inputs!$B$27+Inputs!$B$29,MAX(0,(Inputs!$B$3-100)*3)+Inputs!$B$28+Inputs!$B$29)))</f>
        <v>184</v>
      </c>
      <c r="E751">
        <f>INDEX(FactorTable!$B$2:$Y$301, MATCH(ROUND(MIN(300,MAX(1,D751)),0), FactorTable!$A$2:$A$301,0), Skills!M21+1)</f>
        <v>1552</v>
      </c>
      <c r="F751">
        <f>IF(Skills!N21=TRUE,(Skills!L21/10)*(E751/1000),Skills!L21/10)+Skills!O21</f>
        <v>18.624000000000002</v>
      </c>
      <c r="G751">
        <f>Calc!G21</f>
        <v>1</v>
      </c>
      <c r="H751">
        <f>Calc!H21</f>
        <v>1</v>
      </c>
      <c r="I751">
        <f>IF(Skills!X21&lt;&gt;"",1+(Skills!X21/10)*(Z733/1000)/100,1)</f>
        <v>1</v>
      </c>
      <c r="O751">
        <f>(1-Summary!$B$11)*S751+Summary!$B$11*U751</f>
        <v>0</v>
      </c>
      <c r="P751">
        <f>IF(B771=0,0,O751/B771)</f>
        <v>0</v>
      </c>
      <c r="Q751">
        <f>IFERROR(1/(IF(Inputs!$B$38="pvp",15,MAX(0.1,Skills!E21-IF(TRUE=TRUE,Inputs!$B$32,0)))*(1-IF(AND(ArtifactsInput!$M$27,Inputs!$B$4="Chapter Hunt"),CHOOSE(ArtifactsInput!$N$27+1,20,24,28,32,36,40),0)/100)),0)</f>
        <v>10</v>
      </c>
      <c r="R751">
        <v>0</v>
      </c>
      <c r="S751">
        <v>0</v>
      </c>
      <c r="U751">
        <v>0</v>
      </c>
    </row>
    <row r="752" spans="1:21" x14ac:dyDescent="0.2">
      <c r="A752" t="str">
        <f>Skills!A22</f>
        <v>SPELL_MASTERY</v>
      </c>
      <c r="B752" t="str">
        <f>Skills!B22</f>
        <v>Spell Mastery</v>
      </c>
      <c r="C752" t="b">
        <f>TRUE</f>
        <v>1</v>
      </c>
      <c r="D752">
        <f>IF(Skills!C22=1,60+(Inputs!$B$25+1)+Inputs!$B$29,IF(Skills!C22=2,90+Inputs!$B$26+Inputs!$B$29,IF(Skills!C22=3,120+Inputs!$B$27+Inputs!$B$29,MAX(0,(Inputs!$B$3-100)*3)+Inputs!$B$28+Inputs!$B$29)))</f>
        <v>168</v>
      </c>
      <c r="E752">
        <f>INDEX(FactorTable!$B$2:$Y$301, MATCH(ROUND(MIN(300,MAX(1,D752)),0), FactorTable!$A$2:$A$301,0), Skills!M22+1)</f>
        <v>1504</v>
      </c>
      <c r="F752">
        <f>IF(Skills!N22=TRUE,(Skills!L22/10)*(E752/1000),Skills!L22/10)+Skills!O22</f>
        <v>22.56</v>
      </c>
      <c r="G752">
        <f>Calc!G22</f>
        <v>1</v>
      </c>
      <c r="H752">
        <f>Calc!H22</f>
        <v>1</v>
      </c>
      <c r="I752">
        <f>IF(Skills!X22&lt;&gt;"",1+(Skills!X22/10)*(Z733/1000)/100,1)</f>
        <v>1</v>
      </c>
      <c r="O752">
        <f>(1-Summary!$B$11)*S752+Summary!$B$11*U752</f>
        <v>0</v>
      </c>
      <c r="P752">
        <f>IF(B771=0,0,O752/B771)</f>
        <v>0</v>
      </c>
      <c r="Q752">
        <f>IFERROR(1/(IF(Inputs!$B$38="pvp",15,MAX(0.1,Skills!E22-IF(TRUE=TRUE,Inputs!$B$32,0)))*(1-IF(AND(ArtifactsInput!$M$27,Inputs!$B$4="Chapter Hunt"),CHOOSE(ArtifactsInput!$N$27+1,20,24,28,32,36,40),0)/100)),0)</f>
        <v>10</v>
      </c>
      <c r="R752">
        <v>0</v>
      </c>
      <c r="S752">
        <v>0</v>
      </c>
      <c r="U752">
        <v>0</v>
      </c>
    </row>
    <row r="753" spans="1:21" x14ac:dyDescent="0.2">
      <c r="A753" t="str">
        <f>Skills!A23</f>
        <v>ELEMENT_AMPLIFICATION</v>
      </c>
      <c r="B753" t="str">
        <f>Skills!B23</f>
        <v>Element Amplification</v>
      </c>
      <c r="C753" t="b">
        <f>TRUE</f>
        <v>1</v>
      </c>
      <c r="D753">
        <f>IF(Skills!C23=1,60+(Inputs!$B$25+1)+Inputs!$B$29,IF(Skills!C23=2,90+Inputs!$B$26+Inputs!$B$29,IF(Skills!C23=3,120+Inputs!$B$27+Inputs!$B$29,MAX(0,(Inputs!$B$3-100)*3)+Inputs!$B$28+Inputs!$B$29)))</f>
        <v>185</v>
      </c>
      <c r="E753">
        <f>INDEX(FactorTable!$B$2:$Y$301, MATCH(ROUND(MIN(300,MAX(1,D753)),0), FactorTable!$A$2:$A$301,0), Skills!M23+1)</f>
        <v>1555</v>
      </c>
      <c r="F753">
        <f>IF(Skills!N23=TRUE,(Skills!L23/10)*(E753/1000),Skills!L23/10)+Skills!O23</f>
        <v>23.324999999999999</v>
      </c>
      <c r="G753">
        <f>Calc!G23</f>
        <v>1</v>
      </c>
      <c r="H753">
        <f>Calc!H23</f>
        <v>1</v>
      </c>
      <c r="I753">
        <f>IF(Skills!X23&lt;&gt;"",1+(Skills!X23/10)*(Z733/1000)/100,1)</f>
        <v>1</v>
      </c>
      <c r="O753">
        <f>(1-Summary!$B$11)*S753+Summary!$B$11*U753</f>
        <v>0</v>
      </c>
      <c r="P753">
        <f>IF(B771=0,0,O753/B771)</f>
        <v>0</v>
      </c>
      <c r="Q753">
        <f>IFERROR(1/(IF(Inputs!$B$38="pvp",15,MAX(0.1,Skills!E23-IF(TRUE=TRUE,Inputs!$B$32,0)))*(1-IF(AND(ArtifactsInput!$M$27,Inputs!$B$4="Chapter Hunt"),CHOOSE(ArtifactsInput!$N$27+1,20,24,28,32,36,40),0)/100)),0)</f>
        <v>10</v>
      </c>
      <c r="R753">
        <v>0</v>
      </c>
      <c r="S753">
        <v>0</v>
      </c>
      <c r="U753">
        <v>0</v>
      </c>
    </row>
    <row r="754" spans="1:21" x14ac:dyDescent="0.2">
      <c r="A754" t="str">
        <f>Skills!A24</f>
        <v>IFRIT</v>
      </c>
      <c r="B754" t="str">
        <f>Skills!B24</f>
        <v>Ifrit</v>
      </c>
      <c r="C754" t="b">
        <f>Inputs!$B$3&gt;=115</f>
        <v>1</v>
      </c>
      <c r="D754">
        <f>IF(Skills!C24=1,60+(Inputs!$B$25+1)+Inputs!$B$29,IF(Skills!C24=2,90+Inputs!$B$26+Inputs!$B$29,IF(Skills!C24=3,120+Inputs!$B$27+Inputs!$B$29,MAX(0,(Inputs!$B$3-100)*3)+Inputs!$B$28+Inputs!$B$29)))</f>
        <v>185</v>
      </c>
      <c r="E754">
        <f>INDEX(FactorTable!$B$2:$Y$301, MATCH(ROUND(MIN(300,MAX(1,D754)),0), FactorTable!$A$2:$A$301,0), Skills!M24+1)</f>
        <v>1925</v>
      </c>
      <c r="F754">
        <f>IF(Skills!N24=TRUE,(Skills!L24/10)*(E754/1000),Skills!L24/10)+Skills!O24</f>
        <v>6737.5</v>
      </c>
      <c r="G754">
        <f>Calc!G24</f>
        <v>7.5</v>
      </c>
      <c r="H754">
        <f>Calc!H24</f>
        <v>1</v>
      </c>
      <c r="I754">
        <f>IF(Skills!X24&lt;&gt;"",1+(Skills!X24/10)*(Z733/1000)/100,1)</f>
        <v>1</v>
      </c>
      <c r="J754">
        <f>((Inputs!$B$6*(1+Inputs!$B$7/100))+(((Inputs!$B$12*(1+Inputs!$B$13/100))-(Inputs!$B$12*(1+Inputs!$B$13/100)))+0.25*(Inputs!$B$14-Inputs!$B$14))*(1+Inputs!$B$7/100))*(F754/100)</f>
        <v>24331438378.718628</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122294557160606.53</v>
      </c>
      <c r="L754">
        <f>K754*(MIN(Inputs!$B$22+(F752-Calc!F22),(Inputs!$B$23+(IF(ArtifactsInput!$M$15,CHOOSE(ArtifactsInput!$N$15+1,25,30,35,40,45,50)/100*(Inputs!$B$11-Inputs!$B$11),0))))/100+(Inputs!$B$23+(IF(ArtifactsInput!$M$15,CHOOSE(ArtifactsInput!$N$15+1,25,30,35,40,45,50)/100*(Inputs!$B$11-Inputs!$B$11),0)))/100)/2</f>
        <v>406629402559016.75</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1918884150675999.8</v>
      </c>
      <c r="N754">
        <f>L754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1918884150675999.8</v>
      </c>
      <c r="O754">
        <f>(1-Summary!$B$11)*S754+Summary!$B$11*U754</f>
        <v>2194723747335674.5</v>
      </c>
      <c r="P754">
        <f>IF(B771=0,0,O754/B771)</f>
        <v>6.6312914553869617E-2</v>
      </c>
      <c r="Q754">
        <f>IFERROR(1/(IF(Inputs!$B$38="pvp",15,MAX(0.1,Skills!E24-IF(TRUE=TRUE,Inputs!$B$32,0)))*(1-IF(AND(ArtifactsInput!$M$27,Inputs!$B$4="Chapter Hunt"),CHOOSE(ArtifactsInput!$N$27+1,20,24,28,32,36,40),0)/100)),0)</f>
        <v>1.2500000000000001E-2</v>
      </c>
      <c r="R754">
        <f>IF(AND(Inputs!$B$38&lt;&gt;"pvp",Inputs!$B$43&gt;0),IF(MAX(0,Inputs!$B$43-B768)&lt;=0,0,(INT(MAX(0,Inputs!$B$43-B768)/(IF(Inputs!$B$38="pvp",15,MAX(0.1,Skills!E24-IF(TRUE=TRUE,Inputs!$B$32,0)))*(1-IF(AND(ArtifactsInput!$M$27,Inputs!$B$4="Chapter Hunt"),CHOOSE(ArtifactsInput!$N$27+1,20,24,28,32,36,40),0)/100)))+1)),0)</f>
        <v>1</v>
      </c>
      <c r="S754">
        <f>IF(C754,(H754*N754*IF(AND(Inputs!$B$38&lt;&gt;"pvp",Inputs!$B$43&gt;0),((Skills!G24*((R754-1)*IF(Skills!H24&gt;0,Skills!I24/Skills!H24,1)+IF(Skills!H24&gt;0,MIN(Skills!I24,MAX(0,MAX(0,Inputs!$B$43-B768)-((R754-1)*(IF(Inputs!$B$38="pvp",15,MAX(0.1,Skills!E24-IF(TRUE=TRUE,Inputs!$B$32,0)))*(1-IF(AND(ArtifactsInput!$M$27,Inputs!$B$4="Chapter Hunt"),CHOOSE(ArtifactsInput!$N$27+1,20,24,28,32,36,40),0)/100)))))/Skills!H24,1)))/Inputs!$B$43),G754*Q754)*(1+IF(Inputs!$B$3&gt;=130,0.2*(Skills!I16/(1/Q745)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1140536767058047.2</v>
      </c>
      <c r="U754">
        <f>IF(C754,(H754*N754*IF(AND(Inputs!$B$38&lt;&gt;"pvp",Inputs!$B$43&gt;0),((Skills!G24*((R754-1)*IF(Skills!H24&gt;0,Skills!I24/Skills!H24,1)+IF(Skills!H24&gt;0,MIN(Skills!I24,MAX(0,MAX(0,Inputs!$B$43-B768)-((R754-1)*(IF(Inputs!$B$38="pvp",15,MAX(0.1,Skills!E24-IF(TRUE=TRUE,Inputs!$B$32,0)))*(1-IF(AND(ArtifactsInput!$M$27,Inputs!$B$4="Chapter Hunt"),CHOOSE(ArtifactsInput!$N$27+1,20,24,28,32,36,40),0)/100)))))/Skills!H24,1)))/Inputs!$B$43),G754*Q754)*(1+IF(Inputs!$B$3&gt;=130,0.2*(Skills!I16/(1/Q745)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3248910727613301.5</v>
      </c>
    </row>
    <row r="755" spans="1:21" x14ac:dyDescent="0.2">
      <c r="A755" t="str">
        <f>Skills!A25</f>
        <v>BUFF_MASTERY</v>
      </c>
      <c r="B755" t="str">
        <f>Skills!B25</f>
        <v>Buff Mastery</v>
      </c>
      <c r="C755" t="b">
        <f>Inputs!$B$3&gt;=117</f>
        <v>1</v>
      </c>
      <c r="D755">
        <f>IF(Skills!C25=1,60+(Inputs!$B$25+1)+Inputs!$B$29,IF(Skills!C25=2,90+Inputs!$B$26+Inputs!$B$29,IF(Skills!C25=3,120+Inputs!$B$27+Inputs!$B$29,MAX(0,(Inputs!$B$3-100)*3)+Inputs!$B$28+Inputs!$B$29)))</f>
        <v>185</v>
      </c>
      <c r="E755">
        <f>INDEX(FactorTable!$B$2:$Y$301, MATCH(ROUND(MIN(300,MAX(1,D755)),0), FactorTable!$A$2:$A$301,0), Skills!M25+1)</f>
        <v>1555</v>
      </c>
      <c r="F755">
        <f>IF(Skills!N25=TRUE,(Skills!L25/10)*(E755/1000),Skills!L25/10)+Skills!O25</f>
        <v>15.549999999999999</v>
      </c>
      <c r="G755">
        <f>Calc!G25</f>
        <v>1</v>
      </c>
      <c r="H755">
        <f>Calc!H25</f>
        <v>1</v>
      </c>
      <c r="I755">
        <f>IF(Skills!X25&lt;&gt;"",1+(Skills!X25/10)*(Z733/1000)/100,1)</f>
        <v>1</v>
      </c>
      <c r="O755">
        <f>(1-Summary!$B$11)*S755+Summary!$B$11*U755</f>
        <v>0</v>
      </c>
      <c r="P755">
        <f>IF(B771=0,0,O755/B771)</f>
        <v>0</v>
      </c>
      <c r="Q755">
        <f>IFERROR(1/(IF(Inputs!$B$38="pvp",15,MAX(0.1,Skills!E25-IF(TRUE=TRUE,Inputs!$B$32,0)))*(1-IF(AND(ArtifactsInput!$M$27,Inputs!$B$4="Chapter Hunt"),CHOOSE(ArtifactsInput!$N$27+1,20,24,28,32,36,40),0)/100)),0)</f>
        <v>10</v>
      </c>
      <c r="R755">
        <v>0</v>
      </c>
      <c r="S755">
        <v>0</v>
      </c>
      <c r="U755">
        <v>0</v>
      </c>
    </row>
    <row r="756" spans="1:21" x14ac:dyDescent="0.2">
      <c r="A756" t="str">
        <f>Skills!A26</f>
        <v>ARCANE_AIM</v>
      </c>
      <c r="B756" t="str">
        <f>Skills!B26</f>
        <v>Arcane Aim</v>
      </c>
      <c r="C756" t="b">
        <f>Inputs!$B$3&gt;=120</f>
        <v>0</v>
      </c>
      <c r="D756">
        <f>IF(Skills!C26=1,60+(Inputs!$B$25+1)+Inputs!$B$29,IF(Skills!C26=2,90+Inputs!$B$26+Inputs!$B$29,IF(Skills!C26=3,120+Inputs!$B$27+Inputs!$B$29,MAX(0,(Inputs!$B$3-100)*3)+Inputs!$B$28+Inputs!$B$29)))</f>
        <v>185</v>
      </c>
      <c r="E756">
        <f>INDEX(FactorTable!$B$2:$Y$301, MATCH(ROUND(MIN(300,MAX(1,D756)),0), FactorTable!$A$2:$A$301,0), Skills!M26+1)</f>
        <v>1555</v>
      </c>
      <c r="F756">
        <f>IF(Skills!N26=TRUE,(Skills!L26/10)*(E756/1000),Skills!L26/10)+Skills!O26</f>
        <v>4.665</v>
      </c>
      <c r="G756">
        <f>Calc!G26</f>
        <v>1</v>
      </c>
      <c r="H756">
        <f>Calc!H26</f>
        <v>1</v>
      </c>
      <c r="I756">
        <f>IF(Skills!X26&lt;&gt;"",1+(Skills!X26/10)*(Z733/1000)/100,1)</f>
        <v>1</v>
      </c>
      <c r="O756">
        <f>(1-Summary!$B$11)*S756+Summary!$B$11*U756</f>
        <v>0</v>
      </c>
      <c r="P756">
        <f>IF(B771=0,0,O756/B771)</f>
        <v>0</v>
      </c>
      <c r="Q756">
        <f>IFERROR(1/(IF(Inputs!$B$38="pvp",15,MAX(0.1,Skills!E26-IF(TRUE=TRUE,Inputs!$B$32,0)))*(1-IF(AND(ArtifactsInput!$M$27,Inputs!$B$4="Chapter Hunt"),CHOOSE(ArtifactsInput!$N$27+1,20,24,28,32,36,40),0)/100)),0)</f>
        <v>10</v>
      </c>
      <c r="R756">
        <v>0</v>
      </c>
      <c r="S756">
        <v>0</v>
      </c>
      <c r="U756">
        <v>0</v>
      </c>
    </row>
    <row r="757" spans="1:21" x14ac:dyDescent="0.2">
      <c r="A757" t="str">
        <f>Skills!A27</f>
        <v>FERVENT_DRAIN</v>
      </c>
      <c r="B757" t="str">
        <f>Skills!B27</f>
        <v>Fervent Drain</v>
      </c>
      <c r="C757" t="b">
        <f>Inputs!$B$3&gt;=125</f>
        <v>0</v>
      </c>
      <c r="D757">
        <f>IF(Skills!C27=1,60+(Inputs!$B$25+1)+Inputs!$B$29,IF(Skills!C27=2,90+Inputs!$B$26+Inputs!$B$29,IF(Skills!C27=3,120+Inputs!$B$27+Inputs!$B$29,MAX(0,(Inputs!$B$3-100)*3)+Inputs!$B$28+Inputs!$B$29)))</f>
        <v>185</v>
      </c>
      <c r="E757">
        <f>INDEX(FactorTable!$B$2:$Y$301, MATCH(ROUND(MIN(300,MAX(1,D757)),0), FactorTable!$A$2:$A$301,0), Skills!M27+1)</f>
        <v>1555</v>
      </c>
      <c r="F757">
        <f>IF(Skills!N27=TRUE,(Skills!L27/10)*(E757/1000),Skills!L27/10)+Skills!O27</f>
        <v>6.22</v>
      </c>
      <c r="G757">
        <f>Calc!G27</f>
        <v>1</v>
      </c>
      <c r="H757">
        <f>Calc!H27</f>
        <v>1</v>
      </c>
      <c r="I757">
        <f>IF(Skills!X27&lt;&gt;"",1+(Skills!X27/10)*(Z733/1000)/100,1)</f>
        <v>1</v>
      </c>
      <c r="O757">
        <f>(1-Summary!$B$11)*S757+Summary!$B$11*U757</f>
        <v>0</v>
      </c>
      <c r="P757">
        <f>IF(B771=0,0,O757/B771)</f>
        <v>0</v>
      </c>
      <c r="Q757">
        <f>IFERROR(1/(IF(Inputs!$B$38="pvp",15,MAX(0.1,Skills!E27-IF(TRUE=TRUE,Inputs!$B$32,0)))*(1-IF(AND(ArtifactsInput!$M$27,Inputs!$B$4="Chapter Hunt"),CHOOSE(ArtifactsInput!$N$27+1,20,24,28,32,36,40),0)/100)),0)</f>
        <v>10</v>
      </c>
      <c r="R757">
        <v>0</v>
      </c>
      <c r="S757">
        <v>0</v>
      </c>
      <c r="U757">
        <v>0</v>
      </c>
    </row>
    <row r="758" spans="1:21" x14ac:dyDescent="0.2">
      <c r="A758" t="str">
        <f>Skills!A28</f>
        <v>FLAME_HAZE_FOG</v>
      </c>
      <c r="B758" t="str">
        <f>Skills!B28</f>
        <v>Flame Haze (poison fog DoT)</v>
      </c>
      <c r="C758" t="b">
        <f>Inputs!$B$3&gt;=118</f>
        <v>0</v>
      </c>
      <c r="D758">
        <f>IF(Skills!C28=1,60+(Inputs!$B$25+1)+Inputs!$B$29,IF(Skills!C28=2,90+Inputs!$B$26+Inputs!$B$29,IF(Skills!C28=3,120+Inputs!$B$27+Inputs!$B$29,MAX(0,(Inputs!$B$3-100)*3)+Inputs!$B$28+Inputs!$B$29)))</f>
        <v>185</v>
      </c>
      <c r="E758">
        <f>INDEX(FactorTable!$B$2:$Y$301, MATCH(ROUND(MIN(300,MAX(1,D758)),0), FactorTable!$A$2:$A$301,0), Skills!M28+1)</f>
        <v>1925</v>
      </c>
      <c r="F758">
        <f>IF(Skills!N28=TRUE,(Skills!L28/10)*(E758/1000),Skills!L28/10)+Skills!O28</f>
        <v>134.75</v>
      </c>
      <c r="G758">
        <f>Calc!G28</f>
        <v>50</v>
      </c>
      <c r="H758">
        <f>Calc!H28</f>
        <v>1</v>
      </c>
      <c r="I758">
        <f>IF(Skills!X28&lt;&gt;"",1+(Skills!X28/10)*(Z733/1000)/100,1)</f>
        <v>1</v>
      </c>
      <c r="J758">
        <f>((Inputs!$B$6*(1+Inputs!$B$7/100))+(((Inputs!$B$12*(1+Inputs!$B$13/100))-(Inputs!$B$12*(1+Inputs!$B$13/100)))+0.25*(Inputs!$B$14-Inputs!$B$14))*(1+Inputs!$B$7/100))*(F758/100)</f>
        <v>486628767.57437253</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2445891143212.1299</v>
      </c>
      <c r="L758">
        <f>K758*(MIN(Inputs!$B$22+(F752-Calc!F22),(Inputs!$B$23+(IF(ArtifactsInput!$M$15,CHOOSE(ArtifactsInput!$N$15+1,25,30,35,40,45,50)/100*(Inputs!$B$11-Inputs!$B$11),0))))/100+(Inputs!$B$23+(IF(ArtifactsInput!$M$15,CHOOSE(ArtifactsInput!$N$15+1,25,30,35,40,45,50)/100*(Inputs!$B$11-Inputs!$B$11),0)))/100)/2</f>
        <v>8132588051180.332</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38377683013519.984</v>
      </c>
      <c r="N758">
        <f>L758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38377683013519.984</v>
      </c>
      <c r="O758">
        <f>(1-Summary!$B$11)*S758+Summary!$B$11*U758</f>
        <v>0</v>
      </c>
      <c r="P758">
        <f>IF(B771=0,0,O758/B771)</f>
        <v>0</v>
      </c>
      <c r="Q758">
        <f>IFERROR(1/(IF(Inputs!$B$38="pvp",15,MAX(0.1,Skills!E28-IF(TRUE=TRUE,Inputs!$B$32,0)))*(1-IF(AND(ArtifactsInput!$M$27,Inputs!$B$4="Chapter Hunt"),CHOOSE(ArtifactsInput!$N$27+1,20,24,28,32,36,40),0)/100)),0)</f>
        <v>0.04</v>
      </c>
      <c r="R758">
        <f>IF(AND(Inputs!$B$38&lt;&gt;"pvp",Inputs!$B$43&gt;0),IF(MAX(0,Inputs!$B$43-B768)&lt;=0,0,(INT(MAX(0,Inputs!$B$43-B768)/(IF(Inputs!$B$38="pvp",15,MAX(0.1,Skills!E28-IF(TRUE=TRUE,Inputs!$B$32,0)))*(1-IF(AND(ArtifactsInput!$M$27,Inputs!$B$4="Chapter Hunt"),CHOOSE(ArtifactsInput!$N$27+1,20,24,28,32,36,40),0)/100)))+1)),0)</f>
        <v>2</v>
      </c>
      <c r="S758">
        <f>IF(C758,(H758*N758*IF(AND(Inputs!$B$38&lt;&gt;"pvp",Inputs!$B$43&gt;0),((Skills!G28*((R758-1)*IF(Skills!H28&gt;0,Skills!I28/Skills!H28,1)+IF(Skills!H28&gt;0,MIN(Skills!I28,MAX(0,MAX(0,Inputs!$B$43-B768)-((R758-1)*(IF(Inputs!$B$38="pvp",15,MAX(0.1,Skills!E28-IF(TRUE=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758">
        <f>IF(C758,(H758*N758*IF(AND(Inputs!$B$38&lt;&gt;"pvp",Inputs!$B$43&gt;0),((Skills!G28*((R758-1)*IF(Skills!H28&gt;0,Skills!I28/Skills!H28,1)+IF(Skills!H28&gt;0,MIN(Skills!I28,MAX(0,MAX(0,Inputs!$B$43-B768)-((R758-1)*(IF(Inputs!$B$38="pvp",15,MAX(0.1,Skills!E28-IF(TRUE=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760" spans="1:21" x14ac:dyDescent="0.2">
      <c r="A760" t="s">
        <v>356</v>
      </c>
      <c r="B760">
        <f>1+(F741*Skills!Z11)/100</f>
        <v>1.25</v>
      </c>
    </row>
    <row r="761" spans="1:21" x14ac:dyDescent="0.2">
      <c r="A761" t="s">
        <v>435</v>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1.18624</v>
      </c>
    </row>
    <row r="762" spans="1:21" x14ac:dyDescent="0.2">
      <c r="A762" t="s">
        <v>358</v>
      </c>
      <c r="B762">
        <f>(1+(F736*IF(AND(Inputs!$B$38&lt;&gt;"pvp",Inputs!$B$43&gt;0),(((R736-1)*MIN((Skills!T6*(1+((Inputs!$B$34+(ArtifactsInput!$M$7-ArtifactsInput!$M$7)*CHOOSE(ArtifactsInput!$N$7+1,6,7.2,8.4,9.6,10.8,12)))/100)),(1/Q736))+MIN((Skills!T6*(1+((Inputs!$B$34+(ArtifactsInput!$M$7-ArtifactsInput!$M$7)*CHOOSE(ArtifactsInput!$N$7+1,6,7.2,8.4,9.6,10.8,12)))/100)),MAX(0,Inputs!$B$43-((R736-1)*(1/Q736)))))/Inputs!$B$43),IF(Inputs!$B$38="pvp",MIN((Skills!T6*(1+((Inputs!$B$34+(ArtifactsInput!$M$7-ArtifactsInput!$M$7)*CHOOSE(ArtifactsInput!$N$7+1,6,7.2,8.4,9.6,10.8,12)))/100)),15)/15,MIN(1,(Skills!T6*(1+((Inputs!$B$34+(ArtifactsInput!$M$7-ArtifactsInput!$M$7)*CHOOSE(ArtifactsInput!$N$7+1,6,7.2,8.4,9.6,10.8,12)))/100))/(1/Q736))))+F747*IF(AND(Inputs!$B$38&lt;&gt;"pvp",Inputs!$B$43&gt;0),(((R747-1)*MIN((Skills!T17*(1+((Inputs!$B$34+(ArtifactsInput!$M$7-ArtifactsInput!$M$7)*CHOOSE(ArtifactsInput!$N$7+1,6,7.2,8.4,9.6,10.8,12)))/100)),(1/Q747))+MIN((Skills!T17*(1+((Inputs!$B$34+(ArtifactsInput!$M$7-ArtifactsInput!$M$7)*CHOOSE(ArtifactsInput!$N$7+1,6,7.2,8.4,9.6,10.8,12)))/100)),MAX(0,Inputs!$B$43-((R747-1)*(1/Q747)))))/Inputs!$B$43),IF(Inputs!$B$38="pvp",MIN((Skills!T17*(1+((Inputs!$B$34+(ArtifactsInput!$M$7-ArtifactsInput!$M$7)*CHOOSE(ArtifactsInput!$N$7+1,6,7.2,8.4,9.6,10.8,12)))/100)),15)/15,MIN(1,(Skills!T17*(1+((Inputs!$B$34+(ArtifactsInput!$M$7-ArtifactsInput!$M$7)*CHOOSE(ArtifactsInput!$N$7+1,6,7.2,8.4,9.6,10.8,12)))/100))/(1/Q747)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MIN((Skills!T19*(1+((Inputs!$B$34+(ArtifactsInput!$M$7-ArtifactsInput!$M$7)*CHOOSE(ArtifactsInput!$N$7+1,6,7.2,8.4,9.6,10.8,12)))/100)),(1/Q749))+MIN((Skills!T19*(1+((Inputs!$B$34+(ArtifactsInput!$M$7-ArtifactsInput!$M$7)*CHOOSE(ArtifactsInput!$N$7+1,6,7.2,8.4,9.6,10.8,12)))/100)),MAX(0,Inputs!$B$43-((R749-1)*(1/Q749)))))/Inputs!$B$43),IF(Inputs!$B$38="pvp",MIN((Skills!T19*(1+((Inputs!$B$34+(ArtifactsInput!$M$7-ArtifactsInput!$M$7)*CHOOSE(ArtifactsInput!$N$7+1,6,7.2,8.4,9.6,10.8,12)))/100)),15)/15,MIN(1,(Skills!T19*(1+((Inputs!$B$34+(ArtifactsInput!$M$7-ArtifactsInput!$M$7)*CHOOSE(ArtifactsInput!$N$7+1,6,7.2,8.4,9.6,10.8,12)))/100))/(1/Q749))))/100),1)</f>
        <v>1.7971037237978962</v>
      </c>
    </row>
    <row r="763" spans="1:21" x14ac:dyDescent="0.2">
      <c r="A763" t="s">
        <v>359</v>
      </c>
      <c r="B763">
        <f>F748*IF(AND(Inputs!$B$38&lt;&gt;"pvp",Inputs!$B$43&gt;0),(((R748-1)*MIN((Skills!T18*(1+((Inputs!$B$34+(ArtifactsInput!$M$7-ArtifactsInput!$M$7)*CHOOSE(ArtifactsInput!$N$7+1,6,7.2,8.4,9.6,10.8,12)))/100)),(1/Q748))+MIN((Skills!T18*(1+((Inputs!$B$34+(ArtifactsInput!$M$7-ArtifactsInput!$M$7)*CHOOSE(ArtifactsInput!$N$7+1,6,7.2,8.4,9.6,10.8,12)))/100)),MAX(0,Inputs!$B$43-((R748-1)*(1/Q748)))))/Inputs!$B$43),IF(Inputs!$B$38="pvp",MIN((Skills!T18*(1+((Inputs!$B$34+(ArtifactsInput!$M$7-ArtifactsInput!$M$7)*CHOOSE(ArtifactsInput!$N$7+1,6,7.2,8.4,9.6,10.8,12)))/100)),15)/15,MIN(1,(Skills!T18*(1+((Inputs!$B$34+(ArtifactsInput!$M$7-ArtifactsInput!$M$7)*CHOOSE(ArtifactsInput!$N$7+1,6,7.2,8.4,9.6,10.8,12)))/100))/(1/Q748))))</f>
        <v>6.4968749999999993</v>
      </c>
    </row>
    <row r="764" spans="1:21" x14ac:dyDescent="0.2">
      <c r="A764" t="s">
        <v>436</v>
      </c>
      <c r="B764">
        <f>1+MIN(150,150*(1-(1-(Inputs!$B$11+(ArtifactsInput!$M$15-ArtifactsInput!$M$15)*CHOOSE(ArtifactsInput!$N$15+1,8,9.6,11.2,12.8,14.4,16))/150)*(1-B763/150)))/100</f>
        <v>1.6982958749999999</v>
      </c>
    </row>
    <row r="765" spans="1:21" x14ac:dyDescent="0.2">
      <c r="A765" t="s">
        <v>437</v>
      </c>
      <c r="B765">
        <f>IF(AND(Inputs!$B$38&lt;&gt;"pvp",Inputs!$B$43&gt;0),SUMPRODUCT((Skills!F2:F28=TRUE)*(C732:C758=TRUE)*R732:R758)/Inputs!$B$43,SUMPRODUCT((Skills!F2:F28=TRUE)*(C732:C758=TRUE)*Q732:Q758))</f>
        <v>0.47499999999999998</v>
      </c>
    </row>
    <row r="766" spans="1:21" x14ac:dyDescent="0.2">
      <c r="A766" t="s">
        <v>362</v>
      </c>
      <c r="B766">
        <f>MAX(0,B764-B765)</f>
        <v>1.2232958749999998</v>
      </c>
    </row>
    <row r="767" spans="1:21" x14ac:dyDescent="0.2">
      <c r="A767" t="s">
        <v>438</v>
      </c>
      <c r="B767">
        <f>IF(AND(Inputs!$B$38&lt;&gt;"pvp",Inputs!$B$43&gt;0),SUMPRODUCT((Skills!V2:V28=TRUE)*(C732:C758=TRUE)*R732:R758*Skills!W2:W28)/Inputs!$B$43,SUMPRODUCT((Skills!V2:V28=TRUE)*(C732:C758=TRUE)*Q732:Q758*Skills!W2:W28))+B766</f>
        <v>1.5482958749999998</v>
      </c>
    </row>
    <row r="768" spans="1:21" x14ac:dyDescent="0.2">
      <c r="A768" t="s">
        <v>439</v>
      </c>
      <c r="B768">
        <f>IF(AND(Inputs!$B$38&lt;&gt;"pvp",Inputs!$B$43&gt;0),SUMPRODUCT((Skills!T2:T28&gt;0)*(Skills!F2:F28=TRUE)*(C732:C758=TRUE))/B764,0)</f>
        <v>2.3553021937358238</v>
      </c>
    </row>
    <row r="769" spans="1:26" x14ac:dyDescent="0.2">
      <c r="A769" t="s">
        <v>440</v>
      </c>
      <c r="B769">
        <f>SUM(S732:S758)</f>
        <v>9520033031454182</v>
      </c>
    </row>
    <row r="770" spans="1:26" x14ac:dyDescent="0.2">
      <c r="A770" t="s">
        <v>441</v>
      </c>
      <c r="B770">
        <f>SUM(U732:U758)</f>
        <v>5.6672917831918904E+16</v>
      </c>
    </row>
    <row r="771" spans="1:26" x14ac:dyDescent="0.2">
      <c r="A771" s="6" t="s">
        <v>348</v>
      </c>
      <c r="B771" s="6">
        <f>SUM(O732:O758)</f>
        <v>3.3096475431686536E+16</v>
      </c>
    </row>
    <row r="774" spans="1:26" x14ac:dyDescent="0.2">
      <c r="A774" s="6" t="s">
        <v>457</v>
      </c>
    </row>
    <row r="775" spans="1:26" x14ac:dyDescent="0.2">
      <c r="A775" s="5" t="s">
        <v>136</v>
      </c>
      <c r="B775" s="5" t="s">
        <v>137</v>
      </c>
      <c r="C775" s="5" t="s">
        <v>328</v>
      </c>
      <c r="D775" s="5" t="s">
        <v>329</v>
      </c>
      <c r="E775" s="5" t="s">
        <v>330</v>
      </c>
      <c r="F775" s="5" t="s">
        <v>331</v>
      </c>
      <c r="G775" s="5" t="s">
        <v>332</v>
      </c>
      <c r="H775" s="5" t="s">
        <v>333</v>
      </c>
      <c r="I775" s="5" t="s">
        <v>334</v>
      </c>
      <c r="J775" s="5" t="s">
        <v>335</v>
      </c>
      <c r="K775" s="5" t="s">
        <v>336</v>
      </c>
      <c r="L775" s="5" t="s">
        <v>337</v>
      </c>
      <c r="M775" s="5" t="s">
        <v>338</v>
      </c>
      <c r="N775" s="5" t="s">
        <v>339</v>
      </c>
      <c r="O775" s="5" t="s">
        <v>340</v>
      </c>
      <c r="P775" s="5" t="s">
        <v>341</v>
      </c>
      <c r="R775" t="s">
        <v>434</v>
      </c>
    </row>
    <row r="776" spans="1:26" x14ac:dyDescent="0.2">
      <c r="A776" t="str">
        <f>Skills!A2</f>
        <v>BASIC_ATTACK</v>
      </c>
      <c r="B776" t="str">
        <f>Skills!B2</f>
        <v>Basic Attack</v>
      </c>
      <c r="C776" t="b">
        <f>TRUE</f>
        <v>1</v>
      </c>
      <c r="F776">
        <f>T778+Skills!O2</f>
        <v>537.6</v>
      </c>
      <c r="G776">
        <f>Calc!G2</f>
        <v>5</v>
      </c>
      <c r="H776">
        <f>Calc!H2</f>
        <v>1</v>
      </c>
      <c r="I776">
        <f>IF(Skills!X2&lt;&gt;"",1+(Skills!X2/10)*(Z777/1000)/100,1)</f>
        <v>1</v>
      </c>
      <c r="J776">
        <f>((Inputs!$B$6*(1+Inputs!$B$7/100))+(((Inputs!$B$12*(1+Inputs!$B$13/100))-(Inputs!$B$12*(1+Inputs!$B$13/100)))+0.25*(Inputs!$B$14-Inputs!$B$14))*(1+Inputs!$B$7/100))*(F776/100)</f>
        <v>1941459186.9980164</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6623304874534.9746</v>
      </c>
      <c r="L776">
        <f>K776*(MIN(Inputs!$B$22+(F796-Calc!F22),(Inputs!$B$23+(IF(ArtifactsInput!$M$15,CHOOSE(ArtifactsInput!$N$15+1,25,30,35,40,45,50)/100*(Inputs!$B$11-Inputs!$B$11),0))))/100+(Inputs!$B$23+(IF(ArtifactsInput!$M$15,CHOOSE(ArtifactsInput!$N$15+1,25,30,35,40,45,50)/100*(Inputs!$B$11-Inputs!$B$11),0)))/100)/2</f>
        <v>22023978951425.562</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103931156671777.22</v>
      </c>
      <c r="N776">
        <f>L776*(1-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103931156671777.22</v>
      </c>
      <c r="O776">
        <f>(1-Summary!$B$11)*S776+Summary!$B$11*U776</f>
        <v>1.251996922731452E+16</v>
      </c>
      <c r="P776">
        <f>IF(B815=0,0,O776/B815)</f>
        <v>0.3781012704908514</v>
      </c>
      <c r="Q776">
        <f>IFERROR(1/(IF(Inputs!$B$38="pvp",15,MAX(0.1,Skills!E2-IF(TRUE=TRUE,Inputs!$B$32,0)))*(1-IF(AND(ArtifactsInput!$M$27,Inputs!$B$4="Chapter Hunt"),CHOOSE(ArtifactsInput!$N$27+1,20,24,28,32,36,40),0)/100)),0)</f>
        <v>10</v>
      </c>
      <c r="R776">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2078715378183218.2</v>
      </c>
      <c r="T776">
        <f>MAX(0,(Inputs!$B$3-100)*3)+Inputs!$B$28+Inputs!$B$29</f>
        <v>185</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2.296122307644582E+16</v>
      </c>
      <c r="Z776">
        <f>MAX(0,(Inputs!$B$3-100)*3)+Inputs!$B$28+Inputs!$B$29</f>
        <v>185</v>
      </c>
    </row>
    <row r="777" spans="1:26" x14ac:dyDescent="0.2">
      <c r="A777" t="str">
        <f>Skills!A3</f>
        <v>IGNITE</v>
      </c>
      <c r="B777" t="str">
        <f>Skills!B3</f>
        <v>Ignite</v>
      </c>
      <c r="C777" t="b">
        <f>TRUE</f>
        <v>1</v>
      </c>
      <c r="D777">
        <f>IF(Skills!C3=1,60+Inputs!$B$25+Inputs!$B$29,IF(Skills!C3=2,90+(Inputs!$B$26+1)+Inputs!$B$29,IF(Skills!C3=3,120+Inputs!$B$27+Inputs!$B$29,MAX(0,(Inputs!$B$3-100)*3)+Inputs!$B$28+Inputs!$B$29)))</f>
        <v>169</v>
      </c>
      <c r="E777">
        <f>INDEX(FactorTable!$B$2:$Y$301, MATCH(ROUND(MIN(300,MAX(1,D777)),0), FactorTable!$A$2:$A$301,0), Skills!M3+1)</f>
        <v>1676</v>
      </c>
      <c r="F777">
        <f>IF(Skills!N3=TRUE,(Skills!L3/10)*(E777/1000),Skills!L3/10)+Skills!O3</f>
        <v>121.788</v>
      </c>
      <c r="G777">
        <f>Calc!G3</f>
        <v>3</v>
      </c>
      <c r="H777">
        <f>Calc!H3</f>
        <v>1</v>
      </c>
      <c r="I777">
        <f>IF(Skills!X3&lt;&gt;"",1+(Skills!X3/10)*(Z777/1000)/100,1)</f>
        <v>4.8250000000000002</v>
      </c>
      <c r="J777">
        <f>((Inputs!$B$6*(1+Inputs!$B$7/100))+(((Inputs!$B$12*(1+Inputs!$B$13/100))-(Inputs!$B$12*(1+Inputs!$B$13/100)))+0.25*(Inputs!$B$14-Inputs!$B$14))*(1+Inputs!$B$7/100))*(F777/100)</f>
        <v>439818510.91167116</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10667962283536.406</v>
      </c>
      <c r="L777">
        <f>K777*(MIN(Inputs!$B$22+(F796-Calc!F22),(Inputs!$B$23+(IF(ArtifactsInput!$M$15,CHOOSE(ArtifactsInput!$N$15+1,25,30,35,40,45,50)/100*(Inputs!$B$11-Inputs!$B$11),0))))/100+(Inputs!$B$23+(IF(ArtifactsInput!$M$15,CHOOSE(ArtifactsInput!$N$15+1,25,30,35,40,45,50)/100*(Inputs!$B$11-Inputs!$B$11),0)))/100)/2</f>
        <v>35473374884272.344</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167398856078881.16</v>
      </c>
      <c r="N777">
        <f>L777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167398856078881.16</v>
      </c>
      <c r="O777">
        <f>(1-Summary!$B$11)*S777+Summary!$B$11*U777</f>
        <v>2910229112931349</v>
      </c>
      <c r="P777">
        <f>IF(B815=0,0,O777/B815)</f>
        <v>8.7888500765495037E-2</v>
      </c>
      <c r="Q777">
        <f>IFERROR(1/(IF(Inputs!$B$38="pvp",15,MAX(0.1,Skills!E3-IF(FALSE=TRUE,Inputs!$B$32,0)))*(1-IF(AND(ArtifactsInput!$M$27,Inputs!$B$4="Chapter Hunt"),CHOOSE(ArtifactsInput!$N$27+1,20,24,28,32,36,40),0)/100)),0)</f>
        <v>1</v>
      </c>
      <c r="R777">
        <f>IF(AND(Inputs!$B$38&lt;&gt;"pvp",Inputs!$B$43&gt;0),IF(MAX(0,Inputs!$B$43-B812)&lt;=0,0,(INT(MAX(0,Inputs!$B$43-B812)/(IF(Inputs!$B$38="pvp",15,MAX(0.1,Skills!E3-IF(FALSE=TRUE,Inputs!$B$32,0)))*(1-IF(AND(ArtifactsInput!$M$27,Inputs!$B$4="Chapter Hunt"),CHOOSE(ArtifactsInput!$N$27+1,20,24,28,32,36,40),0)/100)))+1)),0)</f>
        <v>38</v>
      </c>
      <c r="S777">
        <f>IF(C777,(H777*N777*IF(AND(Inputs!$B$38&lt;&gt;"pvp",Inputs!$B$43&gt;0),((Skills!G3*((R777-1)*IF(Skills!H3&gt;0,Skills!I3/Skills!H3,1)+IF(Skills!H3&gt;0,MIN(Skills!I3,MAX(0,MAX(0,Inputs!$B$43-B812)-((R777-1)*(IF(Inputs!$B$38="pvp",15,MAX(0.1,Skills!E3-IF(FALSE=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1512364965244651.8</v>
      </c>
      <c r="T777">
        <f>INDEX(FactorTable!$B$2:$Y$301, MATCH(ROUND(MIN(300,MAX(1,T776)),0), FactorTable!$A$2:$A$301,0), 22)</f>
        <v>1740</v>
      </c>
      <c r="U777">
        <f>IF(C777,(H777*N777*IF(AND(Inputs!$B$38&lt;&gt;"pvp",Inputs!$B$43&gt;0),((Skills!G3*((R777-1)*IF(Skills!H3&gt;0,Skills!I3/Skills!H3,1)+IF(Skills!H3&gt;0,MIN(Skills!I3,MAX(0,MAX(0,Inputs!$B$43-B812)-((R777-1)*(IF(Inputs!$B$38="pvp",15,MAX(0.1,Skills!E3-IF(FALSE=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4308093260618046</v>
      </c>
      <c r="Z777">
        <f>INDEX(FactorTable!$B$2:$Y$301, MATCH(ROUND(MIN(300,MAX(1,Z776)),0), FactorTable!$A$2:$A$301,0), 24)</f>
        <v>7650</v>
      </c>
    </row>
    <row r="778" spans="1:26" x14ac:dyDescent="0.2">
      <c r="A778" t="str">
        <f>Skills!A4</f>
        <v>POISON_BREATH</v>
      </c>
      <c r="B778" t="str">
        <f>Skills!B4</f>
        <v>Poison Breath</v>
      </c>
      <c r="C778" t="b">
        <f>TRUE</f>
        <v>1</v>
      </c>
      <c r="D778">
        <f>IF(Skills!C4=1,60+Inputs!$B$25+Inputs!$B$29,IF(Skills!C4=2,90+(Inputs!$B$26+1)+Inputs!$B$29,IF(Skills!C4=3,120+Inputs!$B$27+Inputs!$B$29,MAX(0,(Inputs!$B$3-100)*3)+Inputs!$B$28+Inputs!$B$29)))</f>
        <v>169</v>
      </c>
      <c r="E778">
        <f>INDEX(FactorTable!$B$2:$Y$301, MATCH(ROUND(MIN(300,MAX(1,D778)),0), FactorTable!$A$2:$A$301,0), Skills!M4+1)</f>
        <v>1845</v>
      </c>
      <c r="F778">
        <f>IF(Skills!N4=TRUE,(Skills!L4/10)*(E778/1000),Skills!L4/10)+Skills!O4</f>
        <v>439</v>
      </c>
      <c r="G778">
        <f>Calc!G4</f>
        <v>3</v>
      </c>
      <c r="H778">
        <f>Calc!H4</f>
        <v>1</v>
      </c>
      <c r="I778">
        <f>IF(Skills!X4&lt;&gt;"",1+(Skills!X4/10)*(Z777/1000)/100,1)</f>
        <v>7.12</v>
      </c>
      <c r="J778">
        <f>((Inputs!$B$6*(1+Inputs!$B$7/100))+(((Inputs!$B$12*(1+Inputs!$B$13/100))-(Inputs!$B$12*(1+Inputs!$B$13/100)))+0.25*(Inputs!$B$14-Inputs!$B$14))*(1+Inputs!$B$7/100))*(F778/100)</f>
        <v>1585380548.9064901</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56744551690015.773</v>
      </c>
      <c r="L778">
        <f>K778*(MIN(Inputs!$B$22+(F796-Calc!F22),(Inputs!$B$23+(IF(ArtifactsInput!$M$15,CHOOSE(ArtifactsInput!$N$15+1,25,30,35,40,45,50)/100*(Inputs!$B$11-Inputs!$B$11),0))))/100+(Inputs!$B$23+(IF(ArtifactsInput!$M$15,CHOOSE(ArtifactsInput!$N$15+1,25,30,35,40,45,50)/100*(Inputs!$B$11-Inputs!$B$11),0)))/100)/2</f>
        <v>188688401893432.72</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890420568535108.88</v>
      </c>
      <c r="N778">
        <f>L778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890420568535108.88</v>
      </c>
      <c r="O778">
        <f>(1-Summary!$B$11)*S778+Summary!$B$11*U778</f>
        <v>2126658225375040.5</v>
      </c>
      <c r="P778">
        <f>IF(B815=0,0,O778/B815)</f>
        <v>6.4224772626425744E-2</v>
      </c>
      <c r="Q778">
        <f>IFERROR(1/(IF(Inputs!$B$38="pvp",15,MAX(0.1,Skills!E4-IF(TRUE=TRUE,Inputs!$B$32,0)))*(1-IF(AND(ArtifactsInput!$M$27,Inputs!$B$4="Chapter Hunt"),CHOOSE(ArtifactsInput!$N$27+1,20,24,28,32,36,40),0)/100)),0)</f>
        <v>5.5555555555555552E-2</v>
      </c>
      <c r="R778">
        <f>IF(AND(Inputs!$B$38&lt;&gt;"pvp",Inputs!$B$43&gt;0),IF(MAX(0,Inputs!$B$43-B812)&lt;=0,0,(INT(MAX(0,Inputs!$B$43-B812)/(IF(Inputs!$B$38="pvp",15,MAX(0.1,Skills!E4-IF(TRUE=TRUE,Inputs!$B$32,0)))*(1-IF(AND(ArtifactsInput!$M$27,Inputs!$B$4="Chapter Hunt"),CHOOSE(ArtifactsInput!$N$27+1,20,24,28,32,36,40),0)/100)))+1)),0)</f>
        <v>3</v>
      </c>
      <c r="S778">
        <f>IF(C778,(H778*N778*IF(AND(Inputs!$B$38&lt;&gt;"pvp",Inputs!$B$43&gt;0),((Skills!G4*((R778-1)*IF(Skills!H4&gt;0,Skills!I4/Skills!H4,1)+IF(Skills!H4&gt;0,MIN(Skills!I4,MAX(0,MAX(0,Inputs!$B$43-B812)-((R778-1)*(IF(Inputs!$B$38="pvp",15,MAX(0.1,Skills!E4-IF(TRUE=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635092470507666.38</v>
      </c>
      <c r="T778">
        <f>290*T777/1000</f>
        <v>504.6</v>
      </c>
      <c r="U778">
        <f>IF(C778,(H778*N778*IF(AND(Inputs!$B$38&lt;&gt;"pvp",Inputs!$B$43&gt;0),((Skills!G4*((R778-1)*IF(Skills!H4&gt;0,Skills!I4/Skills!H4,1)+IF(Skills!H4&gt;0,MIN(Skills!I4,MAX(0,MAX(0,Inputs!$B$43-B812)-((R778-1)*(IF(Inputs!$B$38="pvp",15,MAX(0.1,Skills!E4-IF(TRUE=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3618223980242414.5</v>
      </c>
    </row>
    <row r="779" spans="1:26" x14ac:dyDescent="0.2">
      <c r="A779" t="str">
        <f>Skills!A5</f>
        <v>ELEMENTAL_DRAIN</v>
      </c>
      <c r="B779" t="str">
        <f>Skills!B5</f>
        <v>Elemental Drain</v>
      </c>
      <c r="C779" t="b">
        <f>TRUE</f>
        <v>1</v>
      </c>
      <c r="D779">
        <f>IF(Skills!C5=1,60+Inputs!$B$25+Inputs!$B$29,IF(Skills!C5=2,90+(Inputs!$B$26+1)+Inputs!$B$29,IF(Skills!C5=3,120+Inputs!$B$27+Inputs!$B$29,MAX(0,(Inputs!$B$3-100)*3)+Inputs!$B$28+Inputs!$B$29)))</f>
        <v>169</v>
      </c>
      <c r="E779">
        <f>INDEX(FactorTable!$B$2:$Y$301, MATCH(ROUND(MIN(300,MAX(1,D779)),0), FactorTable!$A$2:$A$301,0), Skills!M5+1)</f>
        <v>1676</v>
      </c>
      <c r="F779">
        <f>IF(Skills!N5=TRUE,(Skills!L5/10)*(E779/1000),Skills!L5/10)+Skills!O5</f>
        <v>20.111999999999998</v>
      </c>
      <c r="G779">
        <f>Calc!G5</f>
        <v>5</v>
      </c>
      <c r="H779">
        <f>Calc!H5</f>
        <v>1</v>
      </c>
      <c r="I779">
        <f>IF(Skills!X5&lt;&gt;"",1+(Skills!X5/10)*(Z777/1000)/100,1)</f>
        <v>12.475</v>
      </c>
      <c r="J779">
        <f>((Inputs!$B$6*(1+Inputs!$B$7/100))+(((Inputs!$B$12*(1+Inputs!$B$13/100))-(Inputs!$B$12*(1+Inputs!$B$13/100)))+0.25*(Inputs!$B$14-Inputs!$B$14))*(1+Inputs!$B$7/100))*(F779/100)</f>
        <v>72631374.942157924</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4554864584436.0986</v>
      </c>
      <c r="L779">
        <f>K779*(MIN(Inputs!$B$22+(F796-Calc!F22),(Inputs!$B$23+(IF(ArtifactsInput!$M$15,CHOOSE(ArtifactsInput!$N$15+1,25,30,35,40,45,50)/100*(Inputs!$B$11-Inputs!$B$11),0))))/100+(Inputs!$B$23+(IF(ArtifactsInput!$M$15,CHOOSE(ArtifactsInput!$N$15+1,25,30,35,40,45,50)/100*(Inputs!$B$11-Inputs!$B$11),0)))/100)/2</f>
        <v>15145949587781.527</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71473736104741.016</v>
      </c>
      <c r="N779">
        <f>L779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71473736104741.016</v>
      </c>
      <c r="O779">
        <f>(1-Summary!$B$11)*S779+Summary!$B$11*U779</f>
        <v>1049055761677336.2</v>
      </c>
      <c r="P779">
        <f>IF(B815=0,0,O779/B815)</f>
        <v>3.1681333164987995E-2</v>
      </c>
      <c r="Q779">
        <f>IFERROR(1/(IF(Inputs!$B$38="pvp",15,MAX(0.1,Skills!E5-IF(FALSE=TRUE,Inputs!$B$32,0)))*(1-IF(AND(ArtifactsInput!$M$27,Inputs!$B$4="Chapter Hunt"),CHOOSE(ArtifactsInput!$N$27+1,20,24,28,32,36,40),0)/100)),0)</f>
        <v>1</v>
      </c>
      <c r="R779">
        <f>IF(AND(Inputs!$B$38&lt;&gt;"pvp",Inputs!$B$43&gt;0),IF(MAX(0,Inputs!$B$43-B812)&lt;=0,0,(INT(MAX(0,Inputs!$B$43-B812)/(IF(Inputs!$B$38="pvp",15,MAX(0.1,Skills!E5-IF(FALSE=TRUE,Inputs!$B$32,0)))*(1-IF(AND(ArtifactsInput!$M$27,Inputs!$B$4="Chapter Hunt"),CHOOSE(ArtifactsInput!$N$27+1,20,24,28,32,36,40),0)/100)))+1)),0)</f>
        <v>38</v>
      </c>
      <c r="S779">
        <f>IF(C779,(H779*N779*IF(AND(Inputs!$B$38&lt;&gt;"pvp",Inputs!$B$43&gt;0),((Skills!G5*((R779-1)*IF(Skills!H5&gt;0,Skills!I5/Skills!H5,1)+IF(Skills!H5&gt;0,MIN(Skills!I5,MAX(0,MAX(0,Inputs!$B$43-B812)-((R779-1)*(IF(Inputs!$B$38="pvp",15,MAX(0.1,Skills!E5-IF(FALSE=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1076215781397137.8</v>
      </c>
      <c r="U779">
        <f>IF(C779,(H779*N779*IF(AND(Inputs!$B$38&lt;&gt;"pvp",Inputs!$B$43&gt;0),((Skills!G5*((R779-1)*IF(Skills!H5&gt;0,Skills!I5/Skills!H5,1)+IF(Skills!H5&gt;0,MIN(Skills!I5,MAX(0,MAX(0,Inputs!$B$43-B812)-((R779-1)*(IF(Inputs!$B$38="pvp",15,MAX(0.1,Skills!E5-IF(FALSE=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1021895741957534.6</v>
      </c>
    </row>
    <row r="780" spans="1:26" x14ac:dyDescent="0.2">
      <c r="A780" t="str">
        <f>Skills!A6</f>
        <v>MEDITATION</v>
      </c>
      <c r="B780" t="str">
        <f>Skills!B6</f>
        <v>Meditation</v>
      </c>
      <c r="C780" t="b">
        <f>TRUE</f>
        <v>1</v>
      </c>
      <c r="D780">
        <f>IF(Skills!C6=1,60+Inputs!$B$25+Inputs!$B$29,IF(Skills!C6=2,90+(Inputs!$B$26+1)+Inputs!$B$29,IF(Skills!C6=3,120+Inputs!$B$27+Inputs!$B$29,MAX(0,(Inputs!$B$3-100)*3)+Inputs!$B$28+Inputs!$B$29)))</f>
        <v>169</v>
      </c>
      <c r="E780">
        <f>INDEX(FactorTable!$B$2:$Y$301, MATCH(ROUND(MIN(300,MAX(1,D780)),0), FactorTable!$A$2:$A$301,0), Skills!M6+1)</f>
        <v>1676</v>
      </c>
      <c r="F780">
        <f>IF(Skills!N6=TRUE,(Skills!L6/10)*(E780/1000),Skills!L6/10)+Skills!O6</f>
        <v>33.519999999999996</v>
      </c>
      <c r="G780">
        <f>Calc!G6</f>
        <v>1</v>
      </c>
      <c r="H780">
        <f>Calc!H6</f>
        <v>1</v>
      </c>
      <c r="I780">
        <f>IF(Skills!X6&lt;&gt;"",1+(Skills!X6/10)*(Z777/1000)/100,1)</f>
        <v>1</v>
      </c>
      <c r="O780">
        <f>(1-Summary!$B$11)*S780+Summary!$B$11*U780</f>
        <v>0</v>
      </c>
      <c r="P780">
        <f>IF(B815=0,0,O780/B815)</f>
        <v>0</v>
      </c>
      <c r="Q780">
        <f>IFERROR(1/(IF(Inputs!$B$38="pvp",15,MAX(0.1,Skills!E6-IF(TRUE=TRUE,Inputs!$B$32,0)))*(1-IF(AND(ArtifactsInput!$M$27,Inputs!$B$4="Chapter Hunt"),CHOOSE(ArtifactsInput!$N$27+1,20,24,28,32,36,40),0)/100)),0)</f>
        <v>3.3333333333333333E-2</v>
      </c>
      <c r="R780">
        <f>IF(AND(Inputs!$B$38&lt;&gt;"pvp",Inputs!$B$43&gt;0),IF(Inputs!$B$43&lt;=0,0,(INT(Inputs!$B$43/(IF(Inputs!$B$38="pvp",15,MAX(0.1,Skills!E6-IF(TRUE=TRUE,Inputs!$B$32,0)))*(1-IF(AND(ArtifactsInput!$M$27,Inputs!$B$4="Chapter Hunt"),CHOOSE(ArtifactsInput!$N$27+1,20,24,28,32,36,40),0)/100)))+1)),0)</f>
        <v>2</v>
      </c>
      <c r="S780">
        <v>0</v>
      </c>
      <c r="U780">
        <v>0</v>
      </c>
    </row>
    <row r="781" spans="1:26" x14ac:dyDescent="0.2">
      <c r="A781" t="str">
        <f>Skills!A7</f>
        <v>POISON_MIST_BURST</v>
      </c>
      <c r="B781" t="str">
        <f>Skills!B7</f>
        <v>Poison Mist (burst)</v>
      </c>
      <c r="C781" t="b">
        <f>TRUE</f>
        <v>1</v>
      </c>
      <c r="D781">
        <f>IF(Skills!C7=1,60+Inputs!$B$25+Inputs!$B$29,IF(Skills!C7=2,90+(Inputs!$B$26+1)+Inputs!$B$29,IF(Skills!C7=3,120+Inputs!$B$27+Inputs!$B$29,MAX(0,(Inputs!$B$3-100)*3)+Inputs!$B$28+Inputs!$B$29)))</f>
        <v>184</v>
      </c>
      <c r="E781">
        <f>INDEX(FactorTable!$B$2:$Y$301, MATCH(ROUND(MIN(300,MAX(1,D781)),0), FactorTable!$A$2:$A$301,0), Skills!M7+1)</f>
        <v>1920</v>
      </c>
      <c r="F781">
        <f>IF(Skills!N7=TRUE,(Skills!L7/10)*(E781/1000),Skills!L7/10)+Skills!O7</f>
        <v>357.2</v>
      </c>
      <c r="G781">
        <f>Calc!G7</f>
        <v>3</v>
      </c>
      <c r="H781">
        <f>Calc!H7</f>
        <v>1</v>
      </c>
      <c r="I781">
        <f>IF(Skills!X7&lt;&gt;"",1+(Skills!X7/10)*(Z777/1000)/100,1)</f>
        <v>1.7650000000000001</v>
      </c>
      <c r="J781">
        <f>((Inputs!$B$6*(1+Inputs!$B$7/100))+(((Inputs!$B$12*(1+Inputs!$B$13/100))-(Inputs!$B$12*(1+Inputs!$B$13/100)))+0.25*(Inputs!$B$14-Inputs!$B$14))*(1+Inputs!$B$7/100))*(F781/100)</f>
        <v>1289972510.4086521</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11445527555406.814</v>
      </c>
      <c r="L781">
        <f>K781*(MIN(Inputs!$B$22+(F796-Calc!F22),(Inputs!$B$23+(IF(ArtifactsInput!$M$15,CHOOSE(ArtifactsInput!$N$15+1,25,30,35,40,45,50)/100*(Inputs!$B$11-Inputs!$B$11),0))))/100+(Inputs!$B$23+(IF(ArtifactsInput!$M$15,CHOOSE(ArtifactsInput!$N$15+1,25,30,35,40,45,50)/100*(Inputs!$B$11-Inputs!$B$11),0)))/100)/2</f>
        <v>38058954365427.625</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179600205650452.94</v>
      </c>
      <c r="N781">
        <f>L781*(1-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179600205650452.94</v>
      </c>
      <c r="O781">
        <f>(1-Summary!$B$11)*S781+Summary!$B$11*U781</f>
        <v>448147413149292.69</v>
      </c>
      <c r="P781">
        <f>IF(B815=0,0,O781/B815)</f>
        <v>1.3533987440581059E-2</v>
      </c>
      <c r="Q781">
        <f>IFERROR(1/(IF(Inputs!$B$38="pvp",15,MAX(0.1,Skills!E7-IF(TRUE=TRUE,Inputs!$B$32,0)))*(1-IF(AND(ArtifactsInput!$M$27,Inputs!$B$4="Chapter Hunt"),CHOOSE(ArtifactsInput!$N$27+1,20,24,28,32,36,40),0)/100)),0)</f>
        <v>4.0816326530612242E-2</v>
      </c>
      <c r="R781">
        <f>IF(AND(Inputs!$B$38&lt;&gt;"pvp",Inputs!$B$43&gt;0),IF(MAX(0,Inputs!$B$43-B812)&lt;=0,0,(INT(MAX(0,Inputs!$B$43-B812)/(IF(Inputs!$B$38="pvp",15,MAX(0.1,Skills!E7-IF(TRUE=TRUE,Inputs!$B$32,0)))*(1-IF(AND(ArtifactsInput!$M$27,Inputs!$B$4="Chapter Hunt"),CHOOSE(ArtifactsInput!$N$27+1,20,24,28,32,36,40),0)/100)))+1)),0)</f>
        <v>2</v>
      </c>
      <c r="S781">
        <f>IF(C781,(H781*N781*IF(AND(Inputs!$B$38&lt;&gt;"pvp",Inputs!$B$43&gt;0),((Skills!G7*((R781-1)*IF(Skills!H7&gt;0,Skills!I7/Skills!H7,1)+IF(Skills!H7&gt;0,MIN(Skills!I7,MAX(0,MAX(0,Inputs!$B$43-B812)-((R781-1)*(IF(Inputs!$B$38="pvp",15,MAX(0.1,Skills!E7-IF(TRUE=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85399897786790.375</v>
      </c>
      <c r="U781">
        <f>IF(C781,(H781*N781*IF(AND(Inputs!$B$38&lt;&gt;"pvp",Inputs!$B$43&gt;0),((Skills!G7*((R781-1)*IF(Skills!H7&gt;0,Skills!I7/Skills!H7,1)+IF(Skills!H7&gt;0,MIN(Skills!I7,MAX(0,MAX(0,Inputs!$B$43-B812)-((R781-1)*(IF(Inputs!$B$38="pvp",15,MAX(0.1,Skills!E7-IF(TRUE=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810894928511795</v>
      </c>
    </row>
    <row r="782" spans="1:26" x14ac:dyDescent="0.2">
      <c r="A782" t="str">
        <f>Skills!A8</f>
        <v>POISON_MIST_DOT</v>
      </c>
      <c r="B782" t="str">
        <f>Skills!B8</f>
        <v>Poison Mist (fog DoT)</v>
      </c>
      <c r="C782" t="b">
        <f>TRUE</f>
        <v>1</v>
      </c>
      <c r="D782">
        <f>IF(Skills!C8=1,60+Inputs!$B$25+Inputs!$B$29,IF(Skills!C8=2,90+(Inputs!$B$26+1)+Inputs!$B$29,IF(Skills!C8=3,120+Inputs!$B$27+Inputs!$B$29,MAX(0,(Inputs!$B$3-100)*3)+Inputs!$B$28+Inputs!$B$29)))</f>
        <v>184</v>
      </c>
      <c r="E782">
        <f>INDEX(FactorTable!$B$2:$Y$301, MATCH(ROUND(MIN(300,MAX(1,D782)),0), FactorTable!$A$2:$A$301,0), Skills!M8+1)</f>
        <v>1920</v>
      </c>
      <c r="F782">
        <f>IF(Skills!N8=TRUE,(Skills!L8/10)*(E782/1000),Skills!L8/10)+Skills!O8</f>
        <v>134.4</v>
      </c>
      <c r="G782">
        <f>Calc!G8</f>
        <v>50</v>
      </c>
      <c r="H782">
        <f>Calc!H8</f>
        <v>1</v>
      </c>
      <c r="I782">
        <f>IF(Skills!X8&lt;&gt;"",1+(Skills!X8/10)*(Z777/1000)/100,1)</f>
        <v>1.7650000000000001</v>
      </c>
      <c r="J782">
        <f>((Inputs!$B$6*(1+Inputs!$B$7/100))+(((Inputs!$B$12*(1+Inputs!$B$13/100))-(Inputs!$B$12*(1+Inputs!$B$13/100)))+0.25*(Inputs!$B$14-Inputs!$B$14))*(1+Inputs!$B$7/100))*(F782/100)</f>
        <v>485364796.74950409</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4306491890948.1406</v>
      </c>
      <c r="L782">
        <f>K782*(MIN(Inputs!$B$22+(F796-Calc!F22),(Inputs!$B$23+(IF(ArtifactsInput!$M$15,CHOOSE(ArtifactsInput!$N$15+1,25,30,35,40,45,50)/100*(Inputs!$B$11-Inputs!$B$11),0))))/100+(Inputs!$B$23+(IF(ArtifactsInput!$M$15,CHOOSE(ArtifactsInput!$N$15+1,25,30,35,40,45,50)/100*(Inputs!$B$11-Inputs!$B$11),0)))/100)/2</f>
        <v>14320054498078.031</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67576337176430.219</v>
      </c>
      <c r="N782">
        <f>L782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67576337176430.219</v>
      </c>
      <c r="O782">
        <f>(1-Summary!$B$11)*S782+Summary!$B$11*U782</f>
        <v>2328689228901372.5</v>
      </c>
      <c r="P782">
        <f>IF(B815=0,0,O782/B815)</f>
        <v>7.0326079884050111E-2</v>
      </c>
      <c r="Q782">
        <f>IFERROR(1/(IF(Inputs!$B$38="pvp",15,MAX(0.1,Skills!E8-IF(TRUE=TRUE,Inputs!$B$32,0)))*(1-IF(AND(ArtifactsInput!$M$27,Inputs!$B$4="Chapter Hunt"),CHOOSE(ArtifactsInput!$N$27+1,20,24,28,32,36,40),0)/100)),0)</f>
        <v>4.0816326530612242E-2</v>
      </c>
      <c r="R782">
        <f>IF(AND(Inputs!$B$38&lt;&gt;"pvp",Inputs!$B$43&gt;0),IF(MAX(0,Inputs!$B$43-B812)&lt;=0,0,(INT(MAX(0,Inputs!$B$43-B812)/(IF(Inputs!$B$38="pvp",15,MAX(0.1,Skills!E8-IF(TRUE=TRUE,Inputs!$B$32,0)))*(1-IF(AND(ArtifactsInput!$M$27,Inputs!$B$4="Chapter Hunt"),CHOOSE(ArtifactsInput!$N$27+1,20,24,28,32,36,40),0)/100)))+1)),0)</f>
        <v>2</v>
      </c>
      <c r="S782">
        <f>IF(C782,(H782*N782*IF(AND(Inputs!$B$38&lt;&gt;"pvp",Inputs!$B$43&gt;0),((Skills!G8*((R782-1)*IF(Skills!H8&gt;0,Skills!I8/Skills!H8,1)+IF(Skills!H8&gt;0,MIN(Skills!I8,MAX(0,MAX(0,Inputs!$B$43-B812)-((R782-1)*(IF(Inputs!$B$38="pvp",15,MAX(0.1,Skills!E8-IF(TRUE=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443759835023585.88</v>
      </c>
      <c r="U782">
        <f>IF(C782,(H782*N782*IF(AND(Inputs!$B$38&lt;&gt;"pvp",Inputs!$B$43&gt;0),((Skills!G8*((R782-1)*IF(Skills!H8&gt;0,Skills!I8/Skills!H8,1)+IF(Skills!H8&gt;0,MIN(Skills!I8,MAX(0,MAX(0,Inputs!$B$43-B812)-((R782-1)*(IF(Inputs!$B$38="pvp",15,MAX(0.1,Skills!E8-IF(TRUE=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4213618622779159</v>
      </c>
    </row>
    <row r="783" spans="1:26" x14ac:dyDescent="0.2">
      <c r="A783" t="str">
        <f>Skills!A9</f>
        <v>MIST_ERUPTION</v>
      </c>
      <c r="B783" t="str">
        <f>Skills!B9</f>
        <v>Mist Eruption</v>
      </c>
      <c r="C783" t="b">
        <f>Inputs!$B$3&gt;=103</f>
        <v>1</v>
      </c>
      <c r="D783">
        <f>IF(Skills!C9=1,60+Inputs!$B$25+Inputs!$B$29,IF(Skills!C9=2,90+(Inputs!$B$26+1)+Inputs!$B$29,IF(Skills!C9=3,120+Inputs!$B$27+Inputs!$B$29,MAX(0,(Inputs!$B$3-100)*3)+Inputs!$B$28+Inputs!$B$29)))</f>
        <v>185</v>
      </c>
      <c r="E783">
        <f>INDEX(FactorTable!$B$2:$Y$301, MATCH(ROUND(MIN(300,MAX(1,D783)),0), FactorTable!$A$2:$A$301,0), Skills!M9+1)</f>
        <v>1925</v>
      </c>
      <c r="F783">
        <f>IF(Skills!N9=TRUE,(Skills!L9/10)*(E783/1000),Skills!L9/10)+Skills!O9</f>
        <v>5775</v>
      </c>
      <c r="G783">
        <f>Calc!G9</f>
        <v>2.5</v>
      </c>
      <c r="H783">
        <f>Calc!H9</f>
        <v>1</v>
      </c>
      <c r="I783">
        <f>IF(Skills!X9&lt;&gt;"",1+(Skills!X9/10)*(Z777/1000)/100,1)</f>
        <v>1</v>
      </c>
      <c r="J783">
        <f>((Inputs!$B$6*(1+Inputs!$B$7/100))+(((Inputs!$B$12*(1+Inputs!$B$13/100))-(Inputs!$B$12*(1+Inputs!$B$13/100)))+0.25*(Inputs!$B$14-Inputs!$B$14))*(1+Inputs!$B$7/100))*(F783/100)</f>
        <v>20855518610.330254</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104841118095851.5</v>
      </c>
      <c r="L783">
        <f>K783*(MIN(Inputs!$B$22+(F796-Calc!F22),(Inputs!$B$23+(IF(ArtifactsInput!$M$15,CHOOSE(ArtifactsInput!$N$15+1,25,30,35,40,45,50)/100*(Inputs!$B$11-Inputs!$B$11),0))))/100+(Inputs!$B$23+(IF(ArtifactsInput!$M$15,CHOOSE(ArtifactsInput!$N$15+1,25,30,35,40,45,50)/100*(Inputs!$B$11-Inputs!$B$11),0)))/100)/2</f>
        <v>348620306920277.81</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1645139228356790.8</v>
      </c>
      <c r="N783">
        <f>L783*(1-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1645139228356790.8</v>
      </c>
      <c r="O783">
        <f>(1-Summary!$B$11)*S783+Summary!$B$11*U783</f>
        <v>3420861382964401.5</v>
      </c>
      <c r="P783">
        <f>IF(B815=0,0,O783/B815)</f>
        <v>0.10330952189962905</v>
      </c>
      <c r="Q783">
        <f>IFERROR(1/(IF(Inputs!$B$38="pvp",15,MAX(0.1,Skills!E9-IF(TRUE=TRUE,Inputs!$B$32,0)))*(1-IF(AND(ArtifactsInput!$M$27,Inputs!$B$4="Chapter Hunt"),CHOOSE(ArtifactsInput!$N$27+1,20,24,28,32,36,40),0)/100)),0)</f>
        <v>4.0816326530612242E-2</v>
      </c>
      <c r="R783">
        <f>IF(AND(Inputs!$B$38&lt;&gt;"pvp",Inputs!$B$43&gt;0),IF(MAX(0,Inputs!$B$43-B812)&lt;=0,0,(INT(MAX(0,Inputs!$B$43-B812)/(IF(Inputs!$B$38="pvp",15,MAX(0.1,Skills!E9-IF(TRUE=TRUE,Inputs!$B$32,0)))*(1-IF(AND(ArtifactsInput!$M$27,Inputs!$B$4="Chapter Hunt"),CHOOSE(ArtifactsInput!$N$27+1,20,24,28,32,36,40),0)/100)))+1)),0)</f>
        <v>2</v>
      </c>
      <c r="S783">
        <f>IF(C783,(H783*N783*IF(AND(Inputs!$B$38&lt;&gt;"pvp",Inputs!$B$43&gt;0),((Skills!G9*((R783-1)*IF(Skills!H9&gt;0,Skills!I9/Skills!H9,1)+IF(Skills!H9&gt;0,MIN(Skills!I9,MAX(0,MAX(0,Inputs!$B$43-B812)-((R783-1)*(IF(Inputs!$B$38="pvp",15,MAX(0.1,Skills!E9-IF(TRUE=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651886419236378.38</v>
      </c>
      <c r="U783">
        <f>IF(C783,(H783*N783*IF(AND(Inputs!$B$38&lt;&gt;"pvp",Inputs!$B$43&gt;0),((Skills!G9*((R783-1)*IF(Skills!H9&gt;0,Skills!I9/Skills!H9,1)+IF(Skills!H9&gt;0,MIN(Skills!I9,MAX(0,MAX(0,Inputs!$B$43-B812)-((R783-1)*(IF(Inputs!$B$38="pvp",15,MAX(0.1,Skills!E9-IF(TRUE=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6189836346692425</v>
      </c>
    </row>
    <row r="784" spans="1:26" x14ac:dyDescent="0.2">
      <c r="A784" t="str">
        <f>Skills!A10</f>
        <v>CREEPING_TOXIN</v>
      </c>
      <c r="B784" t="str">
        <f>Skills!B10</f>
        <v>Creeping Toxin</v>
      </c>
      <c r="C784" t="b">
        <f>TRUE</f>
        <v>1</v>
      </c>
      <c r="D784">
        <f>IF(Skills!C10=1,60+Inputs!$B$25+Inputs!$B$29,IF(Skills!C10=2,90+(Inputs!$B$26+1)+Inputs!$B$29,IF(Skills!C10=3,120+Inputs!$B$27+Inputs!$B$29,MAX(0,(Inputs!$B$3-100)*3)+Inputs!$B$28+Inputs!$B$29)))</f>
        <v>184</v>
      </c>
      <c r="E784">
        <f>INDEX(FactorTable!$B$2:$Y$301, MATCH(ROUND(MIN(300,MAX(1,D784)),0), FactorTable!$A$2:$A$301,0), Skills!M10+1)</f>
        <v>1920</v>
      </c>
      <c r="F784">
        <f>IF(Skills!N10=TRUE,(Skills!L10/10)*(E784/1000),Skills!L10/10)+Skills!O10</f>
        <v>280.39999999999998</v>
      </c>
      <c r="G784">
        <f>Calc!G10</f>
        <v>15</v>
      </c>
      <c r="H784">
        <f>Calc!H10</f>
        <v>1</v>
      </c>
      <c r="I784">
        <f>IF(Skills!X10&lt;&gt;"",1+(Skills!X10/10)*(Z777/1000)/100,1)</f>
        <v>1.7650000000000001</v>
      </c>
      <c r="J784">
        <f>((Inputs!$B$6*(1+Inputs!$B$7/100))+(((Inputs!$B$12*(1+Inputs!$B$13/100))-(Inputs!$B$12*(1+Inputs!$B$13/100)))+0.25*(Inputs!$B$14-Inputs!$B$14))*(1+Inputs!$B$7/100))*(F784/100)</f>
        <v>1012621197.9803641</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8984675046293.5898</v>
      </c>
      <c r="L784">
        <f>K784*(MIN(Inputs!$B$22+(F796-Calc!F22),(Inputs!$B$23+(IF(ArtifactsInput!$M$15,CHOOSE(ArtifactsInput!$N$15+1,25,30,35,40,45,50)/100*(Inputs!$B$11-Inputs!$B$11),0))))/100+(Inputs!$B$23+(IF(ArtifactsInput!$M$15,CHOOSE(ArtifactsInput!$N$15+1,25,30,35,40,45,50)/100*(Inputs!$B$11-Inputs!$B$11),0)))/100)/2</f>
        <v>29876066080811.602</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140985155835349.94</v>
      </c>
      <c r="N784">
        <f>L784*(1-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140985155835349.94</v>
      </c>
      <c r="O784">
        <f>(1-Summary!$B$11)*S784+Summary!$B$11*U784</f>
        <v>324493074061853.38</v>
      </c>
      <c r="P784">
        <f>IF(B815=0,0,O784/B815)</f>
        <v>9.7996441796834553E-3</v>
      </c>
      <c r="Q784">
        <f>IFERROR(1/(IF(Inputs!$B$38="pvp",15,MAX(0.1,Skills!E10-IF(TRUE=TRUE,Inputs!$B$32,0)))*(1-IF(AND(ArtifactsInput!$M$27,Inputs!$B$4="Chapter Hunt"),CHOOSE(ArtifactsInput!$N$27+1,20,24,28,32,36,40),0)/100)),0)</f>
        <v>3.7037037037037035E-2</v>
      </c>
      <c r="R784">
        <f>IF(AND(Inputs!$B$38&lt;&gt;"pvp",Inputs!$B$43&gt;0),IF(MAX(0,Inputs!$B$43-B812)&lt;=0,0,(INT(MAX(0,Inputs!$B$43-B812)/(IF(Inputs!$B$38="pvp",15,MAX(0.1,Skills!E10-IF(TRUE=TRUE,Inputs!$B$32,0)))*(1-IF(AND(ArtifactsInput!$M$27,Inputs!$B$4="Chapter Hunt"),CHOOSE(ArtifactsInput!$N$27+1,20,24,28,32,36,40),0)/100)))+1)),0)</f>
        <v>2</v>
      </c>
      <c r="S784">
        <f>IF(C784,(H784*N784*IF(AND(Inputs!$B$38&lt;&gt;"pvp",Inputs!$B$43&gt;0),((Skills!G10*((R784-1)*IF(Skills!H10&gt;0,Skills!I10/Skills!H10,1)+IF(Skills!H10&gt;0,MIN(Skills!I10,MAX(0,MAX(0,Inputs!$B$43-B812)-((R784-1)*(IF(Inputs!$B$38="pvp",15,MAX(0.1,Skills!E10-IF(TRUE=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286530096037903.94</v>
      </c>
      <c r="U784">
        <f>IF(C784,(H784*N784*IF(AND(Inputs!$B$38&lt;&gt;"pvp",Inputs!$B$43&gt;0),((Skills!G10*((R784-1)*IF(Skills!H10&gt;0,Skills!I10/Skills!H10,1)+IF(Skills!H10&gt;0,MIN(Skills!I10,MAX(0,MAX(0,Inputs!$B$43-B812)-((R784-1)*(IF(Inputs!$B$38="pvp",15,MAX(0.1,Skills!E10-IF(TRUE=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362456052085802.75</v>
      </c>
    </row>
    <row r="785" spans="1:21" x14ac:dyDescent="0.2">
      <c r="A785" t="str">
        <f>Skills!A11</f>
        <v>BURNING_MAGIC</v>
      </c>
      <c r="B785" t="str">
        <f>Skills!B11</f>
        <v>Burning Magic</v>
      </c>
      <c r="C785" t="b">
        <f>TRUE</f>
        <v>1</v>
      </c>
      <c r="D785">
        <f>IF(Skills!C11=1,60+Inputs!$B$25+Inputs!$B$29,IF(Skills!C11=2,90+(Inputs!$B$26+1)+Inputs!$B$29,IF(Skills!C11=3,120+Inputs!$B$27+Inputs!$B$29,MAX(0,(Inputs!$B$3-100)*3)+Inputs!$B$28+Inputs!$B$29)))</f>
        <v>184</v>
      </c>
      <c r="E785">
        <f>INDEX(FactorTable!$B$2:$Y$301, MATCH(ROUND(MIN(300,MAX(1,D785)),0), FactorTable!$A$2:$A$301,0), Skills!M11+1)</f>
        <v>0</v>
      </c>
      <c r="F785">
        <f>IF(Skills!N11=TRUE,(Skills!L11/10)*(E785/1000),Skills!L11/10)+Skills!O11</f>
        <v>5</v>
      </c>
      <c r="G785">
        <f>Calc!G11</f>
        <v>1</v>
      </c>
      <c r="H785">
        <f>Calc!H11</f>
        <v>1</v>
      </c>
      <c r="I785">
        <f>IF(Skills!X11&lt;&gt;"",1+(Skills!X11/10)*(Z777/1000)/100,1)</f>
        <v>1</v>
      </c>
      <c r="O785">
        <f>(1-Summary!$B$11)*S785+Summary!$B$11*U785</f>
        <v>0</v>
      </c>
      <c r="P785">
        <f>IF(B815=0,0,O785/B815)</f>
        <v>0</v>
      </c>
      <c r="Q785">
        <f>IFERROR(1/(IF(Inputs!$B$38="pvp",15,MAX(0.1,Skills!E11-IF(TRUE=TRUE,Inputs!$B$32,0)))*(1-IF(AND(ArtifactsInput!$M$27,Inputs!$B$4="Chapter Hunt"),CHOOSE(ArtifactsInput!$N$27+1,20,24,28,32,36,40),0)/100)),0)</f>
        <v>10</v>
      </c>
      <c r="R785">
        <v>0</v>
      </c>
      <c r="S785">
        <v>0</v>
      </c>
      <c r="U785">
        <v>0</v>
      </c>
    </row>
    <row r="786" spans="1:21" x14ac:dyDescent="0.2">
      <c r="A786" t="str">
        <f>Skills!A12</f>
        <v>ELEMENTAL_DECREASE</v>
      </c>
      <c r="B786" t="str">
        <f>Skills!B12</f>
        <v>Elemental Decrease</v>
      </c>
      <c r="C786" t="b">
        <f>TRUE</f>
        <v>1</v>
      </c>
      <c r="D786">
        <f>IF(Skills!C12=1,60+Inputs!$B$25+Inputs!$B$29,IF(Skills!C12=2,90+(Inputs!$B$26+1)+Inputs!$B$29,IF(Skills!C12=3,120+Inputs!$B$27+Inputs!$B$29,MAX(0,(Inputs!$B$3-100)*3)+Inputs!$B$28+Inputs!$B$29)))</f>
        <v>184</v>
      </c>
      <c r="E786">
        <f>INDEX(FactorTable!$B$2:$Y$301, MATCH(ROUND(MIN(300,MAX(1,D786)),0), FactorTable!$A$2:$A$301,0), Skills!M12+1)</f>
        <v>1552</v>
      </c>
      <c r="F786">
        <f>IF(Skills!N12=TRUE,(Skills!L12/10)*(E786/1000),Skills!L12/10)+Skills!O12</f>
        <v>18.624000000000002</v>
      </c>
      <c r="G786">
        <f>Calc!G12</f>
        <v>1</v>
      </c>
      <c r="H786">
        <f>Calc!H12</f>
        <v>0.5</v>
      </c>
      <c r="I786">
        <f>IF(Skills!X12&lt;&gt;"",1+(Skills!X12/10)*(Z777/1000)/100,1)</f>
        <v>1</v>
      </c>
      <c r="O786">
        <f>(1-Summary!$B$11)*S786+Summary!$B$11*U786</f>
        <v>0</v>
      </c>
      <c r="P786">
        <f>IF(B815=0,0,O786/B815)</f>
        <v>0</v>
      </c>
      <c r="Q786">
        <f>IFERROR(1/(IF(Inputs!$B$38="pvp",15,MAX(0.1,Skills!E12-IF(TRUE=TRUE,Inputs!$B$32,0)))*(1-IF(AND(ArtifactsInput!$M$27,Inputs!$B$4="Chapter Hunt"),CHOOSE(ArtifactsInput!$N$27+1,20,24,28,32,36,40),0)/100)),0)</f>
        <v>10</v>
      </c>
      <c r="R786">
        <v>0</v>
      </c>
      <c r="S786">
        <v>0</v>
      </c>
      <c r="U786">
        <v>0</v>
      </c>
    </row>
    <row r="787" spans="1:21" x14ac:dyDescent="0.2">
      <c r="A787" t="str">
        <f>Skills!A13</f>
        <v>METEOR_SHOWER_BURST</v>
      </c>
      <c r="B787" t="str">
        <f>Skills!B13</f>
        <v>Meteor Shower (burst)</v>
      </c>
      <c r="C787" t="b">
        <f>Inputs!$B$3&gt;=105</f>
        <v>1</v>
      </c>
      <c r="D787">
        <f>IF(Skills!C13=1,60+Inputs!$B$25+Inputs!$B$29,IF(Skills!C13=2,90+(Inputs!$B$26+1)+Inputs!$B$29,IF(Skills!C13=3,120+Inputs!$B$27+Inputs!$B$29,MAX(0,(Inputs!$B$3-100)*3)+Inputs!$B$28+Inputs!$B$29)))</f>
        <v>185</v>
      </c>
      <c r="E787">
        <f>INDEX(FactorTable!$B$2:$Y$301, MATCH(ROUND(MIN(300,MAX(1,D787)),0), FactorTable!$A$2:$A$301,0), Skills!M13+1)</f>
        <v>1925</v>
      </c>
      <c r="F787">
        <f>IF(Skills!N13=TRUE,(Skills!L13/10)*(E787/1000),Skills!L13/10)+Skills!O13</f>
        <v>1155</v>
      </c>
      <c r="G787">
        <f>Calc!G13</f>
        <v>9</v>
      </c>
      <c r="H787">
        <f>Calc!H13</f>
        <v>1</v>
      </c>
      <c r="I787">
        <f>IF(Skills!X13&lt;&gt;"",1+(Skills!X13/10)*(Z777/1000)/100,1)</f>
        <v>1</v>
      </c>
      <c r="J787">
        <f>((Inputs!$B$6*(1+Inputs!$B$7/100))+(((Inputs!$B$12*(1+Inputs!$B$13/100))-(Inputs!$B$12*(1+Inputs!$B$13/100)))+0.25*(Inputs!$B$14-Inputs!$B$14))*(1+Inputs!$B$7/100))*(F787/100)</f>
        <v>4171103722.0660505</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20968223619170.301</v>
      </c>
      <c r="L787">
        <f>K787*(MIN(Inputs!$B$22+(F796-Calc!F22),(Inputs!$B$23+(IF(ArtifactsInput!$M$15,CHOOSE(ArtifactsInput!$N$15+1,25,30,35,40,45,50)/100*(Inputs!$B$11-Inputs!$B$11),0))))/100+(Inputs!$B$23+(IF(ArtifactsInput!$M$15,CHOOSE(ArtifactsInput!$N$15+1,25,30,35,40,45,50)/100*(Inputs!$B$11-Inputs!$B$11),0)))/100)/2</f>
        <v>69724061384055.562</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329027845671358.19</v>
      </c>
      <c r="N787">
        <f>L787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329027845671358.19</v>
      </c>
      <c r="O787">
        <f>(1-Summary!$B$11)*S787+Summary!$B$11*U787</f>
        <v>1794517870291587.8</v>
      </c>
      <c r="P787">
        <f>IF(B815=0,0,O787/B815)</f>
        <v>5.4194181659448344E-2</v>
      </c>
      <c r="Q787">
        <f>IFERROR(1/(IF(Inputs!$B$38="pvp",15,MAX(0.1,Skills!E13-IF(TRUE=TRUE,Inputs!$B$32,0)))*(1-IF(AND(ArtifactsInput!$M$27,Inputs!$B$4="Chapter Hunt"),CHOOSE(ArtifactsInput!$N$27+1,20,24,28,32,36,40),0)/100)),0)</f>
        <v>3.0303030303030304E-2</v>
      </c>
      <c r="R787">
        <f>IF(AND(Inputs!$B$38&lt;&gt;"pvp",Inputs!$B$43&gt;0),IF(MAX(0,Inputs!$B$43-B812)&lt;=0,0,(INT(MAX(0,Inputs!$B$43-B812)/(IF(Inputs!$B$38="pvp",15,MAX(0.1,Skills!E13-IF(TRUE=TRUE,Inputs!$B$32,0)))*(1-IF(AND(ArtifactsInput!$M$27,Inputs!$B$4="Chapter Hunt"),CHOOSE(ArtifactsInput!$N$27+1,20,24,28,32,36,40),0)/100)))+1)),0)</f>
        <v>2</v>
      </c>
      <c r="S787">
        <f>IF(C787,(H787*N787*IF(AND(Inputs!$B$38&lt;&gt;"pvp",Inputs!$B$43&gt;0),((Skills!G13*((R787-1)*IF(Skills!H13&gt;0,Skills!I13/Skills!H13,1)+IF(Skills!H13&gt;0,MIN(Skills!I13,MAX(0,MAX(0,Inputs!$B$43-B812)-((R787-1)*(IF(Inputs!$B$38="pvp",15,MAX(0.1,Skills!E13-IF(TRUE=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469358221850192.44</v>
      </c>
      <c r="U787">
        <f>IF(C787,(H787*N787*IF(AND(Inputs!$B$38&lt;&gt;"pvp",Inputs!$B$43&gt;0),((Skills!G13*((R787-1)*IF(Skills!H13&gt;0,Skills!I13/Skills!H13,1)+IF(Skills!H13&gt;0,MIN(Skills!I13,MAX(0,MAX(0,Inputs!$B$43-B812)-((R787-1)*(IF(Inputs!$B$38="pvp",15,MAX(0.1,Skills!E13-IF(TRUE=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3119677518732983</v>
      </c>
    </row>
    <row r="788" spans="1:21" x14ac:dyDescent="0.2">
      <c r="A788" t="str">
        <f>Skills!A14</f>
        <v>METEOR_PROC</v>
      </c>
      <c r="B788" t="str">
        <f>Skills!B14</f>
        <v>Meteor Proc (30% on-hit, 1s ICD)</v>
      </c>
      <c r="C788" t="b">
        <f>Inputs!$B$3&gt;=113</f>
        <v>1</v>
      </c>
      <c r="D788">
        <f>IF(Skills!C14=1,60+Inputs!$B$25+Inputs!$B$29,IF(Skills!C14=2,90+(Inputs!$B$26+1)+Inputs!$B$29,IF(Skills!C14=3,120+Inputs!$B$27+Inputs!$B$29,MAX(0,(Inputs!$B$3-100)*3)+Inputs!$B$28+Inputs!$B$29)))</f>
        <v>185</v>
      </c>
      <c r="E788">
        <f>INDEX(FactorTable!$B$2:$Y$301, MATCH(ROUND(MIN(300,MAX(1,D788)),0), FactorTable!$A$2:$A$301,0), Skills!M14+1)</f>
        <v>1740</v>
      </c>
      <c r="F788">
        <f>IF(Skills!N14=TRUE,(Skills!L14/10)*(E788/1000),Skills!L14/10)+Skills!O14</f>
        <v>1653</v>
      </c>
      <c r="G788">
        <f>Calc!G14</f>
        <v>0</v>
      </c>
      <c r="H788">
        <f>Calc!H14</f>
        <v>0.30000000000000004</v>
      </c>
      <c r="I788">
        <f>IF(Skills!X14&lt;&gt;"",1+(Skills!X14/10)*(Z777/1000)/100,1)</f>
        <v>1</v>
      </c>
      <c r="J788">
        <f>((Inputs!$B$6*(1+Inputs!$B$7/100))+(((Inputs!$B$12*(1+Inputs!$B$13/100))-(Inputs!$B$12*(1+Inputs!$B$13/100)))+0.25*(Inputs!$B$14-Inputs!$B$14))*(1+Inputs!$B$7/100))*(F788/100)</f>
        <v>5969553638.5932312</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30009068088734.633</v>
      </c>
      <c r="L788">
        <f>K788*(MIN(Inputs!$B$22+(F796-Calc!F22),(Inputs!$B$23+(IF(ArtifactsInput!$M$15,CHOOSE(ArtifactsInput!$N$15+1,25,30,35,40,45,50)/100*(Inputs!$B$11-Inputs!$B$11),0))))/100+(Inputs!$B$23+(IF(ArtifactsInput!$M$15,CHOOSE(ArtifactsInput!$N$15+1,25,30,35,40,45,50)/100*(Inputs!$B$11-Inputs!$B$11),0)))/100)/2</f>
        <v>99786903435362.625</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470894397311476.19</v>
      </c>
      <c r="N788">
        <f>L788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470894397311476.19</v>
      </c>
      <c r="O788">
        <f>(1-Summary!$B$11)*S788+Summary!$B$11*U788</f>
        <v>461499431720602.12</v>
      </c>
      <c r="P788">
        <f>IF(B815=0,0,O788/B815)</f>
        <v>1.3937216481624987E-2</v>
      </c>
      <c r="Q788">
        <f>IFERROR(1/(IF(Inputs!$B$38="pvp",15,MAX(0.1,Skills!E14-IF(TRUE=TRUE,Inputs!$B$32,0)))*(1-IF(AND(ArtifactsInput!$M$27,Inputs!$B$4="Chapter Hunt"),CHOOSE(ArtifactsInput!$N$27+1,20,24,28,32,36,40),0)/100)),0)</f>
        <v>10</v>
      </c>
      <c r="R788">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473447637072591.88</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449551226368612.44</v>
      </c>
    </row>
    <row r="789" spans="1:21" x14ac:dyDescent="0.2">
      <c r="A789" t="str">
        <f>Skills!A15</f>
        <v>FLAME_HAZE_BURST</v>
      </c>
      <c r="B789" t="str">
        <f>Skills!B15</f>
        <v>Flame Haze (burst)</v>
      </c>
      <c r="C789" t="b">
        <f>Inputs!$B$3&gt;=107</f>
        <v>1</v>
      </c>
      <c r="D789">
        <f>IF(Skills!C15=1,60+Inputs!$B$25+Inputs!$B$29,IF(Skills!C15=2,90+(Inputs!$B$26+1)+Inputs!$B$29,IF(Skills!C15=3,120+Inputs!$B$27+Inputs!$B$29,MAX(0,(Inputs!$B$3-100)*3)+Inputs!$B$28+Inputs!$B$29)))</f>
        <v>185</v>
      </c>
      <c r="E789">
        <f>INDEX(FactorTable!$B$2:$Y$301, MATCH(ROUND(MIN(300,MAX(1,D789)),0), FactorTable!$A$2:$A$301,0), Skills!M15+1)</f>
        <v>1925</v>
      </c>
      <c r="F789">
        <f>IF(Skills!N15=TRUE,(Skills!L15/10)*(E789/1000),Skills!L15/10)+Skills!O15</f>
        <v>2310</v>
      </c>
      <c r="G789">
        <f>Calc!G15</f>
        <v>3</v>
      </c>
      <c r="H789">
        <f>Calc!H15</f>
        <v>1</v>
      </c>
      <c r="I789">
        <f>IF(Skills!X15&lt;&gt;"",1+(Skills!X15/10)*(Z777/1000)/100,1)</f>
        <v>1</v>
      </c>
      <c r="J789">
        <f>((Inputs!$B$6*(1+Inputs!$B$7/100))+(((Inputs!$B$12*(1+Inputs!$B$13/100))-(Inputs!$B$12*(1+Inputs!$B$13/100)))+0.25*(Inputs!$B$14-Inputs!$B$14))*(1+Inputs!$B$7/100))*(F789/100)</f>
        <v>8342207444.1321011</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41936447238340.602</v>
      </c>
      <c r="L789">
        <f>K789*(MIN(Inputs!$B$22+(F796-Calc!F22),(Inputs!$B$23+(IF(ArtifactsInput!$M$15,CHOOSE(ArtifactsInput!$N$15+1,25,30,35,40,45,50)/100*(Inputs!$B$11-Inputs!$B$11),0))))/100+(Inputs!$B$23+(IF(ArtifactsInput!$M$15,CHOOSE(ArtifactsInput!$N$15+1,25,30,35,40,45,50)/100*(Inputs!$B$11-Inputs!$B$11),0)))/100)/2</f>
        <v>139448122768111.12</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658055691342716.38</v>
      </c>
      <c r="N789">
        <f>L789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658055691342716.38</v>
      </c>
      <c r="O789">
        <f>(1-Summary!$B$11)*S789+Summary!$B$11*U789</f>
        <v>1642013463822912.8</v>
      </c>
      <c r="P789">
        <f>IF(B815=0,0,O789/B815)</f>
        <v>4.9588570511821944E-2</v>
      </c>
      <c r="Q789">
        <f>IFERROR(1/(IF(Inputs!$B$38="pvp",15,MAX(0.1,Skills!E15-IF(TRUE=TRUE,Inputs!$B$32,0)))*(1-IF(AND(ArtifactsInput!$M$27,Inputs!$B$4="Chapter Hunt"),CHOOSE(ArtifactsInput!$N$27+1,20,24,28,32,36,40),0)/100)),0)</f>
        <v>0.04</v>
      </c>
      <c r="R789">
        <f>IF(AND(Inputs!$B$38&lt;&gt;"pvp",Inputs!$B$43&gt;0),IF(MAX(0,Inputs!$B$43-B812)&lt;=0,0,(INT(MAX(0,Inputs!$B$43-B812)/(IF(Inputs!$B$38="pvp",15,MAX(0.1,Skills!E15-IF(TRUE=TRUE,Inputs!$B$32,0)))*(1-IF(AND(ArtifactsInput!$M$27,Inputs!$B$4="Chapter Hunt"),CHOOSE(ArtifactsInput!$N$27+1,20,24,28,32,36,40),0)/100)))+1)),0)</f>
        <v>2</v>
      </c>
      <c r="S789">
        <f>IF(C789,(H789*N789*IF(AND(Inputs!$B$38&lt;&gt;"pvp",Inputs!$B$43&gt;0),((Skills!G15*((R789-1)*IF(Skills!H15&gt;0,Skills!I15/Skills!H15,1)+IF(Skills!H15&gt;0,MIN(Skills!I15,MAX(0,MAX(0,Inputs!$B$43-B812)-((R789-1)*(IF(Inputs!$B$38="pvp",15,MAX(0.1,Skills!E15-IF(TRUE=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312905481233461.62</v>
      </c>
      <c r="U789">
        <f>IF(C789,(H789*N789*IF(AND(Inputs!$B$38&lt;&gt;"pvp",Inputs!$B$43&gt;0),((Skills!G15*((R789-1)*IF(Skills!H15&gt;0,Skills!I15/Skills!H15,1)+IF(Skills!H15&gt;0,MIN(Skills!I15,MAX(0,MAX(0,Inputs!$B$43-B812)-((R789-1)*(IF(Inputs!$B$38="pvp",15,MAX(0.1,Skills!E15-IF(TRUE=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2971121446412364</v>
      </c>
    </row>
    <row r="790" spans="1:21" x14ac:dyDescent="0.2">
      <c r="A790" t="str">
        <f>Skills!A16</f>
        <v>FLAME_HAZE_DOT</v>
      </c>
      <c r="B790" t="str">
        <f>Skills!B16</f>
        <v>Flame Haze (burn DoT)</v>
      </c>
      <c r="C790" t="b">
        <f>Inputs!$B$3&gt;=107</f>
        <v>1</v>
      </c>
      <c r="D790">
        <f>IF(Skills!C16=1,60+Inputs!$B$25+Inputs!$B$29,IF(Skills!C16=2,90+(Inputs!$B$26+1)+Inputs!$B$29,IF(Skills!C16=3,120+Inputs!$B$27+Inputs!$B$29,MAX(0,(Inputs!$B$3-100)*3)+Inputs!$B$28+Inputs!$B$29)))</f>
        <v>185</v>
      </c>
      <c r="E790">
        <f>INDEX(FactorTable!$B$2:$Y$301, MATCH(ROUND(MIN(300,MAX(1,D790)),0), FactorTable!$A$2:$A$301,0), Skills!M16+1)</f>
        <v>1925</v>
      </c>
      <c r="F790">
        <f>IF(Skills!N16=TRUE,(Skills!L16/10)*(E790/1000),Skills!L16/10)+Skills!O16</f>
        <v>288.75</v>
      </c>
      <c r="G790">
        <f>Calc!G16</f>
        <v>30</v>
      </c>
      <c r="H790">
        <f>Calc!H16</f>
        <v>1</v>
      </c>
      <c r="I790">
        <f>IF(Skills!X16&lt;&gt;"",1+(Skills!X16/10)*(Z777/1000)/100,1)</f>
        <v>1</v>
      </c>
      <c r="J790">
        <f>((Inputs!$B$6*(1+Inputs!$B$7/100))+(((Inputs!$B$12*(1+Inputs!$B$13/100))-(Inputs!$B$12*(1+Inputs!$B$13/100)))+0.25*(Inputs!$B$14-Inputs!$B$14))*(1+Inputs!$B$7/100))*(F790/100)</f>
        <v>1042775930.5165126</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5242055904792.5752</v>
      </c>
      <c r="L790">
        <f>K790*(MIN(Inputs!$B$22+(F796-Calc!F22),(Inputs!$B$23+(IF(ArtifactsInput!$M$15,CHOOSE(ArtifactsInput!$N$15+1,25,30,35,40,45,50)/100*(Inputs!$B$11-Inputs!$B$11),0))))/100+(Inputs!$B$23+(IF(ArtifactsInput!$M$15,CHOOSE(ArtifactsInput!$N$15+1,25,30,35,40,45,50)/100*(Inputs!$B$11-Inputs!$B$11),0)))/100)/2</f>
        <v>17431015346013.891</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82256961417839.547</v>
      </c>
      <c r="N790">
        <f>L790*(1-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82256961417839.547</v>
      </c>
      <c r="O790">
        <f>(1-Summary!$B$11)*S790+Summary!$B$11*U790</f>
        <v>1891373583383396.8</v>
      </c>
      <c r="P790">
        <f>IF(B815=0,0,O790/B815)</f>
        <v>5.7119210268497526E-2</v>
      </c>
      <c r="Q790">
        <f>IFERROR(1/(IF(Inputs!$B$38="pvp",15,MAX(0.1,Skills!E16-IF(TRUE=TRUE,Inputs!$B$32,0)))*(1-IF(AND(ArtifactsInput!$M$27,Inputs!$B$4="Chapter Hunt"),CHOOSE(ArtifactsInput!$N$27+1,20,24,28,32,36,40),0)/100)),0)</f>
        <v>0.04</v>
      </c>
      <c r="R790">
        <f>IF(AND(Inputs!$B$38&lt;&gt;"pvp",Inputs!$B$43&gt;0),IF(MAX(0,Inputs!$B$43-B812)&lt;=0,0,(INT(MAX(0,Inputs!$B$43-B812)/(IF(Inputs!$B$38="pvp",15,MAX(0.1,Skills!E16-IF(TRUE=TRUE,Inputs!$B$32,0)))*(1-IF(AND(ArtifactsInput!$M$27,Inputs!$B$4="Chapter Hunt"),CHOOSE(ArtifactsInput!$N$27+1,20,24,28,32,36,40),0)/100)))+1)),0)</f>
        <v>2</v>
      </c>
      <c r="S790">
        <f>IF(C790,(H790*N790*IF(AND(Inputs!$B$38&lt;&gt;"pvp",Inputs!$B$43&gt;0),((Skills!G16*((R790-1)*IF(Skills!H16&gt;0,Skills!I16/Skills!H16,1)+IF(Skills!H16&gt;0,MIN(Skills!I16,MAX(0,MAX(0,Inputs!$B$43-B812)-((R790-1)*(IF(Inputs!$B$38="pvp",15,MAX(0.1,Skills!E16-IF(TRUE=TRUE,Inputs!$B$32,0)))*(1-IF(AND(ArtifactsInput!$M$27,Inputs!$B$4="Chapter Hunt"),CHOOSE(ArtifactsInput!$N$27+1,20,24,28,32,36,40),0)/100)))))/Skills!H16,1)))/Inputs!$B$43),G790*Q790)*(1+IF(Inputs!$B$3&gt;=126,0.05*(B810+Q787+(H788*B811)/(1+Skills!H14*H788*B811)+Q798),0)*(1/Q789)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360424061275946.38</v>
      </c>
      <c r="U790">
        <f>IF(C790,(H790*N790*IF(AND(Inputs!$B$38&lt;&gt;"pvp",Inputs!$B$43&gt;0),((Skills!G16*((R790-1)*IF(Skills!H16&gt;0,Skills!I16/Skills!H16,1)+IF(Skills!H16&gt;0,MIN(Skills!I16,MAX(0,MAX(0,Inputs!$B$43-B812)-((R790-1)*(IF(Inputs!$B$38="pvp",15,MAX(0.1,Skills!E16-IF(TRUE=TRUE,Inputs!$B$32,0)))*(1-IF(AND(ArtifactsInput!$M$27,Inputs!$B$4="Chapter Hunt"),CHOOSE(ArtifactsInput!$N$27+1,20,24,28,32,36,40),0)/100)))))/Skills!H16,1)))/Inputs!$B$43),G790*Q790)*(1+IF(Inputs!$B$3&gt;=126,0.05*(B810+Q787+(H788*B811)/(1+Skills!H14*H788*B811)+Q798),0)*(1/Q789)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3422323105490847</v>
      </c>
    </row>
    <row r="791" spans="1:21" x14ac:dyDescent="0.2">
      <c r="A791" t="str">
        <f>Skills!A17</f>
        <v>MAGIC_GUARD</v>
      </c>
      <c r="B791" t="str">
        <f>Skills!B17</f>
        <v>Magic Guard</v>
      </c>
      <c r="C791" t="b">
        <f>TRUE</f>
        <v>1</v>
      </c>
      <c r="D791">
        <f>IF(Skills!C17=1,60+Inputs!$B$25+Inputs!$B$29,IF(Skills!C17=2,90+(Inputs!$B$26+1)+Inputs!$B$29,IF(Skills!C17=3,120+Inputs!$B$27+Inputs!$B$29,MAX(0,(Inputs!$B$3-100)*3)+Inputs!$B$28+Inputs!$B$29)))</f>
        <v>127</v>
      </c>
      <c r="E791">
        <f>INDEX(FactorTable!$B$2:$Y$301, MATCH(ROUND(MIN(300,MAX(1,D791)),0), FactorTable!$A$2:$A$301,0), Skills!M17+1)</f>
        <v>1508</v>
      </c>
      <c r="F791">
        <f>IF(Skills!N17=TRUE,(Skills!L17/10)*(E791/1000),Skills!L17/10)+Skills!O17</f>
        <v>18.096</v>
      </c>
      <c r="G791">
        <f>Calc!G17</f>
        <v>1</v>
      </c>
      <c r="H791">
        <f>Calc!H17</f>
        <v>1</v>
      </c>
      <c r="I791">
        <f>IF(Skills!X17&lt;&gt;"",1+(Skills!X17/10)*(Z777/1000)/100,1)</f>
        <v>1</v>
      </c>
      <c r="O791">
        <f>(1-Summary!$B$11)*S791+Summary!$B$11*U791</f>
        <v>0</v>
      </c>
      <c r="P791">
        <f>IF(B815=0,0,O791/B815)</f>
        <v>0</v>
      </c>
      <c r="Q791">
        <f>IFERROR(1/(IF(Inputs!$B$38="pvp",15,MAX(0.1,Skills!E17-IF(TRUE=TRUE,Inputs!$B$32,0)))*(1-IF(AND(ArtifactsInput!$M$27,Inputs!$B$4="Chapter Hunt"),CHOOSE(ArtifactsInput!$N$27+1,20,24,28,32,36,40),0)/100)),0)</f>
        <v>4.7619047619047616E-2</v>
      </c>
      <c r="R791">
        <f>IF(AND(Inputs!$B$38&lt;&gt;"pvp",Inputs!$B$43&gt;0),IF(Inputs!$B$43&lt;=0,0,(INT(Inputs!$B$43/(IF(Inputs!$B$38="pvp",15,MAX(0.1,Skills!E17-IF(TRUE=TRUE,Inputs!$B$32,0)))*(1-IF(AND(ArtifactsInput!$M$27,Inputs!$B$4="Chapter Hunt"),CHOOSE(ArtifactsInput!$N$27+1,20,24,28,32,36,40),0)/100)))+1)),0)</f>
        <v>2</v>
      </c>
      <c r="S791">
        <v>0</v>
      </c>
      <c r="U791">
        <v>0</v>
      </c>
    </row>
    <row r="792" spans="1:21" x14ac:dyDescent="0.2">
      <c r="A792" t="str">
        <f>Skills!A18</f>
        <v>NIMBLE_FEET</v>
      </c>
      <c r="B792" t="str">
        <f>Skills!B18</f>
        <v>Nimble Feet</v>
      </c>
      <c r="C792" t="b">
        <f>TRUE</f>
        <v>1</v>
      </c>
      <c r="D792">
        <f>IF(Skills!C18=1,60+Inputs!$B$25+Inputs!$B$29,IF(Skills!C18=2,90+(Inputs!$B$26+1)+Inputs!$B$29,IF(Skills!C18=3,120+Inputs!$B$27+Inputs!$B$29,MAX(0,(Inputs!$B$3-100)*3)+Inputs!$B$28+Inputs!$B$29)))</f>
        <v>127</v>
      </c>
      <c r="E792">
        <f>INDEX(FactorTable!$B$2:$Y$301, MATCH(ROUND(MIN(300,MAX(1,D792)),0), FactorTable!$A$2:$A$301,0), Skills!M18+1)</f>
        <v>0</v>
      </c>
      <c r="F792">
        <f>IF(Skills!N18=TRUE,(Skills!L18/10)*(E792/1000),Skills!L18/10)+Skills!O18</f>
        <v>15</v>
      </c>
      <c r="G792">
        <f>Calc!G18</f>
        <v>1</v>
      </c>
      <c r="H792">
        <f>Calc!H18</f>
        <v>1</v>
      </c>
      <c r="I792">
        <f>IF(Skills!X18&lt;&gt;"",1+(Skills!X18/10)*(Z777/1000)/100,1)</f>
        <v>1</v>
      </c>
      <c r="O792">
        <f>(1-Summary!$B$11)*S792+Summary!$B$11*U792</f>
        <v>0</v>
      </c>
      <c r="P792">
        <f>IF(B815=0,0,O792/B815)</f>
        <v>0</v>
      </c>
      <c r="Q792">
        <f>IFERROR(1/(IF(Inputs!$B$38="pvp",15,MAX(0.1,Skills!E18-IF(TRUE=TRUE,Inputs!$B$32,0)))*(1-IF(AND(ArtifactsInput!$M$27,Inputs!$B$4="Chapter Hunt"),CHOOSE(ArtifactsInput!$N$27+1,20,24,28,32,36,40),0)/100)),0)</f>
        <v>1.6666666666666666E-2</v>
      </c>
      <c r="R792">
        <f>IF(AND(Inputs!$B$38&lt;&gt;"pvp",Inputs!$B$43&gt;0),IF(Inputs!$B$43&lt;=0,0,(INT(Inputs!$B$43/(IF(Inputs!$B$38="pvp",15,MAX(0.1,Skills!E18-IF(TRUE=TRUE,Inputs!$B$32,0)))*(1-IF(AND(ArtifactsInput!$M$27,Inputs!$B$4="Chapter Hunt"),CHOOSE(ArtifactsInput!$N$27+1,20,24,28,32,36,40),0)/100)))+1)),0)</f>
        <v>1</v>
      </c>
      <c r="S792">
        <v>0</v>
      </c>
      <c r="U792">
        <v>0</v>
      </c>
    </row>
    <row r="793" spans="1:21" x14ac:dyDescent="0.2">
      <c r="A793" t="str">
        <f>Skills!A19</f>
        <v>INFINITY</v>
      </c>
      <c r="B793" t="str">
        <f>Skills!B19</f>
        <v>Infinity</v>
      </c>
      <c r="C793" t="b">
        <f>Inputs!$B$3&gt;=110</f>
        <v>1</v>
      </c>
      <c r="D793">
        <f>IF(Skills!C19=1,60+Inputs!$B$25+Inputs!$B$29,IF(Skills!C19=2,90+(Inputs!$B$26+1)+Inputs!$B$29,IF(Skills!C19=3,120+Inputs!$B$27+Inputs!$B$29,MAX(0,(Inputs!$B$3-100)*3)+Inputs!$B$28+Inputs!$B$29)))</f>
        <v>185</v>
      </c>
      <c r="E793">
        <f>INDEX(FactorTable!$B$2:$Y$301, MATCH(ROUND(MIN(300,MAX(1,D793)),0), FactorTable!$A$2:$A$301,0), Skills!M19+1)</f>
        <v>1740</v>
      </c>
      <c r="F793">
        <f>IF(Skills!N19=TRUE,(Skills!L19/10)*(E793/1000),Skills!L19/10)+Skills!O19</f>
        <v>37.700579999999995</v>
      </c>
      <c r="G793">
        <f>Calc!G19</f>
        <v>1</v>
      </c>
      <c r="H793">
        <f>Calc!H19</f>
        <v>1</v>
      </c>
      <c r="I793">
        <f>IF(Skills!X19&lt;&gt;"",1+(Skills!X19/10)*(Z777/1000)/100,1)</f>
        <v>1</v>
      </c>
      <c r="O793">
        <f>(1-Summary!$B$11)*S793+Summary!$B$11*U793</f>
        <v>0</v>
      </c>
      <c r="P793">
        <f>IF(B815=0,0,O793/B815)</f>
        <v>0</v>
      </c>
      <c r="Q793">
        <f>IFERROR(1/(IF(Inputs!$B$38="pvp",15,MAX(0.1,Skills!E19-IF(TRUE=TRUE,Inputs!$B$32,0)))*(1-IF(AND(ArtifactsInput!$M$27,Inputs!$B$4="Chapter Hunt"),CHOOSE(ArtifactsInput!$N$27+1,20,24,28,32,36,40),0)/100)),0)</f>
        <v>3.3333333333333333E-2</v>
      </c>
      <c r="R793">
        <f>IF(AND(Inputs!$B$38&lt;&gt;"pvp",Inputs!$B$43&gt;0),IF(Inputs!$B$43&lt;=0,0,(INT(Inputs!$B$43/(IF(Inputs!$B$38="pvp",15,MAX(0.1,Skills!E19-IF(TRUE=TRUE,Inputs!$B$32,0)))*(1-IF(AND(ArtifactsInput!$M$27,Inputs!$B$4="Chapter Hunt"),CHOOSE(ArtifactsInput!$N$27+1,20,24,28,32,36,40),0)/100)))+1)),0)</f>
        <v>2</v>
      </c>
      <c r="S793">
        <v>0</v>
      </c>
      <c r="U793">
        <v>0</v>
      </c>
    </row>
    <row r="794" spans="1:21" x14ac:dyDescent="0.2">
      <c r="A794" t="str">
        <f>Skills!A20</f>
        <v>MAGIC_CRITICAL_RATE</v>
      </c>
      <c r="B794" t="str">
        <f>Skills!B20</f>
        <v>Magic Critical (Crit Rate)</v>
      </c>
      <c r="C794" t="b">
        <f>TRUE</f>
        <v>1</v>
      </c>
      <c r="D794">
        <f>IF(Skills!C20=1,60+Inputs!$B$25+Inputs!$B$29,IF(Skills!C20=2,90+(Inputs!$B$26+1)+Inputs!$B$29,IF(Skills!C20=3,120+Inputs!$B$27+Inputs!$B$29,MAX(0,(Inputs!$B$3-100)*3)+Inputs!$B$28+Inputs!$B$29)))</f>
        <v>184</v>
      </c>
      <c r="E794">
        <f>INDEX(FactorTable!$B$2:$Y$301, MATCH(ROUND(MIN(300,MAX(1,D794)),0), FactorTable!$A$2:$A$301,0), Skills!M20+1)</f>
        <v>1552</v>
      </c>
      <c r="F794">
        <f>IF(Skills!N20=TRUE,(Skills!L20/10)*(E794/1000),Skills!L20/10)+Skills!O20</f>
        <v>12.416</v>
      </c>
      <c r="G794">
        <f>Calc!G20</f>
        <v>1</v>
      </c>
      <c r="H794">
        <f>Calc!H20</f>
        <v>1</v>
      </c>
      <c r="I794">
        <f>IF(Skills!X20&lt;&gt;"",1+(Skills!X20/10)*(Z777/1000)/100,1)</f>
        <v>1</v>
      </c>
      <c r="O794">
        <f>(1-Summary!$B$11)*S794+Summary!$B$11*U794</f>
        <v>0</v>
      </c>
      <c r="P794">
        <f>IF(B815=0,0,O794/B815)</f>
        <v>0</v>
      </c>
      <c r="Q794">
        <f>IFERROR(1/(IF(Inputs!$B$38="pvp",15,MAX(0.1,Skills!E20-IF(TRUE=TRUE,Inputs!$B$32,0)))*(1-IF(AND(ArtifactsInput!$M$27,Inputs!$B$4="Chapter Hunt"),CHOOSE(ArtifactsInput!$N$27+1,20,24,28,32,36,40),0)/100)),0)</f>
        <v>10</v>
      </c>
      <c r="R794">
        <v>0</v>
      </c>
      <c r="S794">
        <v>0</v>
      </c>
      <c r="U794">
        <v>0</v>
      </c>
    </row>
    <row r="795" spans="1:21" x14ac:dyDescent="0.2">
      <c r="A795" t="str">
        <f>Skills!A21</f>
        <v>MAGIC_CRITICAL_DAMAGE</v>
      </c>
      <c r="B795" t="str">
        <f>Skills!B21</f>
        <v>Magic Critical (Crit Damage)</v>
      </c>
      <c r="C795" t="b">
        <f>TRUE</f>
        <v>1</v>
      </c>
      <c r="D795">
        <f>IF(Skills!C21=1,60+Inputs!$B$25+Inputs!$B$29,IF(Skills!C21=2,90+(Inputs!$B$26+1)+Inputs!$B$29,IF(Skills!C21=3,120+Inputs!$B$27+Inputs!$B$29,MAX(0,(Inputs!$B$3-100)*3)+Inputs!$B$28+Inputs!$B$29)))</f>
        <v>184</v>
      </c>
      <c r="E795">
        <f>INDEX(FactorTable!$B$2:$Y$301, MATCH(ROUND(MIN(300,MAX(1,D795)),0), FactorTable!$A$2:$A$301,0), Skills!M21+1)</f>
        <v>1552</v>
      </c>
      <c r="F795">
        <f>IF(Skills!N21=TRUE,(Skills!L21/10)*(E795/1000),Skills!L21/10)+Skills!O21</f>
        <v>18.624000000000002</v>
      </c>
      <c r="G795">
        <f>Calc!G21</f>
        <v>1</v>
      </c>
      <c r="H795">
        <f>Calc!H21</f>
        <v>1</v>
      </c>
      <c r="I795">
        <f>IF(Skills!X21&lt;&gt;"",1+(Skills!X21/10)*(Z777/1000)/100,1)</f>
        <v>1</v>
      </c>
      <c r="O795">
        <f>(1-Summary!$B$11)*S795+Summary!$B$11*U795</f>
        <v>0</v>
      </c>
      <c r="P795">
        <f>IF(B815=0,0,O795/B815)</f>
        <v>0</v>
      </c>
      <c r="Q795">
        <f>IFERROR(1/(IF(Inputs!$B$38="pvp",15,MAX(0.1,Skills!E21-IF(TRUE=TRUE,Inputs!$B$32,0)))*(1-IF(AND(ArtifactsInput!$M$27,Inputs!$B$4="Chapter Hunt"),CHOOSE(ArtifactsInput!$N$27+1,20,24,28,32,36,40),0)/100)),0)</f>
        <v>10</v>
      </c>
      <c r="R795">
        <v>0</v>
      </c>
      <c r="S795">
        <v>0</v>
      </c>
      <c r="U795">
        <v>0</v>
      </c>
    </row>
    <row r="796" spans="1:21" x14ac:dyDescent="0.2">
      <c r="A796" t="str">
        <f>Skills!A22</f>
        <v>SPELL_MASTERY</v>
      </c>
      <c r="B796" t="str">
        <f>Skills!B22</f>
        <v>Spell Mastery</v>
      </c>
      <c r="C796" t="b">
        <f>TRUE</f>
        <v>1</v>
      </c>
      <c r="D796">
        <f>IF(Skills!C22=1,60+Inputs!$B$25+Inputs!$B$29,IF(Skills!C22=2,90+(Inputs!$B$26+1)+Inputs!$B$29,IF(Skills!C22=3,120+Inputs!$B$27+Inputs!$B$29,MAX(0,(Inputs!$B$3-100)*3)+Inputs!$B$28+Inputs!$B$29)))</f>
        <v>169</v>
      </c>
      <c r="E796">
        <f>INDEX(FactorTable!$B$2:$Y$301, MATCH(ROUND(MIN(300,MAX(1,D796)),0), FactorTable!$A$2:$A$301,0), Skills!M22+1)</f>
        <v>1507</v>
      </c>
      <c r="F796">
        <f>IF(Skills!N22=TRUE,(Skills!L22/10)*(E796/1000),Skills!L22/10)+Skills!O22</f>
        <v>22.604999999999997</v>
      </c>
      <c r="G796">
        <f>Calc!G22</f>
        <v>1</v>
      </c>
      <c r="H796">
        <f>Calc!H22</f>
        <v>1</v>
      </c>
      <c r="I796">
        <f>IF(Skills!X22&lt;&gt;"",1+(Skills!X22/10)*(Z777/1000)/100,1)</f>
        <v>1</v>
      </c>
      <c r="O796">
        <f>(1-Summary!$B$11)*S796+Summary!$B$11*U796</f>
        <v>0</v>
      </c>
      <c r="P796">
        <f>IF(B815=0,0,O796/B815)</f>
        <v>0</v>
      </c>
      <c r="Q796">
        <f>IFERROR(1/(IF(Inputs!$B$38="pvp",15,MAX(0.1,Skills!E22-IF(TRUE=TRUE,Inputs!$B$32,0)))*(1-IF(AND(ArtifactsInput!$M$27,Inputs!$B$4="Chapter Hunt"),CHOOSE(ArtifactsInput!$N$27+1,20,24,28,32,36,40),0)/100)),0)</f>
        <v>10</v>
      </c>
      <c r="R796">
        <v>0</v>
      </c>
      <c r="S796">
        <v>0</v>
      </c>
      <c r="U796">
        <v>0</v>
      </c>
    </row>
    <row r="797" spans="1:21" x14ac:dyDescent="0.2">
      <c r="A797" t="str">
        <f>Skills!A23</f>
        <v>ELEMENT_AMPLIFICATION</v>
      </c>
      <c r="B797" t="str">
        <f>Skills!B23</f>
        <v>Element Amplification</v>
      </c>
      <c r="C797" t="b">
        <f>TRUE</f>
        <v>1</v>
      </c>
      <c r="D797">
        <f>IF(Skills!C23=1,60+Inputs!$B$25+Inputs!$B$29,IF(Skills!C23=2,90+(Inputs!$B$26+1)+Inputs!$B$29,IF(Skills!C23=3,120+Inputs!$B$27+Inputs!$B$29,MAX(0,(Inputs!$B$3-100)*3)+Inputs!$B$28+Inputs!$B$29)))</f>
        <v>185</v>
      </c>
      <c r="E797">
        <f>INDEX(FactorTable!$B$2:$Y$301, MATCH(ROUND(MIN(300,MAX(1,D797)),0), FactorTable!$A$2:$A$301,0), Skills!M23+1)</f>
        <v>1555</v>
      </c>
      <c r="F797">
        <f>IF(Skills!N23=TRUE,(Skills!L23/10)*(E797/1000),Skills!L23/10)+Skills!O23</f>
        <v>23.324999999999999</v>
      </c>
      <c r="G797">
        <f>Calc!G23</f>
        <v>1</v>
      </c>
      <c r="H797">
        <f>Calc!H23</f>
        <v>1</v>
      </c>
      <c r="I797">
        <f>IF(Skills!X23&lt;&gt;"",1+(Skills!X23/10)*(Z777/1000)/100,1)</f>
        <v>1</v>
      </c>
      <c r="O797">
        <f>(1-Summary!$B$11)*S797+Summary!$B$11*U797</f>
        <v>0</v>
      </c>
      <c r="P797">
        <f>IF(B815=0,0,O797/B815)</f>
        <v>0</v>
      </c>
      <c r="Q797">
        <f>IFERROR(1/(IF(Inputs!$B$38="pvp",15,MAX(0.1,Skills!E23-IF(TRUE=TRUE,Inputs!$B$32,0)))*(1-IF(AND(ArtifactsInput!$M$27,Inputs!$B$4="Chapter Hunt"),CHOOSE(ArtifactsInput!$N$27+1,20,24,28,32,36,40),0)/100)),0)</f>
        <v>10</v>
      </c>
      <c r="R797">
        <v>0</v>
      </c>
      <c r="S797">
        <v>0</v>
      </c>
      <c r="U797">
        <v>0</v>
      </c>
    </row>
    <row r="798" spans="1:21" x14ac:dyDescent="0.2">
      <c r="A798" t="str">
        <f>Skills!A24</f>
        <v>IFRIT</v>
      </c>
      <c r="B798" t="str">
        <f>Skills!B24</f>
        <v>Ifrit</v>
      </c>
      <c r="C798" t="b">
        <f>Inputs!$B$3&gt;=115</f>
        <v>1</v>
      </c>
      <c r="D798">
        <f>IF(Skills!C24=1,60+Inputs!$B$25+Inputs!$B$29,IF(Skills!C24=2,90+(Inputs!$B$26+1)+Inputs!$B$29,IF(Skills!C24=3,120+Inputs!$B$27+Inputs!$B$29,MAX(0,(Inputs!$B$3-100)*3)+Inputs!$B$28+Inputs!$B$29)))</f>
        <v>185</v>
      </c>
      <c r="E798">
        <f>INDEX(FactorTable!$B$2:$Y$301, MATCH(ROUND(MIN(300,MAX(1,D798)),0), FactorTable!$A$2:$A$301,0), Skills!M24+1)</f>
        <v>1925</v>
      </c>
      <c r="F798">
        <f>IF(Skills!N24=TRUE,(Skills!L24/10)*(E798/1000),Skills!L24/10)+Skills!O24</f>
        <v>6737.5</v>
      </c>
      <c r="G798">
        <f>Calc!G24</f>
        <v>7.5</v>
      </c>
      <c r="H798">
        <f>Calc!H24</f>
        <v>1</v>
      </c>
      <c r="I798">
        <f>IF(Skills!X24&lt;&gt;"",1+(Skills!X24/10)*(Z777/1000)/100,1)</f>
        <v>1</v>
      </c>
      <c r="J798">
        <f>((Inputs!$B$6*(1+Inputs!$B$7/100))+(((Inputs!$B$12*(1+Inputs!$B$13/100))-(Inputs!$B$12*(1+Inputs!$B$13/100)))+0.25*(Inputs!$B$14-Inputs!$B$14))*(1+Inputs!$B$7/100))*(F798/100)</f>
        <v>24331438378.718628</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122314637778493.44</v>
      </c>
      <c r="L798">
        <f>K798*(MIN(Inputs!$B$22+(F796-Calc!F22),(Inputs!$B$23+(IF(ArtifactsInput!$M$15,CHOOSE(ArtifactsInput!$N$15+1,25,30,35,40,45,50)/100*(Inputs!$B$11-Inputs!$B$11),0))))/100+(Inputs!$B$23+(IF(ArtifactsInput!$M$15,CHOOSE(ArtifactsInput!$N$15+1,25,30,35,40,45,50)/100*(Inputs!$B$11-Inputs!$B$11),0)))/100)/2</f>
        <v>406723691406990.88</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1919329099749589.8</v>
      </c>
      <c r="N798">
        <f>L798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1919329099749589.8</v>
      </c>
      <c r="O798">
        <f>(1-Summary!$B$11)*S798+Summary!$B$11*U798</f>
        <v>2195232657838593</v>
      </c>
      <c r="P798">
        <f>IF(B815=0,0,O798/B815)</f>
        <v>6.6295710626903537E-2</v>
      </c>
      <c r="Q798">
        <f>IFERROR(1/(IF(Inputs!$B$38="pvp",15,MAX(0.1,Skills!E24-IF(TRUE=TRUE,Inputs!$B$32,0)))*(1-IF(AND(ArtifactsInput!$M$27,Inputs!$B$4="Chapter Hunt"),CHOOSE(ArtifactsInput!$N$27+1,20,24,28,32,36,40),0)/100)),0)</f>
        <v>1.2500000000000001E-2</v>
      </c>
      <c r="R798">
        <f>IF(AND(Inputs!$B$38&lt;&gt;"pvp",Inputs!$B$43&gt;0),IF(MAX(0,Inputs!$B$43-B812)&lt;=0,0,(INT(MAX(0,Inputs!$B$43-B812)/(IF(Inputs!$B$38="pvp",15,MAX(0.1,Skills!E24-IF(TRUE=TRUE,Inputs!$B$32,0)))*(1-IF(AND(ArtifactsInput!$M$27,Inputs!$B$4="Chapter Hunt"),CHOOSE(ArtifactsInput!$N$27+1,20,24,28,32,36,40),0)/100)))+1)),0)</f>
        <v>1</v>
      </c>
      <c r="S798">
        <f>IF(C798,(H798*N798*IF(AND(Inputs!$B$38&lt;&gt;"pvp",Inputs!$B$43&gt;0),((Skills!G24*((R798-1)*IF(Skills!H24&gt;0,Skills!I24/Skills!H24,1)+IF(Skills!H24&gt;0,MIN(Skills!I24,MAX(0,MAX(0,Inputs!$B$43-B812)-((R798-1)*(IF(Inputs!$B$38="pvp",15,MAX(0.1,Skills!E24-IF(TRUE=TRUE,Inputs!$B$32,0)))*(1-IF(AND(ArtifactsInput!$M$27,Inputs!$B$4="Chapter Hunt"),CHOOSE(ArtifactsInput!$N$27+1,20,24,28,32,36,40),0)/100)))))/Skills!H24,1)))/Inputs!$B$43),G798*Q798)*(1+IF(Inputs!$B$3&gt;=130,0.2*(Skills!I16/(1/Q789)+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1140801233663662.2</v>
      </c>
      <c r="U798">
        <f>IF(C798,(H798*N798*IF(AND(Inputs!$B$38&lt;&gt;"pvp",Inputs!$B$43&gt;0),((Skills!G24*((R798-1)*IF(Skills!H24&gt;0,Skills!I24/Skills!H24,1)+IF(Skills!H24&gt;0,MIN(Skills!I24,MAX(0,MAX(0,Inputs!$B$43-B812)-((R798-1)*(IF(Inputs!$B$38="pvp",15,MAX(0.1,Skills!E24-IF(TRUE=TRUE,Inputs!$B$32,0)))*(1-IF(AND(ArtifactsInput!$M$27,Inputs!$B$4="Chapter Hunt"),CHOOSE(ArtifactsInput!$N$27+1,20,24,28,32,36,40),0)/100)))))/Skills!H24,1)))/Inputs!$B$43),G798*Q798)*(1+IF(Inputs!$B$3&gt;=130,0.2*(Skills!I16/(1/Q789)+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3249664082013524</v>
      </c>
    </row>
    <row r="799" spans="1:21" x14ac:dyDescent="0.2">
      <c r="A799" t="str">
        <f>Skills!A25</f>
        <v>BUFF_MASTERY</v>
      </c>
      <c r="B799" t="str">
        <f>Skills!B25</f>
        <v>Buff Mastery</v>
      </c>
      <c r="C799" t="b">
        <f>Inputs!$B$3&gt;=117</f>
        <v>1</v>
      </c>
      <c r="D799">
        <f>IF(Skills!C25=1,60+Inputs!$B$25+Inputs!$B$29,IF(Skills!C25=2,90+(Inputs!$B$26+1)+Inputs!$B$29,IF(Skills!C25=3,120+Inputs!$B$27+Inputs!$B$29,MAX(0,(Inputs!$B$3-100)*3)+Inputs!$B$28+Inputs!$B$29)))</f>
        <v>185</v>
      </c>
      <c r="E799">
        <f>INDEX(FactorTable!$B$2:$Y$301, MATCH(ROUND(MIN(300,MAX(1,D799)),0), FactorTable!$A$2:$A$301,0), Skills!M25+1)</f>
        <v>1555</v>
      </c>
      <c r="F799">
        <f>IF(Skills!N25=TRUE,(Skills!L25/10)*(E799/1000),Skills!L25/10)+Skills!O25</f>
        <v>15.549999999999999</v>
      </c>
      <c r="G799">
        <f>Calc!G25</f>
        <v>1</v>
      </c>
      <c r="H799">
        <f>Calc!H25</f>
        <v>1</v>
      </c>
      <c r="I799">
        <f>IF(Skills!X25&lt;&gt;"",1+(Skills!X25/10)*(Z777/1000)/100,1)</f>
        <v>1</v>
      </c>
      <c r="O799">
        <f>(1-Summary!$B$11)*S799+Summary!$B$11*U799</f>
        <v>0</v>
      </c>
      <c r="P799">
        <f>IF(B815=0,0,O799/B815)</f>
        <v>0</v>
      </c>
      <c r="Q799">
        <f>IFERROR(1/(IF(Inputs!$B$38="pvp",15,MAX(0.1,Skills!E25-IF(TRUE=TRUE,Inputs!$B$32,0)))*(1-IF(AND(ArtifactsInput!$M$27,Inputs!$B$4="Chapter Hunt"),CHOOSE(ArtifactsInput!$N$27+1,20,24,28,32,36,40),0)/100)),0)</f>
        <v>10</v>
      </c>
      <c r="R799">
        <v>0</v>
      </c>
      <c r="S799">
        <v>0</v>
      </c>
      <c r="U799">
        <v>0</v>
      </c>
    </row>
    <row r="800" spans="1:21" x14ac:dyDescent="0.2">
      <c r="A800" t="str">
        <f>Skills!A26</f>
        <v>ARCANE_AIM</v>
      </c>
      <c r="B800" t="str">
        <f>Skills!B26</f>
        <v>Arcane Aim</v>
      </c>
      <c r="C800" t="b">
        <f>Inputs!$B$3&gt;=120</f>
        <v>0</v>
      </c>
      <c r="D800">
        <f>IF(Skills!C26=1,60+Inputs!$B$25+Inputs!$B$29,IF(Skills!C26=2,90+(Inputs!$B$26+1)+Inputs!$B$29,IF(Skills!C26=3,120+Inputs!$B$27+Inputs!$B$29,MAX(0,(Inputs!$B$3-100)*3)+Inputs!$B$28+Inputs!$B$29)))</f>
        <v>185</v>
      </c>
      <c r="E800">
        <f>INDEX(FactorTable!$B$2:$Y$301, MATCH(ROUND(MIN(300,MAX(1,D800)),0), FactorTable!$A$2:$A$301,0), Skills!M26+1)</f>
        <v>1555</v>
      </c>
      <c r="F800">
        <f>IF(Skills!N26=TRUE,(Skills!L26/10)*(E800/1000),Skills!L26/10)+Skills!O26</f>
        <v>4.665</v>
      </c>
      <c r="G800">
        <f>Calc!G26</f>
        <v>1</v>
      </c>
      <c r="H800">
        <f>Calc!H26</f>
        <v>1</v>
      </c>
      <c r="I800">
        <f>IF(Skills!X26&lt;&gt;"",1+(Skills!X26/10)*(Z777/1000)/100,1)</f>
        <v>1</v>
      </c>
      <c r="O800">
        <f>(1-Summary!$B$11)*S800+Summary!$B$11*U800</f>
        <v>0</v>
      </c>
      <c r="P800">
        <f>IF(B815=0,0,O800/B815)</f>
        <v>0</v>
      </c>
      <c r="Q800">
        <f>IFERROR(1/(IF(Inputs!$B$38="pvp",15,MAX(0.1,Skills!E26-IF(TRUE=TRUE,Inputs!$B$32,0)))*(1-IF(AND(ArtifactsInput!$M$27,Inputs!$B$4="Chapter Hunt"),CHOOSE(ArtifactsInput!$N$27+1,20,24,28,32,36,40),0)/100)),0)</f>
        <v>10</v>
      </c>
      <c r="R800">
        <v>0</v>
      </c>
      <c r="S800">
        <v>0</v>
      </c>
      <c r="U800">
        <v>0</v>
      </c>
    </row>
    <row r="801" spans="1:21" x14ac:dyDescent="0.2">
      <c r="A801" t="str">
        <f>Skills!A27</f>
        <v>FERVENT_DRAIN</v>
      </c>
      <c r="B801" t="str">
        <f>Skills!B27</f>
        <v>Fervent Drain</v>
      </c>
      <c r="C801" t="b">
        <f>Inputs!$B$3&gt;=125</f>
        <v>0</v>
      </c>
      <c r="D801">
        <f>IF(Skills!C27=1,60+Inputs!$B$25+Inputs!$B$29,IF(Skills!C27=2,90+(Inputs!$B$26+1)+Inputs!$B$29,IF(Skills!C27=3,120+Inputs!$B$27+Inputs!$B$29,MAX(0,(Inputs!$B$3-100)*3)+Inputs!$B$28+Inputs!$B$29)))</f>
        <v>185</v>
      </c>
      <c r="E801">
        <f>INDEX(FactorTable!$B$2:$Y$301, MATCH(ROUND(MIN(300,MAX(1,D801)),0), FactorTable!$A$2:$A$301,0), Skills!M27+1)</f>
        <v>1555</v>
      </c>
      <c r="F801">
        <f>IF(Skills!N27=TRUE,(Skills!L27/10)*(E801/1000),Skills!L27/10)+Skills!O27</f>
        <v>6.22</v>
      </c>
      <c r="G801">
        <f>Calc!G27</f>
        <v>1</v>
      </c>
      <c r="H801">
        <f>Calc!H27</f>
        <v>1</v>
      </c>
      <c r="I801">
        <f>IF(Skills!X27&lt;&gt;"",1+(Skills!X27/10)*(Z777/1000)/100,1)</f>
        <v>1</v>
      </c>
      <c r="O801">
        <f>(1-Summary!$B$11)*S801+Summary!$B$11*U801</f>
        <v>0</v>
      </c>
      <c r="P801">
        <f>IF(B815=0,0,O801/B815)</f>
        <v>0</v>
      </c>
      <c r="Q801">
        <f>IFERROR(1/(IF(Inputs!$B$38="pvp",15,MAX(0.1,Skills!E27-IF(TRUE=TRUE,Inputs!$B$32,0)))*(1-IF(AND(ArtifactsInput!$M$27,Inputs!$B$4="Chapter Hunt"),CHOOSE(ArtifactsInput!$N$27+1,20,24,28,32,36,40),0)/100)),0)</f>
        <v>10</v>
      </c>
      <c r="R801">
        <v>0</v>
      </c>
      <c r="S801">
        <v>0</v>
      </c>
      <c r="U801">
        <v>0</v>
      </c>
    </row>
    <row r="802" spans="1:21" x14ac:dyDescent="0.2">
      <c r="A802" t="str">
        <f>Skills!A28</f>
        <v>FLAME_HAZE_FOG</v>
      </c>
      <c r="B802" t="str">
        <f>Skills!B28</f>
        <v>Flame Haze (poison fog DoT)</v>
      </c>
      <c r="C802" t="b">
        <f>Inputs!$B$3&gt;=118</f>
        <v>0</v>
      </c>
      <c r="D802">
        <f>IF(Skills!C28=1,60+Inputs!$B$25+Inputs!$B$29,IF(Skills!C28=2,90+(Inputs!$B$26+1)+Inputs!$B$29,IF(Skills!C28=3,120+Inputs!$B$27+Inputs!$B$29,MAX(0,(Inputs!$B$3-100)*3)+Inputs!$B$28+Inputs!$B$29)))</f>
        <v>185</v>
      </c>
      <c r="E802">
        <f>INDEX(FactorTable!$B$2:$Y$301, MATCH(ROUND(MIN(300,MAX(1,D802)),0), FactorTable!$A$2:$A$301,0), Skills!M28+1)</f>
        <v>1925</v>
      </c>
      <c r="F802">
        <f>IF(Skills!N28=TRUE,(Skills!L28/10)*(E802/1000),Skills!L28/10)+Skills!O28</f>
        <v>134.75</v>
      </c>
      <c r="G802">
        <f>Calc!G28</f>
        <v>50</v>
      </c>
      <c r="H802">
        <f>Calc!H28</f>
        <v>1</v>
      </c>
      <c r="I802">
        <f>IF(Skills!X28&lt;&gt;"",1+(Skills!X28/10)*(Z777/1000)/100,1)</f>
        <v>1</v>
      </c>
      <c r="J802">
        <f>((Inputs!$B$6*(1+Inputs!$B$7/100))+(((Inputs!$B$12*(1+Inputs!$B$13/100))-(Inputs!$B$12*(1+Inputs!$B$13/100)))+0.25*(Inputs!$B$14-Inputs!$B$14))*(1+Inputs!$B$7/100))*(F802/100)</f>
        <v>486628767.57437253</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2446292755569.8682</v>
      </c>
      <c r="L802">
        <f>K802*(MIN(Inputs!$B$22+(F796-Calc!F22),(Inputs!$B$23+(IF(ArtifactsInput!$M$15,CHOOSE(ArtifactsInput!$N$15+1,25,30,35,40,45,50)/100*(Inputs!$B$11-Inputs!$B$11),0))))/100+(Inputs!$B$23+(IF(ArtifactsInput!$M$15,CHOOSE(ArtifactsInput!$N$15+1,25,30,35,40,45,50)/100*(Inputs!$B$11-Inputs!$B$11),0)))/100)/2</f>
        <v>8134473828139.8154</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38386581994991.781</v>
      </c>
      <c r="N802">
        <f>L802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38386581994991.781</v>
      </c>
      <c r="O802">
        <f>(1-Summary!$B$11)*S802+Summary!$B$11*U802</f>
        <v>0</v>
      </c>
      <c r="P802">
        <f>IF(B815=0,0,O802/B815)</f>
        <v>0</v>
      </c>
      <c r="Q802">
        <f>IFERROR(1/(IF(Inputs!$B$38="pvp",15,MAX(0.1,Skills!E28-IF(TRUE=TRUE,Inputs!$B$32,0)))*(1-IF(AND(ArtifactsInput!$M$27,Inputs!$B$4="Chapter Hunt"),CHOOSE(ArtifactsInput!$N$27+1,20,24,28,32,36,40),0)/100)),0)</f>
        <v>0.04</v>
      </c>
      <c r="R802">
        <f>IF(AND(Inputs!$B$38&lt;&gt;"pvp",Inputs!$B$43&gt;0),IF(MAX(0,Inputs!$B$43-B812)&lt;=0,0,(INT(MAX(0,Inputs!$B$43-B812)/(IF(Inputs!$B$38="pvp",15,MAX(0.1,Skills!E28-IF(TRUE=TRUE,Inputs!$B$32,0)))*(1-IF(AND(ArtifactsInput!$M$27,Inputs!$B$4="Chapter Hunt"),CHOOSE(ArtifactsInput!$N$27+1,20,24,28,32,36,40),0)/100)))+1)),0)</f>
        <v>2</v>
      </c>
      <c r="S802">
        <f>IF(C802,(H802*N802*IF(AND(Inputs!$B$38&lt;&gt;"pvp",Inputs!$B$43&gt;0),((Skills!G28*((R802-1)*IF(Skills!H28&gt;0,Skills!I28/Skills!H28,1)+IF(Skills!H28&gt;0,MIN(Skills!I28,MAX(0,MAX(0,Inputs!$B$43-B812)-((R802-1)*(IF(Inputs!$B$38="pvp",15,MAX(0.1,Skills!E28-IF(TRUE=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02">
        <f>IF(C802,(H802*N802*IF(AND(Inputs!$B$38&lt;&gt;"pvp",Inputs!$B$43&gt;0),((Skills!G28*((R802-1)*IF(Skills!H28&gt;0,Skills!I28/Skills!H28,1)+IF(Skills!H28&gt;0,MIN(Skills!I28,MAX(0,MAX(0,Inputs!$B$43-B812)-((R802-1)*(IF(Inputs!$B$38="pvp",15,MAX(0.1,Skills!E28-IF(TRUE=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04" spans="1:21" x14ac:dyDescent="0.2">
      <c r="A804" t="s">
        <v>356</v>
      </c>
      <c r="B804">
        <f>1+(F785*Skills!Z11)/100</f>
        <v>1.25</v>
      </c>
    </row>
    <row r="805" spans="1:21" x14ac:dyDescent="0.2">
      <c r="A805" t="s">
        <v>435</v>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1.18624</v>
      </c>
    </row>
    <row r="806" spans="1:21" x14ac:dyDescent="0.2">
      <c r="A806" t="s">
        <v>358</v>
      </c>
      <c r="B806">
        <f>(1+(F780*IF(AND(Inputs!$B$38&lt;&gt;"pvp",Inputs!$B$43&gt;0),(((R780-1)*MIN((Skills!T6*(1+((Inputs!$B$34+(ArtifactsInput!$M$7-ArtifactsInput!$M$7)*CHOOSE(ArtifactsInput!$N$7+1,6,7.2,8.4,9.6,10.8,12)))/100)),(1/Q780))+MIN((Skills!T6*(1+((Inputs!$B$34+(ArtifactsInput!$M$7-ArtifactsInput!$M$7)*CHOOSE(ArtifactsInput!$N$7+1,6,7.2,8.4,9.6,10.8,12)))/100)),MAX(0,Inputs!$B$43-((R780-1)*(1/Q780)))))/Inputs!$B$43),IF(Inputs!$B$38="pvp",MIN((Skills!T6*(1+((Inputs!$B$34+(ArtifactsInput!$M$7-ArtifactsInput!$M$7)*CHOOSE(ArtifactsInput!$N$7+1,6,7.2,8.4,9.6,10.8,12)))/100)),15)/15,MIN(1,(Skills!T6*(1+((Inputs!$B$34+(ArtifactsInput!$M$7-ArtifactsInput!$M$7)*CHOOSE(ArtifactsInput!$N$7+1,6,7.2,8.4,9.6,10.8,12)))/100))/(1/Q780))))+F791*IF(AND(Inputs!$B$38&lt;&gt;"pvp",Inputs!$B$43&gt;0),(((R791-1)*MIN((Skills!T17*(1+((Inputs!$B$34+(ArtifactsInput!$M$7-ArtifactsInput!$M$7)*CHOOSE(ArtifactsInput!$N$7+1,6,7.2,8.4,9.6,10.8,12)))/100)),(1/Q791))+MIN((Skills!T17*(1+((Inputs!$B$34+(ArtifactsInput!$M$7-ArtifactsInput!$M$7)*CHOOSE(ArtifactsInput!$N$7+1,6,7.2,8.4,9.6,10.8,12)))/100)),MAX(0,Inputs!$B$43-((R791-1)*(1/Q791)))))/Inputs!$B$43),IF(Inputs!$B$38="pvp",MIN((Skills!T17*(1+((Inputs!$B$34+(ArtifactsInput!$M$7-ArtifactsInput!$M$7)*CHOOSE(ArtifactsInput!$N$7+1,6,7.2,8.4,9.6,10.8,12)))/100)),15)/15,MIN(1,(Skills!T17*(1+((Inputs!$B$34+(ArtifactsInput!$M$7-ArtifactsInput!$M$7)*CHOOSE(ArtifactsInput!$N$7+1,6,7.2,8.4,9.6,10.8,12)))/100))/(1/Q791)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MIN((Skills!T19*(1+((Inputs!$B$34+(ArtifactsInput!$M$7-ArtifactsInput!$M$7)*CHOOSE(ArtifactsInput!$N$7+1,6,7.2,8.4,9.6,10.8,12)))/100)),(1/Q793))+MIN((Skills!T19*(1+((Inputs!$B$34+(ArtifactsInput!$M$7-ArtifactsInput!$M$7)*CHOOSE(ArtifactsInput!$N$7+1,6,7.2,8.4,9.6,10.8,12)))/100)),MAX(0,Inputs!$B$43-((R793-1)*(1/Q793)))))/Inputs!$B$43),IF(Inputs!$B$38="pvp",MIN((Skills!T19*(1+((Inputs!$B$34+(ArtifactsInput!$M$7-ArtifactsInput!$M$7)*CHOOSE(ArtifactsInput!$N$7+1,6,7.2,8.4,9.6,10.8,12)))/100)),15)/15,MIN(1,(Skills!T19*(1+((Inputs!$B$34+(ArtifactsInput!$M$7-ArtifactsInput!$M$7)*CHOOSE(ArtifactsInput!$N$7+1,6,7.2,8.4,9.6,10.8,12)))/100))/(1/Q793))))/100),1)</f>
        <v>1.7973988060486399</v>
      </c>
    </row>
    <row r="807" spans="1:21" x14ac:dyDescent="0.2">
      <c r="A807" t="s">
        <v>359</v>
      </c>
      <c r="B807">
        <f>F792*IF(AND(Inputs!$B$38&lt;&gt;"pvp",Inputs!$B$43&gt;0),(((R792-1)*MIN((Skills!T18*(1+((Inputs!$B$34+(ArtifactsInput!$M$7-ArtifactsInput!$M$7)*CHOOSE(ArtifactsInput!$N$7+1,6,7.2,8.4,9.6,10.8,12)))/100)),(1/Q792))+MIN((Skills!T18*(1+((Inputs!$B$34+(ArtifactsInput!$M$7-ArtifactsInput!$M$7)*CHOOSE(ArtifactsInput!$N$7+1,6,7.2,8.4,9.6,10.8,12)))/100)),MAX(0,Inputs!$B$43-((R792-1)*(1/Q792)))))/Inputs!$B$43),IF(Inputs!$B$38="pvp",MIN((Skills!T18*(1+((Inputs!$B$34+(ArtifactsInput!$M$7-ArtifactsInput!$M$7)*CHOOSE(ArtifactsInput!$N$7+1,6,7.2,8.4,9.6,10.8,12)))/100)),15)/15,MIN(1,(Skills!T18*(1+((Inputs!$B$34+(ArtifactsInput!$M$7-ArtifactsInput!$M$7)*CHOOSE(ArtifactsInput!$N$7+1,6,7.2,8.4,9.6,10.8,12)))/100))/(1/Q792))))</f>
        <v>6.4968749999999993</v>
      </c>
    </row>
    <row r="808" spans="1:21" x14ac:dyDescent="0.2">
      <c r="A808" t="s">
        <v>436</v>
      </c>
      <c r="B808">
        <f>1+MIN(150,150*(1-(1-(Inputs!$B$11+(ArtifactsInput!$M$15-ArtifactsInput!$M$15)*CHOOSE(ArtifactsInput!$N$15+1,8,9.6,11.2,12.8,14.4,16))/150)*(1-B807/150)))/100</f>
        <v>1.6982958749999999</v>
      </c>
    </row>
    <row r="809" spans="1:21" x14ac:dyDescent="0.2">
      <c r="A809" t="s">
        <v>437</v>
      </c>
      <c r="B809">
        <f>IF(AND(Inputs!$B$38&lt;&gt;"pvp",Inputs!$B$43&gt;0),SUMPRODUCT((Skills!F2:F28=TRUE)*(C776:C802=TRUE)*R776:R802)/Inputs!$B$43,SUMPRODUCT((Skills!F2:F28=TRUE)*(C776:C802=TRUE)*Q776:Q802))</f>
        <v>0.47499999999999998</v>
      </c>
    </row>
    <row r="810" spans="1:21" x14ac:dyDescent="0.2">
      <c r="A810" t="s">
        <v>362</v>
      </c>
      <c r="B810">
        <f>MAX(0,B808-B809)</f>
        <v>1.2232958749999998</v>
      </c>
    </row>
    <row r="811" spans="1:21" x14ac:dyDescent="0.2">
      <c r="A811" t="s">
        <v>438</v>
      </c>
      <c r="B811">
        <f>IF(AND(Inputs!$B$38&lt;&gt;"pvp",Inputs!$B$43&gt;0),SUMPRODUCT((Skills!V2:V28=TRUE)*(C776:C802=TRUE)*R776:R802*Skills!W2:W28)/Inputs!$B$43,SUMPRODUCT((Skills!V2:V28=TRUE)*(C776:C802=TRUE)*Q776:Q802*Skills!W2:W28))+B810</f>
        <v>1.5482958749999998</v>
      </c>
    </row>
    <row r="812" spans="1:21" x14ac:dyDescent="0.2">
      <c r="A812" t="s">
        <v>439</v>
      </c>
      <c r="B812">
        <f>IF(AND(Inputs!$B$38&lt;&gt;"pvp",Inputs!$B$43&gt;0),SUMPRODUCT((Skills!T2:T28&gt;0)*(Skills!F2:F28=TRUE)*(C776:C802=TRUE))/B808,0)</f>
        <v>2.3553021937358238</v>
      </c>
    </row>
    <row r="813" spans="1:21" x14ac:dyDescent="0.2">
      <c r="A813" t="s">
        <v>440</v>
      </c>
      <c r="B813">
        <f>SUM(S776:S802)</f>
        <v>9526901478513186</v>
      </c>
    </row>
    <row r="814" spans="1:21" x14ac:dyDescent="0.2">
      <c r="A814" t="s">
        <v>441</v>
      </c>
      <c r="B814">
        <f>SUM(U776:U802)</f>
        <v>5.6698579388351328E+16</v>
      </c>
    </row>
    <row r="815" spans="1:21" x14ac:dyDescent="0.2">
      <c r="A815" s="6" t="s">
        <v>348</v>
      </c>
      <c r="B815" s="6">
        <f>SUM(O776:O802)</f>
        <v>3.3112740433432252E+16</v>
      </c>
    </row>
    <row r="818" spans="1:26" x14ac:dyDescent="0.2">
      <c r="A818" s="6" t="s">
        <v>458</v>
      </c>
    </row>
    <row r="819" spans="1:26" x14ac:dyDescent="0.2">
      <c r="A819" s="5" t="s">
        <v>136</v>
      </c>
      <c r="B819" s="5" t="s">
        <v>137</v>
      </c>
      <c r="C819" s="5" t="s">
        <v>328</v>
      </c>
      <c r="D819" s="5" t="s">
        <v>329</v>
      </c>
      <c r="E819" s="5" t="s">
        <v>330</v>
      </c>
      <c r="F819" s="5" t="s">
        <v>331</v>
      </c>
      <c r="G819" s="5" t="s">
        <v>332</v>
      </c>
      <c r="H819" s="5" t="s">
        <v>333</v>
      </c>
      <c r="I819" s="5" t="s">
        <v>334</v>
      </c>
      <c r="J819" s="5" t="s">
        <v>335</v>
      </c>
      <c r="K819" s="5" t="s">
        <v>336</v>
      </c>
      <c r="L819" s="5" t="s">
        <v>337</v>
      </c>
      <c r="M819" s="5" t="s">
        <v>338</v>
      </c>
      <c r="N819" s="5" t="s">
        <v>339</v>
      </c>
      <c r="O819" s="5" t="s">
        <v>340</v>
      </c>
      <c r="P819" s="5" t="s">
        <v>341</v>
      </c>
      <c r="R819" t="s">
        <v>434</v>
      </c>
    </row>
    <row r="820" spans="1:26" x14ac:dyDescent="0.2">
      <c r="A820" t="str">
        <f>Skills!A2</f>
        <v>BASIC_ATTACK</v>
      </c>
      <c r="B820" t="str">
        <f>Skills!B2</f>
        <v>Basic Attack</v>
      </c>
      <c r="C820" t="b">
        <f>TRUE</f>
        <v>1</v>
      </c>
      <c r="F820">
        <f>T822+Skills!O2</f>
        <v>537.6</v>
      </c>
      <c r="G820">
        <f>Calc!G2</f>
        <v>5</v>
      </c>
      <c r="H820">
        <f>Calc!H2</f>
        <v>1</v>
      </c>
      <c r="I820">
        <f>IF(Skills!X2&lt;&gt;"",1+(Skills!X2/10)*(Z821/1000)/100,1)</f>
        <v>1</v>
      </c>
      <c r="J820">
        <f>((Inputs!$B$6*(1+Inputs!$B$7/100))+(((Inputs!$B$12*(1+Inputs!$B$13/100))-(Inputs!$B$12*(1+Inputs!$B$13/100)))+0.25*(Inputs!$B$14-Inputs!$B$14))*(1+Inputs!$B$7/100))*(F820/100)</f>
        <v>1941459186.9980164</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6622299836648.3027</v>
      </c>
      <c r="L820">
        <f>K820*(MIN(Inputs!$B$22+(F840-Calc!F22),(Inputs!$B$23+(IF(ArtifactsInput!$M$15,CHOOSE(ArtifactsInput!$N$15+1,25,30,35,40,45,50)/100*(Inputs!$B$11-Inputs!$B$11),0))))/100+(Inputs!$B$23+(IF(ArtifactsInput!$M$15,CHOOSE(ArtifactsInput!$N$15+1,25,30,35,40,45,50)/100*(Inputs!$B$11-Inputs!$B$11),0)))/100)/2</f>
        <v>22019146956855.609</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103916281382306.09</v>
      </c>
      <c r="N820">
        <f>L820*(1-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103916281382306.09</v>
      </c>
      <c r="O820">
        <f>(1-Summary!$B$11)*S820+Summary!$B$11*U820</f>
        <v>1.2518177289531952E+16</v>
      </c>
      <c r="P820">
        <f>IF(B859=0,0,O820/B859)</f>
        <v>0.37811072860784228</v>
      </c>
      <c r="Q820">
        <f>IFERROR(1/(IF(Inputs!$B$38="pvp",15,MAX(0.1,Skills!E2-IF(TRUE=TRUE,Inputs!$B$32,0)))*(1-IF(AND(ArtifactsInput!$M$27,Inputs!$B$4="Chapter Hunt"),CHOOSE(ArtifactsInput!$N$27+1,20,24,28,32,36,40),0)/100)),0)</f>
        <v>10</v>
      </c>
      <c r="R820">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2078417859191139.2</v>
      </c>
      <c r="T820">
        <f>MAX(0,(Inputs!$B$3-100)*3)+Inputs!$B$28+Inputs!$B$29</f>
        <v>185</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2.2957936719872764E+16</v>
      </c>
      <c r="Z820">
        <f>MAX(0,(Inputs!$B$3-100)*3)+Inputs!$B$28+Inputs!$B$29</f>
        <v>185</v>
      </c>
    </row>
    <row r="821" spans="1:26" x14ac:dyDescent="0.2">
      <c r="A821" t="str">
        <f>Skills!A3</f>
        <v>IGNITE</v>
      </c>
      <c r="B821" t="str">
        <f>Skills!B3</f>
        <v>Ignite</v>
      </c>
      <c r="C821" t="b">
        <f>TRUE</f>
        <v>1</v>
      </c>
      <c r="D821">
        <f>IF(Skills!C3=1,60+Inputs!$B$25+Inputs!$B$29,IF(Skills!C3=2,90+Inputs!$B$26+Inputs!$B$29,IF(Skills!C3=3,120+(Inputs!$B$27+1)+Inputs!$B$29,MAX(0,(Inputs!$B$3-100)*3)+Inputs!$B$28+Inputs!$B$29)))</f>
        <v>168</v>
      </c>
      <c r="E821">
        <f>INDEX(FactorTable!$B$2:$Y$301, MATCH(ROUND(MIN(300,MAX(1,D821)),0), FactorTable!$A$2:$A$301,0), Skills!M3+1)</f>
        <v>1672</v>
      </c>
      <c r="F821">
        <f>IF(Skills!N3=TRUE,(Skills!L3/10)*(E821/1000),Skills!L3/10)+Skills!O3</f>
        <v>121.736</v>
      </c>
      <c r="G821">
        <f>Calc!G3</f>
        <v>3</v>
      </c>
      <c r="H821">
        <f>Calc!H3</f>
        <v>1</v>
      </c>
      <c r="I821">
        <f>IF(Skills!X3&lt;&gt;"",1+(Skills!X3/10)*(Z821/1000)/100,1)</f>
        <v>4.8250000000000002</v>
      </c>
      <c r="J821">
        <f>((Inputs!$B$6*(1+Inputs!$B$7/100))+(((Inputs!$B$12*(1+Inputs!$B$13/100))-(Inputs!$B$12*(1+Inputs!$B$13/100)))+0.25*(Inputs!$B$14-Inputs!$B$14))*(1+Inputs!$B$7/100))*(F821/100)</f>
        <v>439630720.9605478</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10661789274342.107</v>
      </c>
      <c r="L821">
        <f>K821*(MIN(Inputs!$B$22+(F840-Calc!F22),(Inputs!$B$23+(IF(ArtifactsInput!$M$15,CHOOSE(ArtifactsInput!$N$15+1,25,30,35,40,45,50)/100*(Inputs!$B$11-Inputs!$B$11),0))))/100+(Inputs!$B$23+(IF(ArtifactsInput!$M$15,CHOOSE(ArtifactsInput!$N$15+1,25,30,35,40,45,50)/100*(Inputs!$B$11-Inputs!$B$11),0)))/100)/2</f>
        <v>35450449337187.508</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167303432583949.25</v>
      </c>
      <c r="N821">
        <f>L821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167303432583949.25</v>
      </c>
      <c r="O821">
        <f>(1-Summary!$B$11)*S821+Summary!$B$11*U821</f>
        <v>2908570175471957.5</v>
      </c>
      <c r="P821">
        <f>IF(B859=0,0,O821/B859)</f>
        <v>8.785317245621635E-2</v>
      </c>
      <c r="Q821">
        <f>IFERROR(1/(IF(Inputs!$B$38="pvp",15,MAX(0.1,Skills!E3-IF(FALSE=TRUE,Inputs!$B$32,0)))*(1-IF(AND(ArtifactsInput!$M$27,Inputs!$B$4="Chapter Hunt"),CHOOSE(ArtifactsInput!$N$27+1,20,24,28,32,36,40),0)/100)),0)</f>
        <v>1</v>
      </c>
      <c r="R821">
        <f>IF(AND(Inputs!$B$38&lt;&gt;"pvp",Inputs!$B$43&gt;0),IF(MAX(0,Inputs!$B$43-B856)&lt;=0,0,(INT(MAX(0,Inputs!$B$43-B856)/(IF(Inputs!$B$38="pvp",15,MAX(0.1,Skills!E3-IF(FALSE=TRUE,Inputs!$B$32,0)))*(1-IF(AND(ArtifactsInput!$M$27,Inputs!$B$4="Chapter Hunt"),CHOOSE(ArtifactsInput!$N$27+1,20,24,28,32,36,40),0)/100)))+1)),0)</f>
        <v>38</v>
      </c>
      <c r="S821">
        <f>IF(C821,(H821*N821*IF(AND(Inputs!$B$38&lt;&gt;"pvp",Inputs!$B$43&gt;0),((Skills!G3*((R821-1)*IF(Skills!H3&gt;0,Skills!I3/Skills!H3,1)+IF(Skills!H3&gt;0,MIN(Skills!I3,MAX(0,MAX(0,Inputs!$B$43-B856)-((R821-1)*(IF(Inputs!$B$38="pvp",15,MAX(0.1,Skills!E3-IF(FALSE=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1511502861679689.5</v>
      </c>
      <c r="T821">
        <f>INDEX(FactorTable!$B$2:$Y$301, MATCH(ROUND(MIN(300,MAX(1,T820)),0), FactorTable!$A$2:$A$301,0), 22)</f>
        <v>1740</v>
      </c>
      <c r="U821">
        <f>IF(C821,(H821*N821*IF(AND(Inputs!$B$38&lt;&gt;"pvp",Inputs!$B$43&gt;0),((Skills!G3*((R821-1)*IF(Skills!H3&gt;0,Skills!I3/Skills!H3,1)+IF(Skills!H3&gt;0,MIN(Skills!I3,MAX(0,MAX(0,Inputs!$B$43-B856)-((R821-1)*(IF(Inputs!$B$38="pvp",15,MAX(0.1,Skills!E3-IF(FALSE=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4305637489264225.5</v>
      </c>
      <c r="Z821">
        <f>INDEX(FactorTable!$B$2:$Y$301, MATCH(ROUND(MIN(300,MAX(1,Z820)),0), FactorTable!$A$2:$A$301,0), 24)</f>
        <v>7650</v>
      </c>
    </row>
    <row r="822" spans="1:26" x14ac:dyDescent="0.2">
      <c r="A822" t="str">
        <f>Skills!A4</f>
        <v>POISON_BREATH</v>
      </c>
      <c r="B822" t="str">
        <f>Skills!B4</f>
        <v>Poison Breath</v>
      </c>
      <c r="C822" t="b">
        <f>TRUE</f>
        <v>1</v>
      </c>
      <c r="D822">
        <f>IF(Skills!C4=1,60+Inputs!$B$25+Inputs!$B$29,IF(Skills!C4=2,90+Inputs!$B$26+Inputs!$B$29,IF(Skills!C4=3,120+(Inputs!$B$27+1)+Inputs!$B$29,MAX(0,(Inputs!$B$3-100)*3)+Inputs!$B$28+Inputs!$B$29)))</f>
        <v>168</v>
      </c>
      <c r="E822">
        <f>INDEX(FactorTable!$B$2:$Y$301, MATCH(ROUND(MIN(300,MAX(1,D822)),0), FactorTable!$A$2:$A$301,0), Skills!M4+1)</f>
        <v>1840</v>
      </c>
      <c r="F822">
        <f>IF(Skills!N4=TRUE,(Skills!L4/10)*(E822/1000),Skills!L4/10)+Skills!O4</f>
        <v>438</v>
      </c>
      <c r="G822">
        <f>Calc!G4</f>
        <v>3</v>
      </c>
      <c r="H822">
        <f>Calc!H4</f>
        <v>1</v>
      </c>
      <c r="I822">
        <f>IF(Skills!X4&lt;&gt;"",1+(Skills!X4/10)*(Z821/1000)/100,1)</f>
        <v>7.12</v>
      </c>
      <c r="J822">
        <f>((Inputs!$B$6*(1+Inputs!$B$7/100))+(((Inputs!$B$12*(1+Inputs!$B$13/100))-(Inputs!$B$12*(1+Inputs!$B$13/100)))+0.25*(Inputs!$B$14-Inputs!$B$14))*(1+Inputs!$B$7/100))*(F822/100)</f>
        <v>1581769203.69258</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56606702075079.516</v>
      </c>
      <c r="L822">
        <f>K822*(MIN(Inputs!$B$22+(F840-Calc!F22),(Inputs!$B$23+(IF(ArtifactsInput!$M$15,CHOOSE(ArtifactsInput!$N$15+1,25,30,35,40,45,50)/100*(Inputs!$B$11-Inputs!$B$11),0))))/100+(Inputs!$B$23+(IF(ArtifactsInput!$M$15,CHOOSE(ArtifactsInput!$N$15+1,25,30,35,40,45,50)/100*(Inputs!$B$11-Inputs!$B$11),0)))/100)/2</f>
        <v>188217284399639.41</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888265123304282.25</v>
      </c>
      <c r="N822">
        <f>L822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888265123304282.25</v>
      </c>
      <c r="O822">
        <f>(1-Summary!$B$11)*S822+Summary!$B$11*U822</f>
        <v>2121510213871865</v>
      </c>
      <c r="P822">
        <f>IF(B859=0,0,O822/B859)</f>
        <v>6.4080077647315603E-2</v>
      </c>
      <c r="Q822">
        <f>IFERROR(1/(IF(Inputs!$B$38="pvp",15,MAX(0.1,Skills!E4-IF(TRUE=TRUE,Inputs!$B$32,0)))*(1-IF(AND(ArtifactsInput!$M$27,Inputs!$B$4="Chapter Hunt"),CHOOSE(ArtifactsInput!$N$27+1,20,24,28,32,36,40),0)/100)),0)</f>
        <v>5.5555555555555552E-2</v>
      </c>
      <c r="R822">
        <f>IF(AND(Inputs!$B$38&lt;&gt;"pvp",Inputs!$B$43&gt;0),IF(MAX(0,Inputs!$B$43-B856)&lt;=0,0,(INT(MAX(0,Inputs!$B$43-B856)/(IF(Inputs!$B$38="pvp",15,MAX(0.1,Skills!E4-IF(TRUE=TRUE,Inputs!$B$32,0)))*(1-IF(AND(ArtifactsInput!$M$27,Inputs!$B$4="Chapter Hunt"),CHOOSE(ArtifactsInput!$N$27+1,20,24,28,32,36,40),0)/100)))+1)),0)</f>
        <v>3</v>
      </c>
      <c r="S822">
        <f>IF(C822,(H822*N822*IF(AND(Inputs!$B$38&lt;&gt;"pvp",Inputs!$B$43&gt;0),((Skills!G4*((R822-1)*IF(Skills!H4&gt;0,Skills!I4/Skills!H4,1)+IF(Skills!H4&gt;0,MIN(Skills!I4,MAX(0,MAX(0,Inputs!$B$43-B856)-((R822-1)*(IF(Inputs!$B$38="pvp",15,MAX(0.1,Skills!E4-IF(TRUE=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633555099196779.25</v>
      </c>
      <c r="T822">
        <f>290*T821/1000</f>
        <v>504.6</v>
      </c>
      <c r="U822">
        <f>IF(C822,(H822*N822*IF(AND(Inputs!$B$38&lt;&gt;"pvp",Inputs!$B$43&gt;0),((Skills!G4*((R822-1)*IF(Skills!H4&gt;0,Skills!I4/Skills!H4,1)+IF(Skills!H4&gt;0,MIN(Skills!I4,MAX(0,MAX(0,Inputs!$B$43-B856)-((R822-1)*(IF(Inputs!$B$38="pvp",15,MAX(0.1,Skills!E4-IF(TRUE=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3609465328546950.5</v>
      </c>
    </row>
    <row r="823" spans="1:26" x14ac:dyDescent="0.2">
      <c r="A823" t="str">
        <f>Skills!A5</f>
        <v>ELEMENTAL_DRAIN</v>
      </c>
      <c r="B823" t="str">
        <f>Skills!B5</f>
        <v>Elemental Drain</v>
      </c>
      <c r="C823" t="b">
        <f>TRUE</f>
        <v>1</v>
      </c>
      <c r="D823">
        <f>IF(Skills!C5=1,60+Inputs!$B$25+Inputs!$B$29,IF(Skills!C5=2,90+Inputs!$B$26+Inputs!$B$29,IF(Skills!C5=3,120+(Inputs!$B$27+1)+Inputs!$B$29,MAX(0,(Inputs!$B$3-100)*3)+Inputs!$B$28+Inputs!$B$29)))</f>
        <v>168</v>
      </c>
      <c r="E823">
        <f>INDEX(FactorTable!$B$2:$Y$301, MATCH(ROUND(MIN(300,MAX(1,D823)),0), FactorTable!$A$2:$A$301,0), Skills!M5+1)</f>
        <v>1672</v>
      </c>
      <c r="F823">
        <f>IF(Skills!N5=TRUE,(Skills!L5/10)*(E823/1000),Skills!L5/10)+Skills!O5</f>
        <v>20.064</v>
      </c>
      <c r="G823">
        <f>Calc!G5</f>
        <v>5</v>
      </c>
      <c r="H823">
        <f>Calc!H5</f>
        <v>1</v>
      </c>
      <c r="I823">
        <f>IF(Skills!X5&lt;&gt;"",1+(Skills!X5/10)*(Z821/1000)/100,1)</f>
        <v>12.475</v>
      </c>
      <c r="J823">
        <f>((Inputs!$B$6*(1+Inputs!$B$7/100))+(((Inputs!$B$12*(1+Inputs!$B$13/100))-(Inputs!$B$12*(1+Inputs!$B$13/100)))+0.25*(Inputs!$B$14-Inputs!$B$14))*(1+Inputs!$B$7/100))*(F823/100)</f>
        <v>72458030.371890247</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4543304268210.0342</v>
      </c>
      <c r="L823">
        <f>K823*(MIN(Inputs!$B$22+(F840-Calc!F22),(Inputs!$B$23+(IF(ArtifactsInput!$M$15,CHOOSE(ArtifactsInput!$N$15+1,25,30,35,40,45,50)/100*(Inputs!$B$11-Inputs!$B$11),0))))/100+(Inputs!$B$23+(IF(ArtifactsInput!$M$15,CHOOSE(ArtifactsInput!$N$15+1,25,30,35,40,45,50)/100*(Inputs!$B$11-Inputs!$B$11),0)))/100)/2</f>
        <v>15106486691798.365</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71292949033805.531</v>
      </c>
      <c r="N823">
        <f>L823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71292949033805.531</v>
      </c>
      <c r="O823">
        <f>(1-Summary!$B$11)*S823+Summary!$B$11*U823</f>
        <v>1046402259443680.6</v>
      </c>
      <c r="P823">
        <f>IF(B859=0,0,O823/B859)</f>
        <v>3.160651200123208E-2</v>
      </c>
      <c r="Q823">
        <f>IFERROR(1/(IF(Inputs!$B$38="pvp",15,MAX(0.1,Skills!E5-IF(FALSE=TRUE,Inputs!$B$32,0)))*(1-IF(AND(ArtifactsInput!$M$27,Inputs!$B$4="Chapter Hunt"),CHOOSE(ArtifactsInput!$N$27+1,20,24,28,32,36,40),0)/100)),0)</f>
        <v>1</v>
      </c>
      <c r="R823">
        <f>IF(AND(Inputs!$B$38&lt;&gt;"pvp",Inputs!$B$43&gt;0),IF(MAX(0,Inputs!$B$43-B856)&lt;=0,0,(INT(MAX(0,Inputs!$B$43-B856)/(IF(Inputs!$B$38="pvp",15,MAX(0.1,Skills!E5-IF(FALSE=TRUE,Inputs!$B$32,0)))*(1-IF(AND(ArtifactsInput!$M$27,Inputs!$B$4="Chapter Hunt"),CHOOSE(ArtifactsInput!$N$27+1,20,24,28,32,36,40),0)/100)))+1)),0)</f>
        <v>38</v>
      </c>
      <c r="S823">
        <f>IF(C823,(H823*N823*IF(AND(Inputs!$B$38&lt;&gt;"pvp",Inputs!$B$43&gt;0),((Skills!G5*((R823-1)*IF(Skills!H5&gt;0,Skills!I5/Skills!H5,1)+IF(Skills!H5&gt;0,MIN(Skills!I5,MAX(0,MAX(0,Inputs!$B$43-B856)-((R823-1)*(IF(Inputs!$B$38="pvp",15,MAX(0.1,Skills!E5-IF(FALSE=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1073493580076526.8</v>
      </c>
      <c r="U823">
        <f>IF(C823,(H823*N823*IF(AND(Inputs!$B$38&lt;&gt;"pvp",Inputs!$B$43&gt;0),((Skills!G5*((R823-1)*IF(Skills!H5&gt;0,Skills!I5/Skills!H5,1)+IF(Skills!H5&gt;0,MIN(Skills!I5,MAX(0,MAX(0,Inputs!$B$43-B856)-((R823-1)*(IF(Inputs!$B$38="pvp",15,MAX(0.1,Skills!E5-IF(FALSE=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1019310938810834.5</v>
      </c>
    </row>
    <row r="824" spans="1:26" x14ac:dyDescent="0.2">
      <c r="A824" t="str">
        <f>Skills!A6</f>
        <v>MEDITATION</v>
      </c>
      <c r="B824" t="str">
        <f>Skills!B6</f>
        <v>Meditation</v>
      </c>
      <c r="C824" t="b">
        <f>TRUE</f>
        <v>1</v>
      </c>
      <c r="D824">
        <f>IF(Skills!C6=1,60+Inputs!$B$25+Inputs!$B$29,IF(Skills!C6=2,90+Inputs!$B$26+Inputs!$B$29,IF(Skills!C6=3,120+(Inputs!$B$27+1)+Inputs!$B$29,MAX(0,(Inputs!$B$3-100)*3)+Inputs!$B$28+Inputs!$B$29)))</f>
        <v>168</v>
      </c>
      <c r="E824">
        <f>INDEX(FactorTable!$B$2:$Y$301, MATCH(ROUND(MIN(300,MAX(1,D824)),0), FactorTable!$A$2:$A$301,0), Skills!M6+1)</f>
        <v>1672</v>
      </c>
      <c r="F824">
        <f>IF(Skills!N6=TRUE,(Skills!L6/10)*(E824/1000),Skills!L6/10)+Skills!O6</f>
        <v>33.44</v>
      </c>
      <c r="G824">
        <f>Calc!G6</f>
        <v>1</v>
      </c>
      <c r="H824">
        <f>Calc!H6</f>
        <v>1</v>
      </c>
      <c r="I824">
        <f>IF(Skills!X6&lt;&gt;"",1+(Skills!X6/10)*(Z821/1000)/100,1)</f>
        <v>1</v>
      </c>
      <c r="O824">
        <f>(1-Summary!$B$11)*S824+Summary!$B$11*U824</f>
        <v>0</v>
      </c>
      <c r="P824">
        <f>IF(B859=0,0,O824/B859)</f>
        <v>0</v>
      </c>
      <c r="Q824">
        <f>IFERROR(1/(IF(Inputs!$B$38="pvp",15,MAX(0.1,Skills!E6-IF(TRUE=TRUE,Inputs!$B$32,0)))*(1-IF(AND(ArtifactsInput!$M$27,Inputs!$B$4="Chapter Hunt"),CHOOSE(ArtifactsInput!$N$27+1,20,24,28,32,36,40),0)/100)),0)</f>
        <v>3.3333333333333333E-2</v>
      </c>
      <c r="R824">
        <f>IF(AND(Inputs!$B$38&lt;&gt;"pvp",Inputs!$B$43&gt;0),IF(Inputs!$B$43&lt;=0,0,(INT(Inputs!$B$43/(IF(Inputs!$B$38="pvp",15,MAX(0.1,Skills!E6-IF(TRUE=TRUE,Inputs!$B$32,0)))*(1-IF(AND(ArtifactsInput!$M$27,Inputs!$B$4="Chapter Hunt"),CHOOSE(ArtifactsInput!$N$27+1,20,24,28,32,36,40),0)/100)))+1)),0)</f>
        <v>2</v>
      </c>
      <c r="S824">
        <v>0</v>
      </c>
      <c r="U824">
        <v>0</v>
      </c>
    </row>
    <row r="825" spans="1:26" x14ac:dyDescent="0.2">
      <c r="A825" t="str">
        <f>Skills!A7</f>
        <v>POISON_MIST_BURST</v>
      </c>
      <c r="B825" t="str">
        <f>Skills!B7</f>
        <v>Poison Mist (burst)</v>
      </c>
      <c r="C825" t="b">
        <f>TRUE</f>
        <v>1</v>
      </c>
      <c r="D825">
        <f>IF(Skills!C7=1,60+Inputs!$B$25+Inputs!$B$29,IF(Skills!C7=2,90+Inputs!$B$26+Inputs!$B$29,IF(Skills!C7=3,120+(Inputs!$B$27+1)+Inputs!$B$29,MAX(0,(Inputs!$B$3-100)*3)+Inputs!$B$28+Inputs!$B$29)))</f>
        <v>185</v>
      </c>
      <c r="E825">
        <f>INDEX(FactorTable!$B$2:$Y$301, MATCH(ROUND(MIN(300,MAX(1,D825)),0), FactorTable!$A$2:$A$301,0), Skills!M7+1)</f>
        <v>1925</v>
      </c>
      <c r="F825">
        <f>IF(Skills!N7=TRUE,(Skills!L7/10)*(E825/1000),Skills!L7/10)+Skills!O7</f>
        <v>358</v>
      </c>
      <c r="G825">
        <f>Calc!G7</f>
        <v>3</v>
      </c>
      <c r="H825">
        <f>Calc!H7</f>
        <v>1</v>
      </c>
      <c r="I825">
        <f>IF(Skills!X7&lt;&gt;"",1+(Skills!X7/10)*(Z821/1000)/100,1)</f>
        <v>1.7650000000000001</v>
      </c>
      <c r="J825">
        <f>((Inputs!$B$6*(1+Inputs!$B$7/100))+(((Inputs!$B$12*(1+Inputs!$B$13/100))-(Inputs!$B$12*(1+Inputs!$B$13/100)))+0.25*(Inputs!$B$14-Inputs!$B$14))*(1+Inputs!$B$7/100))*(F825/100)</f>
        <v>1292861586.5797801</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11469420771183.012</v>
      </c>
      <c r="L825">
        <f>K825*(MIN(Inputs!$B$22+(F840-Calc!F22),(Inputs!$B$23+(IF(ArtifactsInput!$M$15,CHOOSE(ArtifactsInput!$N$15+1,25,30,35,40,45,50)/100*(Inputs!$B$11-Inputs!$B$11),0))))/100+(Inputs!$B$23+(IF(ArtifactsInput!$M$15,CHOOSE(ArtifactsInput!$N$15+1,25,30,35,40,45,50)/100*(Inputs!$B$11-Inputs!$B$11),0)))/100)/2</f>
        <v>38135824064183.516</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179976682655545.12</v>
      </c>
      <c r="N825">
        <f>L825*(1-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179976682655545.12</v>
      </c>
      <c r="O825">
        <f>(1-Summary!$B$11)*S825+Summary!$B$11*U825</f>
        <v>449086817396249</v>
      </c>
      <c r="P825">
        <f>IF(B859=0,0,O825/B859)</f>
        <v>1.3564638030479727E-2</v>
      </c>
      <c r="Q825">
        <f>IFERROR(1/(IF(Inputs!$B$38="pvp",15,MAX(0.1,Skills!E7-IF(TRUE=TRUE,Inputs!$B$32,0)))*(1-IF(AND(ArtifactsInput!$M$27,Inputs!$B$4="Chapter Hunt"),CHOOSE(ArtifactsInput!$N$27+1,20,24,28,32,36,40),0)/100)),0)</f>
        <v>4.0816326530612242E-2</v>
      </c>
      <c r="R825">
        <f>IF(AND(Inputs!$B$38&lt;&gt;"pvp",Inputs!$B$43&gt;0),IF(MAX(0,Inputs!$B$43-B856)&lt;=0,0,(INT(MAX(0,Inputs!$B$43-B856)/(IF(Inputs!$B$38="pvp",15,MAX(0.1,Skills!E7-IF(TRUE=TRUE,Inputs!$B$32,0)))*(1-IF(AND(ArtifactsInput!$M$27,Inputs!$B$4="Chapter Hunt"),CHOOSE(ArtifactsInput!$N$27+1,20,24,28,32,36,40),0)/100)))+1)),0)</f>
        <v>2</v>
      </c>
      <c r="S825">
        <f>IF(C825,(H825*N825*IF(AND(Inputs!$B$38&lt;&gt;"pvp",Inputs!$B$43&gt;0),((Skills!G7*((R825-1)*IF(Skills!H7&gt;0,Skills!I7/Skills!H7,1)+IF(Skills!H7&gt;0,MIN(Skills!I7,MAX(0,MAX(0,Inputs!$B$43-B856)-((R825-1)*(IF(Inputs!$B$38="pvp",15,MAX(0.1,Skills!E7-IF(TRUE=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85578912602711.703</v>
      </c>
      <c r="U825">
        <f>IF(C825,(H825*N825*IF(AND(Inputs!$B$38&lt;&gt;"pvp",Inputs!$B$43&gt;0),((Skills!G7*((R825-1)*IF(Skills!H7&gt;0,Skills!I7/Skills!H7,1)+IF(Skills!H7&gt;0,MIN(Skills!I7,MAX(0,MAX(0,Inputs!$B$43-B856)-((R825-1)*(IF(Inputs!$B$38="pvp",15,MAX(0.1,Skills!E7-IF(TRUE=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812594722189786.25</v>
      </c>
    </row>
    <row r="826" spans="1:26" x14ac:dyDescent="0.2">
      <c r="A826" t="str">
        <f>Skills!A8</f>
        <v>POISON_MIST_DOT</v>
      </c>
      <c r="B826" t="str">
        <f>Skills!B8</f>
        <v>Poison Mist (fog DoT)</v>
      </c>
      <c r="C826" t="b">
        <f>TRUE</f>
        <v>1</v>
      </c>
      <c r="D826">
        <f>IF(Skills!C8=1,60+Inputs!$B$25+Inputs!$B$29,IF(Skills!C8=2,90+Inputs!$B$26+Inputs!$B$29,IF(Skills!C8=3,120+(Inputs!$B$27+1)+Inputs!$B$29,MAX(0,(Inputs!$B$3-100)*3)+Inputs!$B$28+Inputs!$B$29)))</f>
        <v>185</v>
      </c>
      <c r="E826">
        <f>INDEX(FactorTable!$B$2:$Y$301, MATCH(ROUND(MIN(300,MAX(1,D826)),0), FactorTable!$A$2:$A$301,0), Skills!M8+1)</f>
        <v>1925</v>
      </c>
      <c r="F826">
        <f>IF(Skills!N8=TRUE,(Skills!L8/10)*(E826/1000),Skills!L8/10)+Skills!O8</f>
        <v>134.75</v>
      </c>
      <c r="G826">
        <f>Calc!G8</f>
        <v>50</v>
      </c>
      <c r="H826">
        <f>Calc!H8</f>
        <v>1</v>
      </c>
      <c r="I826">
        <f>IF(Skills!X8&lt;&gt;"",1+(Skills!X8/10)*(Z821/1000)/100,1)</f>
        <v>1.7650000000000001</v>
      </c>
      <c r="J826">
        <f>((Inputs!$B$6*(1+Inputs!$B$7/100))+(((Inputs!$B$12*(1+Inputs!$B$13/100))-(Inputs!$B$12*(1+Inputs!$B$13/100)))+0.25*(Inputs!$B$14-Inputs!$B$14))*(1+Inputs!$B$7/100))*(F826/100)</f>
        <v>486628767.57437253</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4317051533287.4609</v>
      </c>
      <c r="L826">
        <f>K826*(MIN(Inputs!$B$22+(F840-Calc!F22),(Inputs!$B$23+(IF(ArtifactsInput!$M$15,CHOOSE(ArtifactsInput!$N$15+1,25,30,35,40,45,50)/100*(Inputs!$B$11-Inputs!$B$11),0))))/100+(Inputs!$B$23+(IF(ArtifactsInput!$M$15,CHOOSE(ArtifactsInput!$N$15+1,25,30,35,40,45,50)/100*(Inputs!$B$11-Inputs!$B$11),0)))/100)/2</f>
        <v>14354196348180.809</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67742620077750.578</v>
      </c>
      <c r="N826">
        <f>L826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67742620077750.578</v>
      </c>
      <c r="O826">
        <f>(1-Summary!$B$11)*S826+Summary!$B$11*U826</f>
        <v>2334419358965158</v>
      </c>
      <c r="P826">
        <f>IF(B859=0,0,O826/B859)</f>
        <v>7.051098448914607E-2</v>
      </c>
      <c r="Q826">
        <f>IFERROR(1/(IF(Inputs!$B$38="pvp",15,MAX(0.1,Skills!E8-IF(TRUE=TRUE,Inputs!$B$32,0)))*(1-IF(AND(ArtifactsInput!$M$27,Inputs!$B$4="Chapter Hunt"),CHOOSE(ArtifactsInput!$N$27+1,20,24,28,32,36,40),0)/100)),0)</f>
        <v>4.0816326530612242E-2</v>
      </c>
      <c r="R826">
        <f>IF(AND(Inputs!$B$38&lt;&gt;"pvp",Inputs!$B$43&gt;0),IF(MAX(0,Inputs!$B$43-B856)&lt;=0,0,(INT(MAX(0,Inputs!$B$43-B856)/(IF(Inputs!$B$38="pvp",15,MAX(0.1,Skills!E8-IF(TRUE=TRUE,Inputs!$B$32,0)))*(1-IF(AND(ArtifactsInput!$M$27,Inputs!$B$4="Chapter Hunt"),CHOOSE(ArtifactsInput!$N$27+1,20,24,28,32,36,40),0)/100)))+1)),0)</f>
        <v>2</v>
      </c>
      <c r="S826">
        <f>IF(C826,(H826*N826*IF(AND(Inputs!$B$38&lt;&gt;"pvp",Inputs!$B$43&gt;0),((Skills!G8*((R826-1)*IF(Skills!H8&gt;0,Skills!I8/Skills!H8,1)+IF(Skills!H8&gt;0,MIN(Skills!I8,MAX(0,MAX(0,Inputs!$B$43-B856)-((R826-1)*(IF(Inputs!$B$38="pvp",15,MAX(0.1,Skills!E8-IF(TRUE=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444851780458043.38</v>
      </c>
      <c r="U826">
        <f>IF(C826,(H826*N826*IF(AND(Inputs!$B$38&lt;&gt;"pvp",Inputs!$B$43&gt;0),((Skills!G8*((R826-1)*IF(Skills!H8&gt;0,Skills!I8/Skills!H8,1)+IF(Skills!H8&gt;0,MIN(Skills!I8,MAX(0,MAX(0,Inputs!$B$43-B856)-((R826-1)*(IF(Inputs!$B$38="pvp",15,MAX(0.1,Skills!E8-IF(TRUE=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4223986937472273</v>
      </c>
    </row>
    <row r="827" spans="1:26" x14ac:dyDescent="0.2">
      <c r="A827" t="str">
        <f>Skills!A9</f>
        <v>MIST_ERUPTION</v>
      </c>
      <c r="B827" t="str">
        <f>Skills!B9</f>
        <v>Mist Eruption</v>
      </c>
      <c r="C827" t="b">
        <f>Inputs!$B$3&gt;=103</f>
        <v>1</v>
      </c>
      <c r="D827">
        <f>IF(Skills!C9=1,60+Inputs!$B$25+Inputs!$B$29,IF(Skills!C9=2,90+Inputs!$B$26+Inputs!$B$29,IF(Skills!C9=3,120+(Inputs!$B$27+1)+Inputs!$B$29,MAX(0,(Inputs!$B$3-100)*3)+Inputs!$B$28+Inputs!$B$29)))</f>
        <v>185</v>
      </c>
      <c r="E827">
        <f>INDEX(FactorTable!$B$2:$Y$301, MATCH(ROUND(MIN(300,MAX(1,D827)),0), FactorTable!$A$2:$A$301,0), Skills!M9+1)</f>
        <v>1925</v>
      </c>
      <c r="F827">
        <f>IF(Skills!N9=TRUE,(Skills!L9/10)*(E827/1000),Skills!L9/10)+Skills!O9</f>
        <v>5775</v>
      </c>
      <c r="G827">
        <f>Calc!G9</f>
        <v>2.5</v>
      </c>
      <c r="H827">
        <f>Calc!H9</f>
        <v>1</v>
      </c>
      <c r="I827">
        <f>IF(Skills!X9&lt;&gt;"",1+(Skills!X9/10)*(Z821/1000)/100,1)</f>
        <v>1</v>
      </c>
      <c r="J827">
        <f>((Inputs!$B$6*(1+Inputs!$B$7/100))+(((Inputs!$B$12*(1+Inputs!$B$13/100))-(Inputs!$B$12*(1+Inputs!$B$13/100)))+0.25*(Inputs!$B$14-Inputs!$B$14))*(1+Inputs!$B$7/100))*(F827/100)</f>
        <v>20855518610.330254</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104825209225919.75</v>
      </c>
      <c r="L827">
        <f>K827*(MIN(Inputs!$B$22+(F840-Calc!F22),(Inputs!$B$23+(IF(ArtifactsInput!$M$15,CHOOSE(ArtifactsInput!$N$15+1,25,30,35,40,45,50)/100*(Inputs!$B$11-Inputs!$B$11),0))))/100+(Inputs!$B$23+(IF(ArtifactsInput!$M$15,CHOOSE(ArtifactsInput!$N$15+1,25,30,35,40,45,50)/100*(Inputs!$B$11-Inputs!$B$11),0)))/100)/2</f>
        <v>348543820676183.19</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1644903765546352</v>
      </c>
      <c r="N827">
        <f>L827*(1-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1644903765546352</v>
      </c>
      <c r="O827">
        <f>(1-Summary!$B$11)*S827+Summary!$B$11*U827</f>
        <v>3420371767482945.5</v>
      </c>
      <c r="P827">
        <f>IF(B859=0,0,O827/B859)</f>
        <v>0.10331210616374206</v>
      </c>
      <c r="Q827">
        <f>IFERROR(1/(IF(Inputs!$B$38="pvp",15,MAX(0.1,Skills!E9-IF(TRUE=TRUE,Inputs!$B$32,0)))*(1-IF(AND(ArtifactsInput!$M$27,Inputs!$B$4="Chapter Hunt"),CHOOSE(ArtifactsInput!$N$27+1,20,24,28,32,36,40),0)/100)),0)</f>
        <v>4.0816326530612242E-2</v>
      </c>
      <c r="R827">
        <f>IF(AND(Inputs!$B$38&lt;&gt;"pvp",Inputs!$B$43&gt;0),IF(MAX(0,Inputs!$B$43-B856)&lt;=0,0,(INT(MAX(0,Inputs!$B$43-B856)/(IF(Inputs!$B$38="pvp",15,MAX(0.1,Skills!E9-IF(TRUE=TRUE,Inputs!$B$32,0)))*(1-IF(AND(ArtifactsInput!$M$27,Inputs!$B$4="Chapter Hunt"),CHOOSE(ArtifactsInput!$N$27+1,20,24,28,32,36,40),0)/100)))+1)),0)</f>
        <v>2</v>
      </c>
      <c r="S827">
        <f>IF(C827,(H827*N827*IF(AND(Inputs!$B$38&lt;&gt;"pvp",Inputs!$B$43&gt;0),((Skills!G9*((R827-1)*IF(Skills!H9&gt;0,Skills!I9/Skills!H9,1)+IF(Skills!H9&gt;0,MIN(Skills!I9,MAX(0,MAX(0,Inputs!$B$43-B856)-((R827-1)*(IF(Inputs!$B$38="pvp",15,MAX(0.1,Skills!E9-IF(TRUE=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651793117097742</v>
      </c>
      <c r="U827">
        <f>IF(C827,(H827*N827*IF(AND(Inputs!$B$38&lt;&gt;"pvp",Inputs!$B$43&gt;0),((Skills!G9*((R827-1)*IF(Skills!H9&gt;0,Skills!I9/Skills!H9,1)+IF(Skills!H9&gt;0,MIN(Skills!I9,MAX(0,MAX(0,Inputs!$B$43-B856)-((R827-1)*(IF(Inputs!$B$38="pvp",15,MAX(0.1,Skills!E9-IF(TRUE=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6188950417868149</v>
      </c>
    </row>
    <row r="828" spans="1:26" x14ac:dyDescent="0.2">
      <c r="A828" t="str">
        <f>Skills!A10</f>
        <v>CREEPING_TOXIN</v>
      </c>
      <c r="B828" t="str">
        <f>Skills!B10</f>
        <v>Creeping Toxin</v>
      </c>
      <c r="C828" t="b">
        <f>TRUE</f>
        <v>1</v>
      </c>
      <c r="D828">
        <f>IF(Skills!C10=1,60+Inputs!$B$25+Inputs!$B$29,IF(Skills!C10=2,90+Inputs!$B$26+Inputs!$B$29,IF(Skills!C10=3,120+(Inputs!$B$27+1)+Inputs!$B$29,MAX(0,(Inputs!$B$3-100)*3)+Inputs!$B$28+Inputs!$B$29)))</f>
        <v>185</v>
      </c>
      <c r="E828">
        <f>INDEX(FactorTable!$B$2:$Y$301, MATCH(ROUND(MIN(300,MAX(1,D828)),0), FactorTable!$A$2:$A$301,0), Skills!M10+1)</f>
        <v>1925</v>
      </c>
      <c r="F828">
        <f>IF(Skills!N10=TRUE,(Skills!L10/10)*(E828/1000),Skills!L10/10)+Skills!O10</f>
        <v>281</v>
      </c>
      <c r="G828">
        <f>Calc!G10</f>
        <v>15</v>
      </c>
      <c r="H828">
        <f>Calc!H10</f>
        <v>1</v>
      </c>
      <c r="I828">
        <f>IF(Skills!X10&lt;&gt;"",1+(Skills!X10/10)*(Z821/1000)/100,1)</f>
        <v>1.7650000000000001</v>
      </c>
      <c r="J828">
        <f>((Inputs!$B$6*(1+Inputs!$B$7/100))+(((Inputs!$B$12*(1+Inputs!$B$13/100))-(Inputs!$B$12*(1+Inputs!$B$13/100)))+0.25*(Inputs!$B$14-Inputs!$B$14))*(1+Inputs!$B$7/100))*(F828/100)</f>
        <v>1014788005.1087102</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9002534180733.0371</v>
      </c>
      <c r="L828">
        <f>K828*(MIN(Inputs!$B$22+(F840-Calc!F22),(Inputs!$B$23+(IF(ArtifactsInput!$M$15,CHOOSE(ArtifactsInput!$N$15+1,25,30,35,40,45,50)/100*(Inputs!$B$11-Inputs!$B$11),0))))/100+(Inputs!$B$23+(IF(ArtifactsInput!$M$15,CHOOSE(ArtifactsInput!$N$15+1,25,30,35,40,45,50)/100*(Inputs!$B$11-Inputs!$B$11),0)))/100)/2</f>
        <v>29933426150937.352</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141266614039687.69</v>
      </c>
      <c r="N828">
        <f>L828*(1-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141266614039687.69</v>
      </c>
      <c r="O828">
        <f>(1-Summary!$B$11)*S828+Summary!$B$11*U828</f>
        <v>325140881537784.75</v>
      </c>
      <c r="P828">
        <f>IF(B859=0,0,O828/B859)</f>
        <v>9.8208591214995131E-3</v>
      </c>
      <c r="Q828">
        <f>IFERROR(1/(IF(Inputs!$B$38="pvp",15,MAX(0.1,Skills!E10-IF(TRUE=TRUE,Inputs!$B$32,0)))*(1-IF(AND(ArtifactsInput!$M$27,Inputs!$B$4="Chapter Hunt"),CHOOSE(ArtifactsInput!$N$27+1,20,24,28,32,36,40),0)/100)),0)</f>
        <v>3.7037037037037035E-2</v>
      </c>
      <c r="R828">
        <f>IF(AND(Inputs!$B$38&lt;&gt;"pvp",Inputs!$B$43&gt;0),IF(MAX(0,Inputs!$B$43-B856)&lt;=0,0,(INT(MAX(0,Inputs!$B$43-B856)/(IF(Inputs!$B$38="pvp",15,MAX(0.1,Skills!E10-IF(TRUE=TRUE,Inputs!$B$32,0)))*(1-IF(AND(ArtifactsInput!$M$27,Inputs!$B$4="Chapter Hunt"),CHOOSE(ArtifactsInput!$N$27+1,20,24,28,32,36,40),0)/100)))+1)),0)</f>
        <v>2</v>
      </c>
      <c r="S828">
        <f>IF(C828,(H828*N828*IF(AND(Inputs!$B$38&lt;&gt;"pvp",Inputs!$B$43&gt;0),((Skills!G10*((R828-1)*IF(Skills!H10&gt;0,Skills!I10/Skills!H10,1)+IF(Skills!H10&gt;0,MIN(Skills!I10,MAX(0,MAX(0,Inputs!$B$43-B856)-((R828-1)*(IF(Inputs!$B$38="pvp",15,MAX(0.1,Skills!E10-IF(TRUE=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287102115452584.31</v>
      </c>
      <c r="U828">
        <f>IF(C828,(H828*N828*IF(AND(Inputs!$B$38&lt;&gt;"pvp",Inputs!$B$43&gt;0),((Skills!G10*((R828-1)*IF(Skills!H10&gt;0,Skills!I10/Skills!H10,1)+IF(Skills!H10&gt;0,MIN(Skills!I10,MAX(0,MAX(0,Inputs!$B$43-B856)-((R828-1)*(IF(Inputs!$B$38="pvp",15,MAX(0.1,Skills!E10-IF(TRUE=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363179647622985.12</v>
      </c>
    </row>
    <row r="829" spans="1:26" x14ac:dyDescent="0.2">
      <c r="A829" t="str">
        <f>Skills!A11</f>
        <v>BURNING_MAGIC</v>
      </c>
      <c r="B829" t="str">
        <f>Skills!B11</f>
        <v>Burning Magic</v>
      </c>
      <c r="C829" t="b">
        <f>TRUE</f>
        <v>1</v>
      </c>
      <c r="D829">
        <f>IF(Skills!C11=1,60+Inputs!$B$25+Inputs!$B$29,IF(Skills!C11=2,90+Inputs!$B$26+Inputs!$B$29,IF(Skills!C11=3,120+(Inputs!$B$27+1)+Inputs!$B$29,MAX(0,(Inputs!$B$3-100)*3)+Inputs!$B$28+Inputs!$B$29)))</f>
        <v>185</v>
      </c>
      <c r="E829">
        <f>INDEX(FactorTable!$B$2:$Y$301, MATCH(ROUND(MIN(300,MAX(1,D829)),0), FactorTable!$A$2:$A$301,0), Skills!M11+1)</f>
        <v>0</v>
      </c>
      <c r="F829">
        <f>IF(Skills!N11=TRUE,(Skills!L11/10)*(E829/1000),Skills!L11/10)+Skills!O11</f>
        <v>5</v>
      </c>
      <c r="G829">
        <f>Calc!G11</f>
        <v>1</v>
      </c>
      <c r="H829">
        <f>Calc!H11</f>
        <v>1</v>
      </c>
      <c r="I829">
        <f>IF(Skills!X11&lt;&gt;"",1+(Skills!X11/10)*(Z821/1000)/100,1)</f>
        <v>1</v>
      </c>
      <c r="O829">
        <f>(1-Summary!$B$11)*S829+Summary!$B$11*U829</f>
        <v>0</v>
      </c>
      <c r="P829">
        <f>IF(B859=0,0,O829/B859)</f>
        <v>0</v>
      </c>
      <c r="Q829">
        <f>IFERROR(1/(IF(Inputs!$B$38="pvp",15,MAX(0.1,Skills!E11-IF(TRUE=TRUE,Inputs!$B$32,0)))*(1-IF(AND(ArtifactsInput!$M$27,Inputs!$B$4="Chapter Hunt"),CHOOSE(ArtifactsInput!$N$27+1,20,24,28,32,36,40),0)/100)),0)</f>
        <v>10</v>
      </c>
      <c r="R829">
        <v>0</v>
      </c>
      <c r="S829">
        <v>0</v>
      </c>
      <c r="U829">
        <v>0</v>
      </c>
    </row>
    <row r="830" spans="1:26" x14ac:dyDescent="0.2">
      <c r="A830" t="str">
        <f>Skills!A12</f>
        <v>ELEMENTAL_DECREASE</v>
      </c>
      <c r="B830" t="str">
        <f>Skills!B12</f>
        <v>Elemental Decrease</v>
      </c>
      <c r="C830" t="b">
        <f>TRUE</f>
        <v>1</v>
      </c>
      <c r="D830">
        <f>IF(Skills!C12=1,60+Inputs!$B$25+Inputs!$B$29,IF(Skills!C12=2,90+Inputs!$B$26+Inputs!$B$29,IF(Skills!C12=3,120+(Inputs!$B$27+1)+Inputs!$B$29,MAX(0,(Inputs!$B$3-100)*3)+Inputs!$B$28+Inputs!$B$29)))</f>
        <v>185</v>
      </c>
      <c r="E830">
        <f>INDEX(FactorTable!$B$2:$Y$301, MATCH(ROUND(MIN(300,MAX(1,D830)),0), FactorTable!$A$2:$A$301,0), Skills!M12+1)</f>
        <v>1555</v>
      </c>
      <c r="F830">
        <f>IF(Skills!N12=TRUE,(Skills!L12/10)*(E830/1000),Skills!L12/10)+Skills!O12</f>
        <v>18.66</v>
      </c>
      <c r="G830">
        <f>Calc!G12</f>
        <v>1</v>
      </c>
      <c r="H830">
        <f>Calc!H12</f>
        <v>0.5</v>
      </c>
      <c r="I830">
        <f>IF(Skills!X12&lt;&gt;"",1+(Skills!X12/10)*(Z821/1000)/100,1)</f>
        <v>1</v>
      </c>
      <c r="O830">
        <f>(1-Summary!$B$11)*S830+Summary!$B$11*U830</f>
        <v>0</v>
      </c>
      <c r="P830">
        <f>IF(B859=0,0,O830/B859)</f>
        <v>0</v>
      </c>
      <c r="Q830">
        <f>IFERROR(1/(IF(Inputs!$B$38="pvp",15,MAX(0.1,Skills!E12-IF(TRUE=TRUE,Inputs!$B$32,0)))*(1-IF(AND(ArtifactsInput!$M$27,Inputs!$B$4="Chapter Hunt"),CHOOSE(ArtifactsInput!$N$27+1,20,24,28,32,36,40),0)/100)),0)</f>
        <v>10</v>
      </c>
      <c r="R830">
        <v>0</v>
      </c>
      <c r="S830">
        <v>0</v>
      </c>
      <c r="U830">
        <v>0</v>
      </c>
    </row>
    <row r="831" spans="1:26" x14ac:dyDescent="0.2">
      <c r="A831" t="str">
        <f>Skills!A13</f>
        <v>METEOR_SHOWER_BURST</v>
      </c>
      <c r="B831" t="str">
        <f>Skills!B13</f>
        <v>Meteor Shower (burst)</v>
      </c>
      <c r="C831" t="b">
        <f>Inputs!$B$3&gt;=105</f>
        <v>1</v>
      </c>
      <c r="D831">
        <f>IF(Skills!C13=1,60+Inputs!$B$25+Inputs!$B$29,IF(Skills!C13=2,90+Inputs!$B$26+Inputs!$B$29,IF(Skills!C13=3,120+(Inputs!$B$27+1)+Inputs!$B$29,MAX(0,(Inputs!$B$3-100)*3)+Inputs!$B$28+Inputs!$B$29)))</f>
        <v>185</v>
      </c>
      <c r="E831">
        <f>INDEX(FactorTable!$B$2:$Y$301, MATCH(ROUND(MIN(300,MAX(1,D831)),0), FactorTable!$A$2:$A$301,0), Skills!M13+1)</f>
        <v>1925</v>
      </c>
      <c r="F831">
        <f>IF(Skills!N13=TRUE,(Skills!L13/10)*(E831/1000),Skills!L13/10)+Skills!O13</f>
        <v>1155</v>
      </c>
      <c r="G831">
        <f>Calc!G13</f>
        <v>9</v>
      </c>
      <c r="H831">
        <f>Calc!H13</f>
        <v>1</v>
      </c>
      <c r="I831">
        <f>IF(Skills!X13&lt;&gt;"",1+(Skills!X13/10)*(Z821/1000)/100,1)</f>
        <v>1</v>
      </c>
      <c r="J831">
        <f>((Inputs!$B$6*(1+Inputs!$B$7/100))+(((Inputs!$B$12*(1+Inputs!$B$13/100))-(Inputs!$B$12*(1+Inputs!$B$13/100)))+0.25*(Inputs!$B$14-Inputs!$B$14))*(1+Inputs!$B$7/100))*(F831/100)</f>
        <v>4171103722.0660505</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20965041845183.949</v>
      </c>
      <c r="L831">
        <f>K831*(MIN(Inputs!$B$22+(F840-Calc!F22),(Inputs!$B$23+(IF(ArtifactsInput!$M$15,CHOOSE(ArtifactsInput!$N$15+1,25,30,35,40,45,50)/100*(Inputs!$B$11-Inputs!$B$11),0))))/100+(Inputs!$B$23+(IF(ArtifactsInput!$M$15,CHOOSE(ArtifactsInput!$N$15+1,25,30,35,40,45,50)/100*(Inputs!$B$11-Inputs!$B$11),0)))/100)/2</f>
        <v>69708764135236.633</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328980753109270.38</v>
      </c>
      <c r="N831">
        <f>L831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328980753109270.38</v>
      </c>
      <c r="O831">
        <f>(1-Summary!$B$11)*S831+Summary!$B$11*U831</f>
        <v>1794261027457961</v>
      </c>
      <c r="P831">
        <f>IF(B859=0,0,O831/B859)</f>
        <v>5.4195537314534352E-2</v>
      </c>
      <c r="Q831">
        <f>IFERROR(1/(IF(Inputs!$B$38="pvp",15,MAX(0.1,Skills!E13-IF(TRUE=TRUE,Inputs!$B$32,0)))*(1-IF(AND(ArtifactsInput!$M$27,Inputs!$B$4="Chapter Hunt"),CHOOSE(ArtifactsInput!$N$27+1,20,24,28,32,36,40),0)/100)),0)</f>
        <v>3.0303030303030304E-2</v>
      </c>
      <c r="R831">
        <f>IF(AND(Inputs!$B$38&lt;&gt;"pvp",Inputs!$B$43&gt;0),IF(MAX(0,Inputs!$B$43-B856)&lt;=0,0,(INT(MAX(0,Inputs!$B$43-B856)/(IF(Inputs!$B$38="pvp",15,MAX(0.1,Skills!E13-IF(TRUE=TRUE,Inputs!$B$32,0)))*(1-IF(AND(ArtifactsInput!$M$27,Inputs!$B$4="Chapter Hunt"),CHOOSE(ArtifactsInput!$N$27+1,20,24,28,32,36,40),0)/100)))+1)),0)</f>
        <v>2</v>
      </c>
      <c r="S831">
        <f>IF(C831,(H831*N831*IF(AND(Inputs!$B$38&lt;&gt;"pvp",Inputs!$B$43&gt;0),((Skills!G13*((R831-1)*IF(Skills!H13&gt;0,Skills!I13/Skills!H13,1)+IF(Skills!H13&gt;0,MIN(Skills!I13,MAX(0,MAX(0,Inputs!$B$43-B856)-((R831-1)*(IF(Inputs!$B$38="pvp",15,MAX(0.1,Skills!E13-IF(TRUE=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469291044310374.25</v>
      </c>
      <c r="U831">
        <f>IF(C831,(H831*N831*IF(AND(Inputs!$B$38&lt;&gt;"pvp",Inputs!$B$43&gt;0),((Skills!G13*((R831-1)*IF(Skills!H13&gt;0,Skills!I13/Skills!H13,1)+IF(Skills!H13&gt;0,MIN(Skills!I13,MAX(0,MAX(0,Inputs!$B$43-B856)-((R831-1)*(IF(Inputs!$B$38="pvp",15,MAX(0.1,Skills!E13-IF(TRUE=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3119231010605547.5</v>
      </c>
    </row>
    <row r="832" spans="1:26" x14ac:dyDescent="0.2">
      <c r="A832" t="str">
        <f>Skills!A14</f>
        <v>METEOR_PROC</v>
      </c>
      <c r="B832" t="str">
        <f>Skills!B14</f>
        <v>Meteor Proc (30% on-hit, 1s ICD)</v>
      </c>
      <c r="C832" t="b">
        <f>Inputs!$B$3&gt;=113</f>
        <v>1</v>
      </c>
      <c r="D832">
        <f>IF(Skills!C14=1,60+Inputs!$B$25+Inputs!$B$29,IF(Skills!C14=2,90+Inputs!$B$26+Inputs!$B$29,IF(Skills!C14=3,120+(Inputs!$B$27+1)+Inputs!$B$29,MAX(0,(Inputs!$B$3-100)*3)+Inputs!$B$28+Inputs!$B$29)))</f>
        <v>185</v>
      </c>
      <c r="E832">
        <f>INDEX(FactorTable!$B$2:$Y$301, MATCH(ROUND(MIN(300,MAX(1,D832)),0), FactorTable!$A$2:$A$301,0), Skills!M14+1)</f>
        <v>1740</v>
      </c>
      <c r="F832">
        <f>IF(Skills!N14=TRUE,(Skills!L14/10)*(E832/1000),Skills!L14/10)+Skills!O14</f>
        <v>1653</v>
      </c>
      <c r="G832">
        <f>Calc!G14</f>
        <v>0</v>
      </c>
      <c r="H832">
        <f>Calc!H14</f>
        <v>0.30000000000000004</v>
      </c>
      <c r="I832">
        <f>IF(Skills!X14&lt;&gt;"",1+(Skills!X14/10)*(Z821/1000)/100,1)</f>
        <v>1</v>
      </c>
      <c r="J832">
        <f>((Inputs!$B$6*(1+Inputs!$B$7/100))+(((Inputs!$B$12*(1+Inputs!$B$13/100))-(Inputs!$B$12*(1+Inputs!$B$13/100)))+0.25*(Inputs!$B$14-Inputs!$B$14))*(1+Inputs!$B$7/100))*(F832/100)</f>
        <v>5969553638.5932312</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30004514432977.543</v>
      </c>
      <c r="L832">
        <f>K832*(MIN(Inputs!$B$22+(F840-Calc!F22),(Inputs!$B$23+(IF(ArtifactsInput!$M$15,CHOOSE(ArtifactsInput!$N$15+1,25,30,35,40,45,50)/100*(Inputs!$B$11-Inputs!$B$11),0))))/100+(Inputs!$B$23+(IF(ArtifactsInput!$M$15,CHOOSE(ArtifactsInput!$N$15+1,25,30,35,40,45,50)/100*(Inputs!$B$11-Inputs!$B$11),0)))/100)/2</f>
        <v>99765010489650.328</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470826999904436.19</v>
      </c>
      <c r="N832">
        <f>L832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470826999904436.19</v>
      </c>
      <c r="O832">
        <f>(1-Summary!$B$11)*S832+Summary!$B$11*U832</f>
        <v>461433378980909.38</v>
      </c>
      <c r="P832">
        <f>IF(B859=0,0,O832/B859)</f>
        <v>1.3937565117914521E-2</v>
      </c>
      <c r="Q832">
        <f>IFERROR(1/(IF(Inputs!$B$38="pvp",15,MAX(0.1,Skills!E14-IF(TRUE=TRUE,Inputs!$B$32,0)))*(1-IF(AND(ArtifactsInput!$M$27,Inputs!$B$4="Chapter Hunt"),CHOOSE(ArtifactsInput!$N$27+1,20,24,28,32,36,40),0)/100)),0)</f>
        <v>10</v>
      </c>
      <c r="R832">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473379874229606.06</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449486883732212.62</v>
      </c>
    </row>
    <row r="833" spans="1:21" x14ac:dyDescent="0.2">
      <c r="A833" t="str">
        <f>Skills!A15</f>
        <v>FLAME_HAZE_BURST</v>
      </c>
      <c r="B833" t="str">
        <f>Skills!B15</f>
        <v>Flame Haze (burst)</v>
      </c>
      <c r="C833" t="b">
        <f>Inputs!$B$3&gt;=107</f>
        <v>1</v>
      </c>
      <c r="D833">
        <f>IF(Skills!C15=1,60+Inputs!$B$25+Inputs!$B$29,IF(Skills!C15=2,90+Inputs!$B$26+Inputs!$B$29,IF(Skills!C15=3,120+(Inputs!$B$27+1)+Inputs!$B$29,MAX(0,(Inputs!$B$3-100)*3)+Inputs!$B$28+Inputs!$B$29)))</f>
        <v>185</v>
      </c>
      <c r="E833">
        <f>INDEX(FactorTable!$B$2:$Y$301, MATCH(ROUND(MIN(300,MAX(1,D833)),0), FactorTable!$A$2:$A$301,0), Skills!M15+1)</f>
        <v>1925</v>
      </c>
      <c r="F833">
        <f>IF(Skills!N15=TRUE,(Skills!L15/10)*(E833/1000),Skills!L15/10)+Skills!O15</f>
        <v>2310</v>
      </c>
      <c r="G833">
        <f>Calc!G15</f>
        <v>3</v>
      </c>
      <c r="H833">
        <f>Calc!H15</f>
        <v>1</v>
      </c>
      <c r="I833">
        <f>IF(Skills!X15&lt;&gt;"",1+(Skills!X15/10)*(Z821/1000)/100,1)</f>
        <v>1</v>
      </c>
      <c r="J833">
        <f>((Inputs!$B$6*(1+Inputs!$B$7/100))+(((Inputs!$B$12*(1+Inputs!$B$13/100))-(Inputs!$B$12*(1+Inputs!$B$13/100)))+0.25*(Inputs!$B$14-Inputs!$B$14))*(1+Inputs!$B$7/100))*(F833/100)</f>
        <v>8342207444.1321011</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41930083690367.898</v>
      </c>
      <c r="L833">
        <f>K833*(MIN(Inputs!$B$22+(F840-Calc!F22),(Inputs!$B$23+(IF(ArtifactsInput!$M$15,CHOOSE(ArtifactsInput!$N$15+1,25,30,35,40,45,50)/100*(Inputs!$B$11-Inputs!$B$11),0))))/100+(Inputs!$B$23+(IF(ArtifactsInput!$M$15,CHOOSE(ArtifactsInput!$N$15+1,25,30,35,40,45,50)/100*(Inputs!$B$11-Inputs!$B$11),0)))/100)/2</f>
        <v>139417528270473.27</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657961506218540.75</v>
      </c>
      <c r="N833">
        <f>L833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657961506218540.75</v>
      </c>
      <c r="O833">
        <f>(1-Summary!$B$11)*S833+Summary!$B$11*U833</f>
        <v>1641778448391813.5</v>
      </c>
      <c r="P833">
        <f>IF(B859=0,0,O833/B859)</f>
        <v>4.958981095859618E-2</v>
      </c>
      <c r="Q833">
        <f>IFERROR(1/(IF(Inputs!$B$38="pvp",15,MAX(0.1,Skills!E15-IF(TRUE=TRUE,Inputs!$B$32,0)))*(1-IF(AND(ArtifactsInput!$M$27,Inputs!$B$4="Chapter Hunt"),CHOOSE(ArtifactsInput!$N$27+1,20,24,28,32,36,40),0)/100)),0)</f>
        <v>0.04</v>
      </c>
      <c r="R833">
        <f>IF(AND(Inputs!$B$38&lt;&gt;"pvp",Inputs!$B$43&gt;0),IF(MAX(0,Inputs!$B$43-B856)&lt;=0,0,(INT(MAX(0,Inputs!$B$43-B856)/(IF(Inputs!$B$38="pvp",15,MAX(0.1,Skills!E15-IF(TRUE=TRUE,Inputs!$B$32,0)))*(1-IF(AND(ArtifactsInput!$M$27,Inputs!$B$4="Chapter Hunt"),CHOOSE(ArtifactsInput!$N$27+1,20,24,28,32,36,40),0)/100)))+1)),0)</f>
        <v>2</v>
      </c>
      <c r="S833">
        <f>IF(C833,(H833*N833*IF(AND(Inputs!$B$38&lt;&gt;"pvp",Inputs!$B$43&gt;0),((Skills!G15*((R833-1)*IF(Skills!H15&gt;0,Skills!I15/Skills!H15,1)+IF(Skills!H15&gt;0,MIN(Skills!I15,MAX(0,MAX(0,Inputs!$B$43-B856)-((R833-1)*(IF(Inputs!$B$38="pvp",15,MAX(0.1,Skills!E15-IF(TRUE=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312860696206916.12</v>
      </c>
      <c r="U833">
        <f>IF(C833,(H833*N833*IF(AND(Inputs!$B$38&lt;&gt;"pvp",Inputs!$B$43&gt;0),((Skills!G15*((R833-1)*IF(Skills!H15&gt;0,Skills!I15/Skills!H15,1)+IF(Skills!H15&gt;0,MIN(Skills!I15,MAX(0,MAX(0,Inputs!$B$43-B856)-((R833-1)*(IF(Inputs!$B$38="pvp",15,MAX(0.1,Skills!E15-IF(TRUE=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2970696200576711</v>
      </c>
    </row>
    <row r="834" spans="1:21" x14ac:dyDescent="0.2">
      <c r="A834" t="str">
        <f>Skills!A16</f>
        <v>FLAME_HAZE_DOT</v>
      </c>
      <c r="B834" t="str">
        <f>Skills!B16</f>
        <v>Flame Haze (burn DoT)</v>
      </c>
      <c r="C834" t="b">
        <f>Inputs!$B$3&gt;=107</f>
        <v>1</v>
      </c>
      <c r="D834">
        <f>IF(Skills!C16=1,60+Inputs!$B$25+Inputs!$B$29,IF(Skills!C16=2,90+Inputs!$B$26+Inputs!$B$29,IF(Skills!C16=3,120+(Inputs!$B$27+1)+Inputs!$B$29,MAX(0,(Inputs!$B$3-100)*3)+Inputs!$B$28+Inputs!$B$29)))</f>
        <v>185</v>
      </c>
      <c r="E834">
        <f>INDEX(FactorTable!$B$2:$Y$301, MATCH(ROUND(MIN(300,MAX(1,D834)),0), FactorTable!$A$2:$A$301,0), Skills!M16+1)</f>
        <v>1925</v>
      </c>
      <c r="F834">
        <f>IF(Skills!N16=TRUE,(Skills!L16/10)*(E834/1000),Skills!L16/10)+Skills!O16</f>
        <v>288.75</v>
      </c>
      <c r="G834">
        <f>Calc!G16</f>
        <v>30</v>
      </c>
      <c r="H834">
        <f>Calc!H16</f>
        <v>1</v>
      </c>
      <c r="I834">
        <f>IF(Skills!X16&lt;&gt;"",1+(Skills!X16/10)*(Z821/1000)/100,1)</f>
        <v>1</v>
      </c>
      <c r="J834">
        <f>((Inputs!$B$6*(1+Inputs!$B$7/100))+(((Inputs!$B$12*(1+Inputs!$B$13/100))-(Inputs!$B$12*(1+Inputs!$B$13/100)))+0.25*(Inputs!$B$14-Inputs!$B$14))*(1+Inputs!$B$7/100))*(F834/100)</f>
        <v>1042775930.5165126</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5241260461295.9873</v>
      </c>
      <c r="L834">
        <f>K834*(MIN(Inputs!$B$22+(F840-Calc!F22),(Inputs!$B$23+(IF(ArtifactsInput!$M$15,CHOOSE(ArtifactsInput!$N$15+1,25,30,35,40,45,50)/100*(Inputs!$B$11-Inputs!$B$11),0))))/100+(Inputs!$B$23+(IF(ArtifactsInput!$M$15,CHOOSE(ArtifactsInput!$N$15+1,25,30,35,40,45,50)/100*(Inputs!$B$11-Inputs!$B$11),0)))/100)/2</f>
        <v>17427191033809.158</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82245188277317.594</v>
      </c>
      <c r="N834">
        <f>L834*(1-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82245188277317.594</v>
      </c>
      <c r="O834">
        <f>(1-Summary!$B$11)*S834+Summary!$B$11*U834</f>
        <v>1891102877942874</v>
      </c>
      <c r="P834">
        <f>IF(B859=0,0,O834/B859)</f>
        <v>5.7120639092506635E-2</v>
      </c>
      <c r="Q834">
        <f>IFERROR(1/(IF(Inputs!$B$38="pvp",15,MAX(0.1,Skills!E16-IF(TRUE=TRUE,Inputs!$B$32,0)))*(1-IF(AND(ArtifactsInput!$M$27,Inputs!$B$4="Chapter Hunt"),CHOOSE(ArtifactsInput!$N$27+1,20,24,28,32,36,40),0)/100)),0)</f>
        <v>0.04</v>
      </c>
      <c r="R834">
        <f>IF(AND(Inputs!$B$38&lt;&gt;"pvp",Inputs!$B$43&gt;0),IF(MAX(0,Inputs!$B$43-B856)&lt;=0,0,(INT(MAX(0,Inputs!$B$43-B856)/(IF(Inputs!$B$38="pvp",15,MAX(0.1,Skills!E16-IF(TRUE=TRUE,Inputs!$B$32,0)))*(1-IF(AND(ArtifactsInput!$M$27,Inputs!$B$4="Chapter Hunt"),CHOOSE(ArtifactsInput!$N$27+1,20,24,28,32,36,40),0)/100)))+1)),0)</f>
        <v>2</v>
      </c>
      <c r="S834">
        <f>IF(C834,(H834*N834*IF(AND(Inputs!$B$38&lt;&gt;"pvp",Inputs!$B$43&gt;0),((Skills!G16*((R834-1)*IF(Skills!H16&gt;0,Skills!I16/Skills!H16,1)+IF(Skills!H16&gt;0,MIN(Skills!I16,MAX(0,MAX(0,Inputs!$B$43-B856)-((R834-1)*(IF(Inputs!$B$38="pvp",15,MAX(0.1,Skills!E16-IF(TRUE=TRUE,Inputs!$B$32,0)))*(1-IF(AND(ArtifactsInput!$M$27,Inputs!$B$4="Chapter Hunt"),CHOOSE(ArtifactsInput!$N$27+1,20,24,28,32,36,40),0)/100)))))/Skills!H16,1)))/Inputs!$B$43),G834*Q834)*(1+IF(Inputs!$B$3&gt;=126,0.05*(B854+Q831+(H832*B855)/(1+Skills!H14*H832*B855)+Q842),0)*(1/Q833)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360372475087400.75</v>
      </c>
      <c r="U834">
        <f>IF(C834,(H834*N834*IF(AND(Inputs!$B$38&lt;&gt;"pvp",Inputs!$B$43&gt;0),((Skills!G16*((R834-1)*IF(Skills!H16&gt;0,Skills!I16/Skills!H16,1)+IF(Skills!H16&gt;0,MIN(Skills!I16,MAX(0,MAX(0,Inputs!$B$43-B856)-((R834-1)*(IF(Inputs!$B$38="pvp",15,MAX(0.1,Skills!E16-IF(TRUE=TRUE,Inputs!$B$32,0)))*(1-IF(AND(ArtifactsInput!$M$27,Inputs!$B$4="Chapter Hunt"),CHOOSE(ArtifactsInput!$N$27+1,20,24,28,32,36,40),0)/100)))))/Skills!H16,1)))/Inputs!$B$43),G834*Q834)*(1+IF(Inputs!$B$3&gt;=126,0.05*(B854+Q831+(H832*B855)/(1+Skills!H14*H832*B855)+Q842),0)*(1/Q833)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3421833280798347.5</v>
      </c>
    </row>
    <row r="835" spans="1:21" x14ac:dyDescent="0.2">
      <c r="A835" t="str">
        <f>Skills!A17</f>
        <v>MAGIC_GUARD</v>
      </c>
      <c r="B835" t="str">
        <f>Skills!B17</f>
        <v>Magic Guard</v>
      </c>
      <c r="C835" t="b">
        <f>TRUE</f>
        <v>1</v>
      </c>
      <c r="D835">
        <f>IF(Skills!C17=1,60+Inputs!$B$25+Inputs!$B$29,IF(Skills!C17=2,90+Inputs!$B$26+Inputs!$B$29,IF(Skills!C17=3,120+(Inputs!$B$27+1)+Inputs!$B$29,MAX(0,(Inputs!$B$3-100)*3)+Inputs!$B$28+Inputs!$B$29)))</f>
        <v>127</v>
      </c>
      <c r="E835">
        <f>INDEX(FactorTable!$B$2:$Y$301, MATCH(ROUND(MIN(300,MAX(1,D835)),0), FactorTable!$A$2:$A$301,0), Skills!M17+1)</f>
        <v>1508</v>
      </c>
      <c r="F835">
        <f>IF(Skills!N17=TRUE,(Skills!L17/10)*(E835/1000),Skills!L17/10)+Skills!O17</f>
        <v>18.096</v>
      </c>
      <c r="G835">
        <f>Calc!G17</f>
        <v>1</v>
      </c>
      <c r="H835">
        <f>Calc!H17</f>
        <v>1</v>
      </c>
      <c r="I835">
        <f>IF(Skills!X17&lt;&gt;"",1+(Skills!X17/10)*(Z821/1000)/100,1)</f>
        <v>1</v>
      </c>
      <c r="O835">
        <f>(1-Summary!$B$11)*S835+Summary!$B$11*U835</f>
        <v>0</v>
      </c>
      <c r="P835">
        <f>IF(B859=0,0,O835/B859)</f>
        <v>0</v>
      </c>
      <c r="Q835">
        <f>IFERROR(1/(IF(Inputs!$B$38="pvp",15,MAX(0.1,Skills!E17-IF(TRUE=TRUE,Inputs!$B$32,0)))*(1-IF(AND(ArtifactsInput!$M$27,Inputs!$B$4="Chapter Hunt"),CHOOSE(ArtifactsInput!$N$27+1,20,24,28,32,36,40),0)/100)),0)</f>
        <v>4.7619047619047616E-2</v>
      </c>
      <c r="R835">
        <f>IF(AND(Inputs!$B$38&lt;&gt;"pvp",Inputs!$B$43&gt;0),IF(Inputs!$B$43&lt;=0,0,(INT(Inputs!$B$43/(IF(Inputs!$B$38="pvp",15,MAX(0.1,Skills!E17-IF(TRUE=TRUE,Inputs!$B$32,0)))*(1-IF(AND(ArtifactsInput!$M$27,Inputs!$B$4="Chapter Hunt"),CHOOSE(ArtifactsInput!$N$27+1,20,24,28,32,36,40),0)/100)))+1)),0)</f>
        <v>2</v>
      </c>
      <c r="S835">
        <v>0</v>
      </c>
      <c r="U835">
        <v>0</v>
      </c>
    </row>
    <row r="836" spans="1:21" x14ac:dyDescent="0.2">
      <c r="A836" t="str">
        <f>Skills!A18</f>
        <v>NIMBLE_FEET</v>
      </c>
      <c r="B836" t="str">
        <f>Skills!B18</f>
        <v>Nimble Feet</v>
      </c>
      <c r="C836" t="b">
        <f>TRUE</f>
        <v>1</v>
      </c>
      <c r="D836">
        <f>IF(Skills!C18=1,60+Inputs!$B$25+Inputs!$B$29,IF(Skills!C18=2,90+Inputs!$B$26+Inputs!$B$29,IF(Skills!C18=3,120+(Inputs!$B$27+1)+Inputs!$B$29,MAX(0,(Inputs!$B$3-100)*3)+Inputs!$B$28+Inputs!$B$29)))</f>
        <v>127</v>
      </c>
      <c r="E836">
        <f>INDEX(FactorTable!$B$2:$Y$301, MATCH(ROUND(MIN(300,MAX(1,D836)),0), FactorTable!$A$2:$A$301,0), Skills!M18+1)</f>
        <v>0</v>
      </c>
      <c r="F836">
        <f>IF(Skills!N18=TRUE,(Skills!L18/10)*(E836/1000),Skills!L18/10)+Skills!O18</f>
        <v>15</v>
      </c>
      <c r="G836">
        <f>Calc!G18</f>
        <v>1</v>
      </c>
      <c r="H836">
        <f>Calc!H18</f>
        <v>1</v>
      </c>
      <c r="I836">
        <f>IF(Skills!X18&lt;&gt;"",1+(Skills!X18/10)*(Z821/1000)/100,1)</f>
        <v>1</v>
      </c>
      <c r="O836">
        <f>(1-Summary!$B$11)*S836+Summary!$B$11*U836</f>
        <v>0</v>
      </c>
      <c r="P836">
        <f>IF(B859=0,0,O836/B859)</f>
        <v>0</v>
      </c>
      <c r="Q836">
        <f>IFERROR(1/(IF(Inputs!$B$38="pvp",15,MAX(0.1,Skills!E18-IF(TRUE=TRUE,Inputs!$B$32,0)))*(1-IF(AND(ArtifactsInput!$M$27,Inputs!$B$4="Chapter Hunt"),CHOOSE(ArtifactsInput!$N$27+1,20,24,28,32,36,40),0)/100)),0)</f>
        <v>1.6666666666666666E-2</v>
      </c>
      <c r="R836">
        <f>IF(AND(Inputs!$B$38&lt;&gt;"pvp",Inputs!$B$43&gt;0),IF(Inputs!$B$43&lt;=0,0,(INT(Inputs!$B$43/(IF(Inputs!$B$38="pvp",15,MAX(0.1,Skills!E18-IF(TRUE=TRUE,Inputs!$B$32,0)))*(1-IF(AND(ArtifactsInput!$M$27,Inputs!$B$4="Chapter Hunt"),CHOOSE(ArtifactsInput!$N$27+1,20,24,28,32,36,40),0)/100)))+1)),0)</f>
        <v>1</v>
      </c>
      <c r="S836">
        <v>0</v>
      </c>
      <c r="U836">
        <v>0</v>
      </c>
    </row>
    <row r="837" spans="1:21" x14ac:dyDescent="0.2">
      <c r="A837" t="str">
        <f>Skills!A19</f>
        <v>INFINITY</v>
      </c>
      <c r="B837" t="str">
        <f>Skills!B19</f>
        <v>Infinity</v>
      </c>
      <c r="C837" t="b">
        <f>Inputs!$B$3&gt;=110</f>
        <v>1</v>
      </c>
      <c r="D837">
        <f>IF(Skills!C19=1,60+Inputs!$B$25+Inputs!$B$29,IF(Skills!C19=2,90+Inputs!$B$26+Inputs!$B$29,IF(Skills!C19=3,120+(Inputs!$B$27+1)+Inputs!$B$29,MAX(0,(Inputs!$B$3-100)*3)+Inputs!$B$28+Inputs!$B$29)))</f>
        <v>185</v>
      </c>
      <c r="E837">
        <f>INDEX(FactorTable!$B$2:$Y$301, MATCH(ROUND(MIN(300,MAX(1,D837)),0), FactorTable!$A$2:$A$301,0), Skills!M19+1)</f>
        <v>1740</v>
      </c>
      <c r="F837">
        <f>IF(Skills!N19=TRUE,(Skills!L19/10)*(E837/1000),Skills!L19/10)+Skills!O19</f>
        <v>37.700579999999995</v>
      </c>
      <c r="G837">
        <f>Calc!G19</f>
        <v>1</v>
      </c>
      <c r="H837">
        <f>Calc!H19</f>
        <v>1</v>
      </c>
      <c r="I837">
        <f>IF(Skills!X19&lt;&gt;"",1+(Skills!X19/10)*(Z821/1000)/100,1)</f>
        <v>1</v>
      </c>
      <c r="O837">
        <f>(1-Summary!$B$11)*S837+Summary!$B$11*U837</f>
        <v>0</v>
      </c>
      <c r="P837">
        <f>IF(B859=0,0,O837/B859)</f>
        <v>0</v>
      </c>
      <c r="Q837">
        <f>IFERROR(1/(IF(Inputs!$B$38="pvp",15,MAX(0.1,Skills!E19-IF(TRUE=TRUE,Inputs!$B$32,0)))*(1-IF(AND(ArtifactsInput!$M$27,Inputs!$B$4="Chapter Hunt"),CHOOSE(ArtifactsInput!$N$27+1,20,24,28,32,36,40),0)/100)),0)</f>
        <v>3.3333333333333333E-2</v>
      </c>
      <c r="R837">
        <f>IF(AND(Inputs!$B$38&lt;&gt;"pvp",Inputs!$B$43&gt;0),IF(Inputs!$B$43&lt;=0,0,(INT(Inputs!$B$43/(IF(Inputs!$B$38="pvp",15,MAX(0.1,Skills!E19-IF(TRUE=TRUE,Inputs!$B$32,0)))*(1-IF(AND(ArtifactsInput!$M$27,Inputs!$B$4="Chapter Hunt"),CHOOSE(ArtifactsInput!$N$27+1,20,24,28,32,36,40),0)/100)))+1)),0)</f>
        <v>2</v>
      </c>
      <c r="S837">
        <v>0</v>
      </c>
      <c r="U837">
        <v>0</v>
      </c>
    </row>
    <row r="838" spans="1:21" x14ac:dyDescent="0.2">
      <c r="A838" t="str">
        <f>Skills!A20</f>
        <v>MAGIC_CRITICAL_RATE</v>
      </c>
      <c r="B838" t="str">
        <f>Skills!B20</f>
        <v>Magic Critical (Crit Rate)</v>
      </c>
      <c r="C838" t="b">
        <f>TRUE</f>
        <v>1</v>
      </c>
      <c r="D838">
        <f>IF(Skills!C20=1,60+Inputs!$B$25+Inputs!$B$29,IF(Skills!C20=2,90+Inputs!$B$26+Inputs!$B$29,IF(Skills!C20=3,120+(Inputs!$B$27+1)+Inputs!$B$29,MAX(0,(Inputs!$B$3-100)*3)+Inputs!$B$28+Inputs!$B$29)))</f>
        <v>185</v>
      </c>
      <c r="E838">
        <f>INDEX(FactorTable!$B$2:$Y$301, MATCH(ROUND(MIN(300,MAX(1,D838)),0), FactorTable!$A$2:$A$301,0), Skills!M20+1)</f>
        <v>1555</v>
      </c>
      <c r="F838">
        <f>IF(Skills!N20=TRUE,(Skills!L20/10)*(E838/1000),Skills!L20/10)+Skills!O20</f>
        <v>12.44</v>
      </c>
      <c r="G838">
        <f>Calc!G20</f>
        <v>1</v>
      </c>
      <c r="H838">
        <f>Calc!H20</f>
        <v>1</v>
      </c>
      <c r="I838">
        <f>IF(Skills!X20&lt;&gt;"",1+(Skills!X20/10)*(Z821/1000)/100,1)</f>
        <v>1</v>
      </c>
      <c r="O838">
        <f>(1-Summary!$B$11)*S838+Summary!$B$11*U838</f>
        <v>0</v>
      </c>
      <c r="P838">
        <f>IF(B859=0,0,O838/B859)</f>
        <v>0</v>
      </c>
      <c r="Q838">
        <f>IFERROR(1/(IF(Inputs!$B$38="pvp",15,MAX(0.1,Skills!E20-IF(TRUE=TRUE,Inputs!$B$32,0)))*(1-IF(AND(ArtifactsInput!$M$27,Inputs!$B$4="Chapter Hunt"),CHOOSE(ArtifactsInput!$N$27+1,20,24,28,32,36,40),0)/100)),0)</f>
        <v>10</v>
      </c>
      <c r="R838">
        <v>0</v>
      </c>
      <c r="S838">
        <v>0</v>
      </c>
      <c r="U838">
        <v>0</v>
      </c>
    </row>
    <row r="839" spans="1:21" x14ac:dyDescent="0.2">
      <c r="A839" t="str">
        <f>Skills!A21</f>
        <v>MAGIC_CRITICAL_DAMAGE</v>
      </c>
      <c r="B839" t="str">
        <f>Skills!B21</f>
        <v>Magic Critical (Crit Damage)</v>
      </c>
      <c r="C839" t="b">
        <f>TRUE</f>
        <v>1</v>
      </c>
      <c r="D839">
        <f>IF(Skills!C21=1,60+Inputs!$B$25+Inputs!$B$29,IF(Skills!C21=2,90+Inputs!$B$26+Inputs!$B$29,IF(Skills!C21=3,120+(Inputs!$B$27+1)+Inputs!$B$29,MAX(0,(Inputs!$B$3-100)*3)+Inputs!$B$28+Inputs!$B$29)))</f>
        <v>185</v>
      </c>
      <c r="E839">
        <f>INDEX(FactorTable!$B$2:$Y$301, MATCH(ROUND(MIN(300,MAX(1,D839)),0), FactorTable!$A$2:$A$301,0), Skills!M21+1)</f>
        <v>1555</v>
      </c>
      <c r="F839">
        <f>IF(Skills!N21=TRUE,(Skills!L21/10)*(E839/1000),Skills!L21/10)+Skills!O21</f>
        <v>18.66</v>
      </c>
      <c r="G839">
        <f>Calc!G21</f>
        <v>1</v>
      </c>
      <c r="H839">
        <f>Calc!H21</f>
        <v>1</v>
      </c>
      <c r="I839">
        <f>IF(Skills!X21&lt;&gt;"",1+(Skills!X21/10)*(Z821/1000)/100,1)</f>
        <v>1</v>
      </c>
      <c r="O839">
        <f>(1-Summary!$B$11)*S839+Summary!$B$11*U839</f>
        <v>0</v>
      </c>
      <c r="P839">
        <f>IF(B859=0,0,O839/B859)</f>
        <v>0</v>
      </c>
      <c r="Q839">
        <f>IFERROR(1/(IF(Inputs!$B$38="pvp",15,MAX(0.1,Skills!E21-IF(TRUE=TRUE,Inputs!$B$32,0)))*(1-IF(AND(ArtifactsInput!$M$27,Inputs!$B$4="Chapter Hunt"),CHOOSE(ArtifactsInput!$N$27+1,20,24,28,32,36,40),0)/100)),0)</f>
        <v>10</v>
      </c>
      <c r="R839">
        <v>0</v>
      </c>
      <c r="S839">
        <v>0</v>
      </c>
      <c r="U839">
        <v>0</v>
      </c>
    </row>
    <row r="840" spans="1:21" x14ac:dyDescent="0.2">
      <c r="A840" t="str">
        <f>Skills!A22</f>
        <v>SPELL_MASTERY</v>
      </c>
      <c r="B840" t="str">
        <f>Skills!B22</f>
        <v>Spell Mastery</v>
      </c>
      <c r="C840" t="b">
        <f>TRUE</f>
        <v>1</v>
      </c>
      <c r="D840">
        <f>IF(Skills!C22=1,60+Inputs!$B$25+Inputs!$B$29,IF(Skills!C22=2,90+Inputs!$B$26+Inputs!$B$29,IF(Skills!C22=3,120+(Inputs!$B$27+1)+Inputs!$B$29,MAX(0,(Inputs!$B$3-100)*3)+Inputs!$B$28+Inputs!$B$29)))</f>
        <v>168</v>
      </c>
      <c r="E840">
        <f>INDEX(FactorTable!$B$2:$Y$301, MATCH(ROUND(MIN(300,MAX(1,D840)),0), FactorTable!$A$2:$A$301,0), Skills!M22+1)</f>
        <v>1504</v>
      </c>
      <c r="F840">
        <f>IF(Skills!N22=TRUE,(Skills!L22/10)*(E840/1000),Skills!L22/10)+Skills!O22</f>
        <v>22.56</v>
      </c>
      <c r="G840">
        <f>Calc!G22</f>
        <v>1</v>
      </c>
      <c r="H840">
        <f>Calc!H22</f>
        <v>1</v>
      </c>
      <c r="I840">
        <f>IF(Skills!X22&lt;&gt;"",1+(Skills!X22/10)*(Z821/1000)/100,1)</f>
        <v>1</v>
      </c>
      <c r="O840">
        <f>(1-Summary!$B$11)*S840+Summary!$B$11*U840</f>
        <v>0</v>
      </c>
      <c r="P840">
        <f>IF(B859=0,0,O840/B859)</f>
        <v>0</v>
      </c>
      <c r="Q840">
        <f>IFERROR(1/(IF(Inputs!$B$38="pvp",15,MAX(0.1,Skills!E22-IF(TRUE=TRUE,Inputs!$B$32,0)))*(1-IF(AND(ArtifactsInput!$M$27,Inputs!$B$4="Chapter Hunt"),CHOOSE(ArtifactsInput!$N$27+1,20,24,28,32,36,40),0)/100)),0)</f>
        <v>10</v>
      </c>
      <c r="R840">
        <v>0</v>
      </c>
      <c r="S840">
        <v>0</v>
      </c>
      <c r="U840">
        <v>0</v>
      </c>
    </row>
    <row r="841" spans="1:21" x14ac:dyDescent="0.2">
      <c r="A841" t="str">
        <f>Skills!A23</f>
        <v>ELEMENT_AMPLIFICATION</v>
      </c>
      <c r="B841" t="str">
        <f>Skills!B23</f>
        <v>Element Amplification</v>
      </c>
      <c r="C841" t="b">
        <f>TRUE</f>
        <v>1</v>
      </c>
      <c r="D841">
        <f>IF(Skills!C23=1,60+Inputs!$B$25+Inputs!$B$29,IF(Skills!C23=2,90+Inputs!$B$26+Inputs!$B$29,IF(Skills!C23=3,120+(Inputs!$B$27+1)+Inputs!$B$29,MAX(0,(Inputs!$B$3-100)*3)+Inputs!$B$28+Inputs!$B$29)))</f>
        <v>185</v>
      </c>
      <c r="E841">
        <f>INDEX(FactorTable!$B$2:$Y$301, MATCH(ROUND(MIN(300,MAX(1,D841)),0), FactorTable!$A$2:$A$301,0), Skills!M23+1)</f>
        <v>1555</v>
      </c>
      <c r="F841">
        <f>IF(Skills!N23=TRUE,(Skills!L23/10)*(E841/1000),Skills!L23/10)+Skills!O23</f>
        <v>23.324999999999999</v>
      </c>
      <c r="G841">
        <f>Calc!G23</f>
        <v>1</v>
      </c>
      <c r="H841">
        <f>Calc!H23</f>
        <v>1</v>
      </c>
      <c r="I841">
        <f>IF(Skills!X23&lt;&gt;"",1+(Skills!X23/10)*(Z821/1000)/100,1)</f>
        <v>1</v>
      </c>
      <c r="O841">
        <f>(1-Summary!$B$11)*S841+Summary!$B$11*U841</f>
        <v>0</v>
      </c>
      <c r="P841">
        <f>IF(B859=0,0,O841/B859)</f>
        <v>0</v>
      </c>
      <c r="Q841">
        <f>IFERROR(1/(IF(Inputs!$B$38="pvp",15,MAX(0.1,Skills!E23-IF(TRUE=TRUE,Inputs!$B$32,0)))*(1-IF(AND(ArtifactsInput!$M$27,Inputs!$B$4="Chapter Hunt"),CHOOSE(ArtifactsInput!$N$27+1,20,24,28,32,36,40),0)/100)),0)</f>
        <v>10</v>
      </c>
      <c r="R841">
        <v>0</v>
      </c>
      <c r="S841">
        <v>0</v>
      </c>
      <c r="U841">
        <v>0</v>
      </c>
    </row>
    <row r="842" spans="1:21" x14ac:dyDescent="0.2">
      <c r="A842" t="str">
        <f>Skills!A24</f>
        <v>IFRIT</v>
      </c>
      <c r="B842" t="str">
        <f>Skills!B24</f>
        <v>Ifrit</v>
      </c>
      <c r="C842" t="b">
        <f>Inputs!$B$3&gt;=115</f>
        <v>1</v>
      </c>
      <c r="D842">
        <f>IF(Skills!C24=1,60+Inputs!$B$25+Inputs!$B$29,IF(Skills!C24=2,90+Inputs!$B$26+Inputs!$B$29,IF(Skills!C24=3,120+(Inputs!$B$27+1)+Inputs!$B$29,MAX(0,(Inputs!$B$3-100)*3)+Inputs!$B$28+Inputs!$B$29)))</f>
        <v>185</v>
      </c>
      <c r="E842">
        <f>INDEX(FactorTable!$B$2:$Y$301, MATCH(ROUND(MIN(300,MAX(1,D842)),0), FactorTable!$A$2:$A$301,0), Skills!M24+1)</f>
        <v>1925</v>
      </c>
      <c r="F842">
        <f>IF(Skills!N24=TRUE,(Skills!L24/10)*(E842/1000),Skills!L24/10)+Skills!O24</f>
        <v>6737.5</v>
      </c>
      <c r="G842">
        <f>Calc!G24</f>
        <v>7.5</v>
      </c>
      <c r="H842">
        <f>Calc!H24</f>
        <v>1</v>
      </c>
      <c r="I842">
        <f>IF(Skills!X24&lt;&gt;"",1+(Skills!X24/10)*(Z821/1000)/100,1)</f>
        <v>1</v>
      </c>
      <c r="J842">
        <f>((Inputs!$B$6*(1+Inputs!$B$7/100))+(((Inputs!$B$12*(1+Inputs!$B$13/100))-(Inputs!$B$12*(1+Inputs!$B$13/100)))+0.25*(Inputs!$B$14-Inputs!$B$14))*(1+Inputs!$B$7/100))*(F842/100)</f>
        <v>24331438378.718628</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122296077430239.7</v>
      </c>
      <c r="L842">
        <f>K842*(MIN(Inputs!$B$22+(F840-Calc!F22),(Inputs!$B$23+(IF(ArtifactsInput!$M$15,CHOOSE(ArtifactsInput!$N$15+1,25,30,35,40,45,50)/100*(Inputs!$B$11-Inputs!$B$11),0))))/100+(Inputs!$B$23+(IF(ArtifactsInput!$M$15,CHOOSE(ArtifactsInput!$N$15+1,25,30,35,40,45,50)/100*(Inputs!$B$11-Inputs!$B$11),0)))/100)/2</f>
        <v>406634457455547.06</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1919054393137410.5</v>
      </c>
      <c r="N842">
        <f>L842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1919054393137410.5</v>
      </c>
      <c r="O842">
        <f>(1-Summary!$B$11)*S842+Summary!$B$11*U842</f>
        <v>2194918462150913.2</v>
      </c>
      <c r="P842">
        <f>IF(B859=0,0,O842/B859)</f>
        <v>6.6297368998974843E-2</v>
      </c>
      <c r="Q842">
        <f>IFERROR(1/(IF(Inputs!$B$38="pvp",15,MAX(0.1,Skills!E24-IF(TRUE=TRUE,Inputs!$B$32,0)))*(1-IF(AND(ArtifactsInput!$M$27,Inputs!$B$4="Chapter Hunt"),CHOOSE(ArtifactsInput!$N$27+1,20,24,28,32,36,40),0)/100)),0)</f>
        <v>1.2500000000000001E-2</v>
      </c>
      <c r="R842">
        <f>IF(AND(Inputs!$B$38&lt;&gt;"pvp",Inputs!$B$43&gt;0),IF(MAX(0,Inputs!$B$43-B856)&lt;=0,0,(INT(MAX(0,Inputs!$B$43-B856)/(IF(Inputs!$B$38="pvp",15,MAX(0.1,Skills!E24-IF(TRUE=TRUE,Inputs!$B$32,0)))*(1-IF(AND(ArtifactsInput!$M$27,Inputs!$B$4="Chapter Hunt"),CHOOSE(ArtifactsInput!$N$27+1,20,24,28,32,36,40),0)/100)))+1)),0)</f>
        <v>1</v>
      </c>
      <c r="S842">
        <f>IF(C842,(H842*N842*IF(AND(Inputs!$B$38&lt;&gt;"pvp",Inputs!$B$43&gt;0),((Skills!G24*((R842-1)*IF(Skills!H24&gt;0,Skills!I24/Skills!H24,1)+IF(Skills!H24&gt;0,MIN(Skills!I24,MAX(0,MAX(0,Inputs!$B$43-B856)-((R842-1)*(IF(Inputs!$B$38="pvp",15,MAX(0.1,Skills!E24-IF(TRUE=TRUE,Inputs!$B$32,0)))*(1-IF(AND(ArtifactsInput!$M$27,Inputs!$B$4="Chapter Hunt"),CHOOSE(ArtifactsInput!$N$27+1,20,24,28,32,36,40),0)/100)))))/Skills!H24,1)))/Inputs!$B$43),G842*Q842)*(1+IF(Inputs!$B$3&gt;=130,0.2*(Skills!I16/(1/Q833)+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1140637954921048.5</v>
      </c>
      <c r="U842">
        <f>IF(C842,(H842*N842*IF(AND(Inputs!$B$38&lt;&gt;"pvp",Inputs!$B$43&gt;0),((Skills!G24*((R842-1)*IF(Skills!H24&gt;0,Skills!I24/Skills!H24,1)+IF(Skills!H24&gt;0,MIN(Skills!I24,MAX(0,MAX(0,Inputs!$B$43-B856)-((R842-1)*(IF(Inputs!$B$38="pvp",15,MAX(0.1,Skills!E24-IF(TRUE=TRUE,Inputs!$B$32,0)))*(1-IF(AND(ArtifactsInput!$M$27,Inputs!$B$4="Chapter Hunt"),CHOOSE(ArtifactsInput!$N$27+1,20,24,28,32,36,40),0)/100)))))/Skills!H24,1)))/Inputs!$B$43),G842*Q842)*(1+IF(Inputs!$B$3&gt;=130,0.2*(Skills!I16/(1/Q833)+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3249198969380778</v>
      </c>
    </row>
    <row r="843" spans="1:21" x14ac:dyDescent="0.2">
      <c r="A843" t="str">
        <f>Skills!A25</f>
        <v>BUFF_MASTERY</v>
      </c>
      <c r="B843" t="str">
        <f>Skills!B25</f>
        <v>Buff Mastery</v>
      </c>
      <c r="C843" t="b">
        <f>Inputs!$B$3&gt;=117</f>
        <v>1</v>
      </c>
      <c r="D843">
        <f>IF(Skills!C25=1,60+Inputs!$B$25+Inputs!$B$29,IF(Skills!C25=2,90+Inputs!$B$26+Inputs!$B$29,IF(Skills!C25=3,120+(Inputs!$B$27+1)+Inputs!$B$29,MAX(0,(Inputs!$B$3-100)*3)+Inputs!$B$28+Inputs!$B$29)))</f>
        <v>185</v>
      </c>
      <c r="E843">
        <f>INDEX(FactorTable!$B$2:$Y$301, MATCH(ROUND(MIN(300,MAX(1,D843)),0), FactorTable!$A$2:$A$301,0), Skills!M25+1)</f>
        <v>1555</v>
      </c>
      <c r="F843">
        <f>IF(Skills!N25=TRUE,(Skills!L25/10)*(E843/1000),Skills!L25/10)+Skills!O25</f>
        <v>15.549999999999999</v>
      </c>
      <c r="G843">
        <f>Calc!G25</f>
        <v>1</v>
      </c>
      <c r="H843">
        <f>Calc!H25</f>
        <v>1</v>
      </c>
      <c r="I843">
        <f>IF(Skills!X25&lt;&gt;"",1+(Skills!X25/10)*(Z821/1000)/100,1)</f>
        <v>1</v>
      </c>
      <c r="O843">
        <f>(1-Summary!$B$11)*S843+Summary!$B$11*U843</f>
        <v>0</v>
      </c>
      <c r="P843">
        <f>IF(B859=0,0,O843/B859)</f>
        <v>0</v>
      </c>
      <c r="Q843">
        <f>IFERROR(1/(IF(Inputs!$B$38="pvp",15,MAX(0.1,Skills!E25-IF(TRUE=TRUE,Inputs!$B$32,0)))*(1-IF(AND(ArtifactsInput!$M$27,Inputs!$B$4="Chapter Hunt"),CHOOSE(ArtifactsInput!$N$27+1,20,24,28,32,36,40),0)/100)),0)</f>
        <v>10</v>
      </c>
      <c r="R843">
        <v>0</v>
      </c>
      <c r="S843">
        <v>0</v>
      </c>
      <c r="U843">
        <v>0</v>
      </c>
    </row>
    <row r="844" spans="1:21" x14ac:dyDescent="0.2">
      <c r="A844" t="str">
        <f>Skills!A26</f>
        <v>ARCANE_AIM</v>
      </c>
      <c r="B844" t="str">
        <f>Skills!B26</f>
        <v>Arcane Aim</v>
      </c>
      <c r="C844" t="b">
        <f>Inputs!$B$3&gt;=120</f>
        <v>0</v>
      </c>
      <c r="D844">
        <f>IF(Skills!C26=1,60+Inputs!$B$25+Inputs!$B$29,IF(Skills!C26=2,90+Inputs!$B$26+Inputs!$B$29,IF(Skills!C26=3,120+(Inputs!$B$27+1)+Inputs!$B$29,MAX(0,(Inputs!$B$3-100)*3)+Inputs!$B$28+Inputs!$B$29)))</f>
        <v>185</v>
      </c>
      <c r="E844">
        <f>INDEX(FactorTable!$B$2:$Y$301, MATCH(ROUND(MIN(300,MAX(1,D844)),0), FactorTable!$A$2:$A$301,0), Skills!M26+1)</f>
        <v>1555</v>
      </c>
      <c r="F844">
        <f>IF(Skills!N26=TRUE,(Skills!L26/10)*(E844/1000),Skills!L26/10)+Skills!O26</f>
        <v>4.665</v>
      </c>
      <c r="G844">
        <f>Calc!G26</f>
        <v>1</v>
      </c>
      <c r="H844">
        <f>Calc!H26</f>
        <v>1</v>
      </c>
      <c r="I844">
        <f>IF(Skills!X26&lt;&gt;"",1+(Skills!X26/10)*(Z821/1000)/100,1)</f>
        <v>1</v>
      </c>
      <c r="O844">
        <f>(1-Summary!$B$11)*S844+Summary!$B$11*U844</f>
        <v>0</v>
      </c>
      <c r="P844">
        <f>IF(B859=0,0,O844/B859)</f>
        <v>0</v>
      </c>
      <c r="Q844">
        <f>IFERROR(1/(IF(Inputs!$B$38="pvp",15,MAX(0.1,Skills!E26-IF(TRUE=TRUE,Inputs!$B$32,0)))*(1-IF(AND(ArtifactsInput!$M$27,Inputs!$B$4="Chapter Hunt"),CHOOSE(ArtifactsInput!$N$27+1,20,24,28,32,36,40),0)/100)),0)</f>
        <v>10</v>
      </c>
      <c r="R844">
        <v>0</v>
      </c>
      <c r="S844">
        <v>0</v>
      </c>
      <c r="U844">
        <v>0</v>
      </c>
    </row>
    <row r="845" spans="1:21" x14ac:dyDescent="0.2">
      <c r="A845" t="str">
        <f>Skills!A27</f>
        <v>FERVENT_DRAIN</v>
      </c>
      <c r="B845" t="str">
        <f>Skills!B27</f>
        <v>Fervent Drain</v>
      </c>
      <c r="C845" t="b">
        <f>Inputs!$B$3&gt;=125</f>
        <v>0</v>
      </c>
      <c r="D845">
        <f>IF(Skills!C27=1,60+Inputs!$B$25+Inputs!$B$29,IF(Skills!C27=2,90+Inputs!$B$26+Inputs!$B$29,IF(Skills!C27=3,120+(Inputs!$B$27+1)+Inputs!$B$29,MAX(0,(Inputs!$B$3-100)*3)+Inputs!$B$28+Inputs!$B$29)))</f>
        <v>185</v>
      </c>
      <c r="E845">
        <f>INDEX(FactorTable!$B$2:$Y$301, MATCH(ROUND(MIN(300,MAX(1,D845)),0), FactorTable!$A$2:$A$301,0), Skills!M27+1)</f>
        <v>1555</v>
      </c>
      <c r="F845">
        <f>IF(Skills!N27=TRUE,(Skills!L27/10)*(E845/1000),Skills!L27/10)+Skills!O27</f>
        <v>6.22</v>
      </c>
      <c r="G845">
        <f>Calc!G27</f>
        <v>1</v>
      </c>
      <c r="H845">
        <f>Calc!H27</f>
        <v>1</v>
      </c>
      <c r="I845">
        <f>IF(Skills!X27&lt;&gt;"",1+(Skills!X27/10)*(Z821/1000)/100,1)</f>
        <v>1</v>
      </c>
      <c r="O845">
        <f>(1-Summary!$B$11)*S845+Summary!$B$11*U845</f>
        <v>0</v>
      </c>
      <c r="P845">
        <f>IF(B859=0,0,O845/B859)</f>
        <v>0</v>
      </c>
      <c r="Q845">
        <f>IFERROR(1/(IF(Inputs!$B$38="pvp",15,MAX(0.1,Skills!E27-IF(TRUE=TRUE,Inputs!$B$32,0)))*(1-IF(AND(ArtifactsInput!$M$27,Inputs!$B$4="Chapter Hunt"),CHOOSE(ArtifactsInput!$N$27+1,20,24,28,32,36,40),0)/100)),0)</f>
        <v>10</v>
      </c>
      <c r="R845">
        <v>0</v>
      </c>
      <c r="S845">
        <v>0</v>
      </c>
      <c r="U845">
        <v>0</v>
      </c>
    </row>
    <row r="846" spans="1:21" x14ac:dyDescent="0.2">
      <c r="A846" t="str">
        <f>Skills!A28</f>
        <v>FLAME_HAZE_FOG</v>
      </c>
      <c r="B846" t="str">
        <f>Skills!B28</f>
        <v>Flame Haze (poison fog DoT)</v>
      </c>
      <c r="C846" t="b">
        <f>Inputs!$B$3&gt;=118</f>
        <v>0</v>
      </c>
      <c r="D846">
        <f>IF(Skills!C28=1,60+Inputs!$B$25+Inputs!$B$29,IF(Skills!C28=2,90+Inputs!$B$26+Inputs!$B$29,IF(Skills!C28=3,120+(Inputs!$B$27+1)+Inputs!$B$29,MAX(0,(Inputs!$B$3-100)*3)+Inputs!$B$28+Inputs!$B$29)))</f>
        <v>185</v>
      </c>
      <c r="E846">
        <f>INDEX(FactorTable!$B$2:$Y$301, MATCH(ROUND(MIN(300,MAX(1,D846)),0), FactorTable!$A$2:$A$301,0), Skills!M28+1)</f>
        <v>1925</v>
      </c>
      <c r="F846">
        <f>IF(Skills!N28=TRUE,(Skills!L28/10)*(E846/1000),Skills!L28/10)+Skills!O28</f>
        <v>134.75</v>
      </c>
      <c r="G846">
        <f>Calc!G28</f>
        <v>50</v>
      </c>
      <c r="H846">
        <f>Calc!H28</f>
        <v>1</v>
      </c>
      <c r="I846">
        <f>IF(Skills!X28&lt;&gt;"",1+(Skills!X28/10)*(Z821/1000)/100,1)</f>
        <v>1</v>
      </c>
      <c r="J846">
        <f>((Inputs!$B$6*(1+Inputs!$B$7/100))+(((Inputs!$B$12*(1+Inputs!$B$13/100))-(Inputs!$B$12*(1+Inputs!$B$13/100)))+0.25*(Inputs!$B$14-Inputs!$B$14))*(1+Inputs!$B$7/100))*(F846/100)</f>
        <v>486628767.57437253</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2445921548604.7935</v>
      </c>
      <c r="L846">
        <f>K846*(MIN(Inputs!$B$22+(F840-Calc!F22),(Inputs!$B$23+(IF(ArtifactsInput!$M$15,CHOOSE(ArtifactsInput!$N$15+1,25,30,35,40,45,50)/100*(Inputs!$B$11-Inputs!$B$11),0))))/100+(Inputs!$B$23+(IF(ArtifactsInput!$M$15,CHOOSE(ArtifactsInput!$N$15+1,25,30,35,40,45,50)/100*(Inputs!$B$11-Inputs!$B$11),0)))/100)/2</f>
        <v>8132689149110.9385</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38381087862748.195</v>
      </c>
      <c r="N846">
        <f>L846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38381087862748.195</v>
      </c>
      <c r="O846">
        <f>(1-Summary!$B$11)*S846+Summary!$B$11*U846</f>
        <v>0</v>
      </c>
      <c r="P846">
        <f>IF(B859=0,0,O846/B859)</f>
        <v>0</v>
      </c>
      <c r="Q846">
        <f>IFERROR(1/(IF(Inputs!$B$38="pvp",15,MAX(0.1,Skills!E28-IF(TRUE=TRUE,Inputs!$B$32,0)))*(1-IF(AND(ArtifactsInput!$M$27,Inputs!$B$4="Chapter Hunt"),CHOOSE(ArtifactsInput!$N$27+1,20,24,28,32,36,40),0)/100)),0)</f>
        <v>0.04</v>
      </c>
      <c r="R846">
        <f>IF(AND(Inputs!$B$38&lt;&gt;"pvp",Inputs!$B$43&gt;0),IF(MAX(0,Inputs!$B$43-B856)&lt;=0,0,(INT(MAX(0,Inputs!$B$43-B856)/(IF(Inputs!$B$38="pvp",15,MAX(0.1,Skills!E28-IF(TRUE=TRUE,Inputs!$B$32,0)))*(1-IF(AND(ArtifactsInput!$M$27,Inputs!$B$4="Chapter Hunt"),CHOOSE(ArtifactsInput!$N$27+1,20,24,28,32,36,40),0)/100)))+1)),0)</f>
        <v>2</v>
      </c>
      <c r="S846">
        <f>IF(C846,(H846*N846*IF(AND(Inputs!$B$38&lt;&gt;"pvp",Inputs!$B$43&gt;0),((Skills!G28*((R846-1)*IF(Skills!H28&gt;0,Skills!I28/Skills!H28,1)+IF(Skills!H28&gt;0,MIN(Skills!I28,MAX(0,MAX(0,Inputs!$B$43-B856)-((R846-1)*(IF(Inputs!$B$38="pvp",15,MAX(0.1,Skills!E28-IF(TRUE=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46">
        <f>IF(C846,(H846*N846*IF(AND(Inputs!$B$38&lt;&gt;"pvp",Inputs!$B$43&gt;0),((Skills!G28*((R846-1)*IF(Skills!H28&gt;0,Skills!I28/Skills!H28,1)+IF(Skills!H28&gt;0,MIN(Skills!I28,MAX(0,MAX(0,Inputs!$B$43-B856)-((R846-1)*(IF(Inputs!$B$38="pvp",15,MAX(0.1,Skills!E28-IF(TRUE=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48" spans="1:21" x14ac:dyDescent="0.2">
      <c r="A848" t="s">
        <v>356</v>
      </c>
      <c r="B848">
        <f>1+(F829*Skills!Z11)/100</f>
        <v>1.25</v>
      </c>
    </row>
    <row r="849" spans="1:26" x14ac:dyDescent="0.2">
      <c r="A849" t="s">
        <v>435</v>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1.1865999999999999</v>
      </c>
    </row>
    <row r="850" spans="1:26" x14ac:dyDescent="0.2">
      <c r="A850" t="s">
        <v>358</v>
      </c>
      <c r="B850">
        <f>(1+(F824*IF(AND(Inputs!$B$38&lt;&gt;"pvp",Inputs!$B$43&gt;0),(((R824-1)*MIN((Skills!T6*(1+((Inputs!$B$34+(ArtifactsInput!$M$7-ArtifactsInput!$M$7)*CHOOSE(ArtifactsInput!$N$7+1,6,7.2,8.4,9.6,10.8,12)))/100)),(1/Q824))+MIN((Skills!T6*(1+((Inputs!$B$34+(ArtifactsInput!$M$7-ArtifactsInput!$M$7)*CHOOSE(ArtifactsInput!$N$7+1,6,7.2,8.4,9.6,10.8,12)))/100)),MAX(0,Inputs!$B$43-((R824-1)*(1/Q824)))))/Inputs!$B$43),IF(Inputs!$B$38="pvp",MIN((Skills!T6*(1+((Inputs!$B$34+(ArtifactsInput!$M$7-ArtifactsInput!$M$7)*CHOOSE(ArtifactsInput!$N$7+1,6,7.2,8.4,9.6,10.8,12)))/100)),15)/15,MIN(1,(Skills!T6*(1+((Inputs!$B$34+(ArtifactsInput!$M$7-ArtifactsInput!$M$7)*CHOOSE(ArtifactsInput!$N$7+1,6,7.2,8.4,9.6,10.8,12)))/100))/(1/Q824))))+F835*IF(AND(Inputs!$B$38&lt;&gt;"pvp",Inputs!$B$43&gt;0),(((R835-1)*MIN((Skills!T17*(1+((Inputs!$B$34+(ArtifactsInput!$M$7-ArtifactsInput!$M$7)*CHOOSE(ArtifactsInput!$N$7+1,6,7.2,8.4,9.6,10.8,12)))/100)),(1/Q835))+MIN((Skills!T17*(1+((Inputs!$B$34+(ArtifactsInput!$M$7-ArtifactsInput!$M$7)*CHOOSE(ArtifactsInput!$N$7+1,6,7.2,8.4,9.6,10.8,12)))/100)),MAX(0,Inputs!$B$43-((R835-1)*(1/Q835)))))/Inputs!$B$43),IF(Inputs!$B$38="pvp",MIN((Skills!T17*(1+((Inputs!$B$34+(ArtifactsInput!$M$7-ArtifactsInput!$M$7)*CHOOSE(ArtifactsInput!$N$7+1,6,7.2,8.4,9.6,10.8,12)))/100)),15)/15,MIN(1,(Skills!T17*(1+((Inputs!$B$34+(ArtifactsInput!$M$7-ArtifactsInput!$M$7)*CHOOSE(ArtifactsInput!$N$7+1,6,7.2,8.4,9.6,10.8,12)))/100))/(1/Q835)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MIN((Skills!T19*(1+((Inputs!$B$34+(ArtifactsInput!$M$7-ArtifactsInput!$M$7)*CHOOSE(ArtifactsInput!$N$7+1,6,7.2,8.4,9.6,10.8,12)))/100)),(1/Q837))+MIN((Skills!T19*(1+((Inputs!$B$34+(ArtifactsInput!$M$7-ArtifactsInput!$M$7)*CHOOSE(ArtifactsInput!$N$7+1,6,7.2,8.4,9.6,10.8,12)))/100)),MAX(0,Inputs!$B$43-((R837-1)*(1/Q837)))))/Inputs!$B$43),IF(Inputs!$B$38="pvp",MIN((Skills!T19*(1+((Inputs!$B$34+(ArtifactsInput!$M$7-ArtifactsInput!$M$7)*CHOOSE(ArtifactsInput!$N$7+1,6,7.2,8.4,9.6,10.8,12)))/100)),15)/15,MIN(1,(Skills!T19*(1+((Inputs!$B$34+(ArtifactsInput!$M$7-ArtifactsInput!$M$7)*CHOOSE(ArtifactsInput!$N$7+1,6,7.2,8.4,9.6,10.8,12)))/100))/(1/Q837))))/100),1)</f>
        <v>1.7965808377980694</v>
      </c>
    </row>
    <row r="851" spans="1:26" x14ac:dyDescent="0.2">
      <c r="A851" t="s">
        <v>359</v>
      </c>
      <c r="B851">
        <f>F836*IF(AND(Inputs!$B$38&lt;&gt;"pvp",Inputs!$B$43&gt;0),(((R836-1)*MIN((Skills!T18*(1+((Inputs!$B$34+(ArtifactsInput!$M$7-ArtifactsInput!$M$7)*CHOOSE(ArtifactsInput!$N$7+1,6,7.2,8.4,9.6,10.8,12)))/100)),(1/Q836))+MIN((Skills!T18*(1+((Inputs!$B$34+(ArtifactsInput!$M$7-ArtifactsInput!$M$7)*CHOOSE(ArtifactsInput!$N$7+1,6,7.2,8.4,9.6,10.8,12)))/100)),MAX(0,Inputs!$B$43-((R836-1)*(1/Q836)))))/Inputs!$B$43),IF(Inputs!$B$38="pvp",MIN((Skills!T18*(1+((Inputs!$B$34+(ArtifactsInput!$M$7-ArtifactsInput!$M$7)*CHOOSE(ArtifactsInput!$N$7+1,6,7.2,8.4,9.6,10.8,12)))/100)),15)/15,MIN(1,(Skills!T18*(1+((Inputs!$B$34+(ArtifactsInput!$M$7-ArtifactsInput!$M$7)*CHOOSE(ArtifactsInput!$N$7+1,6,7.2,8.4,9.6,10.8,12)))/100))/(1/Q836))))</f>
        <v>6.4968749999999993</v>
      </c>
    </row>
    <row r="852" spans="1:26" x14ac:dyDescent="0.2">
      <c r="A852" t="s">
        <v>436</v>
      </c>
      <c r="B852">
        <f>1+MIN(150,150*(1-(1-(Inputs!$B$11+(ArtifactsInput!$M$15-ArtifactsInput!$M$15)*CHOOSE(ArtifactsInput!$N$15+1,8,9.6,11.2,12.8,14.4,16))/150)*(1-B851/150)))/100</f>
        <v>1.6982958749999999</v>
      </c>
    </row>
    <row r="853" spans="1:26" x14ac:dyDescent="0.2">
      <c r="A853" t="s">
        <v>437</v>
      </c>
      <c r="B853">
        <f>IF(AND(Inputs!$B$38&lt;&gt;"pvp",Inputs!$B$43&gt;0),SUMPRODUCT((Skills!F2:F28=TRUE)*(C820:C846=TRUE)*R820:R846)/Inputs!$B$43,SUMPRODUCT((Skills!F2:F28=TRUE)*(C820:C846=TRUE)*Q820:Q846))</f>
        <v>0.47499999999999998</v>
      </c>
    </row>
    <row r="854" spans="1:26" x14ac:dyDescent="0.2">
      <c r="A854" t="s">
        <v>362</v>
      </c>
      <c r="B854">
        <f>MAX(0,B852-B853)</f>
        <v>1.2232958749999998</v>
      </c>
    </row>
    <row r="855" spans="1:26" x14ac:dyDescent="0.2">
      <c r="A855" t="s">
        <v>438</v>
      </c>
      <c r="B855">
        <f>IF(AND(Inputs!$B$38&lt;&gt;"pvp",Inputs!$B$43&gt;0),SUMPRODUCT((Skills!V2:V28=TRUE)*(C820:C846=TRUE)*R820:R846*Skills!W2:W28)/Inputs!$B$43,SUMPRODUCT((Skills!V2:V28=TRUE)*(C820:C846=TRUE)*Q820:Q846*Skills!W2:W28))+B854</f>
        <v>1.5482958749999998</v>
      </c>
    </row>
    <row r="856" spans="1:26" x14ac:dyDescent="0.2">
      <c r="A856" t="s">
        <v>439</v>
      </c>
      <c r="B856">
        <f>IF(AND(Inputs!$B$38&lt;&gt;"pvp",Inputs!$B$43&gt;0),SUMPRODUCT((Skills!T2:T28&gt;0)*(Skills!F2:F28=TRUE)*(C820:C846=TRUE))/B852,0)</f>
        <v>2.3553021937358238</v>
      </c>
    </row>
    <row r="857" spans="1:26" x14ac:dyDescent="0.2">
      <c r="A857" t="s">
        <v>440</v>
      </c>
      <c r="B857">
        <f>SUM(S820:S846)</f>
        <v>9522837370510562</v>
      </c>
    </row>
    <row r="858" spans="1:26" x14ac:dyDescent="0.2">
      <c r="A858" t="s">
        <v>441</v>
      </c>
      <c r="B858">
        <f>SUM(U820:U846)</f>
        <v>5.6691508546741568E+16</v>
      </c>
    </row>
    <row r="859" spans="1:26" x14ac:dyDescent="0.2">
      <c r="A859" s="6" t="s">
        <v>348</v>
      </c>
      <c r="B859" s="6">
        <f>SUM(O820:O846)</f>
        <v>3.3107172958626056E+16</v>
      </c>
    </row>
    <row r="862" spans="1:26" x14ac:dyDescent="0.2">
      <c r="A862" s="6" t="s">
        <v>459</v>
      </c>
    </row>
    <row r="863" spans="1:26" x14ac:dyDescent="0.2">
      <c r="A863" s="5" t="s">
        <v>136</v>
      </c>
      <c r="B863" s="5" t="s">
        <v>137</v>
      </c>
      <c r="C863" s="5" t="s">
        <v>328</v>
      </c>
      <c r="D863" s="5" t="s">
        <v>329</v>
      </c>
      <c r="E863" s="5" t="s">
        <v>330</v>
      </c>
      <c r="F863" s="5" t="s">
        <v>331</v>
      </c>
      <c r="G863" s="5" t="s">
        <v>332</v>
      </c>
      <c r="H863" s="5" t="s">
        <v>333</v>
      </c>
      <c r="I863" s="5" t="s">
        <v>334</v>
      </c>
      <c r="J863" s="5" t="s">
        <v>335</v>
      </c>
      <c r="K863" s="5" t="s">
        <v>336</v>
      </c>
      <c r="L863" s="5" t="s">
        <v>337</v>
      </c>
      <c r="M863" s="5" t="s">
        <v>338</v>
      </c>
      <c r="N863" s="5" t="s">
        <v>339</v>
      </c>
      <c r="O863" s="5" t="s">
        <v>340</v>
      </c>
      <c r="P863" s="5" t="s">
        <v>341</v>
      </c>
      <c r="R863" t="s">
        <v>434</v>
      </c>
    </row>
    <row r="864" spans="1:26" x14ac:dyDescent="0.2">
      <c r="A864" t="str">
        <f>Skills!A2</f>
        <v>BASIC_ATTACK</v>
      </c>
      <c r="B864" t="str">
        <f>Skills!B2</f>
        <v>Basic Attack</v>
      </c>
      <c r="C864" t="b">
        <f>TRUE</f>
        <v>1</v>
      </c>
      <c r="F864">
        <f>T866+Skills!O2</f>
        <v>538.76</v>
      </c>
      <c r="G864">
        <f>Calc!G2</f>
        <v>5</v>
      </c>
      <c r="H864">
        <f>Calc!H2</f>
        <v>1</v>
      </c>
      <c r="I864">
        <f>IF(Skills!X2&lt;&gt;"",1+(Skills!X2/10)*(Z865/1000)/100,1)</f>
        <v>1</v>
      </c>
      <c r="J864">
        <f>((Inputs!$B$6*(1+Inputs!$B$7/100))+(((Inputs!$B$12*(1+Inputs!$B$13/100))-(Inputs!$B$12*(1+Inputs!$B$13/100)))+0.25*(Inputs!$B$14-Inputs!$B$14))*(1+Inputs!$B$7/100))*(F864/100)</f>
        <v>1945648347.4461517</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6640121149746.6924</v>
      </c>
      <c r="L864">
        <f>K864*(MIN(Inputs!$B$22+(F884-Calc!F22),(Inputs!$B$23+(IF(ArtifactsInput!$M$15,CHOOSE(ArtifactsInput!$N$15+1,25,30,35,40,45,50)/100*(Inputs!$B$11-Inputs!$B$11),0))))/100+(Inputs!$B$23+(IF(ArtifactsInput!$M$15,CHOOSE(ArtifactsInput!$N$15+1,25,30,35,40,45,50)/100*(Inputs!$B$11-Inputs!$B$11),0)))/100)/2</f>
        <v>22078402822907.754</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104187982921301.67</v>
      </c>
      <c r="N864">
        <f>L864*(1-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104187982921301.67</v>
      </c>
      <c r="O864">
        <f>(1-Summary!$B$11)*S864+Summary!$B$11*U864</f>
        <v>1.2550907560378272E+16</v>
      </c>
      <c r="P864">
        <f>IF(B903=0,0,O864/B903)</f>
        <v>0.37827366625284187</v>
      </c>
      <c r="Q864">
        <f>IFERROR(1/(IF(Inputs!$B$38="pvp",15,MAX(0.1,Skills!E2-IF(TRUE=TRUE,Inputs!$B$32,0)))*(1-IF(AND(ArtifactsInput!$M$27,Inputs!$B$4="Chapter Hunt"),CHOOSE(ArtifactsInput!$N$27+1,20,24,28,32,36,40),0)/100)),0)</f>
        <v>10</v>
      </c>
      <c r="R864">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2083852131121450</v>
      </c>
      <c r="T864">
        <f>MAX(0,(Inputs!$B$3-100)*3)+(Inputs!$B$28+1)+Inputs!$B$29</f>
        <v>186</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2.3017962989635096E+16</v>
      </c>
      <c r="Z864">
        <f>MAX(0,(Inputs!$B$3-100)*3)+(Inputs!$B$28+1)+Inputs!$B$29</f>
        <v>186</v>
      </c>
    </row>
    <row r="865" spans="1:26" x14ac:dyDescent="0.2">
      <c r="A865" t="str">
        <f>Skills!A3</f>
        <v>IGNITE</v>
      </c>
      <c r="B865" t="str">
        <f>Skills!B3</f>
        <v>Ignite</v>
      </c>
      <c r="C865" t="b">
        <f>TRUE</f>
        <v>1</v>
      </c>
      <c r="D865">
        <f>IF(Skills!C3=1,60+Inputs!$B$25+Inputs!$B$29,IF(Skills!C3=2,90+Inputs!$B$26+Inputs!$B$29,IF(Skills!C3=3,120+Inputs!$B$27+Inputs!$B$29,MAX(0,(Inputs!$B$3-100)*3)+(Inputs!$B$28+1)+Inputs!$B$29)))</f>
        <v>168</v>
      </c>
      <c r="E865">
        <f>INDEX(FactorTable!$B$2:$Y$301, MATCH(ROUND(MIN(300,MAX(1,D865)),0), FactorTable!$A$2:$A$301,0), Skills!M3+1)</f>
        <v>1672</v>
      </c>
      <c r="F865">
        <f>IF(Skills!N3=TRUE,(Skills!L3/10)*(E865/1000),Skills!L3/10)+Skills!O3</f>
        <v>121.736</v>
      </c>
      <c r="G865">
        <f>Calc!G3</f>
        <v>3</v>
      </c>
      <c r="H865">
        <f>Calc!H3</f>
        <v>1</v>
      </c>
      <c r="I865">
        <f>IF(Skills!X3&lt;&gt;"",1+(Skills!X3/10)*(Z865/1000)/100,1)</f>
        <v>4.83</v>
      </c>
      <c r="J865">
        <f>((Inputs!$B$6*(1+Inputs!$B$7/100))+(((Inputs!$B$12*(1+Inputs!$B$13/100))-(Inputs!$B$12*(1+Inputs!$B$13/100)))+0.25*(Inputs!$B$14-Inputs!$B$14))*(1+Inputs!$B$7/100))*(F865/100)</f>
        <v>439630720.9605478</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10678518056824.738</v>
      </c>
      <c r="L865">
        <f>K865*(MIN(Inputs!$B$22+(F884-Calc!F22),(Inputs!$B$23+(IF(ArtifactsInput!$M$15,CHOOSE(ArtifactsInput!$N$15+1,25,30,35,40,45,50)/100*(Inputs!$B$11-Inputs!$B$11),0))))/100+(Inputs!$B$23+(IF(ArtifactsInput!$M$15,CHOOSE(ArtifactsInput!$N$15+1,25,30,35,40,45,50)/100*(Inputs!$B$11-Inputs!$B$11),0)))/100)/2</f>
        <v>35506072538942.258</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167553156311268.5</v>
      </c>
      <c r="N865">
        <f>L865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167553156311268.5</v>
      </c>
      <c r="O865">
        <f>(1-Summary!$B$11)*S865+Summary!$B$11*U865</f>
        <v>2912911622471403</v>
      </c>
      <c r="P865">
        <f>IF(B903=0,0,O865/B903)</f>
        <v>8.7792675836548192E-2</v>
      </c>
      <c r="Q865">
        <f>IFERROR(1/(IF(Inputs!$B$38="pvp",15,MAX(0.1,Skills!E3-IF(FALSE=TRUE,Inputs!$B$32,0)))*(1-IF(AND(ArtifactsInput!$M$27,Inputs!$B$4="Chapter Hunt"),CHOOSE(ArtifactsInput!$N$27+1,20,24,28,32,36,40),0)/100)),0)</f>
        <v>1</v>
      </c>
      <c r="R865">
        <f>IF(AND(Inputs!$B$38&lt;&gt;"pvp",Inputs!$B$43&gt;0),IF(MAX(0,Inputs!$B$43-B900)&lt;=0,0,(INT(MAX(0,Inputs!$B$43-B900)/(IF(Inputs!$B$38="pvp",15,MAX(0.1,Skills!E3-IF(FALSE=TRUE,Inputs!$B$32,0)))*(1-IF(AND(ArtifactsInput!$M$27,Inputs!$B$4="Chapter Hunt"),CHOOSE(ArtifactsInput!$N$27+1,20,24,28,32,36,40),0)/100)))+1)),0)</f>
        <v>38</v>
      </c>
      <c r="S865">
        <f>IF(C865,(H865*N865*IF(AND(Inputs!$B$38&lt;&gt;"pvp",Inputs!$B$43&gt;0),((Skills!G3*((R865-1)*IF(Skills!H3&gt;0,Skills!I3/Skills!H3,1)+IF(Skills!H3&gt;0,MIN(Skills!I3,MAX(0,MAX(0,Inputs!$B$43-B900)-((R865-1)*(IF(Inputs!$B$38="pvp",15,MAX(0.1,Skills!E3-IF(FALSE=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1513758990694155.2</v>
      </c>
      <c r="T865">
        <f>INDEX(FactorTable!$B$2:$Y$301, MATCH(ROUND(MIN(300,MAX(1,T864)),0), FactorTable!$A$2:$A$301,0), 22)</f>
        <v>1744</v>
      </c>
      <c r="U865">
        <f>IF(C865,(H865*N865*IF(AND(Inputs!$B$38&lt;&gt;"pvp",Inputs!$B$43&gt;0),((Skills!G3*((R865-1)*IF(Skills!H3&gt;0,Skills!I3/Skills!H3,1)+IF(Skills!H3&gt;0,MIN(Skills!I3,MAX(0,MAX(0,Inputs!$B$43-B900)-((R865-1)*(IF(Inputs!$B$38="pvp",15,MAX(0.1,Skills!E3-IF(FALSE=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4312064254248650.5</v>
      </c>
      <c r="Z865">
        <f>INDEX(FactorTable!$B$2:$Y$301, MATCH(ROUND(MIN(300,MAX(1,Z864)),0), FactorTable!$A$2:$A$301,0), 24)</f>
        <v>7660</v>
      </c>
    </row>
    <row r="866" spans="1:26" x14ac:dyDescent="0.2">
      <c r="A866" t="str">
        <f>Skills!A4</f>
        <v>POISON_BREATH</v>
      </c>
      <c r="B866" t="str">
        <f>Skills!B4</f>
        <v>Poison Breath</v>
      </c>
      <c r="C866" t="b">
        <f>TRUE</f>
        <v>1</v>
      </c>
      <c r="D866">
        <f>IF(Skills!C4=1,60+Inputs!$B$25+Inputs!$B$29,IF(Skills!C4=2,90+Inputs!$B$26+Inputs!$B$29,IF(Skills!C4=3,120+Inputs!$B$27+Inputs!$B$29,MAX(0,(Inputs!$B$3-100)*3)+(Inputs!$B$28+1)+Inputs!$B$29)))</f>
        <v>168</v>
      </c>
      <c r="E866">
        <f>INDEX(FactorTable!$B$2:$Y$301, MATCH(ROUND(MIN(300,MAX(1,D866)),0), FactorTable!$A$2:$A$301,0), Skills!M4+1)</f>
        <v>1840</v>
      </c>
      <c r="F866">
        <f>IF(Skills!N4=TRUE,(Skills!L4/10)*(E866/1000),Skills!L4/10)+Skills!O4</f>
        <v>438</v>
      </c>
      <c r="G866">
        <f>Calc!G4</f>
        <v>3</v>
      </c>
      <c r="H866">
        <f>Calc!H4</f>
        <v>1</v>
      </c>
      <c r="I866">
        <f>IF(Skills!X4&lt;&gt;"",1+(Skills!X4/10)*(Z865/1000)/100,1)</f>
        <v>7.1279999999999992</v>
      </c>
      <c r="J866">
        <f>((Inputs!$B$6*(1+Inputs!$B$7/100))+(((Inputs!$B$12*(1+Inputs!$B$13/100))-(Inputs!$B$12*(1+Inputs!$B$13/100)))+0.25*(Inputs!$B$14-Inputs!$B$14))*(1+Inputs!$B$7/100))*(F866/100)</f>
        <v>1581769203.69258</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56700466172807.812</v>
      </c>
      <c r="L866">
        <f>K866*(MIN(Inputs!$B$22+(F884-Calc!F22),(Inputs!$B$23+(IF(ArtifactsInput!$M$15,CHOOSE(ArtifactsInput!$N$15+1,25,30,35,40,45,50)/100*(Inputs!$B$11-Inputs!$B$11),0))))/100+(Inputs!$B$23+(IF(ArtifactsInput!$M$15,CHOOSE(ArtifactsInput!$N$15+1,25,30,35,40,45,50)/100*(Inputs!$B$11-Inputs!$B$11),0)))/100)/2</f>
        <v>188529050024586</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889668587066021.25</v>
      </c>
      <c r="N866">
        <f>L866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889668587066021.25</v>
      </c>
      <c r="O866">
        <f>(1-Summary!$B$11)*S866+Summary!$B$11*U866</f>
        <v>2124862211633808.2</v>
      </c>
      <c r="P866">
        <f>IF(B903=0,0,O866/B903)</f>
        <v>6.4041537650574284E-2</v>
      </c>
      <c r="Q866">
        <f>IFERROR(1/(IF(Inputs!$B$38="pvp",15,MAX(0.1,Skills!E4-IF(TRUE=TRUE,Inputs!$B$32,0)))*(1-IF(AND(ArtifactsInput!$M$27,Inputs!$B$4="Chapter Hunt"),CHOOSE(ArtifactsInput!$N$27+1,20,24,28,32,36,40),0)/100)),0)</f>
        <v>5.5555555555555552E-2</v>
      </c>
      <c r="R866">
        <f>IF(AND(Inputs!$B$38&lt;&gt;"pvp",Inputs!$B$43&gt;0),IF(MAX(0,Inputs!$B$43-B900)&lt;=0,0,(INT(MAX(0,Inputs!$B$43-B900)/(IF(Inputs!$B$38="pvp",15,MAX(0.1,Skills!E4-IF(TRUE=TRUE,Inputs!$B$32,0)))*(1-IF(AND(ArtifactsInput!$M$27,Inputs!$B$4="Chapter Hunt"),CHOOSE(ArtifactsInput!$N$27+1,20,24,28,32,36,40),0)/100)))+1)),0)</f>
        <v>3</v>
      </c>
      <c r="S866">
        <f>IF(C866,(H866*N866*IF(AND(Inputs!$B$38&lt;&gt;"pvp",Inputs!$B$43&gt;0),((Skills!G4*((R866-1)*IF(Skills!H4&gt;0,Skills!I4/Skills!H4,1)+IF(Skills!H4&gt;0,MIN(Skills!I4,MAX(0,MAX(0,Inputs!$B$43-B900)-((R866-1)*(IF(Inputs!$B$38="pvp",15,MAX(0.1,Skills!E4-IF(TRUE=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634556119724839.62</v>
      </c>
      <c r="T866">
        <f>290*T865/1000</f>
        <v>505.76</v>
      </c>
      <c r="U866">
        <f>IF(C866,(H866*N866*IF(AND(Inputs!$B$38&lt;&gt;"pvp",Inputs!$B$43&gt;0),((Skills!G4*((R866-1)*IF(Skills!H4&gt;0,Skills!I4/Skills!H4,1)+IF(Skills!H4&gt;0,MIN(Skills!I4,MAX(0,MAX(0,Inputs!$B$43-B900)-((R866-1)*(IF(Inputs!$B$38="pvp",15,MAX(0.1,Skills!E4-IF(TRUE=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3615168303542777</v>
      </c>
    </row>
    <row r="867" spans="1:26" x14ac:dyDescent="0.2">
      <c r="A867" t="str">
        <f>Skills!A5</f>
        <v>ELEMENTAL_DRAIN</v>
      </c>
      <c r="B867" t="str">
        <f>Skills!B5</f>
        <v>Elemental Drain</v>
      </c>
      <c r="C867" t="b">
        <f>TRUE</f>
        <v>1</v>
      </c>
      <c r="D867">
        <f>IF(Skills!C5=1,60+Inputs!$B$25+Inputs!$B$29,IF(Skills!C5=2,90+Inputs!$B$26+Inputs!$B$29,IF(Skills!C5=3,120+Inputs!$B$27+Inputs!$B$29,MAX(0,(Inputs!$B$3-100)*3)+(Inputs!$B$28+1)+Inputs!$B$29)))</f>
        <v>168</v>
      </c>
      <c r="E867">
        <f>INDEX(FactorTable!$B$2:$Y$301, MATCH(ROUND(MIN(300,MAX(1,D867)),0), FactorTable!$A$2:$A$301,0), Skills!M5+1)</f>
        <v>1672</v>
      </c>
      <c r="F867">
        <f>IF(Skills!N5=TRUE,(Skills!L5/10)*(E867/1000),Skills!L5/10)+Skills!O5</f>
        <v>20.064</v>
      </c>
      <c r="G867">
        <f>Calc!G5</f>
        <v>5</v>
      </c>
      <c r="H867">
        <f>Calc!H5</f>
        <v>1</v>
      </c>
      <c r="I867">
        <f>IF(Skills!X5&lt;&gt;"",1+(Skills!X5/10)*(Z865/1000)/100,1)</f>
        <v>12.49</v>
      </c>
      <c r="J867">
        <f>((Inputs!$B$6*(1+Inputs!$B$7/100))+(((Inputs!$B$12*(1+Inputs!$B$13/100))-(Inputs!$B$12*(1+Inputs!$B$13/100)))+0.25*(Inputs!$B$14-Inputs!$B$14))*(1+Inputs!$B$7/100))*(F867/100)</f>
        <v>72458030.371890247</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4551188103321.166</v>
      </c>
      <c r="L867">
        <f>K867*(MIN(Inputs!$B$22+(F884-Calc!F22),(Inputs!$B$23+(IF(ArtifactsInput!$M$15,CHOOSE(ArtifactsInput!$N$15+1,25,30,35,40,45,50)/100*(Inputs!$B$11-Inputs!$B$11),0))))/100+(Inputs!$B$23+(IF(ArtifactsInput!$M$15,CHOOSE(ArtifactsInput!$N$15+1,25,30,35,40,45,50)/100*(Inputs!$B$11-Inputs!$B$11),0)))/100)/2</f>
        <v>15132700443542.877</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71411213393078.828</v>
      </c>
      <c r="N867">
        <f>L867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71411213393078.828</v>
      </c>
      <c r="O867">
        <f>(1-Summary!$B$11)*S867+Summary!$B$11*U867</f>
        <v>1048138084576914.5</v>
      </c>
      <c r="P867">
        <f>IF(B903=0,0,O867/B903)</f>
        <v>3.1589989336212675E-2</v>
      </c>
      <c r="Q867">
        <f>IFERROR(1/(IF(Inputs!$B$38="pvp",15,MAX(0.1,Skills!E5-IF(FALSE=TRUE,Inputs!$B$32,0)))*(1-IF(AND(ArtifactsInput!$M$27,Inputs!$B$4="Chapter Hunt"),CHOOSE(ArtifactsInput!$N$27+1,20,24,28,32,36,40),0)/100)),0)</f>
        <v>1</v>
      </c>
      <c r="R867">
        <f>IF(AND(Inputs!$B$38&lt;&gt;"pvp",Inputs!$B$43&gt;0),IF(MAX(0,Inputs!$B$43-B900)&lt;=0,0,(INT(MAX(0,Inputs!$B$43-B900)/(IF(Inputs!$B$38="pvp",15,MAX(0.1,Skills!E5-IF(FALSE=TRUE,Inputs!$B$32,0)))*(1-IF(AND(ArtifactsInput!$M$27,Inputs!$B$4="Chapter Hunt"),CHOOSE(ArtifactsInput!$N$27+1,20,24,28,32,36,40),0)/100)))+1)),0)</f>
        <v>38</v>
      </c>
      <c r="S867">
        <f>IF(C867,(H867*N867*IF(AND(Inputs!$B$38&lt;&gt;"pvp",Inputs!$B$43&gt;0),((Skills!G5*((R867-1)*IF(Skills!H5&gt;0,Skills!I5/Skills!H5,1)+IF(Skills!H5&gt;0,MIN(Skills!I5,MAX(0,MAX(0,Inputs!$B$43-B900)-((R867-1)*(IF(Inputs!$B$38="pvp",15,MAX(0.1,Skills!E5-IF(FALSE=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1075274345666284.5</v>
      </c>
      <c r="U867">
        <f>IF(C867,(H867*N867*IF(AND(Inputs!$B$38&lt;&gt;"pvp",Inputs!$B$43&gt;0),((Skills!G5*((R867-1)*IF(Skills!H5&gt;0,Skills!I5/Skills!H5,1)+IF(Skills!H5&gt;0,MIN(Skills!I5,MAX(0,MAX(0,Inputs!$B$43-B900)-((R867-1)*(IF(Inputs!$B$38="pvp",15,MAX(0.1,Skills!E5-IF(FALSE=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1021001823487544.5</v>
      </c>
    </row>
    <row r="868" spans="1:26" x14ac:dyDescent="0.2">
      <c r="A868" t="str">
        <f>Skills!A6</f>
        <v>MEDITATION</v>
      </c>
      <c r="B868" t="str">
        <f>Skills!B6</f>
        <v>Meditation</v>
      </c>
      <c r="C868" t="b">
        <f>TRUE</f>
        <v>1</v>
      </c>
      <c r="D868">
        <f>IF(Skills!C6=1,60+Inputs!$B$25+Inputs!$B$29,IF(Skills!C6=2,90+Inputs!$B$26+Inputs!$B$29,IF(Skills!C6=3,120+Inputs!$B$27+Inputs!$B$29,MAX(0,(Inputs!$B$3-100)*3)+(Inputs!$B$28+1)+Inputs!$B$29)))</f>
        <v>168</v>
      </c>
      <c r="E868">
        <f>INDEX(FactorTable!$B$2:$Y$301, MATCH(ROUND(MIN(300,MAX(1,D868)),0), FactorTable!$A$2:$A$301,0), Skills!M6+1)</f>
        <v>1672</v>
      </c>
      <c r="F868">
        <f>IF(Skills!N6=TRUE,(Skills!L6/10)*(E868/1000),Skills!L6/10)+Skills!O6</f>
        <v>33.44</v>
      </c>
      <c r="G868">
        <f>Calc!G6</f>
        <v>1</v>
      </c>
      <c r="H868">
        <f>Calc!H6</f>
        <v>1</v>
      </c>
      <c r="I868">
        <f>IF(Skills!X6&lt;&gt;"",1+(Skills!X6/10)*(Z865/1000)/100,1)</f>
        <v>1</v>
      </c>
      <c r="O868">
        <f>(1-Summary!$B$11)*S868+Summary!$B$11*U868</f>
        <v>0</v>
      </c>
      <c r="P868">
        <f>IF(B903=0,0,O868/B903)</f>
        <v>0</v>
      </c>
      <c r="Q868">
        <f>IFERROR(1/(IF(Inputs!$B$38="pvp",15,MAX(0.1,Skills!E6-IF(TRUE=TRUE,Inputs!$B$32,0)))*(1-IF(AND(ArtifactsInput!$M$27,Inputs!$B$4="Chapter Hunt"),CHOOSE(ArtifactsInput!$N$27+1,20,24,28,32,36,40),0)/100)),0)</f>
        <v>3.3333333333333333E-2</v>
      </c>
      <c r="R868">
        <f>IF(AND(Inputs!$B$38&lt;&gt;"pvp",Inputs!$B$43&gt;0),IF(Inputs!$B$43&lt;=0,0,(INT(Inputs!$B$43/(IF(Inputs!$B$38="pvp",15,MAX(0.1,Skills!E6-IF(TRUE=TRUE,Inputs!$B$32,0)))*(1-IF(AND(ArtifactsInput!$M$27,Inputs!$B$4="Chapter Hunt"),CHOOSE(ArtifactsInput!$N$27+1,20,24,28,32,36,40),0)/100)))+1)),0)</f>
        <v>2</v>
      </c>
      <c r="S868">
        <v>0</v>
      </c>
      <c r="U868">
        <v>0</v>
      </c>
    </row>
    <row r="869" spans="1:26" x14ac:dyDescent="0.2">
      <c r="A869" t="str">
        <f>Skills!A7</f>
        <v>POISON_MIST_BURST</v>
      </c>
      <c r="B869" t="str">
        <f>Skills!B7</f>
        <v>Poison Mist (burst)</v>
      </c>
      <c r="C869" t="b">
        <f>TRUE</f>
        <v>1</v>
      </c>
      <c r="D869">
        <f>IF(Skills!C7=1,60+Inputs!$B$25+Inputs!$B$29,IF(Skills!C7=2,90+Inputs!$B$26+Inputs!$B$29,IF(Skills!C7=3,120+Inputs!$B$27+Inputs!$B$29,MAX(0,(Inputs!$B$3-100)*3)+(Inputs!$B$28+1)+Inputs!$B$29)))</f>
        <v>184</v>
      </c>
      <c r="E869">
        <f>INDEX(FactorTable!$B$2:$Y$301, MATCH(ROUND(MIN(300,MAX(1,D869)),0), FactorTable!$A$2:$A$301,0), Skills!M7+1)</f>
        <v>1920</v>
      </c>
      <c r="F869">
        <f>IF(Skills!N7=TRUE,(Skills!L7/10)*(E869/1000),Skills!L7/10)+Skills!O7</f>
        <v>357.2</v>
      </c>
      <c r="G869">
        <f>Calc!G7</f>
        <v>3</v>
      </c>
      <c r="H869">
        <f>Calc!H7</f>
        <v>1</v>
      </c>
      <c r="I869">
        <f>IF(Skills!X7&lt;&gt;"",1+(Skills!X7/10)*(Z865/1000)/100,1)</f>
        <v>1.766</v>
      </c>
      <c r="J869">
        <f>((Inputs!$B$6*(1+Inputs!$B$7/100))+(((Inputs!$B$12*(1+Inputs!$B$13/100))-(Inputs!$B$12*(1+Inputs!$B$13/100)))+0.25*(Inputs!$B$14-Inputs!$B$14))*(1+Inputs!$B$7/100))*(F869/100)</f>
        <v>1289972510.4086521</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11456368578252.402</v>
      </c>
      <c r="L869">
        <f>K869*(MIN(Inputs!$B$22+(F884-Calc!F22),(Inputs!$B$23+(IF(ArtifactsInput!$M$15,CHOOSE(ArtifactsInput!$N$15+1,25,30,35,40,45,50)/100*(Inputs!$B$11-Inputs!$B$11),0))))/100+(Inputs!$B$23+(IF(ArtifactsInput!$M$15,CHOOSE(ArtifactsInput!$N$15+1,25,30,35,40,45,50)/100*(Inputs!$B$11-Inputs!$B$11),0)))/100)/2</f>
        <v>38092425522689.242</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179758156041570.5</v>
      </c>
      <c r="N869">
        <f>L869*(1-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179758156041570.5</v>
      </c>
      <c r="O869">
        <f>(1-Summary!$B$11)*S869+Summary!$B$11*U869</f>
        <v>448541538862728.75</v>
      </c>
      <c r="P869">
        <f>IF(B903=0,0,O869/B903)</f>
        <v>1.3518660029648265E-2</v>
      </c>
      <c r="Q869">
        <f>IFERROR(1/(IF(Inputs!$B$38="pvp",15,MAX(0.1,Skills!E7-IF(TRUE=TRUE,Inputs!$B$32,0)))*(1-IF(AND(ArtifactsInput!$M$27,Inputs!$B$4="Chapter Hunt"),CHOOSE(ArtifactsInput!$N$27+1,20,24,28,32,36,40),0)/100)),0)</f>
        <v>4.0816326530612242E-2</v>
      </c>
      <c r="R869">
        <f>IF(AND(Inputs!$B$38&lt;&gt;"pvp",Inputs!$B$43&gt;0),IF(MAX(0,Inputs!$B$43-B900)&lt;=0,0,(INT(MAX(0,Inputs!$B$43-B900)/(IF(Inputs!$B$38="pvp",15,MAX(0.1,Skills!E7-IF(TRUE=TRUE,Inputs!$B$32,0)))*(1-IF(AND(ArtifactsInput!$M$27,Inputs!$B$4="Chapter Hunt"),CHOOSE(ArtifactsInput!$N$27+1,20,24,28,32,36,40),0)/100)))+1)),0)</f>
        <v>2</v>
      </c>
      <c r="S869">
        <f>IF(C869,(H869*N869*IF(AND(Inputs!$B$38&lt;&gt;"pvp",Inputs!$B$43&gt;0),((Skills!G7*((R869-1)*IF(Skills!H7&gt;0,Skills!I7/Skills!H7,1)+IF(Skills!H7&gt;0,MIN(Skills!I7,MAX(0,MAX(0,Inputs!$B$43-B900)-((R869-1)*(IF(Inputs!$B$38="pvp",15,MAX(0.1,Skills!E7-IF(TRUE=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85475003197766.766</v>
      </c>
      <c r="U869">
        <f>IF(C869,(H869*N869*IF(AND(Inputs!$B$38&lt;&gt;"pvp",Inputs!$B$43&gt;0),((Skills!G7*((R869-1)*IF(Skills!H7&gt;0,Skills!I7/Skills!H7,1)+IF(Skills!H7&gt;0,MIN(Skills!I7,MAX(0,MAX(0,Inputs!$B$43-B900)-((R869-1)*(IF(Inputs!$B$38="pvp",15,MAX(0.1,Skills!E7-IF(TRUE=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811608074527690.75</v>
      </c>
    </row>
    <row r="870" spans="1:26" x14ac:dyDescent="0.2">
      <c r="A870" t="str">
        <f>Skills!A8</f>
        <v>POISON_MIST_DOT</v>
      </c>
      <c r="B870" t="str">
        <f>Skills!B8</f>
        <v>Poison Mist (fog DoT)</v>
      </c>
      <c r="C870" t="b">
        <f>TRUE</f>
        <v>1</v>
      </c>
      <c r="D870">
        <f>IF(Skills!C8=1,60+Inputs!$B$25+Inputs!$B$29,IF(Skills!C8=2,90+Inputs!$B$26+Inputs!$B$29,IF(Skills!C8=3,120+Inputs!$B$27+Inputs!$B$29,MAX(0,(Inputs!$B$3-100)*3)+(Inputs!$B$28+1)+Inputs!$B$29)))</f>
        <v>184</v>
      </c>
      <c r="E870">
        <f>INDEX(FactorTable!$B$2:$Y$301, MATCH(ROUND(MIN(300,MAX(1,D870)),0), FactorTable!$A$2:$A$301,0), Skills!M8+1)</f>
        <v>1920</v>
      </c>
      <c r="F870">
        <f>IF(Skills!N8=TRUE,(Skills!L8/10)*(E870/1000),Skills!L8/10)+Skills!O8</f>
        <v>134.4</v>
      </c>
      <c r="G870">
        <f>Calc!G8</f>
        <v>50</v>
      </c>
      <c r="H870">
        <f>Calc!H8</f>
        <v>1</v>
      </c>
      <c r="I870">
        <f>IF(Skills!X8&lt;&gt;"",1+(Skills!X8/10)*(Z865/1000)/100,1)</f>
        <v>1.766</v>
      </c>
      <c r="J870">
        <f>((Inputs!$B$6*(1+Inputs!$B$7/100))+(((Inputs!$B$12*(1+Inputs!$B$13/100))-(Inputs!$B$12*(1+Inputs!$B$13/100)))+0.25*(Inputs!$B$14-Inputs!$B$14))*(1+Inputs!$B$7/100))*(F870/100)</f>
        <v>485364796.74950409</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4310570932018.8213</v>
      </c>
      <c r="L870">
        <f>K870*(MIN(Inputs!$B$22+(F884-Calc!F22),(Inputs!$B$23+(IF(ArtifactsInput!$M$15,CHOOSE(ArtifactsInput!$N$15+1,25,30,35,40,45,50)/100*(Inputs!$B$11-Inputs!$B$11),0))))/100+(Inputs!$B$23+(IF(ArtifactsInput!$M$15,CHOOSE(ArtifactsInput!$N$15+1,25,30,35,40,45,50)/100*(Inputs!$B$11-Inputs!$B$11),0)))/100)/2</f>
        <v>14332648348962.582</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67635767558754.414</v>
      </c>
      <c r="N870">
        <f>L870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67635767558754.414</v>
      </c>
      <c r="O870">
        <f>(1-Summary!$B$11)*S870+Summary!$B$11*U870</f>
        <v>2330737207483380</v>
      </c>
      <c r="P870">
        <f>IF(B903=0,0,O870/B903)</f>
        <v>7.0246434714405337E-2</v>
      </c>
      <c r="Q870">
        <f>IFERROR(1/(IF(Inputs!$B$38="pvp",15,MAX(0.1,Skills!E8-IF(TRUE=TRUE,Inputs!$B$32,0)))*(1-IF(AND(ArtifactsInput!$M$27,Inputs!$B$4="Chapter Hunt"),CHOOSE(ArtifactsInput!$N$27+1,20,24,28,32,36,40),0)/100)),0)</f>
        <v>4.0816326530612242E-2</v>
      </c>
      <c r="R870">
        <f>IF(AND(Inputs!$B$38&lt;&gt;"pvp",Inputs!$B$43&gt;0),IF(MAX(0,Inputs!$B$43-B900)&lt;=0,0,(INT(MAX(0,Inputs!$B$43-B900)/(IF(Inputs!$B$38="pvp",15,MAX(0.1,Skills!E8-IF(TRUE=TRUE,Inputs!$B$32,0)))*(1-IF(AND(ArtifactsInput!$M$27,Inputs!$B$4="Chapter Hunt"),CHOOSE(ArtifactsInput!$N$27+1,20,24,28,32,36,40),0)/100)))+1)),0)</f>
        <v>2</v>
      </c>
      <c r="S870">
        <f>IF(C870,(H870*N870*IF(AND(Inputs!$B$38&lt;&gt;"pvp",Inputs!$B$43&gt;0),((Skills!G8*((R870-1)*IF(Skills!H8&gt;0,Skills!I8/Skills!H8,1)+IF(Skills!H8&gt;0,MIN(Skills!I8,MAX(0,MAX(0,Inputs!$B$43-B900)-((R870-1)*(IF(Inputs!$B$38="pvp",15,MAX(0.1,Skills!E8-IF(TRUE=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444150102057247.69</v>
      </c>
      <c r="U870">
        <f>IF(C870,(H870*N870*IF(AND(Inputs!$B$38&lt;&gt;"pvp",Inputs!$B$43&gt;0),((Skills!G8*((R870-1)*IF(Skills!H8&gt;0,Skills!I8/Skills!H8,1)+IF(Skills!H8&gt;0,MIN(Skills!I8,MAX(0,MAX(0,Inputs!$B$43-B900)-((R870-1)*(IF(Inputs!$B$38="pvp",15,MAX(0.1,Skills!E8-IF(TRUE=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4217324312909512.5</v>
      </c>
    </row>
    <row r="871" spans="1:26" x14ac:dyDescent="0.2">
      <c r="A871" t="str">
        <f>Skills!A9</f>
        <v>MIST_ERUPTION</v>
      </c>
      <c r="B871" t="str">
        <f>Skills!B9</f>
        <v>Mist Eruption</v>
      </c>
      <c r="C871" t="b">
        <f>Inputs!$B$3&gt;=103</f>
        <v>1</v>
      </c>
      <c r="D871">
        <f>IF(Skills!C9=1,60+Inputs!$B$25+Inputs!$B$29,IF(Skills!C9=2,90+Inputs!$B$26+Inputs!$B$29,IF(Skills!C9=3,120+Inputs!$B$27+Inputs!$B$29,MAX(0,(Inputs!$B$3-100)*3)+(Inputs!$B$28+1)+Inputs!$B$29)))</f>
        <v>186</v>
      </c>
      <c r="E871">
        <f>INDEX(FactorTable!$B$2:$Y$301, MATCH(ROUND(MIN(300,MAX(1,D871)),0), FactorTable!$A$2:$A$301,0), Skills!M9+1)</f>
        <v>1930</v>
      </c>
      <c r="F871">
        <f>IF(Skills!N9=TRUE,(Skills!L9/10)*(E871/1000),Skills!L9/10)+Skills!O9</f>
        <v>5790</v>
      </c>
      <c r="G871">
        <f>Calc!G9</f>
        <v>2.5</v>
      </c>
      <c r="H871">
        <f>Calc!H9</f>
        <v>1</v>
      </c>
      <c r="I871">
        <f>IF(Skills!X9&lt;&gt;"",1+(Skills!X9/10)*(Z865/1000)/100,1)</f>
        <v>1</v>
      </c>
      <c r="J871">
        <f>((Inputs!$B$6*(1+Inputs!$B$7/100))+(((Inputs!$B$12*(1+Inputs!$B$13/100))-(Inputs!$B$12*(1+Inputs!$B$13/100)))+0.25*(Inputs!$B$14-Inputs!$B$14))*(1+Inputs!$B$7/100))*(F871/100)</f>
        <v>20909688788.538902</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105153417463753.91</v>
      </c>
      <c r="L871">
        <f>K871*(MIN(Inputs!$B$22+(F884-Calc!F22),(Inputs!$B$23+(IF(ArtifactsInput!$M$15,CHOOSE(ArtifactsInput!$N$15+1,25,30,35,40,45,50)/100*(Inputs!$B$11-Inputs!$B$11),0))))/100+(Inputs!$B$23+(IF(ArtifactsInput!$M$15,CHOOSE(ArtifactsInput!$N$15+1,25,30,35,40,45,50)/100*(Inputs!$B$11-Inputs!$B$11),0)))/100)/2</f>
        <v>349635113066981.75</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1649928098563086.8</v>
      </c>
      <c r="N871">
        <f>L871*(1-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1649928098563086.8</v>
      </c>
      <c r="O871">
        <f>(1-Summary!$B$11)*S871+Summary!$B$11*U871</f>
        <v>3430819239949618</v>
      </c>
      <c r="P871">
        <f>IF(B903=0,0,O871/B903)</f>
        <v>0.10340197040758192</v>
      </c>
      <c r="Q871">
        <f>IFERROR(1/(IF(Inputs!$B$38="pvp",15,MAX(0.1,Skills!E9-IF(TRUE=TRUE,Inputs!$B$32,0)))*(1-IF(AND(ArtifactsInput!$M$27,Inputs!$B$4="Chapter Hunt"),CHOOSE(ArtifactsInput!$N$27+1,20,24,28,32,36,40),0)/100)),0)</f>
        <v>4.0816326530612242E-2</v>
      </c>
      <c r="R871">
        <f>IF(AND(Inputs!$B$38&lt;&gt;"pvp",Inputs!$B$43&gt;0),IF(MAX(0,Inputs!$B$43-B900)&lt;=0,0,(INT(MAX(0,Inputs!$B$43-B900)/(IF(Inputs!$B$38="pvp",15,MAX(0.1,Skills!E9-IF(TRUE=TRUE,Inputs!$B$32,0)))*(1-IF(AND(ArtifactsInput!$M$27,Inputs!$B$4="Chapter Hunt"),CHOOSE(ArtifactsInput!$N$27+1,20,24,28,32,36,40),0)/100)))+1)),0)</f>
        <v>2</v>
      </c>
      <c r="S871">
        <f>IF(C871,(H871*N871*IF(AND(Inputs!$B$38&lt;&gt;"pvp",Inputs!$B$43&gt;0),((Skills!G9*((R871-1)*IF(Skills!H9&gt;0,Skills!I9/Skills!H9,1)+IF(Skills!H9&gt;0,MIN(Skills!I9,MAX(0,MAX(0,Inputs!$B$43-B900)-((R871-1)*(IF(Inputs!$B$38="pvp",15,MAX(0.1,Skills!E9-IF(TRUE=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653784009055623.12</v>
      </c>
      <c r="U871">
        <f>IF(C871,(H871*N871*IF(AND(Inputs!$B$38&lt;&gt;"pvp",Inputs!$B$43&gt;0),((Skills!G9*((R871-1)*IF(Skills!H9&gt;0,Skills!I9/Skills!H9,1)+IF(Skills!H9&gt;0,MIN(Skills!I9,MAX(0,MAX(0,Inputs!$B$43-B900)-((R871-1)*(IF(Inputs!$B$38="pvp",15,MAX(0.1,Skills!E9-IF(TRUE=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6207854470843613</v>
      </c>
    </row>
    <row r="872" spans="1:26" x14ac:dyDescent="0.2">
      <c r="A872" t="str">
        <f>Skills!A10</f>
        <v>CREEPING_TOXIN</v>
      </c>
      <c r="B872" t="str">
        <f>Skills!B10</f>
        <v>Creeping Toxin</v>
      </c>
      <c r="C872" t="b">
        <f>TRUE</f>
        <v>1</v>
      </c>
      <c r="D872">
        <f>IF(Skills!C10=1,60+Inputs!$B$25+Inputs!$B$29,IF(Skills!C10=2,90+Inputs!$B$26+Inputs!$B$29,IF(Skills!C10=3,120+Inputs!$B$27+Inputs!$B$29,MAX(0,(Inputs!$B$3-100)*3)+(Inputs!$B$28+1)+Inputs!$B$29)))</f>
        <v>184</v>
      </c>
      <c r="E872">
        <f>INDEX(FactorTable!$B$2:$Y$301, MATCH(ROUND(MIN(300,MAX(1,D872)),0), FactorTable!$A$2:$A$301,0), Skills!M10+1)</f>
        <v>1920</v>
      </c>
      <c r="F872">
        <f>IF(Skills!N10=TRUE,(Skills!L10/10)*(E872/1000),Skills!L10/10)+Skills!O10</f>
        <v>280.39999999999998</v>
      </c>
      <c r="G872">
        <f>Calc!G10</f>
        <v>15</v>
      </c>
      <c r="H872">
        <f>Calc!H10</f>
        <v>1</v>
      </c>
      <c r="I872">
        <f>IF(Skills!X10&lt;&gt;"",1+(Skills!X10/10)*(Z865/1000)/100,1)</f>
        <v>1.766</v>
      </c>
      <c r="J872">
        <f>((Inputs!$B$6*(1+Inputs!$B$7/100))+(((Inputs!$B$12*(1+Inputs!$B$13/100))-(Inputs!$B$12*(1+Inputs!$B$13/100)))+0.25*(Inputs!$B$14-Inputs!$B$14))*(1+Inputs!$B$7/100))*(F872/100)</f>
        <v>1012621197.9803641</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8993185188527.3613</v>
      </c>
      <c r="L872">
        <f>K872*(MIN(Inputs!$B$22+(F884-Calc!F22),(Inputs!$B$23+(IF(ArtifactsInput!$M$15,CHOOSE(ArtifactsInput!$N$15+1,25,30,35,40,45,50)/100*(Inputs!$B$11-Inputs!$B$11),0))))/100+(Inputs!$B$23+(IF(ArtifactsInput!$M$15,CHOOSE(ArtifactsInput!$N$15+1,25,30,35,40,45,50)/100*(Inputs!$B$11-Inputs!$B$11),0)))/100)/2</f>
        <v>29902340751853.477</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141109146007996.53</v>
      </c>
      <c r="N872">
        <f>L872*(1-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141109146007996.53</v>
      </c>
      <c r="O872">
        <f>(1-Summary!$B$11)*S872+Summary!$B$11*U872</f>
        <v>324778451284988.38</v>
      </c>
      <c r="P872">
        <f>IF(B903=0,0,O872/B903)</f>
        <v>9.7885459594437337E-3</v>
      </c>
      <c r="Q872">
        <f>IFERROR(1/(IF(Inputs!$B$38="pvp",15,MAX(0.1,Skills!E10-IF(TRUE=TRUE,Inputs!$B$32,0)))*(1-IF(AND(ArtifactsInput!$M$27,Inputs!$B$4="Chapter Hunt"),CHOOSE(ArtifactsInput!$N$27+1,20,24,28,32,36,40),0)/100)),0)</f>
        <v>3.7037037037037035E-2</v>
      </c>
      <c r="R872">
        <f>IF(AND(Inputs!$B$38&lt;&gt;"pvp",Inputs!$B$43&gt;0),IF(MAX(0,Inputs!$B$43-B900)&lt;=0,0,(INT(MAX(0,Inputs!$B$43-B900)/(IF(Inputs!$B$38="pvp",15,MAX(0.1,Skills!E10-IF(TRUE=TRUE,Inputs!$B$32,0)))*(1-IF(AND(ArtifactsInput!$M$27,Inputs!$B$4="Chapter Hunt"),CHOOSE(ArtifactsInput!$N$27+1,20,24,28,32,36,40),0)/100)))+1)),0)</f>
        <v>2</v>
      </c>
      <c r="S872">
        <f>IF(C872,(H872*N872*IF(AND(Inputs!$B$38&lt;&gt;"pvp",Inputs!$B$43&gt;0),((Skills!G10*((R872-1)*IF(Skills!H10&gt;0,Skills!I10/Skills!H10,1)+IF(Skills!H10&gt;0,MIN(Skills!I10,MAX(0,MAX(0,Inputs!$B$43-B900)-((R872-1)*(IF(Inputs!$B$38="pvp",15,MAX(0.1,Skills!E10-IF(TRUE=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286782086510700.06</v>
      </c>
      <c r="U872">
        <f>IF(C872,(H872*N872*IF(AND(Inputs!$B$38&lt;&gt;"pvp",Inputs!$B$43&gt;0),((Skills!G10*((R872-1)*IF(Skills!H10&gt;0,Skills!I10/Skills!H10,1)+IF(Skills!H10&gt;0,MIN(Skills!I10,MAX(0,MAX(0,Inputs!$B$43-B900)-((R872-1)*(IF(Inputs!$B$38="pvp",15,MAX(0.1,Skills!E10-IF(TRUE=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362774816059276.75</v>
      </c>
    </row>
    <row r="873" spans="1:26" x14ac:dyDescent="0.2">
      <c r="A873" t="str">
        <f>Skills!A11</f>
        <v>BURNING_MAGIC</v>
      </c>
      <c r="B873" t="str">
        <f>Skills!B11</f>
        <v>Burning Magic</v>
      </c>
      <c r="C873" t="b">
        <f>TRUE</f>
        <v>1</v>
      </c>
      <c r="D873">
        <f>IF(Skills!C11=1,60+Inputs!$B$25+Inputs!$B$29,IF(Skills!C11=2,90+Inputs!$B$26+Inputs!$B$29,IF(Skills!C11=3,120+Inputs!$B$27+Inputs!$B$29,MAX(0,(Inputs!$B$3-100)*3)+(Inputs!$B$28+1)+Inputs!$B$29)))</f>
        <v>184</v>
      </c>
      <c r="E873">
        <f>INDEX(FactorTable!$B$2:$Y$301, MATCH(ROUND(MIN(300,MAX(1,D873)),0), FactorTable!$A$2:$A$301,0), Skills!M11+1)</f>
        <v>0</v>
      </c>
      <c r="F873">
        <f>IF(Skills!N11=TRUE,(Skills!L11/10)*(E873/1000),Skills!L11/10)+Skills!O11</f>
        <v>5</v>
      </c>
      <c r="G873">
        <f>Calc!G11</f>
        <v>1</v>
      </c>
      <c r="H873">
        <f>Calc!H11</f>
        <v>1</v>
      </c>
      <c r="I873">
        <f>IF(Skills!X11&lt;&gt;"",1+(Skills!X11/10)*(Z865/1000)/100,1)</f>
        <v>1</v>
      </c>
      <c r="O873">
        <f>(1-Summary!$B$11)*S873+Summary!$B$11*U873</f>
        <v>0</v>
      </c>
      <c r="P873">
        <f>IF(B903=0,0,O873/B903)</f>
        <v>0</v>
      </c>
      <c r="Q873">
        <f>IFERROR(1/(IF(Inputs!$B$38="pvp",15,MAX(0.1,Skills!E11-IF(TRUE=TRUE,Inputs!$B$32,0)))*(1-IF(AND(ArtifactsInput!$M$27,Inputs!$B$4="Chapter Hunt"),CHOOSE(ArtifactsInput!$N$27+1,20,24,28,32,36,40),0)/100)),0)</f>
        <v>10</v>
      </c>
      <c r="R873">
        <v>0</v>
      </c>
      <c r="S873">
        <v>0</v>
      </c>
      <c r="U873">
        <v>0</v>
      </c>
    </row>
    <row r="874" spans="1:26" x14ac:dyDescent="0.2">
      <c r="A874" t="str">
        <f>Skills!A12</f>
        <v>ELEMENTAL_DECREASE</v>
      </c>
      <c r="B874" t="str">
        <f>Skills!B12</f>
        <v>Elemental Decrease</v>
      </c>
      <c r="C874" t="b">
        <f>TRUE</f>
        <v>1</v>
      </c>
      <c r="D874">
        <f>IF(Skills!C12=1,60+Inputs!$B$25+Inputs!$B$29,IF(Skills!C12=2,90+Inputs!$B$26+Inputs!$B$29,IF(Skills!C12=3,120+Inputs!$B$27+Inputs!$B$29,MAX(0,(Inputs!$B$3-100)*3)+(Inputs!$B$28+1)+Inputs!$B$29)))</f>
        <v>184</v>
      </c>
      <c r="E874">
        <f>INDEX(FactorTable!$B$2:$Y$301, MATCH(ROUND(MIN(300,MAX(1,D874)),0), FactorTable!$A$2:$A$301,0), Skills!M12+1)</f>
        <v>1552</v>
      </c>
      <c r="F874">
        <f>IF(Skills!N12=TRUE,(Skills!L12/10)*(E874/1000),Skills!L12/10)+Skills!O12</f>
        <v>18.624000000000002</v>
      </c>
      <c r="G874">
        <f>Calc!G12</f>
        <v>1</v>
      </c>
      <c r="H874">
        <f>Calc!H12</f>
        <v>0.5</v>
      </c>
      <c r="I874">
        <f>IF(Skills!X12&lt;&gt;"",1+(Skills!X12/10)*(Z865/1000)/100,1)</f>
        <v>1</v>
      </c>
      <c r="O874">
        <f>(1-Summary!$B$11)*S874+Summary!$B$11*U874</f>
        <v>0</v>
      </c>
      <c r="P874">
        <f>IF(B903=0,0,O874/B903)</f>
        <v>0</v>
      </c>
      <c r="Q874">
        <f>IFERROR(1/(IF(Inputs!$B$38="pvp",15,MAX(0.1,Skills!E12-IF(TRUE=TRUE,Inputs!$B$32,0)))*(1-IF(AND(ArtifactsInput!$M$27,Inputs!$B$4="Chapter Hunt"),CHOOSE(ArtifactsInput!$N$27+1,20,24,28,32,36,40),0)/100)),0)</f>
        <v>10</v>
      </c>
      <c r="R874">
        <v>0</v>
      </c>
      <c r="S874">
        <v>0</v>
      </c>
      <c r="U874">
        <v>0</v>
      </c>
    </row>
    <row r="875" spans="1:26" x14ac:dyDescent="0.2">
      <c r="A875" t="str">
        <f>Skills!A13</f>
        <v>METEOR_SHOWER_BURST</v>
      </c>
      <c r="B875" t="str">
        <f>Skills!B13</f>
        <v>Meteor Shower (burst)</v>
      </c>
      <c r="C875" t="b">
        <f>Inputs!$B$3&gt;=105</f>
        <v>1</v>
      </c>
      <c r="D875">
        <f>IF(Skills!C13=1,60+Inputs!$B$25+Inputs!$B$29,IF(Skills!C13=2,90+Inputs!$B$26+Inputs!$B$29,IF(Skills!C13=3,120+Inputs!$B$27+Inputs!$B$29,MAX(0,(Inputs!$B$3-100)*3)+(Inputs!$B$28+1)+Inputs!$B$29)))</f>
        <v>186</v>
      </c>
      <c r="E875">
        <f>INDEX(FactorTable!$B$2:$Y$301, MATCH(ROUND(MIN(300,MAX(1,D875)),0), FactorTable!$A$2:$A$301,0), Skills!M13+1)</f>
        <v>1930</v>
      </c>
      <c r="F875">
        <f>IF(Skills!N13=TRUE,(Skills!L13/10)*(E875/1000),Skills!L13/10)+Skills!O13</f>
        <v>1158</v>
      </c>
      <c r="G875">
        <f>Calc!G13</f>
        <v>9</v>
      </c>
      <c r="H875">
        <f>Calc!H13</f>
        <v>1</v>
      </c>
      <c r="I875">
        <f>IF(Skills!X13&lt;&gt;"",1+(Skills!X13/10)*(Z865/1000)/100,1)</f>
        <v>1</v>
      </c>
      <c r="J875">
        <f>((Inputs!$B$6*(1+Inputs!$B$7/100))+(((Inputs!$B$12*(1+Inputs!$B$13/100))-(Inputs!$B$12*(1+Inputs!$B$13/100)))+0.25*(Inputs!$B$14-Inputs!$B$14))*(1+Inputs!$B$7/100))*(F875/100)</f>
        <v>4181937757.7077804</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21030683492750.773</v>
      </c>
      <c r="L875">
        <f>K875*(MIN(Inputs!$B$22+(F884-Calc!F22),(Inputs!$B$23+(IF(ArtifactsInput!$M$15,CHOOSE(ArtifactsInput!$N$15+1,25,30,35,40,45,50)/100*(Inputs!$B$11-Inputs!$B$11),0))))/100+(Inputs!$B$23+(IF(ArtifactsInput!$M$15,CHOOSE(ArtifactsInput!$N$15+1,25,30,35,40,45,50)/100*(Inputs!$B$11-Inputs!$B$11),0)))/100)/2</f>
        <v>69927022613396.328</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329985619712617.25</v>
      </c>
      <c r="N875">
        <f>L875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329985619712617.25</v>
      </c>
      <c r="O875">
        <f>(1-Summary!$B$11)*S875+Summary!$B$11*U875</f>
        <v>1799741569912614.8</v>
      </c>
      <c r="P875">
        <f>IF(B903=0,0,O875/B903)</f>
        <v>5.4242678362772641E-2</v>
      </c>
      <c r="Q875">
        <f>IFERROR(1/(IF(Inputs!$B$38="pvp",15,MAX(0.1,Skills!E13-IF(TRUE=TRUE,Inputs!$B$32,0)))*(1-IF(AND(ArtifactsInput!$M$27,Inputs!$B$4="Chapter Hunt"),CHOOSE(ArtifactsInput!$N$27+1,20,24,28,32,36,40),0)/100)),0)</f>
        <v>3.0303030303030304E-2</v>
      </c>
      <c r="R875">
        <f>IF(AND(Inputs!$B$38&lt;&gt;"pvp",Inputs!$B$43&gt;0),IF(MAX(0,Inputs!$B$43-B900)&lt;=0,0,(INT(MAX(0,Inputs!$B$43-B900)/(IF(Inputs!$B$38="pvp",15,MAX(0.1,Skills!E13-IF(TRUE=TRUE,Inputs!$B$32,0)))*(1-IF(AND(ArtifactsInput!$M$27,Inputs!$B$4="Chapter Hunt"),CHOOSE(ArtifactsInput!$N$27+1,20,24,28,32,36,40),0)/100)))+1)),0)</f>
        <v>2</v>
      </c>
      <c r="S875">
        <f>IF(C875,(H875*N875*IF(AND(Inputs!$B$38&lt;&gt;"pvp",Inputs!$B$43&gt;0),((Skills!G13*((R875-1)*IF(Skills!H13&gt;0,Skills!I13/Skills!H13,1)+IF(Skills!H13&gt;0,MIN(Skills!I13,MAX(0,MAX(0,Inputs!$B$43-B900)-((R875-1)*(IF(Inputs!$B$38="pvp",15,MAX(0.1,Skills!E13-IF(TRUE=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470724486520048.56</v>
      </c>
      <c r="U875">
        <f>IF(C875,(H875*N875*IF(AND(Inputs!$B$38&lt;&gt;"pvp",Inputs!$B$43&gt;0),((Skills!G13*((R875-1)*IF(Skills!H13&gt;0,Skills!I13/Skills!H13,1)+IF(Skills!H13&gt;0,MIN(Skills!I13,MAX(0,MAX(0,Inputs!$B$43-B900)-((R875-1)*(IF(Inputs!$B$38="pvp",15,MAX(0.1,Skills!E13-IF(TRUE=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3128758653305181</v>
      </c>
    </row>
    <row r="876" spans="1:26" x14ac:dyDescent="0.2">
      <c r="A876" t="str">
        <f>Skills!A14</f>
        <v>METEOR_PROC</v>
      </c>
      <c r="B876" t="str">
        <f>Skills!B14</f>
        <v>Meteor Proc (30% on-hit, 1s ICD)</v>
      </c>
      <c r="C876" t="b">
        <f>Inputs!$B$3&gt;=113</f>
        <v>1</v>
      </c>
      <c r="D876">
        <f>IF(Skills!C14=1,60+Inputs!$B$25+Inputs!$B$29,IF(Skills!C14=2,90+Inputs!$B$26+Inputs!$B$29,IF(Skills!C14=3,120+Inputs!$B$27+Inputs!$B$29,MAX(0,(Inputs!$B$3-100)*3)+(Inputs!$B$28+1)+Inputs!$B$29)))</f>
        <v>186</v>
      </c>
      <c r="E876">
        <f>INDEX(FactorTable!$B$2:$Y$301, MATCH(ROUND(MIN(300,MAX(1,D876)),0), FactorTable!$A$2:$A$301,0), Skills!M14+1)</f>
        <v>1744</v>
      </c>
      <c r="F876">
        <f>IF(Skills!N14=TRUE,(Skills!L14/10)*(E876/1000),Skills!L14/10)+Skills!O14</f>
        <v>1656.8</v>
      </c>
      <c r="G876">
        <f>Calc!G14</f>
        <v>0</v>
      </c>
      <c r="H876">
        <f>Calc!H14</f>
        <v>0.30000000000000004</v>
      </c>
      <c r="I876">
        <f>IF(Skills!X14&lt;&gt;"",1+(Skills!X14/10)*(Z865/1000)/100,1)</f>
        <v>1</v>
      </c>
      <c r="J876">
        <f>((Inputs!$B$6*(1+Inputs!$B$7/100))+(((Inputs!$B$12*(1+Inputs!$B$13/100))-(Inputs!$B$12*(1+Inputs!$B$13/100)))+0.25*(Inputs!$B$14-Inputs!$B$14))*(1+Inputs!$B$7/100))*(F876/100)</f>
        <v>5983276750.4060879</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30089496036951.188</v>
      </c>
      <c r="L876">
        <f>K876*(MIN(Inputs!$B$22+(F884-Calc!F22),(Inputs!$B$23+(IF(ArtifactsInput!$M$15,CHOOSE(ArtifactsInput!$N$15+1,25,30,35,40,45,50)/100*(Inputs!$B$11-Inputs!$B$11),0))))/100+(Inputs!$B$23+(IF(ArtifactsInput!$M$15,CHOOSE(ArtifactsInput!$N$15+1,25,30,35,40,45,50)/100*(Inputs!$B$11-Inputs!$B$11),0)))/100)/2</f>
        <v>100047574322862.7</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472124503229589.06</v>
      </c>
      <c r="N876">
        <f>L876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472124503229589.06</v>
      </c>
      <c r="O876">
        <f>(1-Summary!$B$11)*S876+Summary!$B$11*U876</f>
        <v>462704995399861</v>
      </c>
      <c r="P876">
        <f>IF(B903=0,0,O876/B903)</f>
        <v>1.3945534548908314E-2</v>
      </c>
      <c r="Q876">
        <f>IFERROR(1/(IF(Inputs!$B$38="pvp",15,MAX(0.1,Skills!E14-IF(TRUE=TRUE,Inputs!$B$32,0)))*(1-IF(AND(ArtifactsInput!$M$27,Inputs!$B$4="Chapter Hunt"),CHOOSE(ArtifactsInput!$N$27+1,20,24,28,32,36,40),0)/100)),0)</f>
        <v>10</v>
      </c>
      <c r="R876">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474684412756491.75</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450725578043230.31</v>
      </c>
    </row>
    <row r="877" spans="1:26" x14ac:dyDescent="0.2">
      <c r="A877" t="str">
        <f>Skills!A15</f>
        <v>FLAME_HAZE_BURST</v>
      </c>
      <c r="B877" t="str">
        <f>Skills!B15</f>
        <v>Flame Haze (burst)</v>
      </c>
      <c r="C877" t="b">
        <f>Inputs!$B$3&gt;=107</f>
        <v>1</v>
      </c>
      <c r="D877">
        <f>IF(Skills!C15=1,60+Inputs!$B$25+Inputs!$B$29,IF(Skills!C15=2,90+Inputs!$B$26+Inputs!$B$29,IF(Skills!C15=3,120+Inputs!$B$27+Inputs!$B$29,MAX(0,(Inputs!$B$3-100)*3)+(Inputs!$B$28+1)+Inputs!$B$29)))</f>
        <v>186</v>
      </c>
      <c r="E877">
        <f>INDEX(FactorTable!$B$2:$Y$301, MATCH(ROUND(MIN(300,MAX(1,D877)),0), FactorTable!$A$2:$A$301,0), Skills!M15+1)</f>
        <v>1930</v>
      </c>
      <c r="F877">
        <f>IF(Skills!N15=TRUE,(Skills!L15/10)*(E877/1000),Skills!L15/10)+Skills!O15</f>
        <v>2316</v>
      </c>
      <c r="G877">
        <f>Calc!G15</f>
        <v>3</v>
      </c>
      <c r="H877">
        <f>Calc!H15</f>
        <v>1</v>
      </c>
      <c r="I877">
        <f>IF(Skills!X15&lt;&gt;"",1+(Skills!X15/10)*(Z865/1000)/100,1)</f>
        <v>1</v>
      </c>
      <c r="J877">
        <f>((Inputs!$B$6*(1+Inputs!$B$7/100))+(((Inputs!$B$12*(1+Inputs!$B$13/100))-(Inputs!$B$12*(1+Inputs!$B$13/100)))+0.25*(Inputs!$B$14-Inputs!$B$14))*(1+Inputs!$B$7/100))*(F877/100)</f>
        <v>8363875515.4155607</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42061366985501.547</v>
      </c>
      <c r="L877">
        <f>K877*(MIN(Inputs!$B$22+(F884-Calc!F22),(Inputs!$B$23+(IF(ArtifactsInput!$M$15,CHOOSE(ArtifactsInput!$N$15+1,25,30,35,40,45,50)/100*(Inputs!$B$11-Inputs!$B$11),0))))/100+(Inputs!$B$23+(IF(ArtifactsInput!$M$15,CHOOSE(ArtifactsInput!$N$15+1,25,30,35,40,45,50)/100*(Inputs!$B$11-Inputs!$B$11),0)))/100)/2</f>
        <v>139854045226792.66</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659971239425234.5</v>
      </c>
      <c r="N877">
        <f>L877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659971239425234.5</v>
      </c>
      <c r="O877">
        <f>(1-Summary!$B$11)*S877+Summary!$B$11*U877</f>
        <v>1646793235175816.2</v>
      </c>
      <c r="P877">
        <f>IF(B903=0,0,O877/B903)</f>
        <v>4.9632945795639316E-2</v>
      </c>
      <c r="Q877">
        <f>IFERROR(1/(IF(Inputs!$B$38="pvp",15,MAX(0.1,Skills!E15-IF(TRUE=TRUE,Inputs!$B$32,0)))*(1-IF(AND(ArtifactsInput!$M$27,Inputs!$B$4="Chapter Hunt"),CHOOSE(ArtifactsInput!$N$27+1,20,24,28,32,36,40),0)/100)),0)</f>
        <v>0.04</v>
      </c>
      <c r="R877">
        <f>IF(AND(Inputs!$B$38&lt;&gt;"pvp",Inputs!$B$43&gt;0),IF(MAX(0,Inputs!$B$43-B900)&lt;=0,0,(INT(MAX(0,Inputs!$B$43-B900)/(IF(Inputs!$B$38="pvp",15,MAX(0.1,Skills!E15-IF(TRUE=TRUE,Inputs!$B$32,0)))*(1-IF(AND(ArtifactsInput!$M$27,Inputs!$B$4="Chapter Hunt"),CHOOSE(ArtifactsInput!$N$27+1,20,24,28,32,36,40),0)/100)))+1)),0)</f>
        <v>2</v>
      </c>
      <c r="S877">
        <f>IF(C877,(H877*N877*IF(AND(Inputs!$B$38&lt;&gt;"pvp",Inputs!$B$43&gt;0),((Skills!G15*((R877-1)*IF(Skills!H15&gt;0,Skills!I15/Skills!H15,1)+IF(Skills!H15&gt;0,MIN(Skills!I15,MAX(0,MAX(0,Inputs!$B$43-B900)-((R877-1)*(IF(Inputs!$B$38="pvp",15,MAX(0.1,Skills!E15-IF(TRUE=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313816324346699</v>
      </c>
      <c r="U877">
        <f>IF(C877,(H877*N877*IF(AND(Inputs!$B$38&lt;&gt;"pvp",Inputs!$B$43&gt;0),((Skills!G15*((R877-1)*IF(Skills!H15&gt;0,Skills!I15/Skills!H15,1)+IF(Skills!H15&gt;0,MIN(Skills!I15,MAX(0,MAX(0,Inputs!$B$43-B900)-((R877-1)*(IF(Inputs!$B$38="pvp",15,MAX(0.1,Skills!E15-IF(TRUE=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2979770146004933.5</v>
      </c>
    </row>
    <row r="878" spans="1:26" x14ac:dyDescent="0.2">
      <c r="A878" t="str">
        <f>Skills!A16</f>
        <v>FLAME_HAZE_DOT</v>
      </c>
      <c r="B878" t="str">
        <f>Skills!B16</f>
        <v>Flame Haze (burn DoT)</v>
      </c>
      <c r="C878" t="b">
        <f>Inputs!$B$3&gt;=107</f>
        <v>1</v>
      </c>
      <c r="D878">
        <f>IF(Skills!C16=1,60+Inputs!$B$25+Inputs!$B$29,IF(Skills!C16=2,90+Inputs!$B$26+Inputs!$B$29,IF(Skills!C16=3,120+Inputs!$B$27+Inputs!$B$29,MAX(0,(Inputs!$B$3-100)*3)+(Inputs!$B$28+1)+Inputs!$B$29)))</f>
        <v>186</v>
      </c>
      <c r="E878">
        <f>INDEX(FactorTable!$B$2:$Y$301, MATCH(ROUND(MIN(300,MAX(1,D878)),0), FactorTable!$A$2:$A$301,0), Skills!M16+1)</f>
        <v>1930</v>
      </c>
      <c r="F878">
        <f>IF(Skills!N16=TRUE,(Skills!L16/10)*(E878/1000),Skills!L16/10)+Skills!O16</f>
        <v>289.5</v>
      </c>
      <c r="G878">
        <f>Calc!G16</f>
        <v>30</v>
      </c>
      <c r="H878">
        <f>Calc!H16</f>
        <v>1</v>
      </c>
      <c r="I878">
        <f>IF(Skills!X16&lt;&gt;"",1+(Skills!X16/10)*(Z865/1000)/100,1)</f>
        <v>1</v>
      </c>
      <c r="J878">
        <f>((Inputs!$B$6*(1+Inputs!$B$7/100))+(((Inputs!$B$12*(1+Inputs!$B$13/100))-(Inputs!$B$12*(1+Inputs!$B$13/100)))+0.25*(Inputs!$B$14-Inputs!$B$14))*(1+Inputs!$B$7/100))*(F878/100)</f>
        <v>1045484439.4269451</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5257670873187.6934</v>
      </c>
      <c r="L878">
        <f>K878*(MIN(Inputs!$B$22+(F884-Calc!F22),(Inputs!$B$23+(IF(ArtifactsInput!$M$15,CHOOSE(ArtifactsInput!$N$15+1,25,30,35,40,45,50)/100*(Inputs!$B$11-Inputs!$B$11),0))))/100+(Inputs!$B$23+(IF(ArtifactsInput!$M$15,CHOOSE(ArtifactsInput!$N$15+1,25,30,35,40,45,50)/100*(Inputs!$B$11-Inputs!$B$11),0)))/100)/2</f>
        <v>17481755653349.082</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82496404928154.312</v>
      </c>
      <c r="N878">
        <f>L878*(1-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82496404928154.312</v>
      </c>
      <c r="O878">
        <f>(1-Summary!$B$11)*S878+Summary!$B$11*U878</f>
        <v>1896879222326482.2</v>
      </c>
      <c r="P878">
        <f>IF(B903=0,0,O878/B903)</f>
        <v>5.7170324489797454E-2</v>
      </c>
      <c r="Q878">
        <f>IFERROR(1/(IF(Inputs!$B$38="pvp",15,MAX(0.1,Skills!E16-IF(TRUE=TRUE,Inputs!$B$32,0)))*(1-IF(AND(ArtifactsInput!$M$27,Inputs!$B$4="Chapter Hunt"),CHOOSE(ArtifactsInput!$N$27+1,20,24,28,32,36,40),0)/100)),0)</f>
        <v>0.04</v>
      </c>
      <c r="R878">
        <f>IF(AND(Inputs!$B$38&lt;&gt;"pvp",Inputs!$B$43&gt;0),IF(MAX(0,Inputs!$B$43-B900)&lt;=0,0,(INT(MAX(0,Inputs!$B$43-B900)/(IF(Inputs!$B$38="pvp",15,MAX(0.1,Skills!E16-IF(TRUE=TRUE,Inputs!$B$32,0)))*(1-IF(AND(ArtifactsInput!$M$27,Inputs!$B$4="Chapter Hunt"),CHOOSE(ArtifactsInput!$N$27+1,20,24,28,32,36,40),0)/100)))+1)),0)</f>
        <v>2</v>
      </c>
      <c r="S878">
        <f>IF(C878,(H878*N878*IF(AND(Inputs!$B$38&lt;&gt;"pvp",Inputs!$B$43&gt;0),((Skills!G16*((R878-1)*IF(Skills!H16&gt;0,Skills!I16/Skills!H16,1)+IF(Skills!H16&gt;0,MIN(Skills!I16,MAX(0,MAX(0,Inputs!$B$43-B900)-((R878-1)*(IF(Inputs!$B$38="pvp",15,MAX(0.1,Skills!E16-IF(TRUE=TRUE,Inputs!$B$32,0)))*(1-IF(AND(ArtifactsInput!$M$27,Inputs!$B$4="Chapter Hunt"),CHOOSE(ArtifactsInput!$N$27+1,20,24,28,32,36,40),0)/100)))))/Skills!H16,1)))/Inputs!$B$43),G878*Q878)*(1+IF(Inputs!$B$3&gt;=126,0.05*(B898+Q875+(H876*B899)/(1+Skills!H14*H876*B899)+Q886),0)*(1/Q877)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361473227218211.56</v>
      </c>
      <c r="U878">
        <f>IF(C878,(H878*N878*IF(AND(Inputs!$B$38&lt;&gt;"pvp",Inputs!$B$43&gt;0),((Skills!G16*((R878-1)*IF(Skills!H16&gt;0,Skills!I16/Skills!H16,1)+IF(Skills!H16&gt;0,MIN(Skills!I16,MAX(0,MAX(0,Inputs!$B$43-B900)-((R878-1)*(IF(Inputs!$B$38="pvp",15,MAX(0.1,Skills!E16-IF(TRUE=TRUE,Inputs!$B$32,0)))*(1-IF(AND(ArtifactsInput!$M$27,Inputs!$B$4="Chapter Hunt"),CHOOSE(ArtifactsInput!$N$27+1,20,24,28,32,36,40),0)/100)))))/Skills!H16,1)))/Inputs!$B$43),G878*Q878)*(1+IF(Inputs!$B$3&gt;=126,0.05*(B898+Q875+(H876*B899)/(1+Skills!H14*H876*B899)+Q886),0)*(1/Q877)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3432285217434753</v>
      </c>
    </row>
    <row r="879" spans="1:26" x14ac:dyDescent="0.2">
      <c r="A879" t="str">
        <f>Skills!A17</f>
        <v>MAGIC_GUARD</v>
      </c>
      <c r="B879" t="str">
        <f>Skills!B17</f>
        <v>Magic Guard</v>
      </c>
      <c r="C879" t="b">
        <f>TRUE</f>
        <v>1</v>
      </c>
      <c r="D879">
        <f>IF(Skills!C17=1,60+Inputs!$B$25+Inputs!$B$29,IF(Skills!C17=2,90+Inputs!$B$26+Inputs!$B$29,IF(Skills!C17=3,120+Inputs!$B$27+Inputs!$B$29,MAX(0,(Inputs!$B$3-100)*3)+(Inputs!$B$28+1)+Inputs!$B$29)))</f>
        <v>127</v>
      </c>
      <c r="E879">
        <f>INDEX(FactorTable!$B$2:$Y$301, MATCH(ROUND(MIN(300,MAX(1,D879)),0), FactorTable!$A$2:$A$301,0), Skills!M17+1)</f>
        <v>1508</v>
      </c>
      <c r="F879">
        <f>IF(Skills!N17=TRUE,(Skills!L17/10)*(E879/1000),Skills!L17/10)+Skills!O17</f>
        <v>18.096</v>
      </c>
      <c r="G879">
        <f>Calc!G17</f>
        <v>1</v>
      </c>
      <c r="H879">
        <f>Calc!H17</f>
        <v>1</v>
      </c>
      <c r="I879">
        <f>IF(Skills!X17&lt;&gt;"",1+(Skills!X17/10)*(Z865/1000)/100,1)</f>
        <v>1</v>
      </c>
      <c r="O879">
        <f>(1-Summary!$B$11)*S879+Summary!$B$11*U879</f>
        <v>0</v>
      </c>
      <c r="P879">
        <f>IF(B903=0,0,O879/B903)</f>
        <v>0</v>
      </c>
      <c r="Q879">
        <f>IFERROR(1/(IF(Inputs!$B$38="pvp",15,MAX(0.1,Skills!E17-IF(TRUE=TRUE,Inputs!$B$32,0)))*(1-IF(AND(ArtifactsInput!$M$27,Inputs!$B$4="Chapter Hunt"),CHOOSE(ArtifactsInput!$N$27+1,20,24,28,32,36,40),0)/100)),0)</f>
        <v>4.7619047619047616E-2</v>
      </c>
      <c r="R879">
        <f>IF(AND(Inputs!$B$38&lt;&gt;"pvp",Inputs!$B$43&gt;0),IF(Inputs!$B$43&lt;=0,0,(INT(Inputs!$B$43/(IF(Inputs!$B$38="pvp",15,MAX(0.1,Skills!E17-IF(TRUE=TRUE,Inputs!$B$32,0)))*(1-IF(AND(ArtifactsInput!$M$27,Inputs!$B$4="Chapter Hunt"),CHOOSE(ArtifactsInput!$N$27+1,20,24,28,32,36,40),0)/100)))+1)),0)</f>
        <v>2</v>
      </c>
      <c r="S879">
        <v>0</v>
      </c>
      <c r="U879">
        <v>0</v>
      </c>
    </row>
    <row r="880" spans="1:26" x14ac:dyDescent="0.2">
      <c r="A880" t="str">
        <f>Skills!A18</f>
        <v>NIMBLE_FEET</v>
      </c>
      <c r="B880" t="str">
        <f>Skills!B18</f>
        <v>Nimble Feet</v>
      </c>
      <c r="C880" t="b">
        <f>TRUE</f>
        <v>1</v>
      </c>
      <c r="D880">
        <f>IF(Skills!C18=1,60+Inputs!$B$25+Inputs!$B$29,IF(Skills!C18=2,90+Inputs!$B$26+Inputs!$B$29,IF(Skills!C18=3,120+Inputs!$B$27+Inputs!$B$29,MAX(0,(Inputs!$B$3-100)*3)+(Inputs!$B$28+1)+Inputs!$B$29)))</f>
        <v>127</v>
      </c>
      <c r="E880">
        <f>INDEX(FactorTable!$B$2:$Y$301, MATCH(ROUND(MIN(300,MAX(1,D880)),0), FactorTable!$A$2:$A$301,0), Skills!M18+1)</f>
        <v>0</v>
      </c>
      <c r="F880">
        <f>IF(Skills!N18=TRUE,(Skills!L18/10)*(E880/1000),Skills!L18/10)+Skills!O18</f>
        <v>15</v>
      </c>
      <c r="G880">
        <f>Calc!G18</f>
        <v>1</v>
      </c>
      <c r="H880">
        <f>Calc!H18</f>
        <v>1</v>
      </c>
      <c r="I880">
        <f>IF(Skills!X18&lt;&gt;"",1+(Skills!X18/10)*(Z865/1000)/100,1)</f>
        <v>1</v>
      </c>
      <c r="O880">
        <f>(1-Summary!$B$11)*S880+Summary!$B$11*U880</f>
        <v>0</v>
      </c>
      <c r="P880">
        <f>IF(B903=0,0,O880/B903)</f>
        <v>0</v>
      </c>
      <c r="Q880">
        <f>IFERROR(1/(IF(Inputs!$B$38="pvp",15,MAX(0.1,Skills!E18-IF(TRUE=TRUE,Inputs!$B$32,0)))*(1-IF(AND(ArtifactsInput!$M$27,Inputs!$B$4="Chapter Hunt"),CHOOSE(ArtifactsInput!$N$27+1,20,24,28,32,36,40),0)/100)),0)</f>
        <v>1.6666666666666666E-2</v>
      </c>
      <c r="R880">
        <f>IF(AND(Inputs!$B$38&lt;&gt;"pvp",Inputs!$B$43&gt;0),IF(Inputs!$B$43&lt;=0,0,(INT(Inputs!$B$43/(IF(Inputs!$B$38="pvp",15,MAX(0.1,Skills!E18-IF(TRUE=TRUE,Inputs!$B$32,0)))*(1-IF(AND(ArtifactsInput!$M$27,Inputs!$B$4="Chapter Hunt"),CHOOSE(ArtifactsInput!$N$27+1,20,24,28,32,36,40),0)/100)))+1)),0)</f>
        <v>1</v>
      </c>
      <c r="S880">
        <v>0</v>
      </c>
      <c r="U880">
        <v>0</v>
      </c>
    </row>
    <row r="881" spans="1:21" x14ac:dyDescent="0.2">
      <c r="A881" t="str">
        <f>Skills!A19</f>
        <v>INFINITY</v>
      </c>
      <c r="B881" t="str">
        <f>Skills!B19</f>
        <v>Infinity</v>
      </c>
      <c r="C881" t="b">
        <f>Inputs!$B$3&gt;=110</f>
        <v>1</v>
      </c>
      <c r="D881">
        <f>IF(Skills!C19=1,60+Inputs!$B$25+Inputs!$B$29,IF(Skills!C19=2,90+Inputs!$B$26+Inputs!$B$29,IF(Skills!C19=3,120+Inputs!$B$27+Inputs!$B$29,MAX(0,(Inputs!$B$3-100)*3)+(Inputs!$B$28+1)+Inputs!$B$29)))</f>
        <v>186</v>
      </c>
      <c r="E881">
        <f>INDEX(FactorTable!$B$2:$Y$301, MATCH(ROUND(MIN(300,MAX(1,D881)),0), FactorTable!$A$2:$A$301,0), Skills!M19+1)</f>
        <v>1744</v>
      </c>
      <c r="F881">
        <f>IF(Skills!N19=TRUE,(Skills!L19/10)*(E881/1000),Skills!L19/10)+Skills!O19</f>
        <v>37.787247999999998</v>
      </c>
      <c r="G881">
        <f>Calc!G19</f>
        <v>1</v>
      </c>
      <c r="H881">
        <f>Calc!H19</f>
        <v>1</v>
      </c>
      <c r="I881">
        <f>IF(Skills!X19&lt;&gt;"",1+(Skills!X19/10)*(Z865/1000)/100,1)</f>
        <v>1</v>
      </c>
      <c r="O881">
        <f>(1-Summary!$B$11)*S881+Summary!$B$11*U881</f>
        <v>0</v>
      </c>
      <c r="P881">
        <f>IF(B903=0,0,O881/B903)</f>
        <v>0</v>
      </c>
      <c r="Q881">
        <f>IFERROR(1/(IF(Inputs!$B$38="pvp",15,MAX(0.1,Skills!E19-IF(TRUE=TRUE,Inputs!$B$32,0)))*(1-IF(AND(ArtifactsInput!$M$27,Inputs!$B$4="Chapter Hunt"),CHOOSE(ArtifactsInput!$N$27+1,20,24,28,32,36,40),0)/100)),0)</f>
        <v>3.3333333333333333E-2</v>
      </c>
      <c r="R881">
        <f>IF(AND(Inputs!$B$38&lt;&gt;"pvp",Inputs!$B$43&gt;0),IF(Inputs!$B$43&lt;=0,0,(INT(Inputs!$B$43/(IF(Inputs!$B$38="pvp",15,MAX(0.1,Skills!E19-IF(TRUE=TRUE,Inputs!$B$32,0)))*(1-IF(AND(ArtifactsInput!$M$27,Inputs!$B$4="Chapter Hunt"),CHOOSE(ArtifactsInput!$N$27+1,20,24,28,32,36,40),0)/100)))+1)),0)</f>
        <v>2</v>
      </c>
      <c r="S881">
        <v>0</v>
      </c>
      <c r="U881">
        <v>0</v>
      </c>
    </row>
    <row r="882" spans="1:21" x14ac:dyDescent="0.2">
      <c r="A882" t="str">
        <f>Skills!A20</f>
        <v>MAGIC_CRITICAL_RATE</v>
      </c>
      <c r="B882" t="str">
        <f>Skills!B20</f>
        <v>Magic Critical (Crit Rate)</v>
      </c>
      <c r="C882" t="b">
        <f>TRUE</f>
        <v>1</v>
      </c>
      <c r="D882">
        <f>IF(Skills!C20=1,60+Inputs!$B$25+Inputs!$B$29,IF(Skills!C20=2,90+Inputs!$B$26+Inputs!$B$29,IF(Skills!C20=3,120+Inputs!$B$27+Inputs!$B$29,MAX(0,(Inputs!$B$3-100)*3)+(Inputs!$B$28+1)+Inputs!$B$29)))</f>
        <v>184</v>
      </c>
      <c r="E882">
        <f>INDEX(FactorTable!$B$2:$Y$301, MATCH(ROUND(MIN(300,MAX(1,D882)),0), FactorTable!$A$2:$A$301,0), Skills!M20+1)</f>
        <v>1552</v>
      </c>
      <c r="F882">
        <f>IF(Skills!N20=TRUE,(Skills!L20/10)*(E882/1000),Skills!L20/10)+Skills!O20</f>
        <v>12.416</v>
      </c>
      <c r="G882">
        <f>Calc!G20</f>
        <v>1</v>
      </c>
      <c r="H882">
        <f>Calc!H20</f>
        <v>1</v>
      </c>
      <c r="I882">
        <f>IF(Skills!X20&lt;&gt;"",1+(Skills!X20/10)*(Z865/1000)/100,1)</f>
        <v>1</v>
      </c>
      <c r="O882">
        <f>(1-Summary!$B$11)*S882+Summary!$B$11*U882</f>
        <v>0</v>
      </c>
      <c r="P882">
        <f>IF(B903=0,0,O882/B903)</f>
        <v>0</v>
      </c>
      <c r="Q882">
        <f>IFERROR(1/(IF(Inputs!$B$38="pvp",15,MAX(0.1,Skills!E20-IF(TRUE=TRUE,Inputs!$B$32,0)))*(1-IF(AND(ArtifactsInput!$M$27,Inputs!$B$4="Chapter Hunt"),CHOOSE(ArtifactsInput!$N$27+1,20,24,28,32,36,40),0)/100)),0)</f>
        <v>10</v>
      </c>
      <c r="R882">
        <v>0</v>
      </c>
      <c r="S882">
        <v>0</v>
      </c>
      <c r="U882">
        <v>0</v>
      </c>
    </row>
    <row r="883" spans="1:21" x14ac:dyDescent="0.2">
      <c r="A883" t="str">
        <f>Skills!A21</f>
        <v>MAGIC_CRITICAL_DAMAGE</v>
      </c>
      <c r="B883" t="str">
        <f>Skills!B21</f>
        <v>Magic Critical (Crit Damage)</v>
      </c>
      <c r="C883" t="b">
        <f>TRUE</f>
        <v>1</v>
      </c>
      <c r="D883">
        <f>IF(Skills!C21=1,60+Inputs!$B$25+Inputs!$B$29,IF(Skills!C21=2,90+Inputs!$B$26+Inputs!$B$29,IF(Skills!C21=3,120+Inputs!$B$27+Inputs!$B$29,MAX(0,(Inputs!$B$3-100)*3)+(Inputs!$B$28+1)+Inputs!$B$29)))</f>
        <v>184</v>
      </c>
      <c r="E883">
        <f>INDEX(FactorTable!$B$2:$Y$301, MATCH(ROUND(MIN(300,MAX(1,D883)),0), FactorTable!$A$2:$A$301,0), Skills!M21+1)</f>
        <v>1552</v>
      </c>
      <c r="F883">
        <f>IF(Skills!N21=TRUE,(Skills!L21/10)*(E883/1000),Skills!L21/10)+Skills!O21</f>
        <v>18.624000000000002</v>
      </c>
      <c r="G883">
        <f>Calc!G21</f>
        <v>1</v>
      </c>
      <c r="H883">
        <f>Calc!H21</f>
        <v>1</v>
      </c>
      <c r="I883">
        <f>IF(Skills!X21&lt;&gt;"",1+(Skills!X21/10)*(Z865/1000)/100,1)</f>
        <v>1</v>
      </c>
      <c r="O883">
        <f>(1-Summary!$B$11)*S883+Summary!$B$11*U883</f>
        <v>0</v>
      </c>
      <c r="P883">
        <f>IF(B903=0,0,O883/B903)</f>
        <v>0</v>
      </c>
      <c r="Q883">
        <f>IFERROR(1/(IF(Inputs!$B$38="pvp",15,MAX(0.1,Skills!E21-IF(TRUE=TRUE,Inputs!$B$32,0)))*(1-IF(AND(ArtifactsInput!$M$27,Inputs!$B$4="Chapter Hunt"),CHOOSE(ArtifactsInput!$N$27+1,20,24,28,32,36,40),0)/100)),0)</f>
        <v>10</v>
      </c>
      <c r="R883">
        <v>0</v>
      </c>
      <c r="S883">
        <v>0</v>
      </c>
      <c r="U883">
        <v>0</v>
      </c>
    </row>
    <row r="884" spans="1:21" x14ac:dyDescent="0.2">
      <c r="A884" t="str">
        <f>Skills!A22</f>
        <v>SPELL_MASTERY</v>
      </c>
      <c r="B884" t="str">
        <f>Skills!B22</f>
        <v>Spell Mastery</v>
      </c>
      <c r="C884" t="b">
        <f>TRUE</f>
        <v>1</v>
      </c>
      <c r="D884">
        <f>IF(Skills!C22=1,60+Inputs!$B$25+Inputs!$B$29,IF(Skills!C22=2,90+Inputs!$B$26+Inputs!$B$29,IF(Skills!C22=3,120+Inputs!$B$27+Inputs!$B$29,MAX(0,(Inputs!$B$3-100)*3)+(Inputs!$B$28+1)+Inputs!$B$29)))</f>
        <v>168</v>
      </c>
      <c r="E884">
        <f>INDEX(FactorTable!$B$2:$Y$301, MATCH(ROUND(MIN(300,MAX(1,D884)),0), FactorTable!$A$2:$A$301,0), Skills!M22+1)</f>
        <v>1504</v>
      </c>
      <c r="F884">
        <f>IF(Skills!N22=TRUE,(Skills!L22/10)*(E884/1000),Skills!L22/10)+Skills!O22</f>
        <v>22.56</v>
      </c>
      <c r="G884">
        <f>Calc!G22</f>
        <v>1</v>
      </c>
      <c r="H884">
        <f>Calc!H22</f>
        <v>1</v>
      </c>
      <c r="I884">
        <f>IF(Skills!X22&lt;&gt;"",1+(Skills!X22/10)*(Z865/1000)/100,1)</f>
        <v>1</v>
      </c>
      <c r="O884">
        <f>(1-Summary!$B$11)*S884+Summary!$B$11*U884</f>
        <v>0</v>
      </c>
      <c r="P884">
        <f>IF(B903=0,0,O884/B903)</f>
        <v>0</v>
      </c>
      <c r="Q884">
        <f>IFERROR(1/(IF(Inputs!$B$38="pvp",15,MAX(0.1,Skills!E22-IF(TRUE=TRUE,Inputs!$B$32,0)))*(1-IF(AND(ArtifactsInput!$M$27,Inputs!$B$4="Chapter Hunt"),CHOOSE(ArtifactsInput!$N$27+1,20,24,28,32,36,40),0)/100)),0)</f>
        <v>10</v>
      </c>
      <c r="R884">
        <v>0</v>
      </c>
      <c r="S884">
        <v>0</v>
      </c>
      <c r="U884">
        <v>0</v>
      </c>
    </row>
    <row r="885" spans="1:21" x14ac:dyDescent="0.2">
      <c r="A885" t="str">
        <f>Skills!A23</f>
        <v>ELEMENT_AMPLIFICATION</v>
      </c>
      <c r="B885" t="str">
        <f>Skills!B23</f>
        <v>Element Amplification</v>
      </c>
      <c r="C885" t="b">
        <f>TRUE</f>
        <v>1</v>
      </c>
      <c r="D885">
        <f>IF(Skills!C23=1,60+Inputs!$B$25+Inputs!$B$29,IF(Skills!C23=2,90+Inputs!$B$26+Inputs!$B$29,IF(Skills!C23=3,120+Inputs!$B$27+Inputs!$B$29,MAX(0,(Inputs!$B$3-100)*3)+(Inputs!$B$28+1)+Inputs!$B$29)))</f>
        <v>186</v>
      </c>
      <c r="E885">
        <f>INDEX(FactorTable!$B$2:$Y$301, MATCH(ROUND(MIN(300,MAX(1,D885)),0), FactorTable!$A$2:$A$301,0), Skills!M23+1)</f>
        <v>1558</v>
      </c>
      <c r="F885">
        <f>IF(Skills!N23=TRUE,(Skills!L23/10)*(E885/1000),Skills!L23/10)+Skills!O23</f>
        <v>23.37</v>
      </c>
      <c r="G885">
        <f>Calc!G23</f>
        <v>1</v>
      </c>
      <c r="H885">
        <f>Calc!H23</f>
        <v>1</v>
      </c>
      <c r="I885">
        <f>IF(Skills!X23&lt;&gt;"",1+(Skills!X23/10)*(Z865/1000)/100,1)</f>
        <v>1</v>
      </c>
      <c r="O885">
        <f>(1-Summary!$B$11)*S885+Summary!$B$11*U885</f>
        <v>0</v>
      </c>
      <c r="P885">
        <f>IF(B903=0,0,O885/B903)</f>
        <v>0</v>
      </c>
      <c r="Q885">
        <f>IFERROR(1/(IF(Inputs!$B$38="pvp",15,MAX(0.1,Skills!E23-IF(TRUE=TRUE,Inputs!$B$32,0)))*(1-IF(AND(ArtifactsInput!$M$27,Inputs!$B$4="Chapter Hunt"),CHOOSE(ArtifactsInput!$N$27+1,20,24,28,32,36,40),0)/100)),0)</f>
        <v>10</v>
      </c>
      <c r="R885">
        <v>0</v>
      </c>
      <c r="S885">
        <v>0</v>
      </c>
      <c r="U885">
        <v>0</v>
      </c>
    </row>
    <row r="886" spans="1:21" x14ac:dyDescent="0.2">
      <c r="A886" t="str">
        <f>Skills!A24</f>
        <v>IFRIT</v>
      </c>
      <c r="B886" t="str">
        <f>Skills!B24</f>
        <v>Ifrit</v>
      </c>
      <c r="C886" t="b">
        <f>Inputs!$B$3&gt;=115</f>
        <v>1</v>
      </c>
      <c r="D886">
        <f>IF(Skills!C24=1,60+Inputs!$B$25+Inputs!$B$29,IF(Skills!C24=2,90+Inputs!$B$26+Inputs!$B$29,IF(Skills!C24=3,120+Inputs!$B$27+Inputs!$B$29,MAX(0,(Inputs!$B$3-100)*3)+(Inputs!$B$28+1)+Inputs!$B$29)))</f>
        <v>186</v>
      </c>
      <c r="E886">
        <f>INDEX(FactorTable!$B$2:$Y$301, MATCH(ROUND(MIN(300,MAX(1,D886)),0), FactorTable!$A$2:$A$301,0), Skills!M24+1)</f>
        <v>1930</v>
      </c>
      <c r="F886">
        <f>IF(Skills!N24=TRUE,(Skills!L24/10)*(E886/1000),Skills!L24/10)+Skills!O24</f>
        <v>6755</v>
      </c>
      <c r="G886">
        <f>Calc!G24</f>
        <v>7.5</v>
      </c>
      <c r="H886">
        <f>Calc!H24</f>
        <v>1</v>
      </c>
      <c r="I886">
        <f>IF(Skills!X24&lt;&gt;"",1+(Skills!X24/10)*(Z865/1000)/100,1)</f>
        <v>1</v>
      </c>
      <c r="J886">
        <f>((Inputs!$B$6*(1+Inputs!$B$7/100))+(((Inputs!$B$12*(1+Inputs!$B$13/100))-(Inputs!$B$12*(1+Inputs!$B$13/100)))+0.25*(Inputs!$B$14-Inputs!$B$14))*(1+Inputs!$B$7/100))*(F886/100)</f>
        <v>24394636919.962051</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122678987041046.19</v>
      </c>
      <c r="L886">
        <f>K886*(MIN(Inputs!$B$22+(F884-Calc!F22),(Inputs!$B$23+(IF(ArtifactsInput!$M$15,CHOOSE(ArtifactsInput!$N$15+1,25,30,35,40,45,50)/100*(Inputs!$B$11-Inputs!$B$11),0))))/100+(Inputs!$B$23+(IF(ArtifactsInput!$M$15,CHOOSE(ArtifactsInput!$N$15+1,25,30,35,40,45,50)/100*(Inputs!$B$11-Inputs!$B$11),0)))/100)/2</f>
        <v>407907631911478.62</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1924916114990267.5</v>
      </c>
      <c r="N886">
        <f>L886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1924916114990267.5</v>
      </c>
      <c r="O886">
        <f>(1-Summary!$B$11)*S886+Summary!$B$11*U886</f>
        <v>2201622806520118</v>
      </c>
      <c r="P886">
        <f>IF(B903=0,0,O886/B903)</f>
        <v>6.6355036615625904E-2</v>
      </c>
      <c r="Q886">
        <f>IFERROR(1/(IF(Inputs!$B$38="pvp",15,MAX(0.1,Skills!E24-IF(TRUE=TRUE,Inputs!$B$32,0)))*(1-IF(AND(ArtifactsInput!$M$27,Inputs!$B$4="Chapter Hunt"),CHOOSE(ArtifactsInput!$N$27+1,20,24,28,32,36,40),0)/100)),0)</f>
        <v>1.2500000000000001E-2</v>
      </c>
      <c r="R886">
        <f>IF(AND(Inputs!$B$38&lt;&gt;"pvp",Inputs!$B$43&gt;0),IF(MAX(0,Inputs!$B$43-B900)&lt;=0,0,(INT(MAX(0,Inputs!$B$43-B900)/(IF(Inputs!$B$38="pvp",15,MAX(0.1,Skills!E24-IF(TRUE=TRUE,Inputs!$B$32,0)))*(1-IF(AND(ArtifactsInput!$M$27,Inputs!$B$4="Chapter Hunt"),CHOOSE(ArtifactsInput!$N$27+1,20,24,28,32,36,40),0)/100)))+1)),0)</f>
        <v>1</v>
      </c>
      <c r="S886">
        <f>IF(C886,(H886*N886*IF(AND(Inputs!$B$38&lt;&gt;"pvp",Inputs!$B$43&gt;0),((Skills!G24*((R886-1)*IF(Skills!H24&gt;0,Skills!I24/Skills!H24,1)+IF(Skills!H24&gt;0,MIN(Skills!I24,MAX(0,MAX(0,Inputs!$B$43-B900)-((R886-1)*(IF(Inputs!$B$38="pvp",15,MAX(0.1,Skills!E24-IF(TRUE=TRUE,Inputs!$B$32,0)))*(1-IF(AND(ArtifactsInput!$M$27,Inputs!$B$4="Chapter Hunt"),CHOOSE(ArtifactsInput!$N$27+1,20,24,28,32,36,40),0)/100)))))/Skills!H24,1)))/Inputs!$B$43),G886*Q886)*(1+IF(Inputs!$B$3&gt;=130,0.2*(Skills!I16/(1/Q877)+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1144122015847340</v>
      </c>
      <c r="U886">
        <f>IF(C886,(H886*N886*IF(AND(Inputs!$B$38&lt;&gt;"pvp",Inputs!$B$43&gt;0),((Skills!G24*((R886-1)*IF(Skills!H24&gt;0,Skills!I24/Skills!H24,1)+IF(Skills!H24&gt;0,MIN(Skills!I24,MAX(0,MAX(0,Inputs!$B$43-B900)-((R886-1)*(IF(Inputs!$B$38="pvp",15,MAX(0.1,Skills!E24-IF(TRUE=TRUE,Inputs!$B$32,0)))*(1-IF(AND(ArtifactsInput!$M$27,Inputs!$B$4="Chapter Hunt"),CHOOSE(ArtifactsInput!$N$27+1,20,24,28,32,36,40),0)/100)))))/Skills!H24,1)))/Inputs!$B$43),G886*Q886)*(1+IF(Inputs!$B$3&gt;=130,0.2*(Skills!I16/(1/Q877)+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3259123597192896</v>
      </c>
    </row>
    <row r="887" spans="1:21" x14ac:dyDescent="0.2">
      <c r="A887" t="str">
        <f>Skills!A25</f>
        <v>BUFF_MASTERY</v>
      </c>
      <c r="B887" t="str">
        <f>Skills!B25</f>
        <v>Buff Mastery</v>
      </c>
      <c r="C887" t="b">
        <f>Inputs!$B$3&gt;=117</f>
        <v>1</v>
      </c>
      <c r="D887">
        <f>IF(Skills!C25=1,60+Inputs!$B$25+Inputs!$B$29,IF(Skills!C25=2,90+Inputs!$B$26+Inputs!$B$29,IF(Skills!C25=3,120+Inputs!$B$27+Inputs!$B$29,MAX(0,(Inputs!$B$3-100)*3)+(Inputs!$B$28+1)+Inputs!$B$29)))</f>
        <v>186</v>
      </c>
      <c r="E887">
        <f>INDEX(FactorTable!$B$2:$Y$301, MATCH(ROUND(MIN(300,MAX(1,D887)),0), FactorTable!$A$2:$A$301,0), Skills!M25+1)</f>
        <v>1558</v>
      </c>
      <c r="F887">
        <f>IF(Skills!N25=TRUE,(Skills!L25/10)*(E887/1000),Skills!L25/10)+Skills!O25</f>
        <v>15.58</v>
      </c>
      <c r="G887">
        <f>Calc!G25</f>
        <v>1</v>
      </c>
      <c r="H887">
        <f>Calc!H25</f>
        <v>1</v>
      </c>
      <c r="I887">
        <f>IF(Skills!X25&lt;&gt;"",1+(Skills!X25/10)*(Z865/1000)/100,1)</f>
        <v>1</v>
      </c>
      <c r="O887">
        <f>(1-Summary!$B$11)*S887+Summary!$B$11*U887</f>
        <v>0</v>
      </c>
      <c r="P887">
        <f>IF(B903=0,0,O887/B903)</f>
        <v>0</v>
      </c>
      <c r="Q887">
        <f>IFERROR(1/(IF(Inputs!$B$38="pvp",15,MAX(0.1,Skills!E25-IF(TRUE=TRUE,Inputs!$B$32,0)))*(1-IF(AND(ArtifactsInput!$M$27,Inputs!$B$4="Chapter Hunt"),CHOOSE(ArtifactsInput!$N$27+1,20,24,28,32,36,40),0)/100)),0)</f>
        <v>10</v>
      </c>
      <c r="R887">
        <v>0</v>
      </c>
      <c r="S887">
        <v>0</v>
      </c>
      <c r="U887">
        <v>0</v>
      </c>
    </row>
    <row r="888" spans="1:21" x14ac:dyDescent="0.2">
      <c r="A888" t="str">
        <f>Skills!A26</f>
        <v>ARCANE_AIM</v>
      </c>
      <c r="B888" t="str">
        <f>Skills!B26</f>
        <v>Arcane Aim</v>
      </c>
      <c r="C888" t="b">
        <f>Inputs!$B$3&gt;=120</f>
        <v>0</v>
      </c>
      <c r="D888">
        <f>IF(Skills!C26=1,60+Inputs!$B$25+Inputs!$B$29,IF(Skills!C26=2,90+Inputs!$B$26+Inputs!$B$29,IF(Skills!C26=3,120+Inputs!$B$27+Inputs!$B$29,MAX(0,(Inputs!$B$3-100)*3)+(Inputs!$B$28+1)+Inputs!$B$29)))</f>
        <v>186</v>
      </c>
      <c r="E888">
        <f>INDEX(FactorTable!$B$2:$Y$301, MATCH(ROUND(MIN(300,MAX(1,D888)),0), FactorTable!$A$2:$A$301,0), Skills!M26+1)</f>
        <v>1558</v>
      </c>
      <c r="F888">
        <f>IF(Skills!N26=TRUE,(Skills!L26/10)*(E888/1000),Skills!L26/10)+Skills!O26</f>
        <v>4.6740000000000004</v>
      </c>
      <c r="G888">
        <f>Calc!G26</f>
        <v>1</v>
      </c>
      <c r="H888">
        <f>Calc!H26</f>
        <v>1</v>
      </c>
      <c r="I888">
        <f>IF(Skills!X26&lt;&gt;"",1+(Skills!X26/10)*(Z865/1000)/100,1)</f>
        <v>1</v>
      </c>
      <c r="O888">
        <f>(1-Summary!$B$11)*S888+Summary!$B$11*U888</f>
        <v>0</v>
      </c>
      <c r="P888">
        <f>IF(B903=0,0,O888/B903)</f>
        <v>0</v>
      </c>
      <c r="Q888">
        <f>IFERROR(1/(IF(Inputs!$B$38="pvp",15,MAX(0.1,Skills!E26-IF(TRUE=TRUE,Inputs!$B$32,0)))*(1-IF(AND(ArtifactsInput!$M$27,Inputs!$B$4="Chapter Hunt"),CHOOSE(ArtifactsInput!$N$27+1,20,24,28,32,36,40),0)/100)),0)</f>
        <v>10</v>
      </c>
      <c r="R888">
        <v>0</v>
      </c>
      <c r="S888">
        <v>0</v>
      </c>
      <c r="U888">
        <v>0</v>
      </c>
    </row>
    <row r="889" spans="1:21" x14ac:dyDescent="0.2">
      <c r="A889" t="str">
        <f>Skills!A27</f>
        <v>FERVENT_DRAIN</v>
      </c>
      <c r="B889" t="str">
        <f>Skills!B27</f>
        <v>Fervent Drain</v>
      </c>
      <c r="C889" t="b">
        <f>Inputs!$B$3&gt;=125</f>
        <v>0</v>
      </c>
      <c r="D889">
        <f>IF(Skills!C27=1,60+Inputs!$B$25+Inputs!$B$29,IF(Skills!C27=2,90+Inputs!$B$26+Inputs!$B$29,IF(Skills!C27=3,120+Inputs!$B$27+Inputs!$B$29,MAX(0,(Inputs!$B$3-100)*3)+(Inputs!$B$28+1)+Inputs!$B$29)))</f>
        <v>186</v>
      </c>
      <c r="E889">
        <f>INDEX(FactorTable!$B$2:$Y$301, MATCH(ROUND(MIN(300,MAX(1,D889)),0), FactorTable!$A$2:$A$301,0), Skills!M27+1)</f>
        <v>1558</v>
      </c>
      <c r="F889">
        <f>IF(Skills!N27=TRUE,(Skills!L27/10)*(E889/1000),Skills!L27/10)+Skills!O27</f>
        <v>6.2320000000000002</v>
      </c>
      <c r="G889">
        <f>Calc!G27</f>
        <v>1</v>
      </c>
      <c r="H889">
        <f>Calc!H27</f>
        <v>1</v>
      </c>
      <c r="I889">
        <f>IF(Skills!X27&lt;&gt;"",1+(Skills!X27/10)*(Z865/1000)/100,1)</f>
        <v>1</v>
      </c>
      <c r="O889">
        <f>(1-Summary!$B$11)*S889+Summary!$B$11*U889</f>
        <v>0</v>
      </c>
      <c r="P889">
        <f>IF(B903=0,0,O889/B903)</f>
        <v>0</v>
      </c>
      <c r="Q889">
        <f>IFERROR(1/(IF(Inputs!$B$38="pvp",15,MAX(0.1,Skills!E27-IF(TRUE=TRUE,Inputs!$B$32,0)))*(1-IF(AND(ArtifactsInput!$M$27,Inputs!$B$4="Chapter Hunt"),CHOOSE(ArtifactsInput!$N$27+1,20,24,28,32,36,40),0)/100)),0)</f>
        <v>10</v>
      </c>
      <c r="R889">
        <v>0</v>
      </c>
      <c r="S889">
        <v>0</v>
      </c>
      <c r="U889">
        <v>0</v>
      </c>
    </row>
    <row r="890" spans="1:21" x14ac:dyDescent="0.2">
      <c r="A890" t="str">
        <f>Skills!A28</f>
        <v>FLAME_HAZE_FOG</v>
      </c>
      <c r="B890" t="str">
        <f>Skills!B28</f>
        <v>Flame Haze (poison fog DoT)</v>
      </c>
      <c r="C890" t="b">
        <f>Inputs!$B$3&gt;=118</f>
        <v>0</v>
      </c>
      <c r="D890">
        <f>IF(Skills!C28=1,60+Inputs!$B$25+Inputs!$B$29,IF(Skills!C28=2,90+Inputs!$B$26+Inputs!$B$29,IF(Skills!C28=3,120+Inputs!$B$27+Inputs!$B$29,MAX(0,(Inputs!$B$3-100)*3)+(Inputs!$B$28+1)+Inputs!$B$29)))</f>
        <v>186</v>
      </c>
      <c r="E890">
        <f>INDEX(FactorTable!$B$2:$Y$301, MATCH(ROUND(MIN(300,MAX(1,D890)),0), FactorTable!$A$2:$A$301,0), Skills!M28+1)</f>
        <v>1930</v>
      </c>
      <c r="F890">
        <f>IF(Skills!N28=TRUE,(Skills!L28/10)*(E890/1000),Skills!L28/10)+Skills!O28</f>
        <v>135.1</v>
      </c>
      <c r="G890">
        <f>Calc!G28</f>
        <v>50</v>
      </c>
      <c r="H890">
        <f>Calc!H28</f>
        <v>1</v>
      </c>
      <c r="I890">
        <f>IF(Skills!X28&lt;&gt;"",1+(Skills!X28/10)*(Z865/1000)/100,1)</f>
        <v>1</v>
      </c>
      <c r="J890">
        <f>((Inputs!$B$6*(1+Inputs!$B$7/100))+(((Inputs!$B$12*(1+Inputs!$B$13/100))-(Inputs!$B$12*(1+Inputs!$B$13/100)))+0.25*(Inputs!$B$14-Inputs!$B$14))*(1+Inputs!$B$7/100))*(F890/100)</f>
        <v>487892738.39924103</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2453579740820.9243</v>
      </c>
      <c r="L890">
        <f>K890*(MIN(Inputs!$B$22+(F884-Calc!F22),(Inputs!$B$23+(IF(ArtifactsInput!$M$15,CHOOSE(ArtifactsInput!$N$15+1,25,30,35,40,45,50)/100*(Inputs!$B$11-Inputs!$B$11),0))))/100+(Inputs!$B$23+(IF(ArtifactsInput!$M$15,CHOOSE(ArtifactsInput!$N$15+1,25,30,35,40,45,50)/100*(Inputs!$B$11-Inputs!$B$11),0)))/100)/2</f>
        <v>8158152638229.5742</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38498322299805.359</v>
      </c>
      <c r="N890">
        <f>L890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38498322299805.359</v>
      </c>
      <c r="O890">
        <f>(1-Summary!$B$11)*S890+Summary!$B$11*U890</f>
        <v>0</v>
      </c>
      <c r="P890">
        <f>IF(B903=0,0,O890/B903)</f>
        <v>0</v>
      </c>
      <c r="Q890">
        <f>IFERROR(1/(IF(Inputs!$B$38="pvp",15,MAX(0.1,Skills!E28-IF(TRUE=TRUE,Inputs!$B$32,0)))*(1-IF(AND(ArtifactsInput!$M$27,Inputs!$B$4="Chapter Hunt"),CHOOSE(ArtifactsInput!$N$27+1,20,24,28,32,36,40),0)/100)),0)</f>
        <v>0.04</v>
      </c>
      <c r="R890">
        <f>IF(AND(Inputs!$B$38&lt;&gt;"pvp",Inputs!$B$43&gt;0),IF(MAX(0,Inputs!$B$43-B900)&lt;=0,0,(INT(MAX(0,Inputs!$B$43-B900)/(IF(Inputs!$B$38="pvp",15,MAX(0.1,Skills!E28-IF(TRUE=TRUE,Inputs!$B$32,0)))*(1-IF(AND(ArtifactsInput!$M$27,Inputs!$B$4="Chapter Hunt"),CHOOSE(ArtifactsInput!$N$27+1,20,24,28,32,36,40),0)/100)))+1)),0)</f>
        <v>2</v>
      </c>
      <c r="S890">
        <f>IF(C890,(H890*N890*IF(AND(Inputs!$B$38&lt;&gt;"pvp",Inputs!$B$43&gt;0),((Skills!G28*((R890-1)*IF(Skills!H28&gt;0,Skills!I28/Skills!H28,1)+IF(Skills!H28&gt;0,MIN(Skills!I28,MAX(0,MAX(0,Inputs!$B$43-B900)-((R890-1)*(IF(Inputs!$B$38="pvp",15,MAX(0.1,Skills!E28-IF(TRUE=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90">
        <f>IF(C890,(H890*N890*IF(AND(Inputs!$B$38&lt;&gt;"pvp",Inputs!$B$43&gt;0),((Skills!G28*((R890-1)*IF(Skills!H28&gt;0,Skills!I28/Skills!H28,1)+IF(Skills!H28&gt;0,MIN(Skills!I28,MAX(0,MAX(0,Inputs!$B$43-B900)-((R890-1)*(IF(Inputs!$B$38="pvp",15,MAX(0.1,Skills!E28-IF(TRUE=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92" spans="1:21" x14ac:dyDescent="0.2">
      <c r="A892" t="s">
        <v>356</v>
      </c>
      <c r="B892">
        <f>1+(F873*Skills!Z11)/100</f>
        <v>1.25</v>
      </c>
    </row>
    <row r="893" spans="1:21" x14ac:dyDescent="0.2">
      <c r="A893" t="s">
        <v>435</v>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1.18624</v>
      </c>
    </row>
    <row r="894" spans="1:21" x14ac:dyDescent="0.2">
      <c r="A894" t="s">
        <v>358</v>
      </c>
      <c r="B894">
        <f>(1+(F868*IF(AND(Inputs!$B$38&lt;&gt;"pvp",Inputs!$B$43&gt;0),(((R868-1)*MIN((Skills!T6*(1+((Inputs!$B$34+(ArtifactsInput!$M$7-ArtifactsInput!$M$7)*CHOOSE(ArtifactsInput!$N$7+1,6,7.2,8.4,9.6,10.8,12)))/100)),(1/Q868))+MIN((Skills!T6*(1+((Inputs!$B$34+(ArtifactsInput!$M$7-ArtifactsInput!$M$7)*CHOOSE(ArtifactsInput!$N$7+1,6,7.2,8.4,9.6,10.8,12)))/100)),MAX(0,Inputs!$B$43-((R868-1)*(1/Q868)))))/Inputs!$B$43),IF(Inputs!$B$38="pvp",MIN((Skills!T6*(1+((Inputs!$B$34+(ArtifactsInput!$M$7-ArtifactsInput!$M$7)*CHOOSE(ArtifactsInput!$N$7+1,6,7.2,8.4,9.6,10.8,12)))/100)),15)/15,MIN(1,(Skills!T6*(1+((Inputs!$B$34+(ArtifactsInput!$M$7-ArtifactsInput!$M$7)*CHOOSE(ArtifactsInput!$N$7+1,6,7.2,8.4,9.6,10.8,12)))/100))/(1/Q868))))+F879*IF(AND(Inputs!$B$38&lt;&gt;"pvp",Inputs!$B$43&gt;0),(((R879-1)*MIN((Skills!T17*(1+((Inputs!$B$34+(ArtifactsInput!$M$7-ArtifactsInput!$M$7)*CHOOSE(ArtifactsInput!$N$7+1,6,7.2,8.4,9.6,10.8,12)))/100)),(1/Q879))+MIN((Skills!T17*(1+((Inputs!$B$34+(ArtifactsInput!$M$7-ArtifactsInput!$M$7)*CHOOSE(ArtifactsInput!$N$7+1,6,7.2,8.4,9.6,10.8,12)))/100)),MAX(0,Inputs!$B$43-((R879-1)*(1/Q879)))))/Inputs!$B$43),IF(Inputs!$B$38="pvp",MIN((Skills!T17*(1+((Inputs!$B$34+(ArtifactsInput!$M$7-ArtifactsInput!$M$7)*CHOOSE(ArtifactsInput!$N$7+1,6,7.2,8.4,9.6,10.8,12)))/100)),15)/15,MIN(1,(Skills!T17*(1+((Inputs!$B$34+(ArtifactsInput!$M$7-ArtifactsInput!$M$7)*CHOOSE(ArtifactsInput!$N$7+1,6,7.2,8.4,9.6,10.8,12)))/100))/(1/Q879)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MIN((Skills!T19*(1+((Inputs!$B$34+(ArtifactsInput!$M$7-ArtifactsInput!$M$7)*CHOOSE(ArtifactsInput!$N$7+1,6,7.2,8.4,9.6,10.8,12)))/100)),(1/Q881))+MIN((Skills!T19*(1+((Inputs!$B$34+(ArtifactsInput!$M$7-ArtifactsInput!$M$7)*CHOOSE(ArtifactsInput!$N$7+1,6,7.2,8.4,9.6,10.8,12)))/100)),MAX(0,Inputs!$B$43-((R881-1)*(1/Q881)))))/Inputs!$B$43),IF(Inputs!$B$38="pvp",MIN((Skills!T19*(1+((Inputs!$B$34+(ArtifactsInput!$M$7-ArtifactsInput!$M$7)*CHOOSE(ArtifactsInput!$N$7+1,6,7.2,8.4,9.6,10.8,12)))/100)),15)/15,MIN(1,(Skills!T19*(1+((Inputs!$B$34+(ArtifactsInput!$M$7-ArtifactsInput!$M$7)*CHOOSE(ArtifactsInput!$N$7+1,6,7.2,8.4,9.6,10.8,12)))/100))/(1/Q881))))/100),1)</f>
        <v>1.797426667999904</v>
      </c>
    </row>
    <row r="895" spans="1:21" x14ac:dyDescent="0.2">
      <c r="A895" t="s">
        <v>359</v>
      </c>
      <c r="B895">
        <f>F880*IF(AND(Inputs!$B$38&lt;&gt;"pvp",Inputs!$B$43&gt;0),(((R880-1)*MIN((Skills!T18*(1+((Inputs!$B$34+(ArtifactsInput!$M$7-ArtifactsInput!$M$7)*CHOOSE(ArtifactsInput!$N$7+1,6,7.2,8.4,9.6,10.8,12)))/100)),(1/Q880))+MIN((Skills!T18*(1+((Inputs!$B$34+(ArtifactsInput!$M$7-ArtifactsInput!$M$7)*CHOOSE(ArtifactsInput!$N$7+1,6,7.2,8.4,9.6,10.8,12)))/100)),MAX(0,Inputs!$B$43-((R880-1)*(1/Q880)))))/Inputs!$B$43),IF(Inputs!$B$38="pvp",MIN((Skills!T18*(1+((Inputs!$B$34+(ArtifactsInput!$M$7-ArtifactsInput!$M$7)*CHOOSE(ArtifactsInput!$N$7+1,6,7.2,8.4,9.6,10.8,12)))/100)),15)/15,MIN(1,(Skills!T18*(1+((Inputs!$B$34+(ArtifactsInput!$M$7-ArtifactsInput!$M$7)*CHOOSE(ArtifactsInput!$N$7+1,6,7.2,8.4,9.6,10.8,12)))/100))/(1/Q880))))</f>
        <v>6.4968749999999993</v>
      </c>
    </row>
    <row r="896" spans="1:21" x14ac:dyDescent="0.2">
      <c r="A896" t="s">
        <v>436</v>
      </c>
      <c r="B896">
        <f>1+MIN(150,150*(1-(1-(Inputs!$B$11+(ArtifactsInput!$M$15-ArtifactsInput!$M$15)*CHOOSE(ArtifactsInput!$N$15+1,8,9.6,11.2,12.8,14.4,16))/150)*(1-B895/150)))/100</f>
        <v>1.6982958749999999</v>
      </c>
    </row>
    <row r="897" spans="1:26" x14ac:dyDescent="0.2">
      <c r="A897" t="s">
        <v>437</v>
      </c>
      <c r="B897">
        <f>IF(AND(Inputs!$B$38&lt;&gt;"pvp",Inputs!$B$43&gt;0),SUMPRODUCT((Skills!F2:F28=TRUE)*(C864:C890=TRUE)*R864:R890)/Inputs!$B$43,SUMPRODUCT((Skills!F2:F28=TRUE)*(C864:C890=TRUE)*Q864:Q890))</f>
        <v>0.47499999999999998</v>
      </c>
    </row>
    <row r="898" spans="1:26" x14ac:dyDescent="0.2">
      <c r="A898" t="s">
        <v>362</v>
      </c>
      <c r="B898">
        <f>MAX(0,B896-B897)</f>
        <v>1.2232958749999998</v>
      </c>
    </row>
    <row r="899" spans="1:26" x14ac:dyDescent="0.2">
      <c r="A899" t="s">
        <v>438</v>
      </c>
      <c r="B899">
        <f>IF(AND(Inputs!$B$38&lt;&gt;"pvp",Inputs!$B$43&gt;0),SUMPRODUCT((Skills!V2:V28=TRUE)*(C864:C890=TRUE)*R864:R890*Skills!W2:W28)/Inputs!$B$43,SUMPRODUCT((Skills!V2:V28=TRUE)*(C864:C890=TRUE)*Q864:Q890*Skills!W2:W28))+B898</f>
        <v>1.5482958749999998</v>
      </c>
    </row>
    <row r="900" spans="1:26" x14ac:dyDescent="0.2">
      <c r="A900" t="s">
        <v>439</v>
      </c>
      <c r="B900">
        <f>IF(AND(Inputs!$B$38&lt;&gt;"pvp",Inputs!$B$43&gt;0),SUMPRODUCT((Skills!T2:T28&gt;0)*(Skills!F2:F28=TRUE)*(C864:C890=TRUE))/B896,0)</f>
        <v>2.3553021937358238</v>
      </c>
    </row>
    <row r="901" spans="1:26" x14ac:dyDescent="0.2">
      <c r="A901" t="s">
        <v>440</v>
      </c>
      <c r="B901">
        <f>SUM(S864:S890)</f>
        <v>9542453254716860</v>
      </c>
    </row>
    <row r="902" spans="1:26" x14ac:dyDescent="0.2">
      <c r="A902" t="s">
        <v>441</v>
      </c>
      <c r="B902">
        <f>SUM(U864:U890)</f>
        <v>5.6816422237235168E+16</v>
      </c>
    </row>
    <row r="903" spans="1:26" x14ac:dyDescent="0.2">
      <c r="A903" s="6" t="s">
        <v>348</v>
      </c>
      <c r="B903" s="6">
        <f>SUM(O864:O890)</f>
        <v>3.3179437745976008E+16</v>
      </c>
    </row>
    <row r="906" spans="1:26" x14ac:dyDescent="0.2">
      <c r="A906" s="6" t="s">
        <v>460</v>
      </c>
    </row>
    <row r="907" spans="1:26" x14ac:dyDescent="0.2">
      <c r="A907" s="5" t="s">
        <v>136</v>
      </c>
      <c r="B907" s="5" t="s">
        <v>137</v>
      </c>
      <c r="C907" s="5" t="s">
        <v>328</v>
      </c>
      <c r="D907" s="5" t="s">
        <v>329</v>
      </c>
      <c r="E907" s="5" t="s">
        <v>330</v>
      </c>
      <c r="F907" s="5" t="s">
        <v>331</v>
      </c>
      <c r="G907" s="5" t="s">
        <v>332</v>
      </c>
      <c r="H907" s="5" t="s">
        <v>333</v>
      </c>
      <c r="I907" s="5" t="s">
        <v>334</v>
      </c>
      <c r="J907" s="5" t="s">
        <v>335</v>
      </c>
      <c r="K907" s="5" t="s">
        <v>336</v>
      </c>
      <c r="L907" s="5" t="s">
        <v>337</v>
      </c>
      <c r="M907" s="5" t="s">
        <v>338</v>
      </c>
      <c r="N907" s="5" t="s">
        <v>339</v>
      </c>
      <c r="O907" s="5" t="s">
        <v>340</v>
      </c>
      <c r="P907" s="5" t="s">
        <v>341</v>
      </c>
      <c r="R907" t="s">
        <v>434</v>
      </c>
    </row>
    <row r="908" spans="1:26" x14ac:dyDescent="0.2">
      <c r="A908" t="str">
        <f>Skills!A2</f>
        <v>BASIC_ATTACK</v>
      </c>
      <c r="B908" t="str">
        <f>Skills!B2</f>
        <v>Basic Attack</v>
      </c>
      <c r="C908" t="b">
        <f>TRUE</f>
        <v>1</v>
      </c>
      <c r="F908">
        <f>T910+Skills!O2</f>
        <v>538.76</v>
      </c>
      <c r="G908">
        <f>Calc!G2</f>
        <v>5</v>
      </c>
      <c r="H908">
        <f>Calc!H2</f>
        <v>1</v>
      </c>
      <c r="I908">
        <f>IF(Skills!X2&lt;&gt;"",1+(Skills!X2/10)*(Z909/1000)/100,1)</f>
        <v>1</v>
      </c>
      <c r="J908">
        <f>((Inputs!$B$6*(1+Inputs!$B$7/100))+(((Inputs!$B$12*(1+Inputs!$B$13/100))-(Inputs!$B$12*(1+Inputs!$B$13/100)))+0.25*(Inputs!$B$14-Inputs!$B$14))*(1+Inputs!$B$7/100))*(F908/100)</f>
        <v>1945648347.4461517</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6647093563285.7217</v>
      </c>
      <c r="L908">
        <f>K908*(MIN(Inputs!$B$22+(F928-Calc!F22),(Inputs!$B$23+(IF(ArtifactsInput!$M$15,CHOOSE(ArtifactsInput!$N$15+1,25,30,35,40,45,50)/100*(Inputs!$B$11-Inputs!$B$11),0))))/100+(Inputs!$B$23+(IF(ArtifactsInput!$M$15,CHOOSE(ArtifactsInput!$N$15+1,25,30,35,40,45,50)/100*(Inputs!$B$11-Inputs!$B$11),0)))/100)/2</f>
        <v>22103081693976.766</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104312399623286.19</v>
      </c>
      <c r="N908">
        <f>L908*(1-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104312399623286.19</v>
      </c>
      <c r="O908">
        <f>(1-Summary!$B$11)*S908+Summary!$B$11*U908</f>
        <v>1.2565895301591712E+16</v>
      </c>
      <c r="P908">
        <f>IF(B947=0,0,O908/B947)</f>
        <v>0.3780871012206618</v>
      </c>
      <c r="Q908">
        <f>IFERROR(1/(IF(Inputs!$B$38="pvp",15,MAX(0.1,Skills!E2-IF(TRUE=TRUE,Inputs!$B$32,0)))*(1-IF(AND(ArtifactsInput!$M$27,Inputs!$B$4="Chapter Hunt"),CHOOSE(ArtifactsInput!$N$27+1,20,24,28,32,36,40),0)/100)),0)</f>
        <v>10</v>
      </c>
      <c r="R908">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2086340575587961.5</v>
      </c>
      <c r="T908">
        <f>MAX(0,(Inputs!$B$3-100)*3)+Inputs!$B$28+(Inputs!$B$29+1)</f>
        <v>186</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2.3045450027595464E+16</v>
      </c>
      <c r="Z908">
        <f>MAX(0,(Inputs!$B$3-100)*3)+Inputs!$B$28+(Inputs!$B$29+1)</f>
        <v>186</v>
      </c>
    </row>
    <row r="909" spans="1:26" x14ac:dyDescent="0.2">
      <c r="A909" t="str">
        <f>Skills!A3</f>
        <v>IGNITE</v>
      </c>
      <c r="B909" t="str">
        <f>Skills!B3</f>
        <v>Ignite</v>
      </c>
      <c r="C909" t="b">
        <f>TRUE</f>
        <v>1</v>
      </c>
      <c r="D909">
        <f>IF(Skills!C3=1,60+Inputs!$B$25+(Inputs!$B$29+1),IF(Skills!C3=2,90+Inputs!$B$26+(Inputs!$B$29+1),IF(Skills!C3=3,120+Inputs!$B$27+(Inputs!$B$29+1),MAX(0,(Inputs!$B$3-100)*3)+Inputs!$B$28+(Inputs!$B$29+1))))</f>
        <v>169</v>
      </c>
      <c r="E909">
        <f>INDEX(FactorTable!$B$2:$Y$301, MATCH(ROUND(MIN(300,MAX(1,D909)),0), FactorTable!$A$2:$A$301,0), Skills!M3+1)</f>
        <v>1676</v>
      </c>
      <c r="F909">
        <f>IF(Skills!N3=TRUE,(Skills!L3/10)*(E909/1000),Skills!L3/10)+Skills!O3</f>
        <v>121.788</v>
      </c>
      <c r="G909">
        <f>Calc!G3</f>
        <v>3</v>
      </c>
      <c r="H909">
        <f>Calc!H3</f>
        <v>1</v>
      </c>
      <c r="I909">
        <f>IF(Skills!X3&lt;&gt;"",1+(Skills!X3/10)*(Z909/1000)/100,1)</f>
        <v>4.83</v>
      </c>
      <c r="J909">
        <f>((Inputs!$B$6*(1+Inputs!$B$7/100))+(((Inputs!$B$12*(1+Inputs!$B$13/100))-(Inputs!$B$12*(1+Inputs!$B$13/100)))+0.25*(Inputs!$B$14-Inputs!$B$14))*(1+Inputs!$B$7/100))*(F909/100)</f>
        <v>439818510.91167116</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10694297120898.234</v>
      </c>
      <c r="L909">
        <f>K909*(MIN(Inputs!$B$22+(F928-Calc!F22),(Inputs!$B$23+(IF(ArtifactsInput!$M$15,CHOOSE(ArtifactsInput!$N$15+1,25,30,35,40,45,50)/100*(Inputs!$B$11-Inputs!$B$11),0))))/100+(Inputs!$B$23+(IF(ArtifactsInput!$M$15,CHOOSE(ArtifactsInput!$N$15+1,25,30,35,40,45,50)/100*(Inputs!$B$11-Inputs!$B$11),0)))/100)/2</f>
        <v>35560944143838.836</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167824897354667.25</v>
      </c>
      <c r="N909">
        <f>L909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167824897354667.25</v>
      </c>
      <c r="O909">
        <f>(1-Summary!$B$11)*S909+Summary!$B$11*U909</f>
        <v>2917635840510890</v>
      </c>
      <c r="P909">
        <f>IF(B947=0,0,O909/B947)</f>
        <v>8.7786858865244566E-2</v>
      </c>
      <c r="Q909">
        <f>IFERROR(1/(IF(Inputs!$B$38="pvp",15,MAX(0.1,Skills!E3-IF(FALSE=TRUE,Inputs!$B$32,0)))*(1-IF(AND(ArtifactsInput!$M$27,Inputs!$B$4="Chapter Hunt"),CHOOSE(ArtifactsInput!$N$27+1,20,24,28,32,36,40),0)/100)),0)</f>
        <v>1</v>
      </c>
      <c r="R909">
        <f>IF(AND(Inputs!$B$38&lt;&gt;"pvp",Inputs!$B$43&gt;0),IF(MAX(0,Inputs!$B$43-B944)&lt;=0,0,(INT(MAX(0,Inputs!$B$43-B944)/(IF(Inputs!$B$38="pvp",15,MAX(0.1,Skills!E3-IF(FALSE=TRUE,Inputs!$B$32,0)))*(1-IF(AND(ArtifactsInput!$M$27,Inputs!$B$4="Chapter Hunt"),CHOOSE(ArtifactsInput!$N$27+1,20,24,28,32,36,40),0)/100)))+1)),0)</f>
        <v>38</v>
      </c>
      <c r="S909">
        <f>IF(C909,(H909*N909*IF(AND(Inputs!$B$38&lt;&gt;"pvp",Inputs!$B$43&gt;0),((Skills!G3*((R909-1)*IF(Skills!H3&gt;0,Skills!I3/Skills!H3,1)+IF(Skills!H3&gt;0,MIN(Skills!I3,MAX(0,MAX(0,Inputs!$B$43-B944)-((R909-1)*(IF(Inputs!$B$38="pvp",15,MAX(0.1,Skills!E3-IF(FALSE=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1516214035150741.2</v>
      </c>
      <c r="T909">
        <f>INDEX(FactorTable!$B$2:$Y$301, MATCH(ROUND(MIN(300,MAX(1,T908)),0), FactorTable!$A$2:$A$301,0), 22)</f>
        <v>1744</v>
      </c>
      <c r="U909">
        <f>IF(C909,(H909*N909*IF(AND(Inputs!$B$38&lt;&gt;"pvp",Inputs!$B$43&gt;0),((Skills!G3*((R909-1)*IF(Skills!H3&gt;0,Skills!I3/Skills!H3,1)+IF(Skills!H3&gt;0,MIN(Skills!I3,MAX(0,MAX(0,Inputs!$B$43-B944)-((R909-1)*(IF(Inputs!$B$38="pvp",15,MAX(0.1,Skills!E3-IF(FALSE=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4319057645871039</v>
      </c>
      <c r="Z909">
        <f>INDEX(FactorTable!$B$2:$Y$301, MATCH(ROUND(MIN(300,MAX(1,Z908)),0), FactorTable!$A$2:$A$301,0), 24)</f>
        <v>7660</v>
      </c>
    </row>
    <row r="910" spans="1:26" x14ac:dyDescent="0.2">
      <c r="A910" t="str">
        <f>Skills!A4</f>
        <v>POISON_BREATH</v>
      </c>
      <c r="B910" t="str">
        <f>Skills!B4</f>
        <v>Poison Breath</v>
      </c>
      <c r="C910" t="b">
        <f>TRUE</f>
        <v>1</v>
      </c>
      <c r="D910">
        <f>IF(Skills!C4=1,60+Inputs!$B$25+(Inputs!$B$29+1),IF(Skills!C4=2,90+Inputs!$B$26+(Inputs!$B$29+1),IF(Skills!C4=3,120+Inputs!$B$27+(Inputs!$B$29+1),MAX(0,(Inputs!$B$3-100)*3)+Inputs!$B$28+(Inputs!$B$29+1))))</f>
        <v>169</v>
      </c>
      <c r="E910">
        <f>INDEX(FactorTable!$B$2:$Y$301, MATCH(ROUND(MIN(300,MAX(1,D910)),0), FactorTable!$A$2:$A$301,0), Skills!M4+1)</f>
        <v>1845</v>
      </c>
      <c r="F910">
        <f>IF(Skills!N4=TRUE,(Skills!L4/10)*(E910/1000),Skills!L4/10)+Skills!O4</f>
        <v>439</v>
      </c>
      <c r="G910">
        <f>Calc!G4</f>
        <v>3</v>
      </c>
      <c r="H910">
        <f>Calc!H4</f>
        <v>1</v>
      </c>
      <c r="I910">
        <f>IF(Skills!X4&lt;&gt;"",1+(Skills!X4/10)*(Z909/1000)/100,1)</f>
        <v>7.1279999999999992</v>
      </c>
      <c r="J910">
        <f>((Inputs!$B$6*(1+Inputs!$B$7/100))+(((Inputs!$B$12*(1+Inputs!$B$13/100))-(Inputs!$B$12*(1+Inputs!$B$13/100)))+0.25*(Inputs!$B$14-Inputs!$B$14))*(1+Inputs!$B$7/100))*(F910/100)</f>
        <v>1585380548.9064901</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56889593157770.078</v>
      </c>
      <c r="L910">
        <f>K910*(MIN(Inputs!$B$22+(F928-Calc!F22),(Inputs!$B$23+(IF(ArtifactsInput!$M$15,CHOOSE(ArtifactsInput!$N$15+1,25,30,35,40,45,50)/100*(Inputs!$B$11-Inputs!$B$11),0))))/100+(Inputs!$B$23+(IF(ArtifactsInput!$M$15,CHOOSE(ArtifactsInput!$N$15+1,25,30,35,40,45,50)/100*(Inputs!$B$11-Inputs!$B$11),0)))/100)/2</f>
        <v>189170697408046</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892764622519636</v>
      </c>
      <c r="N910">
        <f>L910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892764622519636</v>
      </c>
      <c r="O910">
        <f>(1-Summary!$B$11)*S910+Summary!$B$11*U910</f>
        <v>2132256705310335.5</v>
      </c>
      <c r="P910">
        <f>IF(B947=0,0,O910/B947)</f>
        <v>6.4156093729906022E-2</v>
      </c>
      <c r="Q910">
        <f>IFERROR(1/(IF(Inputs!$B$38="pvp",15,MAX(0.1,Skills!E4-IF(TRUE=TRUE,Inputs!$B$32,0)))*(1-IF(AND(ArtifactsInput!$M$27,Inputs!$B$4="Chapter Hunt"),CHOOSE(ArtifactsInput!$N$27+1,20,24,28,32,36,40),0)/100)),0)</f>
        <v>5.5555555555555552E-2</v>
      </c>
      <c r="R910">
        <f>IF(AND(Inputs!$B$38&lt;&gt;"pvp",Inputs!$B$43&gt;0),IF(MAX(0,Inputs!$B$43-B944)&lt;=0,0,(INT(MAX(0,Inputs!$B$43-B944)/(IF(Inputs!$B$38="pvp",15,MAX(0.1,Skills!E4-IF(TRUE=TRUE,Inputs!$B$32,0)))*(1-IF(AND(ArtifactsInput!$M$27,Inputs!$B$4="Chapter Hunt"),CHOOSE(ArtifactsInput!$N$27+1,20,24,28,32,36,40),0)/100)))+1)),0)</f>
        <v>3</v>
      </c>
      <c r="S910">
        <f>IF(C910,(H910*N910*IF(AND(Inputs!$B$38&lt;&gt;"pvp",Inputs!$B$43&gt;0),((Skills!G4*((R910-1)*IF(Skills!H4&gt;0,Skills!I4/Skills!H4,1)+IF(Skills!H4&gt;0,MIN(Skills!I4,MAX(0,MAX(0,Inputs!$B$43-B944)-((R910-1)*(IF(Inputs!$B$38="pvp",15,MAX(0.1,Skills!E4-IF(TRUE=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636764367012130.38</v>
      </c>
      <c r="T910">
        <f>290*T909/1000</f>
        <v>505.76</v>
      </c>
      <c r="U910">
        <f>IF(C910,(H910*N910*IF(AND(Inputs!$B$38&lt;&gt;"pvp",Inputs!$B$43&gt;0),((Skills!G4*((R910-1)*IF(Skills!H4&gt;0,Skills!I4/Skills!H4,1)+IF(Skills!H4&gt;0,MIN(Skills!I4,MAX(0,MAX(0,Inputs!$B$43-B944)-((R910-1)*(IF(Inputs!$B$38="pvp",15,MAX(0.1,Skills!E4-IF(TRUE=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3627749043608540.5</v>
      </c>
    </row>
    <row r="911" spans="1:26" x14ac:dyDescent="0.2">
      <c r="A911" t="str">
        <f>Skills!A5</f>
        <v>ELEMENTAL_DRAIN</v>
      </c>
      <c r="B911" t="str">
        <f>Skills!B5</f>
        <v>Elemental Drain</v>
      </c>
      <c r="C911" t="b">
        <f>TRUE</f>
        <v>1</v>
      </c>
      <c r="D911">
        <f>IF(Skills!C5=1,60+Inputs!$B$25+(Inputs!$B$29+1),IF(Skills!C5=2,90+Inputs!$B$26+(Inputs!$B$29+1),IF(Skills!C5=3,120+Inputs!$B$27+(Inputs!$B$29+1),MAX(0,(Inputs!$B$3-100)*3)+Inputs!$B$28+(Inputs!$B$29+1))))</f>
        <v>169</v>
      </c>
      <c r="E911">
        <f>INDEX(FactorTable!$B$2:$Y$301, MATCH(ROUND(MIN(300,MAX(1,D911)),0), FactorTable!$A$2:$A$301,0), Skills!M5+1)</f>
        <v>1676</v>
      </c>
      <c r="F911">
        <f>IF(Skills!N5=TRUE,(Skills!L5/10)*(E911/1000),Skills!L5/10)+Skills!O5</f>
        <v>20.111999999999998</v>
      </c>
      <c r="G911">
        <f>Calc!G5</f>
        <v>5</v>
      </c>
      <c r="H911">
        <f>Calc!H5</f>
        <v>1</v>
      </c>
      <c r="I911">
        <f>IF(Skills!X5&lt;&gt;"",1+(Skills!X5/10)*(Z909/1000)/100,1)</f>
        <v>12.49</v>
      </c>
      <c r="J911">
        <f>((Inputs!$B$6*(1+Inputs!$B$7/100))+(((Inputs!$B$12*(1+Inputs!$B$13/100))-(Inputs!$B$12*(1+Inputs!$B$13/100)))+0.25*(Inputs!$B$14-Inputs!$B$14))*(1+Inputs!$B$7/100))*(F911/100)</f>
        <v>72631374.942157924</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4566866489779.9531</v>
      </c>
      <c r="L911">
        <f>K911*(MIN(Inputs!$B$22+(F928-Calc!F22),(Inputs!$B$23+(IF(ArtifactsInput!$M$15,CHOOSE(ArtifactsInput!$N$15+1,25,30,35,40,45,50)/100*(Inputs!$B$11-Inputs!$B$11),0))))/100+(Inputs!$B$23+(IF(ArtifactsInput!$M$15,CHOOSE(ArtifactsInput!$N$15+1,25,30,35,40,45,50)/100*(Inputs!$B$11-Inputs!$B$11),0)))/100)/2</f>
        <v>15185858623478.545</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71667533753299.703</v>
      </c>
      <c r="N911">
        <f>L911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71667533753299.703</v>
      </c>
      <c r="O911">
        <f>(1-Summary!$B$11)*S911+Summary!$B$11*U911</f>
        <v>1051900226664056.2</v>
      </c>
      <c r="P911">
        <f>IF(B947=0,0,O911/B947)</f>
        <v>3.1649945978969959E-2</v>
      </c>
      <c r="Q911">
        <f>IFERROR(1/(IF(Inputs!$B$38="pvp",15,MAX(0.1,Skills!E5-IF(FALSE=TRUE,Inputs!$B$32,0)))*(1-IF(AND(ArtifactsInput!$M$27,Inputs!$B$4="Chapter Hunt"),CHOOSE(ArtifactsInput!$N$27+1,20,24,28,32,36,40),0)/100)),0)</f>
        <v>1</v>
      </c>
      <c r="R911">
        <f>IF(AND(Inputs!$B$38&lt;&gt;"pvp",Inputs!$B$43&gt;0),IF(MAX(0,Inputs!$B$43-B944)&lt;=0,0,(INT(MAX(0,Inputs!$B$43-B944)/(IF(Inputs!$B$38="pvp",15,MAX(0.1,Skills!E5-IF(FALSE=TRUE,Inputs!$B$32,0)))*(1-IF(AND(ArtifactsInput!$M$27,Inputs!$B$4="Chapter Hunt"),CHOOSE(ArtifactsInput!$N$27+1,20,24,28,32,36,40),0)/100)))+1)),0)</f>
        <v>38</v>
      </c>
      <c r="S911">
        <f>IF(C911,(H911*N911*IF(AND(Inputs!$B$38&lt;&gt;"pvp",Inputs!$B$43&gt;0),((Skills!G5*((R911-1)*IF(Skills!H5&gt;0,Skills!I5/Skills!H5,1)+IF(Skills!H5&gt;0,MIN(Skills!I5,MAX(0,MAX(0,Inputs!$B$43-B944)-((R911-1)*(IF(Inputs!$B$38="pvp",15,MAX(0.1,Skills!E5-IF(FALSE=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1079133889490310.1</v>
      </c>
      <c r="U911">
        <f>IF(C911,(H911*N911*IF(AND(Inputs!$B$38&lt;&gt;"pvp",Inputs!$B$43&gt;0),((Skills!G5*((R911-1)*IF(Skills!H5&gt;0,Skills!I5/Skills!H5,1)+IF(Skills!H5&gt;0,MIN(Skills!I5,MAX(0,MAX(0,Inputs!$B$43-B944)-((R911-1)*(IF(Inputs!$B$38="pvp",15,MAX(0.1,Skills!E5-IF(FALSE=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1024666563837802.4</v>
      </c>
    </row>
    <row r="912" spans="1:26" x14ac:dyDescent="0.2">
      <c r="A912" t="str">
        <f>Skills!A6</f>
        <v>MEDITATION</v>
      </c>
      <c r="B912" t="str">
        <f>Skills!B6</f>
        <v>Meditation</v>
      </c>
      <c r="C912" t="b">
        <f>TRUE</f>
        <v>1</v>
      </c>
      <c r="D912">
        <f>IF(Skills!C6=1,60+Inputs!$B$25+(Inputs!$B$29+1),IF(Skills!C6=2,90+Inputs!$B$26+(Inputs!$B$29+1),IF(Skills!C6=3,120+Inputs!$B$27+(Inputs!$B$29+1),MAX(0,(Inputs!$B$3-100)*3)+Inputs!$B$28+(Inputs!$B$29+1))))</f>
        <v>169</v>
      </c>
      <c r="E912">
        <f>INDEX(FactorTable!$B$2:$Y$301, MATCH(ROUND(MIN(300,MAX(1,D912)),0), FactorTable!$A$2:$A$301,0), Skills!M6+1)</f>
        <v>1676</v>
      </c>
      <c r="F912">
        <f>IF(Skills!N6=TRUE,(Skills!L6/10)*(E912/1000),Skills!L6/10)+Skills!O6</f>
        <v>33.519999999999996</v>
      </c>
      <c r="G912">
        <f>Calc!G6</f>
        <v>1</v>
      </c>
      <c r="H912">
        <f>Calc!H6</f>
        <v>1</v>
      </c>
      <c r="I912">
        <f>IF(Skills!X6&lt;&gt;"",1+(Skills!X6/10)*(Z909/1000)/100,1)</f>
        <v>1</v>
      </c>
      <c r="O912">
        <f>(1-Summary!$B$11)*S912+Summary!$B$11*U912</f>
        <v>0</v>
      </c>
      <c r="P912">
        <f>IF(B947=0,0,O912/B947)</f>
        <v>0</v>
      </c>
      <c r="Q912">
        <f>IFERROR(1/(IF(Inputs!$B$38="pvp",15,MAX(0.1,Skills!E6-IF(TRUE=TRUE,Inputs!$B$32,0)))*(1-IF(AND(ArtifactsInput!$M$27,Inputs!$B$4="Chapter Hunt"),CHOOSE(ArtifactsInput!$N$27+1,20,24,28,32,36,40),0)/100)),0)</f>
        <v>3.3333333333333333E-2</v>
      </c>
      <c r="R912">
        <f>IF(AND(Inputs!$B$38&lt;&gt;"pvp",Inputs!$B$43&gt;0),IF(Inputs!$B$43&lt;=0,0,(INT(Inputs!$B$43/(IF(Inputs!$B$38="pvp",15,MAX(0.1,Skills!E6-IF(TRUE=TRUE,Inputs!$B$32,0)))*(1-IF(AND(ArtifactsInput!$M$27,Inputs!$B$4="Chapter Hunt"),CHOOSE(ArtifactsInput!$N$27+1,20,24,28,32,36,40),0)/100)))+1)),0)</f>
        <v>2</v>
      </c>
      <c r="S912">
        <v>0</v>
      </c>
      <c r="U912">
        <v>0</v>
      </c>
    </row>
    <row r="913" spans="1:21" x14ac:dyDescent="0.2">
      <c r="A913" t="str">
        <f>Skills!A7</f>
        <v>POISON_MIST_BURST</v>
      </c>
      <c r="B913" t="str">
        <f>Skills!B7</f>
        <v>Poison Mist (burst)</v>
      </c>
      <c r="C913" t="b">
        <f>TRUE</f>
        <v>1</v>
      </c>
      <c r="D913">
        <f>IF(Skills!C7=1,60+Inputs!$B$25+(Inputs!$B$29+1),IF(Skills!C7=2,90+Inputs!$B$26+(Inputs!$B$29+1),IF(Skills!C7=3,120+Inputs!$B$27+(Inputs!$B$29+1),MAX(0,(Inputs!$B$3-100)*3)+Inputs!$B$28+(Inputs!$B$29+1))))</f>
        <v>185</v>
      </c>
      <c r="E913">
        <f>INDEX(FactorTable!$B$2:$Y$301, MATCH(ROUND(MIN(300,MAX(1,D913)),0), FactorTable!$A$2:$A$301,0), Skills!M7+1)</f>
        <v>1925</v>
      </c>
      <c r="F913">
        <f>IF(Skills!N7=TRUE,(Skills!L7/10)*(E913/1000),Skills!L7/10)+Skills!O7</f>
        <v>358</v>
      </c>
      <c r="G913">
        <f>Calc!G7</f>
        <v>3</v>
      </c>
      <c r="H913">
        <f>Calc!H7</f>
        <v>1</v>
      </c>
      <c r="I913">
        <f>IF(Skills!X7&lt;&gt;"",1+(Skills!X7/10)*(Z909/1000)/100,1)</f>
        <v>1.766</v>
      </c>
      <c r="J913">
        <f>((Inputs!$B$6*(1+Inputs!$B$7/100))+(((Inputs!$B$12*(1+Inputs!$B$13/100))-(Inputs!$B$12*(1+Inputs!$B$13/100)))+0.25*(Inputs!$B$14-Inputs!$B$14))*(1+Inputs!$B$7/100))*(F913/100)</f>
        <v>1292861586.5797801</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11494083361759.414</v>
      </c>
      <c r="L913">
        <f>K913*(MIN(Inputs!$B$22+(F928-Calc!F22),(Inputs!$B$23+(IF(ArtifactsInput!$M$15,CHOOSE(ArtifactsInput!$N$15+1,25,30,35,40,45,50)/100*(Inputs!$B$11-Inputs!$B$11),0))))/100+(Inputs!$B$23+(IF(ArtifactsInput!$M$15,CHOOSE(ArtifactsInput!$N$15+1,25,30,35,40,45,50)/100*(Inputs!$B$11-Inputs!$B$11),0)))/100)/2</f>
        <v>38220413346606.445</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180375889931440.59</v>
      </c>
      <c r="N913">
        <f>L913*(1-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180375889931440.59</v>
      </c>
      <c r="O913">
        <f>(1-Summary!$B$11)*S913+Summary!$B$11*U913</f>
        <v>450082939351427.12</v>
      </c>
      <c r="P913">
        <f>IF(B947=0,0,O913/B947)</f>
        <v>1.3542254631605966E-2</v>
      </c>
      <c r="Q913">
        <f>IFERROR(1/(IF(Inputs!$B$38="pvp",15,MAX(0.1,Skills!E7-IF(TRUE=TRUE,Inputs!$B$32,0)))*(1-IF(AND(ArtifactsInput!$M$27,Inputs!$B$4="Chapter Hunt"),CHOOSE(ArtifactsInput!$N$27+1,20,24,28,32,36,40),0)/100)),0)</f>
        <v>4.0816326530612242E-2</v>
      </c>
      <c r="R913">
        <f>IF(AND(Inputs!$B$38&lt;&gt;"pvp",Inputs!$B$43&gt;0),IF(MAX(0,Inputs!$B$43-B944)&lt;=0,0,(INT(MAX(0,Inputs!$B$43-B944)/(IF(Inputs!$B$38="pvp",15,MAX(0.1,Skills!E7-IF(TRUE=TRUE,Inputs!$B$32,0)))*(1-IF(AND(ArtifactsInput!$M$27,Inputs!$B$4="Chapter Hunt"),CHOOSE(ArtifactsInput!$N$27+1,20,24,28,32,36,40),0)/100)))+1)),0)</f>
        <v>2</v>
      </c>
      <c r="S913">
        <f>IF(C913,(H913*N913*IF(AND(Inputs!$B$38&lt;&gt;"pvp",Inputs!$B$43&gt;0),((Skills!G7*((R913-1)*IF(Skills!H7&gt;0,Skills!I7/Skills!H7,1)+IF(Skills!H7&gt;0,MIN(Skills!I7,MAX(0,MAX(0,Inputs!$B$43-B944)-((R913-1)*(IF(Inputs!$B$38="pvp",15,MAX(0.1,Skills!E7-IF(TRUE=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85768735662400</v>
      </c>
      <c r="U913">
        <f>IF(C913,(H913*N913*IF(AND(Inputs!$B$38&lt;&gt;"pvp",Inputs!$B$43&gt;0),((Skills!G7*((R913-1)*IF(Skills!H7&gt;0,Skills!I7/Skills!H7,1)+IF(Skills!H7&gt;0,MIN(Skills!I7,MAX(0,MAX(0,Inputs!$B$43-B944)-((R913-1)*(IF(Inputs!$B$38="pvp",15,MAX(0.1,Skills!E7-IF(TRUE=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814397143040454.25</v>
      </c>
    </row>
    <row r="914" spans="1:21" x14ac:dyDescent="0.2">
      <c r="A914" t="str">
        <f>Skills!A8</f>
        <v>POISON_MIST_DOT</v>
      </c>
      <c r="B914" t="str">
        <f>Skills!B8</f>
        <v>Poison Mist (fog DoT)</v>
      </c>
      <c r="C914" t="b">
        <f>TRUE</f>
        <v>1</v>
      </c>
      <c r="D914">
        <f>IF(Skills!C8=1,60+Inputs!$B$25+(Inputs!$B$29+1),IF(Skills!C8=2,90+Inputs!$B$26+(Inputs!$B$29+1),IF(Skills!C8=3,120+Inputs!$B$27+(Inputs!$B$29+1),MAX(0,(Inputs!$B$3-100)*3)+Inputs!$B$28+(Inputs!$B$29+1))))</f>
        <v>185</v>
      </c>
      <c r="E914">
        <f>INDEX(FactorTable!$B$2:$Y$301, MATCH(ROUND(MIN(300,MAX(1,D914)),0), FactorTable!$A$2:$A$301,0), Skills!M8+1)</f>
        <v>1925</v>
      </c>
      <c r="F914">
        <f>IF(Skills!N8=TRUE,(Skills!L8/10)*(E914/1000),Skills!L8/10)+Skills!O8</f>
        <v>134.75</v>
      </c>
      <c r="G914">
        <f>Calc!G8</f>
        <v>50</v>
      </c>
      <c r="H914">
        <f>Calc!H8</f>
        <v>1</v>
      </c>
      <c r="I914">
        <f>IF(Skills!X8&lt;&gt;"",1+(Skills!X8/10)*(Z909/1000)/100,1)</f>
        <v>1.766</v>
      </c>
      <c r="J914">
        <f>((Inputs!$B$6*(1+Inputs!$B$7/100))+(((Inputs!$B$12*(1+Inputs!$B$13/100))-(Inputs!$B$12*(1+Inputs!$B$13/100)))+0.25*(Inputs!$B$14-Inputs!$B$14))*(1+Inputs!$B$7/100))*(F914/100)</f>
        <v>486628767.57437253</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4326334449712.5166</v>
      </c>
      <c r="L914">
        <f>K914*(MIN(Inputs!$B$22+(F928-Calc!F22),(Inputs!$B$23+(IF(ArtifactsInput!$M$15,CHOOSE(ArtifactsInput!$N$15+1,25,30,35,40,45,50)/100*(Inputs!$B$11-Inputs!$B$11),0))))/100+(Inputs!$B$23+(IF(ArtifactsInput!$M$15,CHOOSE(ArtifactsInput!$N$15+1,25,30,35,40,45,50)/100*(Inputs!$B$11-Inputs!$B$11),0)))/100)/2</f>
        <v>14386035470545.303</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67892880358272.68</v>
      </c>
      <c r="N914">
        <f>L914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67892880358272.68</v>
      </c>
      <c r="O914">
        <f>(1-Summary!$B$11)*S914+Summary!$B$11*U914</f>
        <v>2339597347465333.5</v>
      </c>
      <c r="P914">
        <f>IF(B947=0,0,O914/B947)</f>
        <v>7.0394632288132253E-2</v>
      </c>
      <c r="Q914">
        <f>IFERROR(1/(IF(Inputs!$B$38="pvp",15,MAX(0.1,Skills!E8-IF(TRUE=TRUE,Inputs!$B$32,0)))*(1-IF(AND(ArtifactsInput!$M$27,Inputs!$B$4="Chapter Hunt"),CHOOSE(ArtifactsInput!$N$27+1,20,24,28,32,36,40),0)/100)),0)</f>
        <v>4.0816326530612242E-2</v>
      </c>
      <c r="R914">
        <f>IF(AND(Inputs!$B$38&lt;&gt;"pvp",Inputs!$B$43&gt;0),IF(MAX(0,Inputs!$B$43-B944)&lt;=0,0,(INT(MAX(0,Inputs!$B$43-B944)/(IF(Inputs!$B$38="pvp",15,MAX(0.1,Skills!E8-IF(TRUE=TRUE,Inputs!$B$32,0)))*(1-IF(AND(ArtifactsInput!$M$27,Inputs!$B$4="Chapter Hunt"),CHOOSE(ArtifactsInput!$N$27+1,20,24,28,32,36,40),0)/100)))+1)),0)</f>
        <v>2</v>
      </c>
      <c r="S914">
        <f>IF(C914,(H914*N914*IF(AND(Inputs!$B$38&lt;&gt;"pvp",Inputs!$B$43&gt;0),((Skills!G8*((R914-1)*IF(Skills!H8&gt;0,Skills!I8/Skills!H8,1)+IF(Skills!H8&gt;0,MIN(Skills!I8,MAX(0,MAX(0,Inputs!$B$43-B944)-((R914-1)*(IF(Inputs!$B$38="pvp",15,MAX(0.1,Skills!E8-IF(TRUE=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445838508654349.75</v>
      </c>
      <c r="U914">
        <f>IF(C914,(H914*N914*IF(AND(Inputs!$B$38&lt;&gt;"pvp",Inputs!$B$43&gt;0),((Skills!G8*((R914-1)*IF(Skills!H8&gt;0,Skills!I8/Skills!H8,1)+IF(Skills!H8&gt;0,MIN(Skills!I8,MAX(0,MAX(0,Inputs!$B$43-B944)-((R914-1)*(IF(Inputs!$B$38="pvp",15,MAX(0.1,Skills!E8-IF(TRUE=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4233356186276317.5</v>
      </c>
    </row>
    <row r="915" spans="1:21" x14ac:dyDescent="0.2">
      <c r="A915" t="str">
        <f>Skills!A9</f>
        <v>MIST_ERUPTION</v>
      </c>
      <c r="B915" t="str">
        <f>Skills!B9</f>
        <v>Mist Eruption</v>
      </c>
      <c r="C915" t="b">
        <f>Inputs!$B$3&gt;=103</f>
        <v>1</v>
      </c>
      <c r="D915">
        <f>IF(Skills!C9=1,60+Inputs!$B$25+(Inputs!$B$29+1),IF(Skills!C9=2,90+Inputs!$B$26+(Inputs!$B$29+1),IF(Skills!C9=3,120+Inputs!$B$27+(Inputs!$B$29+1),MAX(0,(Inputs!$B$3-100)*3)+Inputs!$B$28+(Inputs!$B$29+1))))</f>
        <v>186</v>
      </c>
      <c r="E915">
        <f>INDEX(FactorTable!$B$2:$Y$301, MATCH(ROUND(MIN(300,MAX(1,D915)),0), FactorTable!$A$2:$A$301,0), Skills!M9+1)</f>
        <v>1930</v>
      </c>
      <c r="F915">
        <f>IF(Skills!N9=TRUE,(Skills!L9/10)*(E915/1000),Skills!L9/10)+Skills!O9</f>
        <v>5790</v>
      </c>
      <c r="G915">
        <f>Calc!G9</f>
        <v>2.5</v>
      </c>
      <c r="H915">
        <f>Calc!H9</f>
        <v>1</v>
      </c>
      <c r="I915">
        <f>IF(Skills!X9&lt;&gt;"",1+(Skills!X9/10)*(Z909/1000)/100,1)</f>
        <v>1</v>
      </c>
      <c r="J915">
        <f>((Inputs!$B$6*(1+Inputs!$B$7/100))+(((Inputs!$B$12*(1+Inputs!$B$13/100))-(Inputs!$B$12*(1+Inputs!$B$13/100)))+0.25*(Inputs!$B$14-Inputs!$B$14))*(1+Inputs!$B$7/100))*(F915/100)</f>
        <v>20909688788.538902</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105263833086460.95</v>
      </c>
      <c r="L915">
        <f>K915*(MIN(Inputs!$B$22+(F928-Calc!F22),(Inputs!$B$23+(IF(ArtifactsInput!$M$15,CHOOSE(ArtifactsInput!$N$15+1,25,30,35,40,45,50)/100*(Inputs!$B$11-Inputs!$B$11),0))))/100+(Inputs!$B$23+(IF(ArtifactsInput!$M$15,CHOOSE(ArtifactsInput!$N$15+1,25,30,35,40,45,50)/100*(Inputs!$B$11-Inputs!$B$11),0)))/100)/2</f>
        <v>350025929374927.12</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1651898370054856</v>
      </c>
      <c r="N915">
        <f>L915*(1-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1651898370054856</v>
      </c>
      <c r="O915">
        <f>(1-Summary!$B$11)*S915+Summary!$B$11*U915</f>
        <v>3434916173232816</v>
      </c>
      <c r="P915">
        <f>IF(B947=0,0,O915/B947)</f>
        <v>0.10335097243003918</v>
      </c>
      <c r="Q915">
        <f>IFERROR(1/(IF(Inputs!$B$38="pvp",15,MAX(0.1,Skills!E9-IF(TRUE=TRUE,Inputs!$B$32,0)))*(1-IF(AND(ArtifactsInput!$M$27,Inputs!$B$4="Chapter Hunt"),CHOOSE(ArtifactsInput!$N$27+1,20,24,28,32,36,40),0)/100)),0)</f>
        <v>4.0816326530612242E-2</v>
      </c>
      <c r="R915">
        <f>IF(AND(Inputs!$B$38&lt;&gt;"pvp",Inputs!$B$43&gt;0),IF(MAX(0,Inputs!$B$43-B944)&lt;=0,0,(INT(MAX(0,Inputs!$B$43-B944)/(IF(Inputs!$B$38="pvp",15,MAX(0.1,Skills!E9-IF(TRUE=TRUE,Inputs!$B$32,0)))*(1-IF(AND(ArtifactsInput!$M$27,Inputs!$B$4="Chapter Hunt"),CHOOSE(ArtifactsInput!$N$27+1,20,24,28,32,36,40),0)/100)))+1)),0)</f>
        <v>2</v>
      </c>
      <c r="S915">
        <f>IF(C915,(H915*N915*IF(AND(Inputs!$B$38&lt;&gt;"pvp",Inputs!$B$43&gt;0),((Skills!G9*((R915-1)*IF(Skills!H9&gt;0,Skills!I9/Skills!H9,1)+IF(Skills!H9&gt;0,MIN(Skills!I9,MAX(0,MAX(0,Inputs!$B$43-B944)-((R915-1)*(IF(Inputs!$B$38="pvp",15,MAX(0.1,Skills!E9-IF(TRUE=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654564729134236.62</v>
      </c>
      <c r="U915">
        <f>IF(C915,(H915*N915*IF(AND(Inputs!$B$38&lt;&gt;"pvp",Inputs!$B$43&gt;0),((Skills!G9*((R915-1)*IF(Skills!H9&gt;0,Skills!I9/Skills!H9,1)+IF(Skills!H9&gt;0,MIN(Skills!I9,MAX(0,MAX(0,Inputs!$B$43-B944)-((R915-1)*(IF(Inputs!$B$38="pvp",15,MAX(0.1,Skills!E9-IF(TRUE=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6215267617331395</v>
      </c>
    </row>
    <row r="916" spans="1:21" x14ac:dyDescent="0.2">
      <c r="A916" t="str">
        <f>Skills!A10</f>
        <v>CREEPING_TOXIN</v>
      </c>
      <c r="B916" t="str">
        <f>Skills!B10</f>
        <v>Creeping Toxin</v>
      </c>
      <c r="C916" t="b">
        <f>TRUE</f>
        <v>1</v>
      </c>
      <c r="D916">
        <f>IF(Skills!C10=1,60+Inputs!$B$25+(Inputs!$B$29+1),IF(Skills!C10=2,90+Inputs!$B$26+(Inputs!$B$29+1),IF(Skills!C10=3,120+Inputs!$B$27+(Inputs!$B$29+1),MAX(0,(Inputs!$B$3-100)*3)+Inputs!$B$28+(Inputs!$B$29+1))))</f>
        <v>185</v>
      </c>
      <c r="E916">
        <f>INDEX(FactorTable!$B$2:$Y$301, MATCH(ROUND(MIN(300,MAX(1,D916)),0), FactorTable!$A$2:$A$301,0), Skills!M10+1)</f>
        <v>1925</v>
      </c>
      <c r="F916">
        <f>IF(Skills!N10=TRUE,(Skills!L10/10)*(E916/1000),Skills!L10/10)+Skills!O10</f>
        <v>281</v>
      </c>
      <c r="G916">
        <f>Calc!G10</f>
        <v>15</v>
      </c>
      <c r="H916">
        <f>Calc!H10</f>
        <v>1</v>
      </c>
      <c r="I916">
        <f>IF(Skills!X10&lt;&gt;"",1+(Skills!X10/10)*(Z909/1000)/100,1)</f>
        <v>1.766</v>
      </c>
      <c r="J916">
        <f>((Inputs!$B$6*(1+Inputs!$B$7/100))+(((Inputs!$B$12*(1+Inputs!$B$13/100))-(Inputs!$B$12*(1+Inputs!$B$13/100)))+0.25*(Inputs!$B$14-Inputs!$B$14))*(1+Inputs!$B$7/100))*(F916/100)</f>
        <v>1014788005.1087102</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9021892247637.9785</v>
      </c>
      <c r="L916">
        <f>K916*(MIN(Inputs!$B$22+(F928-Calc!F22),(Inputs!$B$23+(IF(ArtifactsInput!$M$15,CHOOSE(ArtifactsInput!$N$15+1,25,30,35,40,45,50)/100*(Inputs!$B$11-Inputs!$B$11),0))))/100+(Inputs!$B$23+(IF(ArtifactsInput!$M$15,CHOOSE(ArtifactsInput!$N$15+1,25,30,35,40,45,50)/100*(Inputs!$B$11-Inputs!$B$11),0)))/100)/2</f>
        <v>29999821649151.996</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141579958298141.97</v>
      </c>
      <c r="N916">
        <f>L916*(1-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141579958298141.97</v>
      </c>
      <c r="O916">
        <f>(1-Summary!$B$11)*S916+Summary!$B$11*U916</f>
        <v>325862078326645.31</v>
      </c>
      <c r="P916">
        <f>IF(B947=0,0,O916/B947)</f>
        <v>9.8046534397477729E-3</v>
      </c>
      <c r="Q916">
        <f>IFERROR(1/(IF(Inputs!$B$38="pvp",15,MAX(0.1,Skills!E10-IF(TRUE=TRUE,Inputs!$B$32,0)))*(1-IF(AND(ArtifactsInput!$M$27,Inputs!$B$4="Chapter Hunt"),CHOOSE(ArtifactsInput!$N$27+1,20,24,28,32,36,40),0)/100)),0)</f>
        <v>3.7037037037037035E-2</v>
      </c>
      <c r="R916">
        <f>IF(AND(Inputs!$B$38&lt;&gt;"pvp",Inputs!$B$43&gt;0),IF(MAX(0,Inputs!$B$43-B944)&lt;=0,0,(INT(MAX(0,Inputs!$B$43-B944)/(IF(Inputs!$B$38="pvp",15,MAX(0.1,Skills!E10-IF(TRUE=TRUE,Inputs!$B$32,0)))*(1-IF(AND(ArtifactsInput!$M$27,Inputs!$B$4="Chapter Hunt"),CHOOSE(ArtifactsInput!$N$27+1,20,24,28,32,36,40),0)/100)))+1)),0)</f>
        <v>2</v>
      </c>
      <c r="S916">
        <f>IF(C916,(H916*N916*IF(AND(Inputs!$B$38&lt;&gt;"pvp",Inputs!$B$43&gt;0),((Skills!G10*((R916-1)*IF(Skills!H10&gt;0,Skills!I10/Skills!H10,1)+IF(Skills!H10&gt;0,MIN(Skills!I10,MAX(0,MAX(0,Inputs!$B$43-B944)-((R916-1)*(IF(Inputs!$B$38="pvp",15,MAX(0.1,Skills!E10-IF(TRUE=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287738938243862.31</v>
      </c>
      <c r="U916">
        <f>IF(C916,(H916*N916*IF(AND(Inputs!$B$38&lt;&gt;"pvp",Inputs!$B$43&gt;0),((Skills!G10*((R916-1)*IF(Skills!H10&gt;0,Skills!I10/Skills!H10,1)+IF(Skills!H10&gt;0,MIN(Skills!I10,MAX(0,MAX(0,Inputs!$B$43-B944)-((R916-1)*(IF(Inputs!$B$38="pvp",15,MAX(0.1,Skills!E10-IF(TRUE=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363985218409428.31</v>
      </c>
    </row>
    <row r="917" spans="1:21" x14ac:dyDescent="0.2">
      <c r="A917" t="str">
        <f>Skills!A11</f>
        <v>BURNING_MAGIC</v>
      </c>
      <c r="B917" t="str">
        <f>Skills!B11</f>
        <v>Burning Magic</v>
      </c>
      <c r="C917" t="b">
        <f>TRUE</f>
        <v>1</v>
      </c>
      <c r="D917">
        <f>IF(Skills!C11=1,60+Inputs!$B$25+(Inputs!$B$29+1),IF(Skills!C11=2,90+Inputs!$B$26+(Inputs!$B$29+1),IF(Skills!C11=3,120+Inputs!$B$27+(Inputs!$B$29+1),MAX(0,(Inputs!$B$3-100)*3)+Inputs!$B$28+(Inputs!$B$29+1))))</f>
        <v>185</v>
      </c>
      <c r="E917">
        <f>INDEX(FactorTable!$B$2:$Y$301, MATCH(ROUND(MIN(300,MAX(1,D917)),0), FactorTable!$A$2:$A$301,0), Skills!M11+1)</f>
        <v>0</v>
      </c>
      <c r="F917">
        <f>IF(Skills!N11=TRUE,(Skills!L11/10)*(E917/1000),Skills!L11/10)+Skills!O11</f>
        <v>5</v>
      </c>
      <c r="G917">
        <f>Calc!G11</f>
        <v>1</v>
      </c>
      <c r="H917">
        <f>Calc!H11</f>
        <v>1</v>
      </c>
      <c r="I917">
        <f>IF(Skills!X11&lt;&gt;"",1+(Skills!X11/10)*(Z909/1000)/100,1)</f>
        <v>1</v>
      </c>
      <c r="O917">
        <f>(1-Summary!$B$11)*S917+Summary!$B$11*U917</f>
        <v>0</v>
      </c>
      <c r="P917">
        <f>IF(B947=0,0,O917/B947)</f>
        <v>0</v>
      </c>
      <c r="Q917">
        <f>IFERROR(1/(IF(Inputs!$B$38="pvp",15,MAX(0.1,Skills!E11-IF(TRUE=TRUE,Inputs!$B$32,0)))*(1-IF(AND(ArtifactsInput!$M$27,Inputs!$B$4="Chapter Hunt"),CHOOSE(ArtifactsInput!$N$27+1,20,24,28,32,36,40),0)/100)),0)</f>
        <v>10</v>
      </c>
      <c r="R917">
        <v>0</v>
      </c>
      <c r="S917">
        <v>0</v>
      </c>
      <c r="U917">
        <v>0</v>
      </c>
    </row>
    <row r="918" spans="1:21" x14ac:dyDescent="0.2">
      <c r="A918" t="str">
        <f>Skills!A12</f>
        <v>ELEMENTAL_DECREASE</v>
      </c>
      <c r="B918" t="str">
        <f>Skills!B12</f>
        <v>Elemental Decrease</v>
      </c>
      <c r="C918" t="b">
        <f>TRUE</f>
        <v>1</v>
      </c>
      <c r="D918">
        <f>IF(Skills!C12=1,60+Inputs!$B$25+(Inputs!$B$29+1),IF(Skills!C12=2,90+Inputs!$B$26+(Inputs!$B$29+1),IF(Skills!C12=3,120+Inputs!$B$27+(Inputs!$B$29+1),MAX(0,(Inputs!$B$3-100)*3)+Inputs!$B$28+(Inputs!$B$29+1))))</f>
        <v>185</v>
      </c>
      <c r="E918">
        <f>INDEX(FactorTable!$B$2:$Y$301, MATCH(ROUND(MIN(300,MAX(1,D918)),0), FactorTable!$A$2:$A$301,0), Skills!M12+1)</f>
        <v>1555</v>
      </c>
      <c r="F918">
        <f>IF(Skills!N12=TRUE,(Skills!L12/10)*(E918/1000),Skills!L12/10)+Skills!O12</f>
        <v>18.66</v>
      </c>
      <c r="G918">
        <f>Calc!G12</f>
        <v>1</v>
      </c>
      <c r="H918">
        <f>Calc!H12</f>
        <v>0.5</v>
      </c>
      <c r="I918">
        <f>IF(Skills!X12&lt;&gt;"",1+(Skills!X12/10)*(Z909/1000)/100,1)</f>
        <v>1</v>
      </c>
      <c r="O918">
        <f>(1-Summary!$B$11)*S918+Summary!$B$11*U918</f>
        <v>0</v>
      </c>
      <c r="P918">
        <f>IF(B947=0,0,O918/B947)</f>
        <v>0</v>
      </c>
      <c r="Q918">
        <f>IFERROR(1/(IF(Inputs!$B$38="pvp",15,MAX(0.1,Skills!E12-IF(TRUE=TRUE,Inputs!$B$32,0)))*(1-IF(AND(ArtifactsInput!$M$27,Inputs!$B$4="Chapter Hunt"),CHOOSE(ArtifactsInput!$N$27+1,20,24,28,32,36,40),0)/100)),0)</f>
        <v>10</v>
      </c>
      <c r="R918">
        <v>0</v>
      </c>
      <c r="S918">
        <v>0</v>
      </c>
      <c r="U918">
        <v>0</v>
      </c>
    </row>
    <row r="919" spans="1:21" x14ac:dyDescent="0.2">
      <c r="A919" t="str">
        <f>Skills!A13</f>
        <v>METEOR_SHOWER_BURST</v>
      </c>
      <c r="B919" t="str">
        <f>Skills!B13</f>
        <v>Meteor Shower (burst)</v>
      </c>
      <c r="C919" t="b">
        <f>Inputs!$B$3&gt;=105</f>
        <v>1</v>
      </c>
      <c r="D919">
        <f>IF(Skills!C13=1,60+Inputs!$B$25+(Inputs!$B$29+1),IF(Skills!C13=2,90+Inputs!$B$26+(Inputs!$B$29+1),IF(Skills!C13=3,120+Inputs!$B$27+(Inputs!$B$29+1),MAX(0,(Inputs!$B$3-100)*3)+Inputs!$B$28+(Inputs!$B$29+1))))</f>
        <v>186</v>
      </c>
      <c r="E919">
        <f>INDEX(FactorTable!$B$2:$Y$301, MATCH(ROUND(MIN(300,MAX(1,D919)),0), FactorTable!$A$2:$A$301,0), Skills!M13+1)</f>
        <v>1930</v>
      </c>
      <c r="F919">
        <f>IF(Skills!N13=TRUE,(Skills!L13/10)*(E919/1000),Skills!L13/10)+Skills!O13</f>
        <v>1158</v>
      </c>
      <c r="G919">
        <f>Calc!G13</f>
        <v>9</v>
      </c>
      <c r="H919">
        <f>Calc!H13</f>
        <v>1</v>
      </c>
      <c r="I919">
        <f>IF(Skills!X13&lt;&gt;"",1+(Skills!X13/10)*(Z909/1000)/100,1)</f>
        <v>1</v>
      </c>
      <c r="J919">
        <f>((Inputs!$B$6*(1+Inputs!$B$7/100))+(((Inputs!$B$12*(1+Inputs!$B$13/100))-(Inputs!$B$12*(1+Inputs!$B$13/100)))+0.25*(Inputs!$B$14-Inputs!$B$14))*(1+Inputs!$B$7/100))*(F919/100)</f>
        <v>4181937757.7077804</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21052766617292.184</v>
      </c>
      <c r="L919">
        <f>K919*(MIN(Inputs!$B$22+(F928-Calc!F22),(Inputs!$B$23+(IF(ArtifactsInput!$M$15,CHOOSE(ArtifactsInput!$N$15+1,25,30,35,40,45,50)/100*(Inputs!$B$11-Inputs!$B$11),0))))/100+(Inputs!$B$23+(IF(ArtifactsInput!$M$15,CHOOSE(ArtifactsInput!$N$15+1,25,30,35,40,45,50)/100*(Inputs!$B$11-Inputs!$B$11),0)))/100)/2</f>
        <v>70005185874985.406</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330379674010971.12</v>
      </c>
      <c r="N919">
        <f>L919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330379674010971.12</v>
      </c>
      <c r="O919">
        <f>(1-Summary!$B$11)*S919+Summary!$B$11*U919</f>
        <v>1801890742055836.5</v>
      </c>
      <c r="P919">
        <f>IF(B947=0,0,O919/B947)</f>
        <v>5.4215925807844532E-2</v>
      </c>
      <c r="Q919">
        <f>IFERROR(1/(IF(Inputs!$B$38="pvp",15,MAX(0.1,Skills!E13-IF(TRUE=TRUE,Inputs!$B$32,0)))*(1-IF(AND(ArtifactsInput!$M$27,Inputs!$B$4="Chapter Hunt"),CHOOSE(ArtifactsInput!$N$27+1,20,24,28,32,36,40),0)/100)),0)</f>
        <v>3.0303030303030304E-2</v>
      </c>
      <c r="R919">
        <f>IF(AND(Inputs!$B$38&lt;&gt;"pvp",Inputs!$B$43&gt;0),IF(MAX(0,Inputs!$B$43-B944)&lt;=0,0,(INT(MAX(0,Inputs!$B$43-B944)/(IF(Inputs!$B$38="pvp",15,MAX(0.1,Skills!E13-IF(TRUE=TRUE,Inputs!$B$32,0)))*(1-IF(AND(ArtifactsInput!$M$27,Inputs!$B$4="Chapter Hunt"),CHOOSE(ArtifactsInput!$N$27+1,20,24,28,32,36,40),0)/100)))+1)),0)</f>
        <v>2</v>
      </c>
      <c r="S919">
        <f>IF(C919,(H919*N919*IF(AND(Inputs!$B$38&lt;&gt;"pvp",Inputs!$B$43&gt;0),((Skills!G13*((R919-1)*IF(Skills!H13&gt;0,Skills!I13/Skills!H13,1)+IF(Skills!H13&gt;0,MIN(Skills!I13,MAX(0,MAX(0,Inputs!$B$43-B944)-((R919-1)*(IF(Inputs!$B$38="pvp",15,MAX(0.1,Skills!E13-IF(TRUE=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471286604976650.25</v>
      </c>
      <c r="U919">
        <f>IF(C919,(H919*N919*IF(AND(Inputs!$B$38&lt;&gt;"pvp",Inputs!$B$43&gt;0),((Skills!G13*((R919-1)*IF(Skills!H13&gt;0,Skills!I13/Skills!H13,1)+IF(Skills!H13&gt;0,MIN(Skills!I13,MAX(0,MAX(0,Inputs!$B$43-B944)-((R919-1)*(IF(Inputs!$B$38="pvp",15,MAX(0.1,Skills!E13-IF(TRUE=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3132494879135022.5</v>
      </c>
    </row>
    <row r="920" spans="1:21" x14ac:dyDescent="0.2">
      <c r="A920" t="str">
        <f>Skills!A14</f>
        <v>METEOR_PROC</v>
      </c>
      <c r="B920" t="str">
        <f>Skills!B14</f>
        <v>Meteor Proc (30% on-hit, 1s ICD)</v>
      </c>
      <c r="C920" t="b">
        <f>Inputs!$B$3&gt;=113</f>
        <v>1</v>
      </c>
      <c r="D920">
        <f>IF(Skills!C14=1,60+Inputs!$B$25+(Inputs!$B$29+1),IF(Skills!C14=2,90+Inputs!$B$26+(Inputs!$B$29+1),IF(Skills!C14=3,120+Inputs!$B$27+(Inputs!$B$29+1),MAX(0,(Inputs!$B$3-100)*3)+Inputs!$B$28+(Inputs!$B$29+1))))</f>
        <v>186</v>
      </c>
      <c r="E920">
        <f>INDEX(FactorTable!$B$2:$Y$301, MATCH(ROUND(MIN(300,MAX(1,D920)),0), FactorTable!$A$2:$A$301,0), Skills!M14+1)</f>
        <v>1744</v>
      </c>
      <c r="F920">
        <f>IF(Skills!N14=TRUE,(Skills!L14/10)*(E920/1000),Skills!L14/10)+Skills!O14</f>
        <v>1656.8</v>
      </c>
      <c r="G920">
        <f>Calc!G14</f>
        <v>0</v>
      </c>
      <c r="H920">
        <f>Calc!H14</f>
        <v>0.30000000000000004</v>
      </c>
      <c r="I920">
        <f>IF(Skills!X14&lt;&gt;"",1+(Skills!X14/10)*(Z909/1000)/100,1)</f>
        <v>1</v>
      </c>
      <c r="J920">
        <f>((Inputs!$B$6*(1+Inputs!$B$7/100))+(((Inputs!$B$12*(1+Inputs!$B$13/100))-(Inputs!$B$12*(1+Inputs!$B$13/100)))+0.25*(Inputs!$B$14-Inputs!$B$14))*(1+Inputs!$B$7/100))*(F920/100)</f>
        <v>5983276750.4060879</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30121091305293.336</v>
      </c>
      <c r="L920">
        <f>K920*(MIN(Inputs!$B$22+(F928-Calc!F22),(Inputs!$B$23+(IF(ArtifactsInput!$M$15,CHOOSE(ArtifactsInput!$N$15+1,25,30,35,40,45,50)/100*(Inputs!$B$11-Inputs!$B$11),0))))/100+(Inputs!$B$23+(IF(ArtifactsInput!$M$15,CHOOSE(ArtifactsInput!$N$15+1,25,30,35,40,45,50)/100*(Inputs!$B$11-Inputs!$B$11),0)))/100)/2</f>
        <v>100159405835644.03</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472688293524505</v>
      </c>
      <c r="N920">
        <f>L920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472688293524505</v>
      </c>
      <c r="O920">
        <f>(1-Summary!$B$11)*S920+Summary!$B$11*U920</f>
        <v>463257537333251.69</v>
      </c>
      <c r="P920">
        <f>IF(B947=0,0,O920/B947)</f>
        <v>1.3938656594310896E-2</v>
      </c>
      <c r="Q920">
        <f>IFERROR(1/(IF(Inputs!$B$38="pvp",15,MAX(0.1,Skills!E14-IF(TRUE=TRUE,Inputs!$B$32,0)))*(1-IF(AND(ArtifactsInput!$M$27,Inputs!$B$4="Chapter Hunt"),CHOOSE(ArtifactsInput!$N$27+1,20,24,28,32,36,40),0)/100)),0)</f>
        <v>10</v>
      </c>
      <c r="R920">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475251259982656.25</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451263814683847.12</v>
      </c>
    </row>
    <row r="921" spans="1:21" x14ac:dyDescent="0.2">
      <c r="A921" t="str">
        <f>Skills!A15</f>
        <v>FLAME_HAZE_BURST</v>
      </c>
      <c r="B921" t="str">
        <f>Skills!B15</f>
        <v>Flame Haze (burst)</v>
      </c>
      <c r="C921" t="b">
        <f>Inputs!$B$3&gt;=107</f>
        <v>1</v>
      </c>
      <c r="D921">
        <f>IF(Skills!C15=1,60+Inputs!$B$25+(Inputs!$B$29+1),IF(Skills!C15=2,90+Inputs!$B$26+(Inputs!$B$29+1),IF(Skills!C15=3,120+Inputs!$B$27+(Inputs!$B$29+1),MAX(0,(Inputs!$B$3-100)*3)+Inputs!$B$28+(Inputs!$B$29+1))))</f>
        <v>186</v>
      </c>
      <c r="E921">
        <f>INDEX(FactorTable!$B$2:$Y$301, MATCH(ROUND(MIN(300,MAX(1,D921)),0), FactorTable!$A$2:$A$301,0), Skills!M15+1)</f>
        <v>1930</v>
      </c>
      <c r="F921">
        <f>IF(Skills!N15=TRUE,(Skills!L15/10)*(E921/1000),Skills!L15/10)+Skills!O15</f>
        <v>2316</v>
      </c>
      <c r="G921">
        <f>Calc!G15</f>
        <v>3</v>
      </c>
      <c r="H921">
        <f>Calc!H15</f>
        <v>1</v>
      </c>
      <c r="I921">
        <f>IF(Skills!X15&lt;&gt;"",1+(Skills!X15/10)*(Z909/1000)/100,1)</f>
        <v>1</v>
      </c>
      <c r="J921">
        <f>((Inputs!$B$6*(1+Inputs!$B$7/100))+(((Inputs!$B$12*(1+Inputs!$B$13/100))-(Inputs!$B$12*(1+Inputs!$B$13/100)))+0.25*(Inputs!$B$14-Inputs!$B$14))*(1+Inputs!$B$7/100))*(F921/100)</f>
        <v>8363875515.4155607</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42105533234584.367</v>
      </c>
      <c r="L921">
        <f>K921*(MIN(Inputs!$B$22+(F928-Calc!F22),(Inputs!$B$23+(IF(ArtifactsInput!$M$15,CHOOSE(ArtifactsInput!$N$15+1,25,30,35,40,45,50)/100*(Inputs!$B$11-Inputs!$B$11),0))))/100+(Inputs!$B$23+(IF(ArtifactsInput!$M$15,CHOOSE(ArtifactsInput!$N$15+1,25,30,35,40,45,50)/100*(Inputs!$B$11-Inputs!$B$11),0)))/100)/2</f>
        <v>140010371749970.81</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660759348021942.25</v>
      </c>
      <c r="N921">
        <f>L921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660759348021942.25</v>
      </c>
      <c r="O921">
        <f>(1-Summary!$B$11)*S921+Summary!$B$11*U921</f>
        <v>1648759763151751.2</v>
      </c>
      <c r="P921">
        <f>IF(B947=0,0,O921/B947)</f>
        <v>4.9608466766418793E-2</v>
      </c>
      <c r="Q921">
        <f>IFERROR(1/(IF(Inputs!$B$38="pvp",15,MAX(0.1,Skills!E15-IF(TRUE=TRUE,Inputs!$B$32,0)))*(1-IF(AND(ArtifactsInput!$M$27,Inputs!$B$4="Chapter Hunt"),CHOOSE(ArtifactsInput!$N$27+1,20,24,28,32,36,40),0)/100)),0)</f>
        <v>0.04</v>
      </c>
      <c r="R921">
        <f>IF(AND(Inputs!$B$38&lt;&gt;"pvp",Inputs!$B$43&gt;0),IF(MAX(0,Inputs!$B$43-B944)&lt;=0,0,(INT(MAX(0,Inputs!$B$43-B944)/(IF(Inputs!$B$38="pvp",15,MAX(0.1,Skills!E15-IF(TRUE=TRUE,Inputs!$B$32,0)))*(1-IF(AND(ArtifactsInput!$M$27,Inputs!$B$4="Chapter Hunt"),CHOOSE(ArtifactsInput!$N$27+1,20,24,28,32,36,40),0)/100)))+1)),0)</f>
        <v>2</v>
      </c>
      <c r="S921">
        <f>IF(C921,(H921*N921*IF(AND(Inputs!$B$38&lt;&gt;"pvp",Inputs!$B$43&gt;0),((Skills!G15*((R921-1)*IF(Skills!H15&gt;0,Skills!I15/Skills!H15,1)+IF(Skills!H15&gt;0,MIN(Skills!I15,MAX(0,MAX(0,Inputs!$B$43-B944)-((R921-1)*(IF(Inputs!$B$38="pvp",15,MAX(0.1,Skills!E15-IF(TRUE=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314191069984433.5</v>
      </c>
      <c r="U921">
        <f>IF(C921,(H921*N921*IF(AND(Inputs!$B$38&lt;&gt;"pvp",Inputs!$B$43&gt;0),((Skills!G15*((R921-1)*IF(Skills!H15&gt;0,Skills!I15/Skills!H15,1)+IF(Skills!H15&gt;0,MIN(Skills!I15,MAX(0,MAX(0,Inputs!$B$43-B944)-((R921-1)*(IF(Inputs!$B$38="pvp",15,MAX(0.1,Skills!E15-IF(TRUE=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2983328456319069</v>
      </c>
    </row>
    <row r="922" spans="1:21" x14ac:dyDescent="0.2">
      <c r="A922" t="str">
        <f>Skills!A16</f>
        <v>FLAME_HAZE_DOT</v>
      </c>
      <c r="B922" t="str">
        <f>Skills!B16</f>
        <v>Flame Haze (burn DoT)</v>
      </c>
      <c r="C922" t="b">
        <f>Inputs!$B$3&gt;=107</f>
        <v>1</v>
      </c>
      <c r="D922">
        <f>IF(Skills!C16=1,60+Inputs!$B$25+(Inputs!$B$29+1),IF(Skills!C16=2,90+Inputs!$B$26+(Inputs!$B$29+1),IF(Skills!C16=3,120+Inputs!$B$27+(Inputs!$B$29+1),MAX(0,(Inputs!$B$3-100)*3)+Inputs!$B$28+(Inputs!$B$29+1))))</f>
        <v>186</v>
      </c>
      <c r="E922">
        <f>INDEX(FactorTable!$B$2:$Y$301, MATCH(ROUND(MIN(300,MAX(1,D922)),0), FactorTable!$A$2:$A$301,0), Skills!M16+1)</f>
        <v>1930</v>
      </c>
      <c r="F922">
        <f>IF(Skills!N16=TRUE,(Skills!L16/10)*(E922/1000),Skills!L16/10)+Skills!O16</f>
        <v>289.5</v>
      </c>
      <c r="G922">
        <f>Calc!G16</f>
        <v>30</v>
      </c>
      <c r="H922">
        <f>Calc!H16</f>
        <v>1</v>
      </c>
      <c r="I922">
        <f>IF(Skills!X16&lt;&gt;"",1+(Skills!X16/10)*(Z909/1000)/100,1)</f>
        <v>1</v>
      </c>
      <c r="J922">
        <f>((Inputs!$B$6*(1+Inputs!$B$7/100))+(((Inputs!$B$12*(1+Inputs!$B$13/100))-(Inputs!$B$12*(1+Inputs!$B$13/100)))+0.25*(Inputs!$B$14-Inputs!$B$14))*(1+Inputs!$B$7/100))*(F922/100)</f>
        <v>1045484439.4269451</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5263191654323.0459</v>
      </c>
      <c r="L922">
        <f>K922*(MIN(Inputs!$B$22+(F928-Calc!F22),(Inputs!$B$23+(IF(ArtifactsInput!$M$15,CHOOSE(ArtifactsInput!$N$15+1,25,30,35,40,45,50)/100*(Inputs!$B$11-Inputs!$B$11),0))))/100+(Inputs!$B$23+(IF(ArtifactsInput!$M$15,CHOOSE(ArtifactsInput!$N$15+1,25,30,35,40,45,50)/100*(Inputs!$B$11-Inputs!$B$11),0)))/100)/2</f>
        <v>17501296468746.352</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82594918502742.781</v>
      </c>
      <c r="N922">
        <f>L922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82594918502742.781</v>
      </c>
      <c r="O922">
        <f>(1-Summary!$B$11)*S922+Summary!$B$11*U922</f>
        <v>1899144391977411</v>
      </c>
      <c r="P922">
        <f>IF(B947=0,0,O922/B947)</f>
        <v>5.7142128016239462E-2</v>
      </c>
      <c r="Q922">
        <f>IFERROR(1/(IF(Inputs!$B$38="pvp",15,MAX(0.1,Skills!E16-IF(TRUE=TRUE,Inputs!$B$32,0)))*(1-IF(AND(ArtifactsInput!$M$27,Inputs!$B$4="Chapter Hunt"),CHOOSE(ArtifactsInput!$N$27+1,20,24,28,32,36,40),0)/100)),0)</f>
        <v>0.04</v>
      </c>
      <c r="R922">
        <f>IF(AND(Inputs!$B$38&lt;&gt;"pvp",Inputs!$B$43&gt;0),IF(MAX(0,Inputs!$B$43-B944)&lt;=0,0,(INT(MAX(0,Inputs!$B$43-B944)/(IF(Inputs!$B$38="pvp",15,MAX(0.1,Skills!E16-IF(TRUE=TRUE,Inputs!$B$32,0)))*(1-IF(AND(ArtifactsInput!$M$27,Inputs!$B$4="Chapter Hunt"),CHOOSE(ArtifactsInput!$N$27+1,20,24,28,32,36,40),0)/100)))+1)),0)</f>
        <v>2</v>
      </c>
      <c r="S922">
        <f>IF(C922,(H922*N922*IF(AND(Inputs!$B$38&lt;&gt;"pvp",Inputs!$B$43&gt;0),((Skills!G16*((R922-1)*IF(Skills!H16&gt;0,Skills!I16/Skills!H16,1)+IF(Skills!H16&gt;0,MIN(Skills!I16,MAX(0,MAX(0,Inputs!$B$43-B944)-((R922-1)*(IF(Inputs!$B$38="pvp",15,MAX(0.1,Skills!E16-IF(TRUE=TRUE,Inputs!$B$32,0)))*(1-IF(AND(ArtifactsInput!$M$27,Inputs!$B$4="Chapter Hunt"),CHOOSE(ArtifactsInput!$N$27+1,20,24,28,32,36,40),0)/100)))))/Skills!H16,1)))/Inputs!$B$43),G922*Q922)*(1+IF(Inputs!$B$3&gt;=126,0.05*(B942+Q919+(H920*B943)/(1+Skills!H14*H920*B943)+Q930),0)*(1/Q921)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361904882631102.69</v>
      </c>
      <c r="U922">
        <f>IF(C922,(H922*N922*IF(AND(Inputs!$B$38&lt;&gt;"pvp",Inputs!$B$43&gt;0),((Skills!G16*((R922-1)*IF(Skills!H16&gt;0,Skills!I16/Skills!H16,1)+IF(Skills!H16&gt;0,MIN(Skills!I16,MAX(0,MAX(0,Inputs!$B$43-B944)-((R922-1)*(IF(Inputs!$B$38="pvp",15,MAX(0.1,Skills!E16-IF(TRUE=TRUE,Inputs!$B$32,0)))*(1-IF(AND(ArtifactsInput!$M$27,Inputs!$B$4="Chapter Hunt"),CHOOSE(ArtifactsInput!$N$27+1,20,24,28,32,36,40),0)/100)))))/Skills!H16,1)))/Inputs!$B$43),G922*Q922)*(1+IF(Inputs!$B$3&gt;=126,0.05*(B942+Q919+(H920*B943)/(1+Skills!H14*H920*B943)+Q930),0)*(1/Q921)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3436383901323719.5</v>
      </c>
    </row>
    <row r="923" spans="1:21" x14ac:dyDescent="0.2">
      <c r="A923" t="str">
        <f>Skills!A17</f>
        <v>MAGIC_GUARD</v>
      </c>
      <c r="B923" t="str">
        <f>Skills!B17</f>
        <v>Magic Guard</v>
      </c>
      <c r="C923" t="b">
        <f>TRUE</f>
        <v>1</v>
      </c>
      <c r="D923">
        <f>IF(Skills!C17=1,60+Inputs!$B$25+(Inputs!$B$29+1),IF(Skills!C17=2,90+Inputs!$B$26+(Inputs!$B$29+1),IF(Skills!C17=3,120+Inputs!$B$27+(Inputs!$B$29+1),MAX(0,(Inputs!$B$3-100)*3)+Inputs!$B$28+(Inputs!$B$29+1))))</f>
        <v>128</v>
      </c>
      <c r="E923">
        <f>INDEX(FactorTable!$B$2:$Y$301, MATCH(ROUND(MIN(300,MAX(1,D923)),0), FactorTable!$A$2:$A$301,0), Skills!M17+1)</f>
        <v>1512</v>
      </c>
      <c r="F923">
        <f>IF(Skills!N17=TRUE,(Skills!L17/10)*(E923/1000),Skills!L17/10)+Skills!O17</f>
        <v>18.143999999999998</v>
      </c>
      <c r="G923">
        <f>Calc!G17</f>
        <v>1</v>
      </c>
      <c r="H923">
        <f>Calc!H17</f>
        <v>1</v>
      </c>
      <c r="I923">
        <f>IF(Skills!X17&lt;&gt;"",1+(Skills!X17/10)*(Z909/1000)/100,1)</f>
        <v>1</v>
      </c>
      <c r="O923">
        <f>(1-Summary!$B$11)*S923+Summary!$B$11*U923</f>
        <v>0</v>
      </c>
      <c r="P923">
        <f>IF(B947=0,0,O923/B947)</f>
        <v>0</v>
      </c>
      <c r="Q923">
        <f>IFERROR(1/(IF(Inputs!$B$38="pvp",15,MAX(0.1,Skills!E17-IF(TRUE=TRUE,Inputs!$B$32,0)))*(1-IF(AND(ArtifactsInput!$M$27,Inputs!$B$4="Chapter Hunt"),CHOOSE(ArtifactsInput!$N$27+1,20,24,28,32,36,40),0)/100)),0)</f>
        <v>4.7619047619047616E-2</v>
      </c>
      <c r="R923">
        <f>IF(AND(Inputs!$B$38&lt;&gt;"pvp",Inputs!$B$43&gt;0),IF(Inputs!$B$43&lt;=0,0,(INT(Inputs!$B$43/(IF(Inputs!$B$38="pvp",15,MAX(0.1,Skills!E17-IF(TRUE=TRUE,Inputs!$B$32,0)))*(1-IF(AND(ArtifactsInput!$M$27,Inputs!$B$4="Chapter Hunt"),CHOOSE(ArtifactsInput!$N$27+1,20,24,28,32,36,40),0)/100)))+1)),0)</f>
        <v>2</v>
      </c>
      <c r="S923">
        <v>0</v>
      </c>
      <c r="U923">
        <v>0</v>
      </c>
    </row>
    <row r="924" spans="1:21" x14ac:dyDescent="0.2">
      <c r="A924" t="str">
        <f>Skills!A18</f>
        <v>NIMBLE_FEET</v>
      </c>
      <c r="B924" t="str">
        <f>Skills!B18</f>
        <v>Nimble Feet</v>
      </c>
      <c r="C924" t="b">
        <f>TRUE</f>
        <v>1</v>
      </c>
      <c r="D924">
        <f>IF(Skills!C18=1,60+Inputs!$B$25+(Inputs!$B$29+1),IF(Skills!C18=2,90+Inputs!$B$26+(Inputs!$B$29+1),IF(Skills!C18=3,120+Inputs!$B$27+(Inputs!$B$29+1),MAX(0,(Inputs!$B$3-100)*3)+Inputs!$B$28+(Inputs!$B$29+1))))</f>
        <v>128</v>
      </c>
      <c r="E924">
        <f>INDEX(FactorTable!$B$2:$Y$301, MATCH(ROUND(MIN(300,MAX(1,D924)),0), FactorTable!$A$2:$A$301,0), Skills!M18+1)</f>
        <v>0</v>
      </c>
      <c r="F924">
        <f>IF(Skills!N18=TRUE,(Skills!L18/10)*(E924/1000),Skills!L18/10)+Skills!O18</f>
        <v>15</v>
      </c>
      <c r="G924">
        <f>Calc!G18</f>
        <v>1</v>
      </c>
      <c r="H924">
        <f>Calc!H18</f>
        <v>1</v>
      </c>
      <c r="I924">
        <f>IF(Skills!X18&lt;&gt;"",1+(Skills!X18/10)*(Z909/1000)/100,1)</f>
        <v>1</v>
      </c>
      <c r="O924">
        <f>(1-Summary!$B$11)*S924+Summary!$B$11*U924</f>
        <v>0</v>
      </c>
      <c r="P924">
        <f>IF(B947=0,0,O924/B947)</f>
        <v>0</v>
      </c>
      <c r="Q924">
        <f>IFERROR(1/(IF(Inputs!$B$38="pvp",15,MAX(0.1,Skills!E18-IF(TRUE=TRUE,Inputs!$B$32,0)))*(1-IF(AND(ArtifactsInput!$M$27,Inputs!$B$4="Chapter Hunt"),CHOOSE(ArtifactsInput!$N$27+1,20,24,28,32,36,40),0)/100)),0)</f>
        <v>1.6666666666666666E-2</v>
      </c>
      <c r="R924">
        <f>IF(AND(Inputs!$B$38&lt;&gt;"pvp",Inputs!$B$43&gt;0),IF(Inputs!$B$43&lt;=0,0,(INT(Inputs!$B$43/(IF(Inputs!$B$38="pvp",15,MAX(0.1,Skills!E18-IF(TRUE=TRUE,Inputs!$B$32,0)))*(1-IF(AND(ArtifactsInput!$M$27,Inputs!$B$4="Chapter Hunt"),CHOOSE(ArtifactsInput!$N$27+1,20,24,28,32,36,40),0)/100)))+1)),0)</f>
        <v>1</v>
      </c>
      <c r="S924">
        <v>0</v>
      </c>
      <c r="U924">
        <v>0</v>
      </c>
    </row>
    <row r="925" spans="1:21" x14ac:dyDescent="0.2">
      <c r="A925" t="str">
        <f>Skills!A19</f>
        <v>INFINITY</v>
      </c>
      <c r="B925" t="str">
        <f>Skills!B19</f>
        <v>Infinity</v>
      </c>
      <c r="C925" t="b">
        <f>Inputs!$B$3&gt;=110</f>
        <v>1</v>
      </c>
      <c r="D925">
        <f>IF(Skills!C19=1,60+Inputs!$B$25+(Inputs!$B$29+1),IF(Skills!C19=2,90+Inputs!$B$26+(Inputs!$B$29+1),IF(Skills!C19=3,120+Inputs!$B$27+(Inputs!$B$29+1),MAX(0,(Inputs!$B$3-100)*3)+Inputs!$B$28+(Inputs!$B$29+1))))</f>
        <v>186</v>
      </c>
      <c r="E925">
        <f>INDEX(FactorTable!$B$2:$Y$301, MATCH(ROUND(MIN(300,MAX(1,D925)),0), FactorTable!$A$2:$A$301,0), Skills!M19+1)</f>
        <v>1744</v>
      </c>
      <c r="F925">
        <f>IF(Skills!N19=TRUE,(Skills!L19/10)*(E925/1000),Skills!L19/10)+Skills!O19</f>
        <v>37.787247999999998</v>
      </c>
      <c r="G925">
        <f>Calc!G19</f>
        <v>1</v>
      </c>
      <c r="H925">
        <f>Calc!H19</f>
        <v>1</v>
      </c>
      <c r="I925">
        <f>IF(Skills!X19&lt;&gt;"",1+(Skills!X19/10)*(Z909/1000)/100,1)</f>
        <v>1</v>
      </c>
      <c r="O925">
        <f>(1-Summary!$B$11)*S925+Summary!$B$11*U925</f>
        <v>0</v>
      </c>
      <c r="P925">
        <f>IF(B947=0,0,O925/B947)</f>
        <v>0</v>
      </c>
      <c r="Q925">
        <f>IFERROR(1/(IF(Inputs!$B$38="pvp",15,MAX(0.1,Skills!E19-IF(TRUE=TRUE,Inputs!$B$32,0)))*(1-IF(AND(ArtifactsInput!$M$27,Inputs!$B$4="Chapter Hunt"),CHOOSE(ArtifactsInput!$N$27+1,20,24,28,32,36,40),0)/100)),0)</f>
        <v>3.3333333333333333E-2</v>
      </c>
      <c r="R925">
        <f>IF(AND(Inputs!$B$38&lt;&gt;"pvp",Inputs!$B$43&gt;0),IF(Inputs!$B$43&lt;=0,0,(INT(Inputs!$B$43/(IF(Inputs!$B$38="pvp",15,MAX(0.1,Skills!E19-IF(TRUE=TRUE,Inputs!$B$32,0)))*(1-IF(AND(ArtifactsInput!$M$27,Inputs!$B$4="Chapter Hunt"),CHOOSE(ArtifactsInput!$N$27+1,20,24,28,32,36,40),0)/100)))+1)),0)</f>
        <v>2</v>
      </c>
      <c r="S925">
        <v>0</v>
      </c>
      <c r="U925">
        <v>0</v>
      </c>
    </row>
    <row r="926" spans="1:21" x14ac:dyDescent="0.2">
      <c r="A926" t="str">
        <f>Skills!A20</f>
        <v>MAGIC_CRITICAL_RATE</v>
      </c>
      <c r="B926" t="str">
        <f>Skills!B20</f>
        <v>Magic Critical (Crit Rate)</v>
      </c>
      <c r="C926" t="b">
        <f>TRUE</f>
        <v>1</v>
      </c>
      <c r="D926">
        <f>IF(Skills!C20=1,60+Inputs!$B$25+(Inputs!$B$29+1),IF(Skills!C20=2,90+Inputs!$B$26+(Inputs!$B$29+1),IF(Skills!C20=3,120+Inputs!$B$27+(Inputs!$B$29+1),MAX(0,(Inputs!$B$3-100)*3)+Inputs!$B$28+(Inputs!$B$29+1))))</f>
        <v>185</v>
      </c>
      <c r="E926">
        <f>INDEX(FactorTable!$B$2:$Y$301, MATCH(ROUND(MIN(300,MAX(1,D926)),0), FactorTable!$A$2:$A$301,0), Skills!M20+1)</f>
        <v>1555</v>
      </c>
      <c r="F926">
        <f>IF(Skills!N20=TRUE,(Skills!L20/10)*(E926/1000),Skills!L20/10)+Skills!O20</f>
        <v>12.44</v>
      </c>
      <c r="G926">
        <f>Calc!G20</f>
        <v>1</v>
      </c>
      <c r="H926">
        <f>Calc!H20</f>
        <v>1</v>
      </c>
      <c r="I926">
        <f>IF(Skills!X20&lt;&gt;"",1+(Skills!X20/10)*(Z909/1000)/100,1)</f>
        <v>1</v>
      </c>
      <c r="O926">
        <f>(1-Summary!$B$11)*S926+Summary!$B$11*U926</f>
        <v>0</v>
      </c>
      <c r="P926">
        <f>IF(B947=0,0,O926/B947)</f>
        <v>0</v>
      </c>
      <c r="Q926">
        <f>IFERROR(1/(IF(Inputs!$B$38="pvp",15,MAX(0.1,Skills!E20-IF(TRUE=TRUE,Inputs!$B$32,0)))*(1-IF(AND(ArtifactsInput!$M$27,Inputs!$B$4="Chapter Hunt"),CHOOSE(ArtifactsInput!$N$27+1,20,24,28,32,36,40),0)/100)),0)</f>
        <v>10</v>
      </c>
      <c r="R926">
        <v>0</v>
      </c>
      <c r="S926">
        <v>0</v>
      </c>
      <c r="U926">
        <v>0</v>
      </c>
    </row>
    <row r="927" spans="1:21" x14ac:dyDescent="0.2">
      <c r="A927" t="str">
        <f>Skills!A21</f>
        <v>MAGIC_CRITICAL_DAMAGE</v>
      </c>
      <c r="B927" t="str">
        <f>Skills!B21</f>
        <v>Magic Critical (Crit Damage)</v>
      </c>
      <c r="C927" t="b">
        <f>TRUE</f>
        <v>1</v>
      </c>
      <c r="D927">
        <f>IF(Skills!C21=1,60+Inputs!$B$25+(Inputs!$B$29+1),IF(Skills!C21=2,90+Inputs!$B$26+(Inputs!$B$29+1),IF(Skills!C21=3,120+Inputs!$B$27+(Inputs!$B$29+1),MAX(0,(Inputs!$B$3-100)*3)+Inputs!$B$28+(Inputs!$B$29+1))))</f>
        <v>185</v>
      </c>
      <c r="E927">
        <f>INDEX(FactorTable!$B$2:$Y$301, MATCH(ROUND(MIN(300,MAX(1,D927)),0), FactorTable!$A$2:$A$301,0), Skills!M21+1)</f>
        <v>1555</v>
      </c>
      <c r="F927">
        <f>IF(Skills!N21=TRUE,(Skills!L21/10)*(E927/1000),Skills!L21/10)+Skills!O21</f>
        <v>18.66</v>
      </c>
      <c r="G927">
        <f>Calc!G21</f>
        <v>1</v>
      </c>
      <c r="H927">
        <f>Calc!H21</f>
        <v>1</v>
      </c>
      <c r="I927">
        <f>IF(Skills!X21&lt;&gt;"",1+(Skills!X21/10)*(Z909/1000)/100,1)</f>
        <v>1</v>
      </c>
      <c r="O927">
        <f>(1-Summary!$B$11)*S927+Summary!$B$11*U927</f>
        <v>0</v>
      </c>
      <c r="P927">
        <f>IF(B947=0,0,O927/B947)</f>
        <v>0</v>
      </c>
      <c r="Q927">
        <f>IFERROR(1/(IF(Inputs!$B$38="pvp",15,MAX(0.1,Skills!E21-IF(TRUE=TRUE,Inputs!$B$32,0)))*(1-IF(AND(ArtifactsInput!$M$27,Inputs!$B$4="Chapter Hunt"),CHOOSE(ArtifactsInput!$N$27+1,20,24,28,32,36,40),0)/100)),0)</f>
        <v>10</v>
      </c>
      <c r="R927">
        <v>0</v>
      </c>
      <c r="S927">
        <v>0</v>
      </c>
      <c r="U927">
        <v>0</v>
      </c>
    </row>
    <row r="928" spans="1:21" x14ac:dyDescent="0.2">
      <c r="A928" t="str">
        <f>Skills!A22</f>
        <v>SPELL_MASTERY</v>
      </c>
      <c r="B928" t="str">
        <f>Skills!B22</f>
        <v>Spell Mastery</v>
      </c>
      <c r="C928" t="b">
        <f>TRUE</f>
        <v>1</v>
      </c>
      <c r="D928">
        <f>IF(Skills!C22=1,60+Inputs!$B$25+(Inputs!$B$29+1),IF(Skills!C22=2,90+Inputs!$B$26+(Inputs!$B$29+1),IF(Skills!C22=3,120+Inputs!$B$27+(Inputs!$B$29+1),MAX(0,(Inputs!$B$3-100)*3)+Inputs!$B$28+(Inputs!$B$29+1))))</f>
        <v>169</v>
      </c>
      <c r="E928">
        <f>INDEX(FactorTable!$B$2:$Y$301, MATCH(ROUND(MIN(300,MAX(1,D928)),0), FactorTable!$A$2:$A$301,0), Skills!M22+1)</f>
        <v>1507</v>
      </c>
      <c r="F928">
        <f>IF(Skills!N22=TRUE,(Skills!L22/10)*(E928/1000),Skills!L22/10)+Skills!O22</f>
        <v>22.604999999999997</v>
      </c>
      <c r="G928">
        <f>Calc!G22</f>
        <v>1</v>
      </c>
      <c r="H928">
        <f>Calc!H22</f>
        <v>1</v>
      </c>
      <c r="I928">
        <f>IF(Skills!X22&lt;&gt;"",1+(Skills!X22/10)*(Z909/1000)/100,1)</f>
        <v>1</v>
      </c>
      <c r="O928">
        <f>(1-Summary!$B$11)*S928+Summary!$B$11*U928</f>
        <v>0</v>
      </c>
      <c r="P928">
        <f>IF(B947=0,0,O928/B947)</f>
        <v>0</v>
      </c>
      <c r="Q928">
        <f>IFERROR(1/(IF(Inputs!$B$38="pvp",15,MAX(0.1,Skills!E22-IF(TRUE=TRUE,Inputs!$B$32,0)))*(1-IF(AND(ArtifactsInput!$M$27,Inputs!$B$4="Chapter Hunt"),CHOOSE(ArtifactsInput!$N$27+1,20,24,28,32,36,40),0)/100)),0)</f>
        <v>10</v>
      </c>
      <c r="R928">
        <v>0</v>
      </c>
      <c r="S928">
        <v>0</v>
      </c>
      <c r="U928">
        <v>0</v>
      </c>
    </row>
    <row r="929" spans="1:21" x14ac:dyDescent="0.2">
      <c r="A929" t="str">
        <f>Skills!A23</f>
        <v>ELEMENT_AMPLIFICATION</v>
      </c>
      <c r="B929" t="str">
        <f>Skills!B23</f>
        <v>Element Amplification</v>
      </c>
      <c r="C929" t="b">
        <f>TRUE</f>
        <v>1</v>
      </c>
      <c r="D929">
        <f>IF(Skills!C23=1,60+Inputs!$B$25+(Inputs!$B$29+1),IF(Skills!C23=2,90+Inputs!$B$26+(Inputs!$B$29+1),IF(Skills!C23=3,120+Inputs!$B$27+(Inputs!$B$29+1),MAX(0,(Inputs!$B$3-100)*3)+Inputs!$B$28+(Inputs!$B$29+1))))</f>
        <v>186</v>
      </c>
      <c r="E929">
        <f>INDEX(FactorTable!$B$2:$Y$301, MATCH(ROUND(MIN(300,MAX(1,D929)),0), FactorTable!$A$2:$A$301,0), Skills!M23+1)</f>
        <v>1558</v>
      </c>
      <c r="F929">
        <f>IF(Skills!N23=TRUE,(Skills!L23/10)*(E929/1000),Skills!L23/10)+Skills!O23</f>
        <v>23.37</v>
      </c>
      <c r="G929">
        <f>Calc!G23</f>
        <v>1</v>
      </c>
      <c r="H929">
        <f>Calc!H23</f>
        <v>1</v>
      </c>
      <c r="I929">
        <f>IF(Skills!X23&lt;&gt;"",1+(Skills!X23/10)*(Z909/1000)/100,1)</f>
        <v>1</v>
      </c>
      <c r="O929">
        <f>(1-Summary!$B$11)*S929+Summary!$B$11*U929</f>
        <v>0</v>
      </c>
      <c r="P929">
        <f>IF(B947=0,0,O929/B947)</f>
        <v>0</v>
      </c>
      <c r="Q929">
        <f>IFERROR(1/(IF(Inputs!$B$38="pvp",15,MAX(0.1,Skills!E23-IF(TRUE=TRUE,Inputs!$B$32,0)))*(1-IF(AND(ArtifactsInput!$M$27,Inputs!$B$4="Chapter Hunt"),CHOOSE(ArtifactsInput!$N$27+1,20,24,28,32,36,40),0)/100)),0)</f>
        <v>10</v>
      </c>
      <c r="R929">
        <v>0</v>
      </c>
      <c r="S929">
        <v>0</v>
      </c>
      <c r="U929">
        <v>0</v>
      </c>
    </row>
    <row r="930" spans="1:21" x14ac:dyDescent="0.2">
      <c r="A930" t="str">
        <f>Skills!A24</f>
        <v>IFRIT</v>
      </c>
      <c r="B930" t="str">
        <f>Skills!B24</f>
        <v>Ifrit</v>
      </c>
      <c r="C930" t="b">
        <f>Inputs!$B$3&gt;=115</f>
        <v>1</v>
      </c>
      <c r="D930">
        <f>IF(Skills!C24=1,60+Inputs!$B$25+(Inputs!$B$29+1),IF(Skills!C24=2,90+Inputs!$B$26+(Inputs!$B$29+1),IF(Skills!C24=3,120+Inputs!$B$27+(Inputs!$B$29+1),MAX(0,(Inputs!$B$3-100)*3)+Inputs!$B$28+(Inputs!$B$29+1))))</f>
        <v>186</v>
      </c>
      <c r="E930">
        <f>INDEX(FactorTable!$B$2:$Y$301, MATCH(ROUND(MIN(300,MAX(1,D930)),0), FactorTable!$A$2:$A$301,0), Skills!M24+1)</f>
        <v>1930</v>
      </c>
      <c r="F930">
        <f>IF(Skills!N24=TRUE,(Skills!L24/10)*(E930/1000),Skills!L24/10)+Skills!O24</f>
        <v>6755</v>
      </c>
      <c r="G930">
        <f>Calc!G24</f>
        <v>7.5</v>
      </c>
      <c r="H930">
        <f>Calc!H24</f>
        <v>1</v>
      </c>
      <c r="I930">
        <f>IF(Skills!X24&lt;&gt;"",1+(Skills!X24/10)*(Z909/1000)/100,1)</f>
        <v>1</v>
      </c>
      <c r="J930">
        <f>((Inputs!$B$6*(1+Inputs!$B$7/100))+(((Inputs!$B$12*(1+Inputs!$B$13/100))-(Inputs!$B$12*(1+Inputs!$B$13/100)))+0.25*(Inputs!$B$14-Inputs!$B$14))*(1+Inputs!$B$7/100))*(F930/100)</f>
        <v>24394636919.962051</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122807805267537.75</v>
      </c>
      <c r="L930">
        <f>K930*(MIN(Inputs!$B$22+(F928-Calc!F22),(Inputs!$B$23+(IF(ArtifactsInput!$M$15,CHOOSE(ArtifactsInput!$N$15+1,25,30,35,40,45,50)/100*(Inputs!$B$11-Inputs!$B$11),0))))/100+(Inputs!$B$23+(IF(ArtifactsInput!$M$15,CHOOSE(ArtifactsInput!$N$15+1,25,30,35,40,45,50)/100*(Inputs!$B$11-Inputs!$B$11),0)))/100)/2</f>
        <v>408363584270748.25</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1927214765063998.5</v>
      </c>
      <c r="N930">
        <f>L930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1927214765063998.5</v>
      </c>
      <c r="O930">
        <f>(1-Summary!$B$11)*S930+Summary!$B$11*U930</f>
        <v>2204251887541948.5</v>
      </c>
      <c r="P930">
        <f>IF(B947=0,0,O930/B947)</f>
        <v>6.632231023087877E-2</v>
      </c>
      <c r="Q930">
        <f>IFERROR(1/(IF(Inputs!$B$38="pvp",15,MAX(0.1,Skills!E24-IF(TRUE=TRUE,Inputs!$B$32,0)))*(1-IF(AND(ArtifactsInput!$M$27,Inputs!$B$4="Chapter Hunt"),CHOOSE(ArtifactsInput!$N$27+1,20,24,28,32,36,40),0)/100)),0)</f>
        <v>1.2500000000000001E-2</v>
      </c>
      <c r="R930">
        <f>IF(AND(Inputs!$B$38&lt;&gt;"pvp",Inputs!$B$43&gt;0),IF(MAX(0,Inputs!$B$43-B944)&lt;=0,0,(INT(MAX(0,Inputs!$B$43-B944)/(IF(Inputs!$B$38="pvp",15,MAX(0.1,Skills!E24-IF(TRUE=TRUE,Inputs!$B$32,0)))*(1-IF(AND(ArtifactsInput!$M$27,Inputs!$B$4="Chapter Hunt"),CHOOSE(ArtifactsInput!$N$27+1,20,24,28,32,36,40),0)/100)))+1)),0)</f>
        <v>1</v>
      </c>
      <c r="S930">
        <f>IF(C930,(H930*N930*IF(AND(Inputs!$B$38&lt;&gt;"pvp",Inputs!$B$43&gt;0),((Skills!G24*((R930-1)*IF(Skills!H24&gt;0,Skills!I24/Skills!H24,1)+IF(Skills!H24&gt;0,MIN(Skills!I24,MAX(0,MAX(0,Inputs!$B$43-B944)-((R930-1)*(IF(Inputs!$B$38="pvp",15,MAX(0.1,Skills!E24-IF(TRUE=TRUE,Inputs!$B$32,0)))*(1-IF(AND(ArtifactsInput!$M$27,Inputs!$B$4="Chapter Hunt"),CHOOSE(ArtifactsInput!$N$27+1,20,24,28,32,36,40),0)/100)))))/Skills!H24,1)))/Inputs!$B$43),G930*Q930)*(1+IF(Inputs!$B$3&gt;=130,0.2*(Skills!I16/(1/Q921)+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1145488275984914.2</v>
      </c>
      <c r="U930">
        <f>IF(C930,(H930*N930*IF(AND(Inputs!$B$38&lt;&gt;"pvp",Inputs!$B$43&gt;0),((Skills!G24*((R930-1)*IF(Skills!H24&gt;0,Skills!I24/Skills!H24,1)+IF(Skills!H24&gt;0,MIN(Skills!I24,MAX(0,MAX(0,Inputs!$B$43-B944)-((R930-1)*(IF(Inputs!$B$38="pvp",15,MAX(0.1,Skills!E24-IF(TRUE=TRUE,Inputs!$B$32,0)))*(1-IF(AND(ArtifactsInput!$M$27,Inputs!$B$4="Chapter Hunt"),CHOOSE(ArtifactsInput!$N$27+1,20,24,28,32,36,40),0)/100)))))/Skills!H24,1)))/Inputs!$B$43),G930*Q930)*(1+IF(Inputs!$B$3&gt;=130,0.2*(Skills!I16/(1/Q921)+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3263015499098982.5</v>
      </c>
    </row>
    <row r="931" spans="1:21" x14ac:dyDescent="0.2">
      <c r="A931" t="str">
        <f>Skills!A25</f>
        <v>BUFF_MASTERY</v>
      </c>
      <c r="B931" t="str">
        <f>Skills!B25</f>
        <v>Buff Mastery</v>
      </c>
      <c r="C931" t="b">
        <f>Inputs!$B$3&gt;=117</f>
        <v>1</v>
      </c>
      <c r="D931">
        <f>IF(Skills!C25=1,60+Inputs!$B$25+(Inputs!$B$29+1),IF(Skills!C25=2,90+Inputs!$B$26+(Inputs!$B$29+1),IF(Skills!C25=3,120+Inputs!$B$27+(Inputs!$B$29+1),MAX(0,(Inputs!$B$3-100)*3)+Inputs!$B$28+(Inputs!$B$29+1))))</f>
        <v>186</v>
      </c>
      <c r="E931">
        <f>INDEX(FactorTable!$B$2:$Y$301, MATCH(ROUND(MIN(300,MAX(1,D931)),0), FactorTable!$A$2:$A$301,0), Skills!M25+1)</f>
        <v>1558</v>
      </c>
      <c r="F931">
        <f>IF(Skills!N25=TRUE,(Skills!L25/10)*(E931/1000),Skills!L25/10)+Skills!O25</f>
        <v>15.58</v>
      </c>
      <c r="G931">
        <f>Calc!G25</f>
        <v>1</v>
      </c>
      <c r="H931">
        <f>Calc!H25</f>
        <v>1</v>
      </c>
      <c r="I931">
        <f>IF(Skills!X25&lt;&gt;"",1+(Skills!X25/10)*(Z909/1000)/100,1)</f>
        <v>1</v>
      </c>
      <c r="O931">
        <f>(1-Summary!$B$11)*S931+Summary!$B$11*U931</f>
        <v>0</v>
      </c>
      <c r="P931">
        <f>IF(B947=0,0,O931/B947)</f>
        <v>0</v>
      </c>
      <c r="Q931">
        <f>IFERROR(1/(IF(Inputs!$B$38="pvp",15,MAX(0.1,Skills!E25-IF(TRUE=TRUE,Inputs!$B$32,0)))*(1-IF(AND(ArtifactsInput!$M$27,Inputs!$B$4="Chapter Hunt"),CHOOSE(ArtifactsInput!$N$27+1,20,24,28,32,36,40),0)/100)),0)</f>
        <v>10</v>
      </c>
      <c r="R931">
        <v>0</v>
      </c>
      <c r="S931">
        <v>0</v>
      </c>
      <c r="U931">
        <v>0</v>
      </c>
    </row>
    <row r="932" spans="1:21" x14ac:dyDescent="0.2">
      <c r="A932" t="str">
        <f>Skills!A26</f>
        <v>ARCANE_AIM</v>
      </c>
      <c r="B932" t="str">
        <f>Skills!B26</f>
        <v>Arcane Aim</v>
      </c>
      <c r="C932" t="b">
        <f>Inputs!$B$3&gt;=120</f>
        <v>0</v>
      </c>
      <c r="D932">
        <f>IF(Skills!C26=1,60+Inputs!$B$25+(Inputs!$B$29+1),IF(Skills!C26=2,90+Inputs!$B$26+(Inputs!$B$29+1),IF(Skills!C26=3,120+Inputs!$B$27+(Inputs!$B$29+1),MAX(0,(Inputs!$B$3-100)*3)+Inputs!$B$28+(Inputs!$B$29+1))))</f>
        <v>186</v>
      </c>
      <c r="E932">
        <f>INDEX(FactorTable!$B$2:$Y$301, MATCH(ROUND(MIN(300,MAX(1,D932)),0), FactorTable!$A$2:$A$301,0), Skills!M26+1)</f>
        <v>1558</v>
      </c>
      <c r="F932">
        <f>IF(Skills!N26=TRUE,(Skills!L26/10)*(E932/1000),Skills!L26/10)+Skills!O26</f>
        <v>4.6740000000000004</v>
      </c>
      <c r="G932">
        <f>Calc!G26</f>
        <v>1</v>
      </c>
      <c r="H932">
        <f>Calc!H26</f>
        <v>1</v>
      </c>
      <c r="I932">
        <f>IF(Skills!X26&lt;&gt;"",1+(Skills!X26/10)*(Z909/1000)/100,1)</f>
        <v>1</v>
      </c>
      <c r="O932">
        <f>(1-Summary!$B$11)*S932+Summary!$B$11*U932</f>
        <v>0</v>
      </c>
      <c r="P932">
        <f>IF(B947=0,0,O932/B947)</f>
        <v>0</v>
      </c>
      <c r="Q932">
        <f>IFERROR(1/(IF(Inputs!$B$38="pvp",15,MAX(0.1,Skills!E26-IF(TRUE=TRUE,Inputs!$B$32,0)))*(1-IF(AND(ArtifactsInput!$M$27,Inputs!$B$4="Chapter Hunt"),CHOOSE(ArtifactsInput!$N$27+1,20,24,28,32,36,40),0)/100)),0)</f>
        <v>10</v>
      </c>
      <c r="R932">
        <v>0</v>
      </c>
      <c r="S932">
        <v>0</v>
      </c>
      <c r="U932">
        <v>0</v>
      </c>
    </row>
    <row r="933" spans="1:21" x14ac:dyDescent="0.2">
      <c r="A933" t="str">
        <f>Skills!A27</f>
        <v>FERVENT_DRAIN</v>
      </c>
      <c r="B933" t="str">
        <f>Skills!B27</f>
        <v>Fervent Drain</v>
      </c>
      <c r="C933" t="b">
        <f>Inputs!$B$3&gt;=125</f>
        <v>0</v>
      </c>
      <c r="D933">
        <f>IF(Skills!C27=1,60+Inputs!$B$25+(Inputs!$B$29+1),IF(Skills!C27=2,90+Inputs!$B$26+(Inputs!$B$29+1),IF(Skills!C27=3,120+Inputs!$B$27+(Inputs!$B$29+1),MAX(0,(Inputs!$B$3-100)*3)+Inputs!$B$28+(Inputs!$B$29+1))))</f>
        <v>186</v>
      </c>
      <c r="E933">
        <f>INDEX(FactorTable!$B$2:$Y$301, MATCH(ROUND(MIN(300,MAX(1,D933)),0), FactorTable!$A$2:$A$301,0), Skills!M27+1)</f>
        <v>1558</v>
      </c>
      <c r="F933">
        <f>IF(Skills!N27=TRUE,(Skills!L27/10)*(E933/1000),Skills!L27/10)+Skills!O27</f>
        <v>6.2320000000000002</v>
      </c>
      <c r="G933">
        <f>Calc!G27</f>
        <v>1</v>
      </c>
      <c r="H933">
        <f>Calc!H27</f>
        <v>1</v>
      </c>
      <c r="I933">
        <f>IF(Skills!X27&lt;&gt;"",1+(Skills!X27/10)*(Z909/1000)/100,1)</f>
        <v>1</v>
      </c>
      <c r="O933">
        <f>(1-Summary!$B$11)*S933+Summary!$B$11*U933</f>
        <v>0</v>
      </c>
      <c r="P933">
        <f>IF(B947=0,0,O933/B947)</f>
        <v>0</v>
      </c>
      <c r="Q933">
        <f>IFERROR(1/(IF(Inputs!$B$38="pvp",15,MAX(0.1,Skills!E27-IF(TRUE=TRUE,Inputs!$B$32,0)))*(1-IF(AND(ArtifactsInput!$M$27,Inputs!$B$4="Chapter Hunt"),CHOOSE(ArtifactsInput!$N$27+1,20,24,28,32,36,40),0)/100)),0)</f>
        <v>10</v>
      </c>
      <c r="R933">
        <v>0</v>
      </c>
      <c r="S933">
        <v>0</v>
      </c>
      <c r="U933">
        <v>0</v>
      </c>
    </row>
    <row r="934" spans="1:21" x14ac:dyDescent="0.2">
      <c r="A934" t="str">
        <f>Skills!A28</f>
        <v>FLAME_HAZE_FOG</v>
      </c>
      <c r="B934" t="str">
        <f>Skills!B28</f>
        <v>Flame Haze (poison fog DoT)</v>
      </c>
      <c r="C934" t="b">
        <f>Inputs!$B$3&gt;=118</f>
        <v>0</v>
      </c>
      <c r="D934">
        <f>IF(Skills!C28=1,60+Inputs!$B$25+(Inputs!$B$29+1),IF(Skills!C28=2,90+Inputs!$B$26+(Inputs!$B$29+1),IF(Skills!C28=3,120+Inputs!$B$27+(Inputs!$B$29+1),MAX(0,(Inputs!$B$3-100)*3)+Inputs!$B$28+(Inputs!$B$29+1))))</f>
        <v>186</v>
      </c>
      <c r="E934">
        <f>INDEX(FactorTable!$B$2:$Y$301, MATCH(ROUND(MIN(300,MAX(1,D934)),0), FactorTable!$A$2:$A$301,0), Skills!M28+1)</f>
        <v>1930</v>
      </c>
      <c r="F934">
        <f>IF(Skills!N28=TRUE,(Skills!L28/10)*(E934/1000),Skills!L28/10)+Skills!O28</f>
        <v>135.1</v>
      </c>
      <c r="G934">
        <f>Calc!G28</f>
        <v>50</v>
      </c>
      <c r="H934">
        <f>Calc!H28</f>
        <v>1</v>
      </c>
      <c r="I934">
        <f>IF(Skills!X28&lt;&gt;"",1+(Skills!X28/10)*(Z909/1000)/100,1)</f>
        <v>1</v>
      </c>
      <c r="J934">
        <f>((Inputs!$B$6*(1+Inputs!$B$7/100))+(((Inputs!$B$12*(1+Inputs!$B$13/100))-(Inputs!$B$12*(1+Inputs!$B$13/100)))+0.25*(Inputs!$B$14-Inputs!$B$14))*(1+Inputs!$B$7/100))*(F934/100)</f>
        <v>487892738.39924103</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2456156105350.7554</v>
      </c>
      <c r="L934">
        <f>K934*(MIN(Inputs!$B$22+(F928-Calc!F22),(Inputs!$B$23+(IF(ArtifactsInput!$M$15,CHOOSE(ArtifactsInput!$N$15+1,25,30,35,40,45,50)/100*(Inputs!$B$11-Inputs!$B$11),0))))/100+(Inputs!$B$23+(IF(ArtifactsInput!$M$15,CHOOSE(ArtifactsInput!$N$15+1,25,30,35,40,45,50)/100*(Inputs!$B$11-Inputs!$B$11),0)))/100)/2</f>
        <v>8167271685414.9658</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38544295301279.977</v>
      </c>
      <c r="N934">
        <f>L934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38544295301279.977</v>
      </c>
      <c r="O934">
        <f>(1-Summary!$B$11)*S934+Summary!$B$11*U934</f>
        <v>0</v>
      </c>
      <c r="P934">
        <f>IF(B947=0,0,O934/B947)</f>
        <v>0</v>
      </c>
      <c r="Q934">
        <f>IFERROR(1/(IF(Inputs!$B$38="pvp",15,MAX(0.1,Skills!E28-IF(TRUE=TRUE,Inputs!$B$32,0)))*(1-IF(AND(ArtifactsInput!$M$27,Inputs!$B$4="Chapter Hunt"),CHOOSE(ArtifactsInput!$N$27+1,20,24,28,32,36,40),0)/100)),0)</f>
        <v>0.04</v>
      </c>
      <c r="R934">
        <f>IF(AND(Inputs!$B$38&lt;&gt;"pvp",Inputs!$B$43&gt;0),IF(MAX(0,Inputs!$B$43-B944)&lt;=0,0,(INT(MAX(0,Inputs!$B$43-B944)/(IF(Inputs!$B$38="pvp",15,MAX(0.1,Skills!E28-IF(TRUE=TRUE,Inputs!$B$32,0)))*(1-IF(AND(ArtifactsInput!$M$27,Inputs!$B$4="Chapter Hunt"),CHOOSE(ArtifactsInput!$N$27+1,20,24,28,32,36,40),0)/100)))+1)),0)</f>
        <v>2</v>
      </c>
      <c r="S934">
        <f>IF(C934,(H934*N934*IF(AND(Inputs!$B$38&lt;&gt;"pvp",Inputs!$B$43&gt;0),((Skills!G28*((R934-1)*IF(Skills!H28&gt;0,Skills!I28/Skills!H28,1)+IF(Skills!H28&gt;0,MIN(Skills!I28,MAX(0,MAX(0,Inputs!$B$43-B944)-((R934-1)*(IF(Inputs!$B$38="pvp",15,MAX(0.1,Skills!E28-IF(TRUE=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34">
        <f>IF(C934,(H934*N934*IF(AND(Inputs!$B$38&lt;&gt;"pvp",Inputs!$B$43&gt;0),((Skills!G28*((R934-1)*IF(Skills!H28&gt;0,Skills!I28/Skills!H28,1)+IF(Skills!H28&gt;0,MIN(Skills!I28,MAX(0,MAX(0,Inputs!$B$43-B944)-((R934-1)*(IF(Inputs!$B$38="pvp",15,MAX(0.1,Skills!E28-IF(TRUE=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936" spans="1:21" x14ac:dyDescent="0.2">
      <c r="A936" t="s">
        <v>356</v>
      </c>
      <c r="B936">
        <f>1+(F917*Skills!Z11)/100</f>
        <v>1.25</v>
      </c>
    </row>
    <row r="937" spans="1:21" x14ac:dyDescent="0.2">
      <c r="A937" t="s">
        <v>435</v>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1.1865999999999999</v>
      </c>
    </row>
    <row r="938" spans="1:21" x14ac:dyDescent="0.2">
      <c r="A938" t="s">
        <v>358</v>
      </c>
      <c r="B938">
        <f>(1+(F912*IF(AND(Inputs!$B$38&lt;&gt;"pvp",Inputs!$B$43&gt;0),(((R912-1)*MIN((Skills!T6*(1+((Inputs!$B$34+(ArtifactsInput!$M$7-ArtifactsInput!$M$7)*CHOOSE(ArtifactsInput!$N$7+1,6,7.2,8.4,9.6,10.8,12)))/100)),(1/Q912))+MIN((Skills!T6*(1+((Inputs!$B$34+(ArtifactsInput!$M$7-ArtifactsInput!$M$7)*CHOOSE(ArtifactsInput!$N$7+1,6,7.2,8.4,9.6,10.8,12)))/100)),MAX(0,Inputs!$B$43-((R912-1)*(1/Q912)))))/Inputs!$B$43),IF(Inputs!$B$38="pvp",MIN((Skills!T6*(1+((Inputs!$B$34+(ArtifactsInput!$M$7-ArtifactsInput!$M$7)*CHOOSE(ArtifactsInput!$N$7+1,6,7.2,8.4,9.6,10.8,12)))/100)),15)/15,MIN(1,(Skills!T6*(1+((Inputs!$B$34+(ArtifactsInput!$M$7-ArtifactsInput!$M$7)*CHOOSE(ArtifactsInput!$N$7+1,6,7.2,8.4,9.6,10.8,12)))/100))/(1/Q912))))+F923*IF(AND(Inputs!$B$38&lt;&gt;"pvp",Inputs!$B$43&gt;0),(((R923-1)*MIN((Skills!T17*(1+((Inputs!$B$34+(ArtifactsInput!$M$7-ArtifactsInput!$M$7)*CHOOSE(ArtifactsInput!$N$7+1,6,7.2,8.4,9.6,10.8,12)))/100)),(1/Q923))+MIN((Skills!T17*(1+((Inputs!$B$34+(ArtifactsInput!$M$7-ArtifactsInput!$M$7)*CHOOSE(ArtifactsInput!$N$7+1,6,7.2,8.4,9.6,10.8,12)))/100)),MAX(0,Inputs!$B$43-((R923-1)*(1/Q923)))))/Inputs!$B$43),IF(Inputs!$B$38="pvp",MIN((Skills!T17*(1+((Inputs!$B$34+(ArtifactsInput!$M$7-ArtifactsInput!$M$7)*CHOOSE(ArtifactsInput!$N$7+1,6,7.2,8.4,9.6,10.8,12)))/100)),15)/15,MIN(1,(Skills!T17*(1+((Inputs!$B$34+(ArtifactsInput!$M$7-ArtifactsInput!$M$7)*CHOOSE(ArtifactsInput!$N$7+1,6,7.2,8.4,9.6,10.8,12)))/100))/(1/Q923)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MIN((Skills!T19*(1+((Inputs!$B$34+(ArtifactsInput!$M$7-ArtifactsInput!$M$7)*CHOOSE(ArtifactsInput!$N$7+1,6,7.2,8.4,9.6,10.8,12)))/100)),(1/Q925))+MIN((Skills!T19*(1+((Inputs!$B$34+(ArtifactsInput!$M$7-ArtifactsInput!$M$7)*CHOOSE(ArtifactsInput!$N$7+1,6,7.2,8.4,9.6,10.8,12)))/100)),MAX(0,Inputs!$B$43-((R925-1)*(1/Q925)))))/Inputs!$B$43),IF(Inputs!$B$38="pvp",MIN((Skills!T19*(1+((Inputs!$B$34+(ArtifactsInput!$M$7-ArtifactsInput!$M$7)*CHOOSE(ArtifactsInput!$N$7+1,6,7.2,8.4,9.6,10.8,12)))/100)),15)/15,MIN(1,(Skills!T19*(1+((Inputs!$B$34+(ArtifactsInput!$M$7-ArtifactsInput!$M$7)*CHOOSE(ArtifactsInput!$N$7+1,6,7.2,8.4,9.6,10.8,12)))/100))/(1/Q925))))/100),1)</f>
        <v>1.79876815352444</v>
      </c>
    </row>
    <row r="939" spans="1:21" x14ac:dyDescent="0.2">
      <c r="A939" t="s">
        <v>359</v>
      </c>
      <c r="B939">
        <f>F924*IF(AND(Inputs!$B$38&lt;&gt;"pvp",Inputs!$B$43&gt;0),(((R924-1)*MIN((Skills!T18*(1+((Inputs!$B$34+(ArtifactsInput!$M$7-ArtifactsInput!$M$7)*CHOOSE(ArtifactsInput!$N$7+1,6,7.2,8.4,9.6,10.8,12)))/100)),(1/Q924))+MIN((Skills!T18*(1+((Inputs!$B$34+(ArtifactsInput!$M$7-ArtifactsInput!$M$7)*CHOOSE(ArtifactsInput!$N$7+1,6,7.2,8.4,9.6,10.8,12)))/100)),MAX(0,Inputs!$B$43-((R924-1)*(1/Q924)))))/Inputs!$B$43),IF(Inputs!$B$38="pvp",MIN((Skills!T18*(1+((Inputs!$B$34+(ArtifactsInput!$M$7-ArtifactsInput!$M$7)*CHOOSE(ArtifactsInput!$N$7+1,6,7.2,8.4,9.6,10.8,12)))/100)),15)/15,MIN(1,(Skills!T18*(1+((Inputs!$B$34+(ArtifactsInput!$M$7-ArtifactsInput!$M$7)*CHOOSE(ArtifactsInput!$N$7+1,6,7.2,8.4,9.6,10.8,12)))/100))/(1/Q924))))</f>
        <v>6.4968749999999993</v>
      </c>
    </row>
    <row r="940" spans="1:21" x14ac:dyDescent="0.2">
      <c r="A940" t="s">
        <v>436</v>
      </c>
      <c r="B940">
        <f>1+MIN(150,150*(1-(1-(Inputs!$B$11+(ArtifactsInput!$M$15-ArtifactsInput!$M$15)*CHOOSE(ArtifactsInput!$N$15+1,8,9.6,11.2,12.8,14.4,16))/150)*(1-B939/150)))/100</f>
        <v>1.6982958749999999</v>
      </c>
    </row>
    <row r="941" spans="1:21" x14ac:dyDescent="0.2">
      <c r="A941" t="s">
        <v>437</v>
      </c>
      <c r="B941">
        <f>IF(AND(Inputs!$B$38&lt;&gt;"pvp",Inputs!$B$43&gt;0),SUMPRODUCT((Skills!F2:F28=TRUE)*(C908:C934=TRUE)*R908:R934)/Inputs!$B$43,SUMPRODUCT((Skills!F2:F28=TRUE)*(C908:C934=TRUE)*Q908:Q934))</f>
        <v>0.47499999999999998</v>
      </c>
    </row>
    <row r="942" spans="1:21" x14ac:dyDescent="0.2">
      <c r="A942" t="s">
        <v>362</v>
      </c>
      <c r="B942">
        <f>MAX(0,B940-B941)</f>
        <v>1.2232958749999998</v>
      </c>
    </row>
    <row r="943" spans="1:21" x14ac:dyDescent="0.2">
      <c r="A943" t="s">
        <v>438</v>
      </c>
      <c r="B943">
        <f>IF(AND(Inputs!$B$38&lt;&gt;"pvp",Inputs!$B$43&gt;0),SUMPRODUCT((Skills!V2:V28=TRUE)*(C908:C934=TRUE)*R908:R934*Skills!W2:W28)/Inputs!$B$43,SUMPRODUCT((Skills!V2:V28=TRUE)*(C908:C934=TRUE)*Q908:Q934*Skills!W2:W28))+B942</f>
        <v>1.5482958749999998</v>
      </c>
    </row>
    <row r="944" spans="1:21" x14ac:dyDescent="0.2">
      <c r="A944" t="s">
        <v>439</v>
      </c>
      <c r="B944">
        <f>IF(AND(Inputs!$B$38&lt;&gt;"pvp",Inputs!$B$43&gt;0),SUMPRODUCT((Skills!T2:T28&gt;0)*(Skills!F2:F28=TRUE)*(C908:C934=TRUE))/B940,0)</f>
        <v>2.3553021937358238</v>
      </c>
    </row>
    <row r="945" spans="1:26" x14ac:dyDescent="0.2">
      <c r="A945" t="s">
        <v>440</v>
      </c>
      <c r="B945">
        <f>SUM(S908:S934)</f>
        <v>9560485872495750</v>
      </c>
    </row>
    <row r="946" spans="1:26" x14ac:dyDescent="0.2">
      <c r="A946" t="s">
        <v>441</v>
      </c>
      <c r="B946">
        <f>SUM(U908:U934)</f>
        <v>5.6910415996531096E+16</v>
      </c>
    </row>
    <row r="947" spans="1:26" x14ac:dyDescent="0.2">
      <c r="A947" s="6" t="s">
        <v>348</v>
      </c>
      <c r="B947" s="6">
        <f>SUM(O908:O934)</f>
        <v>3.3235450934513416E+16</v>
      </c>
    </row>
    <row r="950" spans="1:26" x14ac:dyDescent="0.2">
      <c r="A950" s="6" t="s">
        <v>461</v>
      </c>
    </row>
    <row r="951" spans="1:26" x14ac:dyDescent="0.2">
      <c r="A951" s="5" t="s">
        <v>136</v>
      </c>
      <c r="B951" s="5" t="s">
        <v>137</v>
      </c>
      <c r="C951" s="5" t="s">
        <v>328</v>
      </c>
      <c r="D951" s="5" t="s">
        <v>329</v>
      </c>
      <c r="E951" s="5" t="s">
        <v>330</v>
      </c>
      <c r="F951" s="5" t="s">
        <v>331</v>
      </c>
      <c r="G951" s="5" t="s">
        <v>332</v>
      </c>
      <c r="H951" s="5" t="s">
        <v>333</v>
      </c>
      <c r="I951" s="5" t="s">
        <v>334</v>
      </c>
      <c r="J951" s="5" t="s">
        <v>335</v>
      </c>
      <c r="K951" s="5" t="s">
        <v>336</v>
      </c>
      <c r="L951" s="5" t="s">
        <v>337</v>
      </c>
      <c r="M951" s="5" t="s">
        <v>338</v>
      </c>
      <c r="N951" s="5" t="s">
        <v>339</v>
      </c>
      <c r="O951" s="5" t="s">
        <v>340</v>
      </c>
      <c r="P951" s="5" t="s">
        <v>341</v>
      </c>
      <c r="R951" t="s">
        <v>434</v>
      </c>
    </row>
    <row r="952" spans="1:26" x14ac:dyDescent="0.2">
      <c r="A952" t="str">
        <f>Skills!A2</f>
        <v>BASIC_ATTACK</v>
      </c>
      <c r="B952" t="str">
        <f>Skills!B2</f>
        <v>Basic Attack</v>
      </c>
      <c r="C952" t="b">
        <f>TRUE</f>
        <v>1</v>
      </c>
      <c r="F952">
        <f>T954+Skills!O2</f>
        <v>537.6</v>
      </c>
      <c r="G952">
        <f>Calc!G2</f>
        <v>5</v>
      </c>
      <c r="H952">
        <f>Calc!H2</f>
        <v>1</v>
      </c>
      <c r="I952">
        <f>IF(Skills!X2&lt;&gt;"",1+(Skills!X2/10)*(Z953/1000)/100,1)</f>
        <v>1</v>
      </c>
      <c r="J952">
        <f>(((Inputs!$B$6+1)*(1+Inputs!$B$7/100))+(((Inputs!$B$12*(1+Inputs!$B$13/100))-(Inputs!$B$12*(1+Inputs!$B$13/100)))+0.25*(Inputs!$B$14-Inputs!$B$14))*(1+Inputs!$B$7/100))*(F952/100)</f>
        <v>1941461016.3594244</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6620296949508.3076</v>
      </c>
      <c r="L952">
        <f>K952*(MIN(Inputs!$B$22+(F972-Calc!F22),(Inputs!$B$23+(IF(ArtifactsInput!$M$15,CHOOSE(ArtifactsInput!$N$15+1,25,30,35,40,45,50)/100*(Inputs!$B$11-Inputs!$B$11),0))))/100+(Inputs!$B$23+(IF(ArtifactsInput!$M$15,CHOOSE(ArtifactsInput!$N$15+1,25,30,35,40,45,50)/100*(Inputs!$B$11-Inputs!$B$11),0)))/100)/2</f>
        <v>22012487357115.125</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103876927838226.27</v>
      </c>
      <c r="N952">
        <f>L952*(1-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103876927838226.27</v>
      </c>
      <c r="O952">
        <f>(1-Summary!$B$11)*S952+Summary!$B$11*U952</f>
        <v>1.2513436601785916E+16</v>
      </c>
      <c r="P952">
        <f>IF(B991=0,0,O952/B991)</f>
        <v>0.37819938885449511</v>
      </c>
      <c r="Q952">
        <f>IFERROR(1/(IF(Inputs!$B$38="pvp",15,MAX(0.1,Skills!E2-IF(TRUE=TRUE,Inputs!$B$32,0)))*(1-IF(AND(ArtifactsInput!$M$27,Inputs!$B$4="Chapter Hunt"),CHOOSE(ArtifactsInput!$N$27+1,20,24,28,32,36,40),0)/100)),0)</f>
        <v>10</v>
      </c>
      <c r="R952">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2077630753381058.5</v>
      </c>
      <c r="T952">
        <f>MAX(0,(Inputs!$B$3-100)*3)+Inputs!$B$28+Inputs!$B$29</f>
        <v>185</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2.2949242450190772E+16</v>
      </c>
      <c r="Z952">
        <f>MAX(0,(Inputs!$B$3-100)*3)+Inputs!$B$28+Inputs!$B$29</f>
        <v>185</v>
      </c>
    </row>
    <row r="953" spans="1:26" x14ac:dyDescent="0.2">
      <c r="A953" t="str">
        <f>Skills!A3</f>
        <v>IGNITE</v>
      </c>
      <c r="B953" t="str">
        <f>Skills!B3</f>
        <v>Ignite</v>
      </c>
      <c r="C953" t="b">
        <f>TRUE</f>
        <v>1</v>
      </c>
      <c r="D953">
        <f>IF(Skills!C3=1,60+Inputs!$B$25+Inputs!$B$29,IF(Skills!C3=2,90+Inputs!$B$26+Inputs!$B$29,IF(Skills!C3=3,120+Inputs!$B$27+Inputs!$B$29,MAX(0,(Inputs!$B$3-100)*3)+Inputs!$B$28+Inputs!$B$29)))</f>
        <v>168</v>
      </c>
      <c r="E953">
        <f>INDEX(FactorTable!$B$2:$Y$301, MATCH(ROUND(MIN(300,MAX(1,D953)),0), FactorTable!$A$2:$A$301,0), Skills!M3+1)</f>
        <v>1672</v>
      </c>
      <c r="F953">
        <f>IF(Skills!N3=TRUE,(Skills!L3/10)*(E953/1000),Skills!L3/10)+Skills!O3</f>
        <v>121.736</v>
      </c>
      <c r="G953">
        <f>Calc!G3</f>
        <v>3</v>
      </c>
      <c r="H953">
        <f>Calc!H3</f>
        <v>1</v>
      </c>
      <c r="I953">
        <f>IF(Skills!X3&lt;&gt;"",1+(Skills!X3/10)*(Z953/1000)/100,1)</f>
        <v>4.8250000000000002</v>
      </c>
      <c r="J953">
        <f>(((Inputs!$B$6+1)*(1+Inputs!$B$7/100))+(((Inputs!$B$12*(1+Inputs!$B$13/100))-(Inputs!$B$12*(1+Inputs!$B$13/100)))+0.25*(Inputs!$B$14-Inputs!$B$14))*(1+Inputs!$B$7/100))*(F953/100)</f>
        <v>439631135.20746064</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10658564660363.023</v>
      </c>
      <c r="L953">
        <f>K953*(MIN(Inputs!$B$22+(F972-Calc!F22),(Inputs!$B$23+(IF(ArtifactsInput!$M$15,CHOOSE(ArtifactsInput!$N$15+1,25,30,35,40,45,50)/100*(Inputs!$B$11-Inputs!$B$11),0))))/100+(Inputs!$B$23+(IF(ArtifactsInput!$M$15,CHOOSE(ArtifactsInput!$N$15+1,25,30,35,40,45,50)/100*(Inputs!$B$11-Inputs!$B$11),0)))/100)/2</f>
        <v>35439727495707.055</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167240074052241.56</v>
      </c>
      <c r="N953">
        <f>L953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167240074052241.56</v>
      </c>
      <c r="O953">
        <f>(1-Summary!$B$11)*S953+Summary!$B$11*U953</f>
        <v>2907468687398219.5</v>
      </c>
      <c r="P953">
        <f>IF(B991=0,0,O953/B991)</f>
        <v>8.7873772463965064E-2</v>
      </c>
      <c r="Q953">
        <f>IFERROR(1/(IF(Inputs!$B$38="pvp",15,MAX(0.1,Skills!E3-IF(FALSE=TRUE,Inputs!$B$32,0)))*(1-IF(AND(ArtifactsInput!$M$27,Inputs!$B$4="Chapter Hunt"),CHOOSE(ArtifactsInput!$N$27+1,20,24,28,32,36,40),0)/100)),0)</f>
        <v>1</v>
      </c>
      <c r="R953">
        <f>IF(AND(Inputs!$B$38&lt;&gt;"pvp",Inputs!$B$43&gt;0),IF(MAX(0,Inputs!$B$43-B988)&lt;=0,0,(INT(MAX(0,Inputs!$B$43-B988)/(IF(Inputs!$B$38="pvp",15,MAX(0.1,Skills!E3-IF(FALSE=TRUE,Inputs!$B$32,0)))*(1-IF(AND(ArtifactsInput!$M$27,Inputs!$B$4="Chapter Hunt"),CHOOSE(ArtifactsInput!$N$27+1,20,24,28,32,36,40),0)/100)))+1)),0)</f>
        <v>38</v>
      </c>
      <c r="S953">
        <f>IF(C953,(H953*N953*IF(AND(Inputs!$B$38&lt;&gt;"pvp",Inputs!$B$43&gt;0),((Skills!G3*((R953-1)*IF(Skills!H3&gt;0,Skills!I3/Skills!H3,1)+IF(Skills!H3&gt;0,MIN(Skills!I3,MAX(0,MAX(0,Inputs!$B$43-B988)-((R953-1)*(IF(Inputs!$B$38="pvp",15,MAX(0.1,Skills!E3-IF(FALSE=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1510930449024976.2</v>
      </c>
      <c r="T953">
        <f>INDEX(FactorTable!$B$2:$Y$301, MATCH(ROUND(MIN(300,MAX(1,T952)),0), FactorTable!$A$2:$A$301,0), 22)</f>
        <v>1740</v>
      </c>
      <c r="U953">
        <f>IF(C953,(H953*N953*IF(AND(Inputs!$B$38&lt;&gt;"pvp",Inputs!$B$43&gt;0),((Skills!G3*((R953-1)*IF(Skills!H3&gt;0,Skills!I3/Skills!H3,1)+IF(Skills!H3&gt;0,MIN(Skills!I3,MAX(0,MAX(0,Inputs!$B$43-B988)-((R953-1)*(IF(Inputs!$B$38="pvp",15,MAX(0.1,Skills!E3-IF(FALSE=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4304006925771462.5</v>
      </c>
      <c r="Z953">
        <f>INDEX(FactorTable!$B$2:$Y$301, MATCH(ROUND(MIN(300,MAX(1,Z952)),0), FactorTable!$A$2:$A$301,0), 24)</f>
        <v>7650</v>
      </c>
    </row>
    <row r="954" spans="1:26" x14ac:dyDescent="0.2">
      <c r="A954" t="str">
        <f>Skills!A4</f>
        <v>POISON_BREATH</v>
      </c>
      <c r="B954" t="str">
        <f>Skills!B4</f>
        <v>Poison Breath</v>
      </c>
      <c r="C954" t="b">
        <f>TRUE</f>
        <v>1</v>
      </c>
      <c r="D954">
        <f>IF(Skills!C4=1,60+Inputs!$B$25+Inputs!$B$29,IF(Skills!C4=2,90+Inputs!$B$26+Inputs!$B$29,IF(Skills!C4=3,120+Inputs!$B$27+Inputs!$B$29,MAX(0,(Inputs!$B$3-100)*3)+Inputs!$B$28+Inputs!$B$29)))</f>
        <v>168</v>
      </c>
      <c r="E954">
        <f>INDEX(FactorTable!$B$2:$Y$301, MATCH(ROUND(MIN(300,MAX(1,D954)),0), FactorTable!$A$2:$A$301,0), Skills!M4+1)</f>
        <v>1840</v>
      </c>
      <c r="F954">
        <f>IF(Skills!N4=TRUE,(Skills!L4/10)*(E954/1000),Skills!L4/10)+Skills!O4</f>
        <v>438</v>
      </c>
      <c r="G954">
        <f>Calc!G4</f>
        <v>3</v>
      </c>
      <c r="H954">
        <f>Calc!H4</f>
        <v>1</v>
      </c>
      <c r="I954">
        <f>IF(Skills!X4&lt;&gt;"",1+(Skills!X4/10)*(Z953/1000)/100,1)</f>
        <v>7.12</v>
      </c>
      <c r="J954">
        <f>(((Inputs!$B$6+1)*(1+Inputs!$B$7/100))+(((Inputs!$B$12*(1+Inputs!$B$13/100))-(Inputs!$B$12*(1+Inputs!$B$13/100)))+0.25*(Inputs!$B$14-Inputs!$B$14))*(1+Inputs!$B$7/100))*(F954/100)</f>
        <v>1581770694.1321201</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56589581612638.93</v>
      </c>
      <c r="L954">
        <f>K954*(MIN(Inputs!$B$22+(F972-Calc!F22),(Inputs!$B$23+(IF(ArtifactsInput!$M$15,CHOOSE(ArtifactsInput!$N$15+1,25,30,35,40,45,50)/100*(Inputs!$B$11-Inputs!$B$11),0))))/100+(Inputs!$B$23+(IF(ArtifactsInput!$M$15,CHOOSE(ArtifactsInput!$N$15+1,25,30,35,40,45,50)/100*(Inputs!$B$11-Inputs!$B$11),0)))/100)/2</f>
        <v>188160358862024.44</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887928733469893.25</v>
      </c>
      <c r="N954">
        <f>L954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887928733469893.25</v>
      </c>
      <c r="O954">
        <f>(1-Summary!$B$11)*S954+Summary!$B$11*U954</f>
        <v>2120706788801156.5</v>
      </c>
      <c r="P954">
        <f>IF(B991=0,0,O954/B991)</f>
        <v>6.4095103286790758E-2</v>
      </c>
      <c r="Q954">
        <f>IFERROR(1/(IF(Inputs!$B$38="pvp",15,MAX(0.1,Skills!E4-IF(TRUE=TRUE,Inputs!$B$32,0)))*(1-IF(AND(ArtifactsInput!$M$27,Inputs!$B$4="Chapter Hunt"),CHOOSE(ArtifactsInput!$N$27+1,20,24,28,32,36,40),0)/100)),0)</f>
        <v>5.5555555555555552E-2</v>
      </c>
      <c r="R954">
        <f>IF(AND(Inputs!$B$38&lt;&gt;"pvp",Inputs!$B$43&gt;0),IF(MAX(0,Inputs!$B$43-B988)&lt;=0,0,(INT(MAX(0,Inputs!$B$43-B988)/(IF(Inputs!$B$38="pvp",15,MAX(0.1,Skills!E4-IF(TRUE=TRUE,Inputs!$B$32,0)))*(1-IF(AND(ArtifactsInput!$M$27,Inputs!$B$4="Chapter Hunt"),CHOOSE(ArtifactsInput!$N$27+1,20,24,28,32,36,40),0)/100)))+1)),0)</f>
        <v>3</v>
      </c>
      <c r="S954">
        <f>IF(C954,(H954*N954*IF(AND(Inputs!$B$38&lt;&gt;"pvp",Inputs!$B$43&gt;0),((Skills!G4*((R954-1)*IF(Skills!H4&gt;0,Skills!I4/Skills!H4,1)+IF(Skills!H4&gt;0,MIN(Skills!I4,MAX(0,MAX(0,Inputs!$B$43-B988)-((R954-1)*(IF(Inputs!$B$38="pvp",15,MAX(0.1,Skills!E4-IF(TRUE=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633315169147401.38</v>
      </c>
      <c r="T954">
        <f>290*T953/1000</f>
        <v>504.6</v>
      </c>
      <c r="U954">
        <f>IF(C954,(H954*N954*IF(AND(Inputs!$B$38&lt;&gt;"pvp",Inputs!$B$43&gt;0),((Skills!G4*((R954-1)*IF(Skills!H4&gt;0,Skills!I4/Skills!H4,1)+IF(Skills!H4&gt;0,MIN(Skills!I4,MAX(0,MAX(0,Inputs!$B$43-B988)-((R954-1)*(IF(Inputs!$B$38="pvp",15,MAX(0.1,Skills!E4-IF(TRUE=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3608098408454911.5</v>
      </c>
    </row>
    <row r="955" spans="1:26" x14ac:dyDescent="0.2">
      <c r="A955" t="str">
        <f>Skills!A5</f>
        <v>ELEMENTAL_DRAIN</v>
      </c>
      <c r="B955" t="str">
        <f>Skills!B5</f>
        <v>Elemental Drain</v>
      </c>
      <c r="C955" t="b">
        <f>TRUE</f>
        <v>1</v>
      </c>
      <c r="D955">
        <f>IF(Skills!C5=1,60+Inputs!$B$25+Inputs!$B$29,IF(Skills!C5=2,90+Inputs!$B$26+Inputs!$B$29,IF(Skills!C5=3,120+Inputs!$B$27+Inputs!$B$29,MAX(0,(Inputs!$B$3-100)*3)+Inputs!$B$28+Inputs!$B$29)))</f>
        <v>168</v>
      </c>
      <c r="E955">
        <f>INDEX(FactorTable!$B$2:$Y$301, MATCH(ROUND(MIN(300,MAX(1,D955)),0), FactorTable!$A$2:$A$301,0), Skills!M5+1)</f>
        <v>1672</v>
      </c>
      <c r="F955">
        <f>IF(Skills!N5=TRUE,(Skills!L5/10)*(E955/1000),Skills!L5/10)+Skills!O5</f>
        <v>20.064</v>
      </c>
      <c r="G955">
        <f>Calc!G5</f>
        <v>5</v>
      </c>
      <c r="H955">
        <f>Calc!H5</f>
        <v>1</v>
      </c>
      <c r="I955">
        <f>IF(Skills!X5&lt;&gt;"",1+(Skills!X5/10)*(Z953/1000)/100,1)</f>
        <v>12.475</v>
      </c>
      <c r="J955">
        <f>(((Inputs!$B$6+1)*(1+Inputs!$B$7/100))+(((Inputs!$B$12*(1+Inputs!$B$13/100))-(Inputs!$B$12*(1+Inputs!$B$13/100)))+0.25*(Inputs!$B$14-Inputs!$B$14))*(1+Inputs!$B$7/100))*(F955/100)</f>
        <v>72458098.646271363</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4541930164663.4795</v>
      </c>
      <c r="L955">
        <f>K955*(MIN(Inputs!$B$22+(F972-Calc!F22),(Inputs!$B$23+(IF(ArtifactsInput!$M$15,CHOOSE(ArtifactsInput!$N$15+1,25,30,35,40,45,50)/100*(Inputs!$B$11-Inputs!$B$11),0))))/100+(Inputs!$B$23+(IF(ArtifactsInput!$M$15,CHOOSE(ArtifactsInput!$N$15+1,25,30,35,40,45,50)/100*(Inputs!$B$11-Inputs!$B$11),0)))/100)/2</f>
        <v>15101917797506.07</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71265950086431.141</v>
      </c>
      <c r="N955">
        <f>L955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71265950086431.141</v>
      </c>
      <c r="O955">
        <f>(1-Summary!$B$11)*S955+Summary!$B$11*U955</f>
        <v>1046005982393593.1</v>
      </c>
      <c r="P955">
        <f>IF(B991=0,0,O955/B991)</f>
        <v>3.1613923166633764E-2</v>
      </c>
      <c r="Q955">
        <f>IFERROR(1/(IF(Inputs!$B$38="pvp",15,MAX(0.1,Skills!E5-IF(FALSE=TRUE,Inputs!$B$32,0)))*(1-IF(AND(ArtifactsInput!$M$27,Inputs!$B$4="Chapter Hunt"),CHOOSE(ArtifactsInput!$N$27+1,20,24,28,32,36,40),0)/100)),0)</f>
        <v>1</v>
      </c>
      <c r="R955">
        <f>IF(AND(Inputs!$B$38&lt;&gt;"pvp",Inputs!$B$43&gt;0),IF(MAX(0,Inputs!$B$43-B988)&lt;=0,0,(INT(MAX(0,Inputs!$B$43-B988)/(IF(Inputs!$B$38="pvp",15,MAX(0.1,Skills!E5-IF(FALSE=TRUE,Inputs!$B$32,0)))*(1-IF(AND(ArtifactsInput!$M$27,Inputs!$B$4="Chapter Hunt"),CHOOSE(ArtifactsInput!$N$27+1,20,24,28,32,36,40),0)/100)))+1)),0)</f>
        <v>38</v>
      </c>
      <c r="S955">
        <f>IF(C955,(H955*N955*IF(AND(Inputs!$B$38&lt;&gt;"pvp",Inputs!$B$43&gt;0),((Skills!G5*((R955-1)*IF(Skills!H5&gt;0,Skills!I5/Skills!H5,1)+IF(Skills!H5&gt;0,MIN(Skills!I5,MAX(0,MAX(0,Inputs!$B$43-B988)-((R955-1)*(IF(Inputs!$B$38="pvp",15,MAX(0.1,Skills!E5-IF(FALSE=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1073087043426437</v>
      </c>
      <c r="U955">
        <f>IF(C955,(H955*N955*IF(AND(Inputs!$B$38&lt;&gt;"pvp",Inputs!$B$43&gt;0),((Skills!G5*((R955-1)*IF(Skills!H5&gt;0,Skills!I5/Skills!H5,1)+IF(Skills!H5&gt;0,MIN(Skills!I5,MAX(0,MAX(0,Inputs!$B$43-B988)-((R955-1)*(IF(Inputs!$B$38="pvp",15,MAX(0.1,Skills!E5-IF(FALSE=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1018924921360749.2</v>
      </c>
    </row>
    <row r="956" spans="1:26" x14ac:dyDescent="0.2">
      <c r="A956" t="str">
        <f>Skills!A6</f>
        <v>MEDITATION</v>
      </c>
      <c r="B956" t="str">
        <f>Skills!B6</f>
        <v>Meditation</v>
      </c>
      <c r="C956" t="b">
        <f>TRUE</f>
        <v>1</v>
      </c>
      <c r="D956">
        <f>IF(Skills!C6=1,60+Inputs!$B$25+Inputs!$B$29,IF(Skills!C6=2,90+Inputs!$B$26+Inputs!$B$29,IF(Skills!C6=3,120+Inputs!$B$27+Inputs!$B$29,MAX(0,(Inputs!$B$3-100)*3)+Inputs!$B$28+Inputs!$B$29)))</f>
        <v>168</v>
      </c>
      <c r="E956">
        <f>INDEX(FactorTable!$B$2:$Y$301, MATCH(ROUND(MIN(300,MAX(1,D956)),0), FactorTable!$A$2:$A$301,0), Skills!M6+1)</f>
        <v>1672</v>
      </c>
      <c r="F956">
        <f>IF(Skills!N6=TRUE,(Skills!L6/10)*(E956/1000),Skills!L6/10)+Skills!O6</f>
        <v>33.44</v>
      </c>
      <c r="G956">
        <f>Calc!G6</f>
        <v>1</v>
      </c>
      <c r="H956">
        <f>Calc!H6</f>
        <v>1</v>
      </c>
      <c r="I956">
        <f>IF(Skills!X6&lt;&gt;"",1+(Skills!X6/10)*(Z953/1000)/100,1)</f>
        <v>1</v>
      </c>
      <c r="O956">
        <f>(1-Summary!$B$11)*S956+Summary!$B$11*U956</f>
        <v>0</v>
      </c>
      <c r="P956">
        <f>IF(B991=0,0,O956/B991)</f>
        <v>0</v>
      </c>
      <c r="Q956">
        <f>IFERROR(1/(IF(Inputs!$B$38="pvp",15,MAX(0.1,Skills!E6-IF(TRUE=TRUE,Inputs!$B$32,0)))*(1-IF(AND(ArtifactsInput!$M$27,Inputs!$B$4="Chapter Hunt"),CHOOSE(ArtifactsInput!$N$27+1,20,24,28,32,36,40),0)/100)),0)</f>
        <v>3.3333333333333333E-2</v>
      </c>
      <c r="R956">
        <f>IF(AND(Inputs!$B$38&lt;&gt;"pvp",Inputs!$B$43&gt;0),IF(Inputs!$B$43&lt;=0,0,(INT(Inputs!$B$43/(IF(Inputs!$B$38="pvp",15,MAX(0.1,Skills!E6-IF(TRUE=TRUE,Inputs!$B$32,0)))*(1-IF(AND(ArtifactsInput!$M$27,Inputs!$B$4="Chapter Hunt"),CHOOSE(ArtifactsInput!$N$27+1,20,24,28,32,36,40),0)/100)))+1)),0)</f>
        <v>2</v>
      </c>
      <c r="S956">
        <v>0</v>
      </c>
      <c r="U956">
        <v>0</v>
      </c>
    </row>
    <row r="957" spans="1:26" x14ac:dyDescent="0.2">
      <c r="A957" t="str">
        <f>Skills!A7</f>
        <v>POISON_MIST_BURST</v>
      </c>
      <c r="B957" t="str">
        <f>Skills!B7</f>
        <v>Poison Mist (burst)</v>
      </c>
      <c r="C957" t="b">
        <f>TRUE</f>
        <v>1</v>
      </c>
      <c r="D957">
        <f>IF(Skills!C7=1,60+Inputs!$B$25+Inputs!$B$29,IF(Skills!C7=2,90+Inputs!$B$26+Inputs!$B$29,IF(Skills!C7=3,120+Inputs!$B$27+Inputs!$B$29,MAX(0,(Inputs!$B$3-100)*3)+Inputs!$B$28+Inputs!$B$29)))</f>
        <v>184</v>
      </c>
      <c r="E957">
        <f>INDEX(FactorTable!$B$2:$Y$301, MATCH(ROUND(MIN(300,MAX(1,D957)),0), FactorTable!$A$2:$A$301,0), Skills!M7+1)</f>
        <v>1920</v>
      </c>
      <c r="F957">
        <f>IF(Skills!N7=TRUE,(Skills!L7/10)*(E957/1000),Skills!L7/10)+Skills!O7</f>
        <v>357.2</v>
      </c>
      <c r="G957">
        <f>Calc!G7</f>
        <v>3</v>
      </c>
      <c r="H957">
        <f>Calc!H7</f>
        <v>1</v>
      </c>
      <c r="I957">
        <f>IF(Skills!X7&lt;&gt;"",1+(Skills!X7/10)*(Z953/1000)/100,1)</f>
        <v>1.7650000000000001</v>
      </c>
      <c r="J957">
        <f>(((Inputs!$B$6+1)*(1+Inputs!$B$7/100))+(((Inputs!$B$12*(1+Inputs!$B$13/100))-(Inputs!$B$12*(1+Inputs!$B$13/100)))+0.25*(Inputs!$B$14-Inputs!$B$14))*(1+Inputs!$B$7/100))*(F957/100)</f>
        <v>1289973725.899528</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11440329653539.168</v>
      </c>
      <c r="L957">
        <f>K957*(MIN(Inputs!$B$22+(F972-Calc!F22),(Inputs!$B$23+(IF(ArtifactsInput!$M$15,CHOOSE(ArtifactsInput!$N$15+1,25,30,35,40,45,50)/100*(Inputs!$B$11-Inputs!$B$11),0))))/100+(Inputs!$B$23+(IF(ArtifactsInput!$M$15,CHOOSE(ArtifactsInput!$N$15+1,25,30,35,40,45,50)/100*(Inputs!$B$11-Inputs!$B$11),0)))/100)/2</f>
        <v>38039096098017.734</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179506494486545.66</v>
      </c>
      <c r="N957">
        <f>L957*(1-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179506494486545.66</v>
      </c>
      <c r="O957">
        <f>(1-Summary!$B$11)*S957+Summary!$B$11*U957</f>
        <v>447913580367553</v>
      </c>
      <c r="P957">
        <f>IF(B991=0,0,O957/B991)</f>
        <v>1.3537499549121501E-2</v>
      </c>
      <c r="Q957">
        <f>IFERROR(1/(IF(Inputs!$B$38="pvp",15,MAX(0.1,Skills!E7-IF(TRUE=TRUE,Inputs!$B$32,0)))*(1-IF(AND(ArtifactsInput!$M$27,Inputs!$B$4="Chapter Hunt"),CHOOSE(ArtifactsInput!$N$27+1,20,24,28,32,36,40),0)/100)),0)</f>
        <v>4.0816326530612242E-2</v>
      </c>
      <c r="R957">
        <f>IF(AND(Inputs!$B$38&lt;&gt;"pvp",Inputs!$B$43&gt;0),IF(MAX(0,Inputs!$B$43-B988)&lt;=0,0,(INT(MAX(0,Inputs!$B$43-B988)/(IF(Inputs!$B$38="pvp",15,MAX(0.1,Skills!E7-IF(TRUE=TRUE,Inputs!$B$32,0)))*(1-IF(AND(ArtifactsInput!$M$27,Inputs!$B$4="Chapter Hunt"),CHOOSE(ArtifactsInput!$N$27+1,20,24,28,32,36,40),0)/100)))+1)),0)</f>
        <v>2</v>
      </c>
      <c r="S957">
        <f>IF(C957,(H957*N957*IF(AND(Inputs!$B$38&lt;&gt;"pvp",Inputs!$B$43&gt;0),((Skills!G7*((R957-1)*IF(Skills!H7&gt;0,Skills!I7/Skills!H7,1)+IF(Skills!H7&gt;0,MIN(Skills!I7,MAX(0,MAX(0,Inputs!$B$43-B988)-((R957-1)*(IF(Inputs!$B$38="pvp",15,MAX(0.1,Skills!E7-IF(TRUE=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85355338128352.453</v>
      </c>
      <c r="U957">
        <f>IF(C957,(H957*N957*IF(AND(Inputs!$B$38&lt;&gt;"pvp",Inputs!$B$43&gt;0),((Skills!G7*((R957-1)*IF(Skills!H7&gt;0,Skills!I7/Skills!H7,1)+IF(Skills!H7&gt;0,MIN(Skills!I7,MAX(0,MAX(0,Inputs!$B$43-B988)-((R957-1)*(IF(Inputs!$B$38="pvp",15,MAX(0.1,Skills!E7-IF(TRUE=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810471822606753.5</v>
      </c>
    </row>
    <row r="958" spans="1:26" x14ac:dyDescent="0.2">
      <c r="A958" t="str">
        <f>Skills!A8</f>
        <v>POISON_MIST_DOT</v>
      </c>
      <c r="B958" t="str">
        <f>Skills!B8</f>
        <v>Poison Mist (fog DoT)</v>
      </c>
      <c r="C958" t="b">
        <f>TRUE</f>
        <v>1</v>
      </c>
      <c r="D958">
        <f>IF(Skills!C8=1,60+Inputs!$B$25+Inputs!$B$29,IF(Skills!C8=2,90+Inputs!$B$26+Inputs!$B$29,IF(Skills!C8=3,120+Inputs!$B$27+Inputs!$B$29,MAX(0,(Inputs!$B$3-100)*3)+Inputs!$B$28+Inputs!$B$29)))</f>
        <v>184</v>
      </c>
      <c r="E958">
        <f>INDEX(FactorTable!$B$2:$Y$301, MATCH(ROUND(MIN(300,MAX(1,D958)),0), FactorTable!$A$2:$A$301,0), Skills!M8+1)</f>
        <v>1920</v>
      </c>
      <c r="F958">
        <f>IF(Skills!N8=TRUE,(Skills!L8/10)*(E958/1000),Skills!L8/10)+Skills!O8</f>
        <v>134.4</v>
      </c>
      <c r="G958">
        <f>Calc!G8</f>
        <v>50</v>
      </c>
      <c r="H958">
        <f>Calc!H8</f>
        <v>1</v>
      </c>
      <c r="I958">
        <f>IF(Skills!X8&lt;&gt;"",1+(Skills!X8/10)*(Z953/1000)/100,1)</f>
        <v>1.7650000000000001</v>
      </c>
      <c r="J958">
        <f>(((Inputs!$B$6+1)*(1+Inputs!$B$7/100))+(((Inputs!$B$12*(1+Inputs!$B$13/100))-(Inputs!$B$12*(1+Inputs!$B$13/100)))+0.25*(Inputs!$B$14-Inputs!$B$14))*(1+Inputs!$B$7/100))*(F958/100)</f>
        <v>485365254.08985609</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4304536129439.1504</v>
      </c>
      <c r="L958">
        <f>K958*(MIN(Inputs!$B$22+(F972-Calc!F22),(Inputs!$B$23+(IF(ArtifactsInput!$M$15,CHOOSE(ArtifactsInput!$N$15+1,25,30,35,40,45,50)/100*(Inputs!$B$11-Inputs!$B$11),0))))/100+(Inputs!$B$23+(IF(ArtifactsInput!$M$15,CHOOSE(ArtifactsInput!$N$15+1,25,30,35,40,45,50)/100*(Inputs!$B$11-Inputs!$B$11),0)))/100)/2</f>
        <v>14312582630385.176</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67541077432787.633</v>
      </c>
      <c r="N958">
        <f>L958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67541077432787.633</v>
      </c>
      <c r="O958">
        <f>(1-Summary!$B$11)*S958+Summary!$B$11*U958</f>
        <v>2327474173622185.5</v>
      </c>
      <c r="P958">
        <f>IF(B991=0,0,O958/B991)</f>
        <v>7.0344329703392799E-2</v>
      </c>
      <c r="Q958">
        <f>IFERROR(1/(IF(Inputs!$B$38="pvp",15,MAX(0.1,Skills!E8-IF(TRUE=TRUE,Inputs!$B$32,0)))*(1-IF(AND(ArtifactsInput!$M$27,Inputs!$B$4="Chapter Hunt"),CHOOSE(ArtifactsInput!$N$27+1,20,24,28,32,36,40),0)/100)),0)</f>
        <v>4.0816326530612242E-2</v>
      </c>
      <c r="R958">
        <f>IF(AND(Inputs!$B$38&lt;&gt;"pvp",Inputs!$B$43&gt;0),IF(MAX(0,Inputs!$B$43-B988)&lt;=0,0,(INT(MAX(0,Inputs!$B$43-B988)/(IF(Inputs!$B$38="pvp",15,MAX(0.1,Skills!E8-IF(TRUE=TRUE,Inputs!$B$32,0)))*(1-IF(AND(ArtifactsInput!$M$27,Inputs!$B$4="Chapter Hunt"),CHOOSE(ArtifactsInput!$N$27+1,20,24,28,32,36,40),0)/100)))+1)),0)</f>
        <v>2</v>
      </c>
      <c r="S958">
        <f>IF(C958,(H958*N958*IF(AND(Inputs!$B$38&lt;&gt;"pvp",Inputs!$B$43&gt;0),((Skills!G8*((R958-1)*IF(Skills!H8&gt;0,Skills!I8/Skills!H8,1)+IF(Skills!H8&gt;0,MIN(Skills!I8,MAX(0,MAX(0,Inputs!$B$43-B988)-((R958-1)*(IF(Inputs!$B$38="pvp",15,MAX(0.1,Skills!E8-IF(TRUE=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443528291576935.94</v>
      </c>
      <c r="U958">
        <f>IF(C958,(H958*N958*IF(AND(Inputs!$B$38&lt;&gt;"pvp",Inputs!$B$43&gt;0),((Skills!G8*((R958-1)*IF(Skills!H8&gt;0,Skills!I8/Skills!H8,1)+IF(Skills!H8&gt;0,MIN(Skills!I8,MAX(0,MAX(0,Inputs!$B$43-B988)-((R958-1)*(IF(Inputs!$B$38="pvp",15,MAX(0.1,Skills!E8-IF(TRUE=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4211420055667435.5</v>
      </c>
    </row>
    <row r="959" spans="1:26" x14ac:dyDescent="0.2">
      <c r="A959" t="str">
        <f>Skills!A9</f>
        <v>MIST_ERUPTION</v>
      </c>
      <c r="B959" t="str">
        <f>Skills!B9</f>
        <v>Mist Eruption</v>
      </c>
      <c r="C959" t="b">
        <f>Inputs!$B$3&gt;=103</f>
        <v>1</v>
      </c>
      <c r="D959">
        <f>IF(Skills!C9=1,60+Inputs!$B$25+Inputs!$B$29,IF(Skills!C9=2,90+Inputs!$B$26+Inputs!$B$29,IF(Skills!C9=3,120+Inputs!$B$27+Inputs!$B$29,MAX(0,(Inputs!$B$3-100)*3)+Inputs!$B$28+Inputs!$B$29)))</f>
        <v>185</v>
      </c>
      <c r="E959">
        <f>INDEX(FactorTable!$B$2:$Y$301, MATCH(ROUND(MIN(300,MAX(1,D959)),0), FactorTable!$A$2:$A$301,0), Skills!M9+1)</f>
        <v>1925</v>
      </c>
      <c r="F959">
        <f>IF(Skills!N9=TRUE,(Skills!L9/10)*(E959/1000),Skills!L9/10)+Skills!O9</f>
        <v>5775</v>
      </c>
      <c r="G959">
        <f>Calc!G9</f>
        <v>2.5</v>
      </c>
      <c r="H959">
        <f>Calc!H9</f>
        <v>1</v>
      </c>
      <c r="I959">
        <f>IF(Skills!X9&lt;&gt;"",1+(Skills!X9/10)*(Z953/1000)/100,1)</f>
        <v>1</v>
      </c>
      <c r="J959">
        <f>(((Inputs!$B$6+1)*(1+Inputs!$B$7/100))+(((Inputs!$B$12*(1+Inputs!$B$13/100))-(Inputs!$B$12*(1+Inputs!$B$13/100)))+0.25*(Inputs!$B$14-Inputs!$B$14))*(1+Inputs!$B$7/100))*(F959/100)</f>
        <v>20855538261.6735</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104793505275829.14</v>
      </c>
      <c r="L959">
        <f>K959*(MIN(Inputs!$B$22+(F972-Calc!F22),(Inputs!$B$23+(IF(ArtifactsInput!$M$15,CHOOSE(ArtifactsInput!$N$15+1,25,30,35,40,45,50)/100*(Inputs!$B$11-Inputs!$B$11),0))))/100+(Inputs!$B$23+(IF(ArtifactsInput!$M$15,CHOOSE(ArtifactsInput!$N$15+1,25,30,35,40,45,50)/100*(Inputs!$B$11-Inputs!$B$11),0)))/100)/2</f>
        <v>348438405042131.94</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1644280833393820.5</v>
      </c>
      <c r="N959">
        <f>L959*(1-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1644280833393820.5</v>
      </c>
      <c r="O959">
        <f>(1-Summary!$B$11)*S959+Summary!$B$11*U959</f>
        <v>3419076457938275</v>
      </c>
      <c r="P959">
        <f>IF(B991=0,0,O959/B991)</f>
        <v>0.10333633101673265</v>
      </c>
      <c r="Q959">
        <f>IFERROR(1/(IF(Inputs!$B$38="pvp",15,MAX(0.1,Skills!E9-IF(TRUE=TRUE,Inputs!$B$32,0)))*(1-IF(AND(ArtifactsInput!$M$27,Inputs!$B$4="Chapter Hunt"),CHOOSE(ArtifactsInput!$N$27+1,20,24,28,32,36,40),0)/100)),0)</f>
        <v>4.0816326530612242E-2</v>
      </c>
      <c r="R959">
        <f>IF(AND(Inputs!$B$38&lt;&gt;"pvp",Inputs!$B$43&gt;0),IF(MAX(0,Inputs!$B$43-B988)&lt;=0,0,(INT(MAX(0,Inputs!$B$43-B988)/(IF(Inputs!$B$38="pvp",15,MAX(0.1,Skills!E9-IF(TRUE=TRUE,Inputs!$B$32,0)))*(1-IF(AND(ArtifactsInput!$M$27,Inputs!$B$4="Chapter Hunt"),CHOOSE(ArtifactsInput!$N$27+1,20,24,28,32,36,40),0)/100)))+1)),0)</f>
        <v>2</v>
      </c>
      <c r="S959">
        <f>IF(C959,(H959*N959*IF(AND(Inputs!$B$38&lt;&gt;"pvp",Inputs!$B$43&gt;0),((Skills!G9*((R959-1)*IF(Skills!H9&gt;0,Skills!I9/Skills!H9,1)+IF(Skills!H9&gt;0,MIN(Skills!I9,MAX(0,MAX(0,Inputs!$B$43-B988)-((R959-1)*(IF(Inputs!$B$38="pvp",15,MAX(0.1,Skills!E9-IF(TRUE=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651546280232301.38</v>
      </c>
      <c r="U959">
        <f>IF(C959,(H959*N959*IF(AND(Inputs!$B$38&lt;&gt;"pvp",Inputs!$B$43&gt;0),((Skills!G9*((R959-1)*IF(Skills!H9&gt;0,Skills!I9/Skills!H9,1)+IF(Skills!H9&gt;0,MIN(Skills!I9,MAX(0,MAX(0,Inputs!$B$43-B988)-((R959-1)*(IF(Inputs!$B$38="pvp",15,MAX(0.1,Skills!E9-IF(TRUE=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6186606635644249</v>
      </c>
    </row>
    <row r="960" spans="1:26" x14ac:dyDescent="0.2">
      <c r="A960" t="str">
        <f>Skills!A10</f>
        <v>CREEPING_TOXIN</v>
      </c>
      <c r="B960" t="str">
        <f>Skills!B10</f>
        <v>Creeping Toxin</v>
      </c>
      <c r="C960" t="b">
        <f>TRUE</f>
        <v>1</v>
      </c>
      <c r="D960">
        <f>IF(Skills!C10=1,60+Inputs!$B$25+Inputs!$B$29,IF(Skills!C10=2,90+Inputs!$B$26+Inputs!$B$29,IF(Skills!C10=3,120+Inputs!$B$27+Inputs!$B$29,MAX(0,(Inputs!$B$3-100)*3)+Inputs!$B$28+Inputs!$B$29)))</f>
        <v>184</v>
      </c>
      <c r="E960">
        <f>INDEX(FactorTable!$B$2:$Y$301, MATCH(ROUND(MIN(300,MAX(1,D960)),0), FactorTable!$A$2:$A$301,0), Skills!M10+1)</f>
        <v>1920</v>
      </c>
      <c r="F960">
        <f>IF(Skills!N10=TRUE,(Skills!L10/10)*(E960/1000),Skills!L10/10)+Skills!O10</f>
        <v>280.39999999999998</v>
      </c>
      <c r="G960">
        <f>Calc!G10</f>
        <v>15</v>
      </c>
      <c r="H960">
        <f>Calc!H10</f>
        <v>1</v>
      </c>
      <c r="I960">
        <f>IF(Skills!X10&lt;&gt;"",1+(Skills!X10/10)*(Z953/1000)/100,1)</f>
        <v>1.7650000000000001</v>
      </c>
      <c r="J960">
        <f>(((Inputs!$B$6+1)*(1+Inputs!$B$7/100))+(((Inputs!$B$12*(1+Inputs!$B$13/100))-(Inputs!$B$12*(1+Inputs!$B$13/100)))+0.25*(Inputs!$B$14-Inputs!$B$14))*(1+Inputs!$B$7/100))*(F960/100)</f>
        <v>1012622152.133896</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8980594722431.082</v>
      </c>
      <c r="L960">
        <f>K960*(MIN(Inputs!$B$22+(F972-Calc!F22),(Inputs!$B$23+(IF(ArtifactsInput!$M$15,CHOOSE(ArtifactsInput!$N$15+1,25,30,35,40,45,50)/100*(Inputs!$B$11-Inputs!$B$11),0))))/100+(Inputs!$B$23+(IF(ArtifactsInput!$M$15,CHOOSE(ArtifactsInput!$N$15+1,25,30,35,40,45,50)/100*(Inputs!$B$11-Inputs!$B$11),0)))/100)/2</f>
        <v>29860477452083.348</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140911593096381.31</v>
      </c>
      <c r="N960">
        <f>L960*(1-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140911593096381.31</v>
      </c>
      <c r="O960">
        <f>(1-Summary!$B$11)*S960+Summary!$B$11*U960</f>
        <v>324323761206447.38</v>
      </c>
      <c r="P960">
        <f>IF(B991=0,0,O960/B991)</f>
        <v>9.8021872154419772E-3</v>
      </c>
      <c r="Q960">
        <f>IFERROR(1/(IF(Inputs!$B$38="pvp",15,MAX(0.1,Skills!E10-IF(TRUE=TRUE,Inputs!$B$32,0)))*(1-IF(AND(ArtifactsInput!$M$27,Inputs!$B$4="Chapter Hunt"),CHOOSE(ArtifactsInput!$N$27+1,20,24,28,32,36,40),0)/100)),0)</f>
        <v>3.7037037037037035E-2</v>
      </c>
      <c r="R960">
        <f>IF(AND(Inputs!$B$38&lt;&gt;"pvp",Inputs!$B$43&gt;0),IF(MAX(0,Inputs!$B$43-B988)&lt;=0,0,(INT(MAX(0,Inputs!$B$43-B988)/(IF(Inputs!$B$38="pvp",15,MAX(0.1,Skills!E10-IF(TRUE=TRUE,Inputs!$B$32,0)))*(1-IF(AND(ArtifactsInput!$M$27,Inputs!$B$4="Chapter Hunt"),CHOOSE(ArtifactsInput!$N$27+1,20,24,28,32,36,40),0)/100)))+1)),0)</f>
        <v>2</v>
      </c>
      <c r="S960">
        <f>IF(C960,(H960*N960*IF(AND(Inputs!$B$38&lt;&gt;"pvp",Inputs!$B$43&gt;0),((Skills!G10*((R960-1)*IF(Skills!H10&gt;0,Skills!I10/Skills!H10,1)+IF(Skills!H10&gt;0,MIN(Skills!I10,MAX(0,MAX(0,Inputs!$B$43-B988)-((R960-1)*(IF(Inputs!$B$38="pvp",15,MAX(0.1,Skills!E10-IF(TRUE=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286380591371709.81</v>
      </c>
      <c r="U960">
        <f>IF(C960,(H960*N960*IF(AND(Inputs!$B$38&lt;&gt;"pvp",Inputs!$B$43&gt;0),((Skills!G10*((R960-1)*IF(Skills!H10&gt;0,Skills!I10/Skills!H10,1)+IF(Skills!H10&gt;0,MIN(Skills!I10,MAX(0,MAX(0,Inputs!$B$43-B988)-((R960-1)*(IF(Inputs!$B$38="pvp",15,MAX(0.1,Skills!E10-IF(TRUE=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362266931041185</v>
      </c>
    </row>
    <row r="961" spans="1:21" x14ac:dyDescent="0.2">
      <c r="A961" t="str">
        <f>Skills!A11</f>
        <v>BURNING_MAGIC</v>
      </c>
      <c r="B961" t="str">
        <f>Skills!B11</f>
        <v>Burning Magic</v>
      </c>
      <c r="C961" t="b">
        <f>TRUE</f>
        <v>1</v>
      </c>
      <c r="D961">
        <f>IF(Skills!C11=1,60+Inputs!$B$25+Inputs!$B$29,IF(Skills!C11=2,90+Inputs!$B$26+Inputs!$B$29,IF(Skills!C11=3,120+Inputs!$B$27+Inputs!$B$29,MAX(0,(Inputs!$B$3-100)*3)+Inputs!$B$28+Inputs!$B$29)))</f>
        <v>184</v>
      </c>
      <c r="E961">
        <f>INDEX(FactorTable!$B$2:$Y$301, MATCH(ROUND(MIN(300,MAX(1,D961)),0), FactorTable!$A$2:$A$301,0), Skills!M11+1)</f>
        <v>0</v>
      </c>
      <c r="F961">
        <f>IF(Skills!N11=TRUE,(Skills!L11/10)*(E961/1000),Skills!L11/10)+Skills!O11</f>
        <v>5</v>
      </c>
      <c r="G961">
        <f>Calc!G11</f>
        <v>1</v>
      </c>
      <c r="H961">
        <f>Calc!H11</f>
        <v>1</v>
      </c>
      <c r="I961">
        <f>IF(Skills!X11&lt;&gt;"",1+(Skills!X11/10)*(Z953/1000)/100,1)</f>
        <v>1</v>
      </c>
      <c r="O961">
        <f>(1-Summary!$B$11)*S961+Summary!$B$11*U961</f>
        <v>0</v>
      </c>
      <c r="P961">
        <f>IF(B991=0,0,O961/B991)</f>
        <v>0</v>
      </c>
      <c r="Q961">
        <f>IFERROR(1/(IF(Inputs!$B$38="pvp",15,MAX(0.1,Skills!E11-IF(TRUE=TRUE,Inputs!$B$32,0)))*(1-IF(AND(ArtifactsInput!$M$27,Inputs!$B$4="Chapter Hunt"),CHOOSE(ArtifactsInput!$N$27+1,20,24,28,32,36,40),0)/100)),0)</f>
        <v>10</v>
      </c>
      <c r="R961">
        <v>0</v>
      </c>
      <c r="S961">
        <v>0</v>
      </c>
      <c r="U961">
        <v>0</v>
      </c>
    </row>
    <row r="962" spans="1:21" x14ac:dyDescent="0.2">
      <c r="A962" t="str">
        <f>Skills!A12</f>
        <v>ELEMENTAL_DECREASE</v>
      </c>
      <c r="B962" t="str">
        <f>Skills!B12</f>
        <v>Elemental Decrease</v>
      </c>
      <c r="C962" t="b">
        <f>TRUE</f>
        <v>1</v>
      </c>
      <c r="D962">
        <f>IF(Skills!C12=1,60+Inputs!$B$25+Inputs!$B$29,IF(Skills!C12=2,90+Inputs!$B$26+Inputs!$B$29,IF(Skills!C12=3,120+Inputs!$B$27+Inputs!$B$29,MAX(0,(Inputs!$B$3-100)*3)+Inputs!$B$28+Inputs!$B$29)))</f>
        <v>184</v>
      </c>
      <c r="E962">
        <f>INDEX(FactorTable!$B$2:$Y$301, MATCH(ROUND(MIN(300,MAX(1,D962)),0), FactorTable!$A$2:$A$301,0), Skills!M12+1)</f>
        <v>1552</v>
      </c>
      <c r="F962">
        <f>IF(Skills!N12=TRUE,(Skills!L12/10)*(E962/1000),Skills!L12/10)+Skills!O12</f>
        <v>18.624000000000002</v>
      </c>
      <c r="G962">
        <f>Calc!G12</f>
        <v>1</v>
      </c>
      <c r="H962">
        <f>Calc!H12</f>
        <v>0.5</v>
      </c>
      <c r="I962">
        <f>IF(Skills!X12&lt;&gt;"",1+(Skills!X12/10)*(Z953/1000)/100,1)</f>
        <v>1</v>
      </c>
      <c r="O962">
        <f>(1-Summary!$B$11)*S962+Summary!$B$11*U962</f>
        <v>0</v>
      </c>
      <c r="P962">
        <f>IF(B991=0,0,O962/B991)</f>
        <v>0</v>
      </c>
      <c r="Q962">
        <f>IFERROR(1/(IF(Inputs!$B$38="pvp",15,MAX(0.1,Skills!E12-IF(TRUE=TRUE,Inputs!$B$32,0)))*(1-IF(AND(ArtifactsInput!$M$27,Inputs!$B$4="Chapter Hunt"),CHOOSE(ArtifactsInput!$N$27+1,20,24,28,32,36,40),0)/100)),0)</f>
        <v>10</v>
      </c>
      <c r="R962">
        <v>0</v>
      </c>
      <c r="S962">
        <v>0</v>
      </c>
      <c r="U962">
        <v>0</v>
      </c>
    </row>
    <row r="963" spans="1:21" x14ac:dyDescent="0.2">
      <c r="A963" t="str">
        <f>Skills!A13</f>
        <v>METEOR_SHOWER_BURST</v>
      </c>
      <c r="B963" t="str">
        <f>Skills!B13</f>
        <v>Meteor Shower (burst)</v>
      </c>
      <c r="C963" t="b">
        <f>Inputs!$B$3&gt;=105</f>
        <v>1</v>
      </c>
      <c r="D963">
        <f>IF(Skills!C13=1,60+Inputs!$B$25+Inputs!$B$29,IF(Skills!C13=2,90+Inputs!$B$26+Inputs!$B$29,IF(Skills!C13=3,120+Inputs!$B$27+Inputs!$B$29,MAX(0,(Inputs!$B$3-100)*3)+Inputs!$B$28+Inputs!$B$29)))</f>
        <v>185</v>
      </c>
      <c r="E963">
        <f>INDEX(FactorTable!$B$2:$Y$301, MATCH(ROUND(MIN(300,MAX(1,D963)),0), FactorTable!$A$2:$A$301,0), Skills!M13+1)</f>
        <v>1925</v>
      </c>
      <c r="F963">
        <f>IF(Skills!N13=TRUE,(Skills!L13/10)*(E963/1000),Skills!L13/10)+Skills!O13</f>
        <v>1155</v>
      </c>
      <c r="G963">
        <f>Calc!G13</f>
        <v>9</v>
      </c>
      <c r="H963">
        <f>Calc!H13</f>
        <v>1</v>
      </c>
      <c r="I963">
        <f>IF(Skills!X13&lt;&gt;"",1+(Skills!X13/10)*(Z953/1000)/100,1)</f>
        <v>1</v>
      </c>
      <c r="J963">
        <f>(((Inputs!$B$6+1)*(1+Inputs!$B$7/100))+(((Inputs!$B$12*(1+Inputs!$B$13/100))-(Inputs!$B$12*(1+Inputs!$B$13/100)))+0.25*(Inputs!$B$14-Inputs!$B$14))*(1+Inputs!$B$7/100))*(F963/100)</f>
        <v>4171107652.3347006</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20958701055165.828</v>
      </c>
      <c r="L963">
        <f>K963*(MIN(Inputs!$B$22+(F972-Calc!F22),(Inputs!$B$23+(IF(ArtifactsInput!$M$15,CHOOSE(ArtifactsInput!$N$15+1,25,30,35,40,45,50)/100*(Inputs!$B$11-Inputs!$B$11),0))))/100+(Inputs!$B$23+(IF(ArtifactsInput!$M$15,CHOOSE(ArtifactsInput!$N$15+1,25,30,35,40,45,50)/100*(Inputs!$B$11-Inputs!$B$11),0)))/100)/2</f>
        <v>69687681008426.383</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328856166678764.06</v>
      </c>
      <c r="N963">
        <f>L963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328856166678764.06</v>
      </c>
      <c r="O963">
        <f>(1-Summary!$B$11)*S963+Summary!$B$11*U963</f>
        <v>1793581533065979.5</v>
      </c>
      <c r="P963">
        <f>IF(B991=0,0,O963/B991)</f>
        <v>5.4208245204954368E-2</v>
      </c>
      <c r="Q963">
        <f>IFERROR(1/(IF(Inputs!$B$38="pvp",15,MAX(0.1,Skills!E13-IF(TRUE=TRUE,Inputs!$B$32,0)))*(1-IF(AND(ArtifactsInput!$M$27,Inputs!$B$4="Chapter Hunt"),CHOOSE(ArtifactsInput!$N$27+1,20,24,28,32,36,40),0)/100)),0)</f>
        <v>3.0303030303030304E-2</v>
      </c>
      <c r="R963">
        <f>IF(AND(Inputs!$B$38&lt;&gt;"pvp",Inputs!$B$43&gt;0),IF(MAX(0,Inputs!$B$43-B988)&lt;=0,0,(INT(MAX(0,Inputs!$B$43-B988)/(IF(Inputs!$B$38="pvp",15,MAX(0.1,Skills!E13-IF(TRUE=TRUE,Inputs!$B$32,0)))*(1-IF(AND(ArtifactsInput!$M$27,Inputs!$B$4="Chapter Hunt"),CHOOSE(ArtifactsInput!$N$27+1,20,24,28,32,36,40),0)/100)))+1)),0)</f>
        <v>2</v>
      </c>
      <c r="S963">
        <f>IF(C963,(H963*N963*IF(AND(Inputs!$B$38&lt;&gt;"pvp",Inputs!$B$43&gt;0),((Skills!G13*((R963-1)*IF(Skills!H13&gt;0,Skills!I13/Skills!H13,1)+IF(Skills!H13&gt;0,MIN(Skills!I13,MAX(0,MAX(0,Inputs!$B$43-B988)-((R963-1)*(IF(Inputs!$B$38="pvp",15,MAX(0.1,Skills!E13-IF(TRUE=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469113321767257</v>
      </c>
      <c r="U963">
        <f>IF(C963,(H963*N963*IF(AND(Inputs!$B$38&lt;&gt;"pvp",Inputs!$B$43&gt;0),((Skills!G13*((R963-1)*IF(Skills!H13&gt;0,Skills!I13/Skills!H13,1)+IF(Skills!H13&gt;0,MIN(Skills!I13,MAX(0,MAX(0,Inputs!$B$43-B988)-((R963-1)*(IF(Inputs!$B$38="pvp",15,MAX(0.1,Skills!E13-IF(TRUE=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3118049744364702</v>
      </c>
    </row>
    <row r="964" spans="1:21" x14ac:dyDescent="0.2">
      <c r="A964" t="str">
        <f>Skills!A14</f>
        <v>METEOR_PROC</v>
      </c>
      <c r="B964" t="str">
        <f>Skills!B14</f>
        <v>Meteor Proc (30% on-hit, 1s ICD)</v>
      </c>
      <c r="C964" t="b">
        <f>Inputs!$B$3&gt;=113</f>
        <v>1</v>
      </c>
      <c r="D964">
        <f>IF(Skills!C14=1,60+Inputs!$B$25+Inputs!$B$29,IF(Skills!C14=2,90+Inputs!$B$26+Inputs!$B$29,IF(Skills!C14=3,120+Inputs!$B$27+Inputs!$B$29,MAX(0,(Inputs!$B$3-100)*3)+Inputs!$B$28+Inputs!$B$29)))</f>
        <v>185</v>
      </c>
      <c r="E964">
        <f>INDEX(FactorTable!$B$2:$Y$301, MATCH(ROUND(MIN(300,MAX(1,D964)),0), FactorTable!$A$2:$A$301,0), Skills!M14+1)</f>
        <v>1740</v>
      </c>
      <c r="F964">
        <f>IF(Skills!N14=TRUE,(Skills!L14/10)*(E964/1000),Skills!L14/10)+Skills!O14</f>
        <v>1653</v>
      </c>
      <c r="G964">
        <f>Calc!G14</f>
        <v>0</v>
      </c>
      <c r="H964">
        <f>Calc!H14</f>
        <v>0.30000000000000004</v>
      </c>
      <c r="I964">
        <f>IF(Skills!X14&lt;&gt;"",1+(Skills!X14/10)*(Z953/1000)/100,1)</f>
        <v>1</v>
      </c>
      <c r="J964">
        <f>(((Inputs!$B$6+1)*(1+Inputs!$B$7/100))+(((Inputs!$B$12*(1+Inputs!$B$13/100))-(Inputs!$B$12*(1+Inputs!$B$13/100)))+0.25*(Inputs!$B$14-Inputs!$B$14))*(1+Inputs!$B$7/100))*(F964/100)</f>
        <v>5969559263.471221</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29995439691938.629</v>
      </c>
      <c r="L964">
        <f>K964*(MIN(Inputs!$B$22+(F972-Calc!F22),(Inputs!$B$23+(IF(ArtifactsInput!$M$15,CHOOSE(ArtifactsInput!$N$15+1,25,30,35,40,45,50)/100*(Inputs!$B$11-Inputs!$B$11),0))))/100+(Inputs!$B$23+(IF(ArtifactsInput!$M$15,CHOOSE(ArtifactsInput!$N$15+1,25,30,35,40,45,50)/100*(Inputs!$B$11-Inputs!$B$11),0)))/100)/2</f>
        <v>99734836975695.953</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470648695688309.12</v>
      </c>
      <c r="N964">
        <f>L964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470648695688309.12</v>
      </c>
      <c r="O964">
        <f>(1-Summary!$B$11)*S964+Summary!$B$11*U964</f>
        <v>461258632169552.38</v>
      </c>
      <c r="P964">
        <f>IF(B991=0,0,O964/B991)</f>
        <v>1.3940833229257573E-2</v>
      </c>
      <c r="Q964">
        <f>IFERROR(1/(IF(Inputs!$B$38="pvp",15,MAX(0.1,Skills!E14-IF(TRUE=TRUE,Inputs!$B$32,0)))*(1-IF(AND(ArtifactsInput!$M$27,Inputs!$B$4="Chapter Hunt"),CHOOSE(ArtifactsInput!$N$27+1,20,24,28,32,36,40),0)/100)),0)</f>
        <v>10</v>
      </c>
      <c r="R964">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473200603228958.31</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449316661110146.5</v>
      </c>
    </row>
    <row r="965" spans="1:21" x14ac:dyDescent="0.2">
      <c r="A965" t="str">
        <f>Skills!A15</f>
        <v>FLAME_HAZE_BURST</v>
      </c>
      <c r="B965" t="str">
        <f>Skills!B15</f>
        <v>Flame Haze (burst)</v>
      </c>
      <c r="C965" t="b">
        <f>Inputs!$B$3&gt;=107</f>
        <v>1</v>
      </c>
      <c r="D965">
        <f>IF(Skills!C15=1,60+Inputs!$B$25+Inputs!$B$29,IF(Skills!C15=2,90+Inputs!$B$26+Inputs!$B$29,IF(Skills!C15=3,120+Inputs!$B$27+Inputs!$B$29,MAX(0,(Inputs!$B$3-100)*3)+Inputs!$B$28+Inputs!$B$29)))</f>
        <v>185</v>
      </c>
      <c r="E965">
        <f>INDEX(FactorTable!$B$2:$Y$301, MATCH(ROUND(MIN(300,MAX(1,D965)),0), FactorTable!$A$2:$A$301,0), Skills!M15+1)</f>
        <v>1925</v>
      </c>
      <c r="F965">
        <f>IF(Skills!N15=TRUE,(Skills!L15/10)*(E965/1000),Skills!L15/10)+Skills!O15</f>
        <v>2310</v>
      </c>
      <c r="G965">
        <f>Calc!G15</f>
        <v>3</v>
      </c>
      <c r="H965">
        <f>Calc!H15</f>
        <v>1</v>
      </c>
      <c r="I965">
        <f>IF(Skills!X15&lt;&gt;"",1+(Skills!X15/10)*(Z953/1000)/100,1)</f>
        <v>1</v>
      </c>
      <c r="J965">
        <f>(((Inputs!$B$6+1)*(1+Inputs!$B$7/100))+(((Inputs!$B$12*(1+Inputs!$B$13/100))-(Inputs!$B$12*(1+Inputs!$B$13/100)))+0.25*(Inputs!$B$14-Inputs!$B$14))*(1+Inputs!$B$7/100))*(F965/100)</f>
        <v>8342215304.6694012</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41917402110331.656</v>
      </c>
      <c r="L965">
        <f>K965*(MIN(Inputs!$B$22+(F972-Calc!F22),(Inputs!$B$23+(IF(ArtifactsInput!$M$15,CHOOSE(ArtifactsInput!$N$15+1,25,30,35,40,45,50)/100*(Inputs!$B$11-Inputs!$B$11),0))))/100+(Inputs!$B$23+(IF(ArtifactsInput!$M$15,CHOOSE(ArtifactsInput!$N$15+1,25,30,35,40,45,50)/100*(Inputs!$B$11-Inputs!$B$11),0)))/100)/2</f>
        <v>139375362016852.77</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657712333357528.12</v>
      </c>
      <c r="N965">
        <f>L965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657712333357528.12</v>
      </c>
      <c r="O965">
        <f>(1-Summary!$B$11)*S965+Summary!$B$11*U965</f>
        <v>1641156699810372</v>
      </c>
      <c r="P965">
        <f>IF(B991=0,0,O965/B991)</f>
        <v>4.9601438888031667E-2</v>
      </c>
      <c r="Q965">
        <f>IFERROR(1/(IF(Inputs!$B$38="pvp",15,MAX(0.1,Skills!E15-IF(TRUE=TRUE,Inputs!$B$32,0)))*(1-IF(AND(ArtifactsInput!$M$27,Inputs!$B$4="Chapter Hunt"),CHOOSE(ArtifactsInput!$N$27+1,20,24,28,32,36,40),0)/100)),0)</f>
        <v>0.04</v>
      </c>
      <c r="R965">
        <f>IF(AND(Inputs!$B$38&lt;&gt;"pvp",Inputs!$B$43&gt;0),IF(MAX(0,Inputs!$B$43-B988)&lt;=0,0,(INT(MAX(0,Inputs!$B$43-B988)/(IF(Inputs!$B$38="pvp",15,MAX(0.1,Skills!E15-IF(TRUE=TRUE,Inputs!$B$32,0)))*(1-IF(AND(ArtifactsInput!$M$27,Inputs!$B$4="Chapter Hunt"),CHOOSE(ArtifactsInput!$N$27+1,20,24,28,32,36,40),0)/100)))+1)),0)</f>
        <v>2</v>
      </c>
      <c r="S965">
        <f>IF(C965,(H965*N965*IF(AND(Inputs!$B$38&lt;&gt;"pvp",Inputs!$B$43&gt;0),((Skills!G15*((R965-1)*IF(Skills!H15&gt;0,Skills!I15/Skills!H15,1)+IF(Skills!H15&gt;0,MIN(Skills!I15,MAX(0,MAX(0,Inputs!$B$43-B988)-((R965-1)*(IF(Inputs!$B$38="pvp",15,MAX(0.1,Skills!E15-IF(TRUE=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312742214511504.62</v>
      </c>
      <c r="U965">
        <f>IF(C965,(H965*N965*IF(AND(Inputs!$B$38&lt;&gt;"pvp",Inputs!$B$43&gt;0),((Skills!G15*((R965-1)*IF(Skills!H15&gt;0,Skills!I15/Skills!H15,1)+IF(Skills!H15&gt;0,MIN(Skills!I15,MAX(0,MAX(0,Inputs!$B$43-B988)-((R965-1)*(IF(Inputs!$B$38="pvp",15,MAX(0.1,Skills!E15-IF(TRUE=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2969571185109239.5</v>
      </c>
    </row>
    <row r="966" spans="1:21" x14ac:dyDescent="0.2">
      <c r="A966" t="str">
        <f>Skills!A16</f>
        <v>FLAME_HAZE_DOT</v>
      </c>
      <c r="B966" t="str">
        <f>Skills!B16</f>
        <v>Flame Haze (burn DoT)</v>
      </c>
      <c r="C966" t="b">
        <f>Inputs!$B$3&gt;=107</f>
        <v>1</v>
      </c>
      <c r="D966">
        <f>IF(Skills!C16=1,60+Inputs!$B$25+Inputs!$B$29,IF(Skills!C16=2,90+Inputs!$B$26+Inputs!$B$29,IF(Skills!C16=3,120+Inputs!$B$27+Inputs!$B$29,MAX(0,(Inputs!$B$3-100)*3)+Inputs!$B$28+Inputs!$B$29)))</f>
        <v>185</v>
      </c>
      <c r="E966">
        <f>INDEX(FactorTable!$B$2:$Y$301, MATCH(ROUND(MIN(300,MAX(1,D966)),0), FactorTable!$A$2:$A$301,0), Skills!M16+1)</f>
        <v>1925</v>
      </c>
      <c r="F966">
        <f>IF(Skills!N16=TRUE,(Skills!L16/10)*(E966/1000),Skills!L16/10)+Skills!O16</f>
        <v>288.75</v>
      </c>
      <c r="G966">
        <f>Calc!G16</f>
        <v>30</v>
      </c>
      <c r="H966">
        <f>Calc!H16</f>
        <v>1</v>
      </c>
      <c r="I966">
        <f>IF(Skills!X16&lt;&gt;"",1+(Skills!X16/10)*(Z953/1000)/100,1)</f>
        <v>1</v>
      </c>
      <c r="J966">
        <f>(((Inputs!$B$6+1)*(1+Inputs!$B$7/100))+(((Inputs!$B$12*(1+Inputs!$B$13/100))-(Inputs!$B$12*(1+Inputs!$B$13/100)))+0.25*(Inputs!$B$14-Inputs!$B$14))*(1+Inputs!$B$7/100))*(F966/100)</f>
        <v>1042776913.0836751</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5239675263791.457</v>
      </c>
      <c r="L966">
        <f>K966*(MIN(Inputs!$B$22+(F972-Calc!F22),(Inputs!$B$23+(IF(ArtifactsInput!$M$15,CHOOSE(ArtifactsInput!$N$15+1,25,30,35,40,45,50)/100*(Inputs!$B$11-Inputs!$B$11),0))))/100+(Inputs!$B$23+(IF(ArtifactsInput!$M$15,CHOOSE(ArtifactsInput!$N$15+1,25,30,35,40,45,50)/100*(Inputs!$B$11-Inputs!$B$11),0)))/100)/2</f>
        <v>17421920252106.596</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82214041669691.016</v>
      </c>
      <c r="N966">
        <f>L966*(1-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82214041669691.016</v>
      </c>
      <c r="O966">
        <f>(1-Summary!$B$11)*S966+Summary!$B$11*U966</f>
        <v>1890386709124314.5</v>
      </c>
      <c r="P966">
        <f>IF(B991=0,0,O966/B991)</f>
        <v>5.7134032867313153E-2</v>
      </c>
      <c r="Q966">
        <f>IFERROR(1/(IF(Inputs!$B$38="pvp",15,MAX(0.1,Skills!E16-IF(TRUE=TRUE,Inputs!$B$32,0)))*(1-IF(AND(ArtifactsInput!$M$27,Inputs!$B$4="Chapter Hunt"),CHOOSE(ArtifactsInput!$N$27+1,20,24,28,32,36,40),0)/100)),0)</f>
        <v>0.04</v>
      </c>
      <c r="R966">
        <f>IF(AND(Inputs!$B$38&lt;&gt;"pvp",Inputs!$B$43&gt;0),IF(MAX(0,Inputs!$B$43-B988)&lt;=0,0,(INT(MAX(0,Inputs!$B$43-B988)/(IF(Inputs!$B$38="pvp",15,MAX(0.1,Skills!E16-IF(TRUE=TRUE,Inputs!$B$32,0)))*(1-IF(AND(ArtifactsInput!$M$27,Inputs!$B$4="Chapter Hunt"),CHOOSE(ArtifactsInput!$N$27+1,20,24,28,32,36,40),0)/100)))+1)),0)</f>
        <v>2</v>
      </c>
      <c r="S966">
        <f>IF(C966,(H966*N966*IF(AND(Inputs!$B$38&lt;&gt;"pvp",Inputs!$B$43&gt;0),((Skills!G16*((R966-1)*IF(Skills!H16&gt;0,Skills!I16/Skills!H16,1)+IF(Skills!H16&gt;0,MIN(Skills!I16,MAX(0,MAX(0,Inputs!$B$43-B988)-((R966-1)*(IF(Inputs!$B$38="pvp",15,MAX(0.1,Skills!E16-IF(TRUE=TRUE,Inputs!$B$32,0)))*(1-IF(AND(ArtifactsInput!$M$27,Inputs!$B$4="Chapter Hunt"),CHOOSE(ArtifactsInput!$N$27+1,20,24,28,32,36,40),0)/100)))))/Skills!H16,1)))/Inputs!$B$43),G966*Q966)*(1+IF(Inputs!$B$3&gt;=126,0.05*(B986+Q963+(H964*B987)/(1+Skills!H14*H964*B987)+Q974),0)*(1/Q965)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360236000476349.69</v>
      </c>
      <c r="U966">
        <f>IF(C966,(H966*N966*IF(AND(Inputs!$B$38&lt;&gt;"pvp",Inputs!$B$43&gt;0),((Skills!G16*((R966-1)*IF(Skills!H16&gt;0,Skills!I16/Skills!H16,1)+IF(Skills!H16&gt;0,MIN(Skills!I16,MAX(0,MAX(0,Inputs!$B$43-B988)-((R966-1)*(IF(Inputs!$B$38="pvp",15,MAX(0.1,Skills!E16-IF(TRUE=TRUE,Inputs!$B$32,0)))*(1-IF(AND(ArtifactsInput!$M$27,Inputs!$B$4="Chapter Hunt"),CHOOSE(ArtifactsInput!$N$27+1,20,24,28,32,36,40),0)/100)))))/Skills!H16,1)))/Inputs!$B$43),G966*Q966)*(1+IF(Inputs!$B$3&gt;=126,0.05*(B986+Q963+(H964*B987)/(1+Skills!H14*H964*B987)+Q974),0)*(1/Q965)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3420537417772279.5</v>
      </c>
    </row>
    <row r="967" spans="1:21" x14ac:dyDescent="0.2">
      <c r="A967" t="str">
        <f>Skills!A17</f>
        <v>MAGIC_GUARD</v>
      </c>
      <c r="B967" t="str">
        <f>Skills!B17</f>
        <v>Magic Guard</v>
      </c>
      <c r="C967" t="b">
        <f>TRUE</f>
        <v>1</v>
      </c>
      <c r="D967">
        <f>IF(Skills!C17=1,60+Inputs!$B$25+Inputs!$B$29,IF(Skills!C17=2,90+Inputs!$B$26+Inputs!$B$29,IF(Skills!C17=3,120+Inputs!$B$27+Inputs!$B$29,MAX(0,(Inputs!$B$3-100)*3)+Inputs!$B$28+Inputs!$B$29)))</f>
        <v>127</v>
      </c>
      <c r="E967">
        <f>INDEX(FactorTable!$B$2:$Y$301, MATCH(ROUND(MIN(300,MAX(1,D967)),0), FactorTable!$A$2:$A$301,0), Skills!M17+1)</f>
        <v>1508</v>
      </c>
      <c r="F967">
        <f>IF(Skills!N17=TRUE,(Skills!L17/10)*(E967/1000),Skills!L17/10)+Skills!O17</f>
        <v>18.096</v>
      </c>
      <c r="G967">
        <f>Calc!G17</f>
        <v>1</v>
      </c>
      <c r="H967">
        <f>Calc!H17</f>
        <v>1</v>
      </c>
      <c r="I967">
        <f>IF(Skills!X17&lt;&gt;"",1+(Skills!X17/10)*(Z953/1000)/100,1)</f>
        <v>1</v>
      </c>
      <c r="O967">
        <f>(1-Summary!$B$11)*S967+Summary!$B$11*U967</f>
        <v>0</v>
      </c>
      <c r="P967">
        <f>IF(B991=0,0,O967/B991)</f>
        <v>0</v>
      </c>
      <c r="Q967">
        <f>IFERROR(1/(IF(Inputs!$B$38="pvp",15,MAX(0.1,Skills!E17-IF(TRUE=TRUE,Inputs!$B$32,0)))*(1-IF(AND(ArtifactsInput!$M$27,Inputs!$B$4="Chapter Hunt"),CHOOSE(ArtifactsInput!$N$27+1,20,24,28,32,36,40),0)/100)),0)</f>
        <v>4.7619047619047616E-2</v>
      </c>
      <c r="R967">
        <f>IF(AND(Inputs!$B$38&lt;&gt;"pvp",Inputs!$B$43&gt;0),IF(Inputs!$B$43&lt;=0,0,(INT(Inputs!$B$43/(IF(Inputs!$B$38="pvp",15,MAX(0.1,Skills!E17-IF(TRUE=TRUE,Inputs!$B$32,0)))*(1-IF(AND(ArtifactsInput!$M$27,Inputs!$B$4="Chapter Hunt"),CHOOSE(ArtifactsInput!$N$27+1,20,24,28,32,36,40),0)/100)))+1)),0)</f>
        <v>2</v>
      </c>
      <c r="S967">
        <v>0</v>
      </c>
      <c r="U967">
        <v>0</v>
      </c>
    </row>
    <row r="968" spans="1:21" x14ac:dyDescent="0.2">
      <c r="A968" t="str">
        <f>Skills!A18</f>
        <v>NIMBLE_FEET</v>
      </c>
      <c r="B968" t="str">
        <f>Skills!B18</f>
        <v>Nimble Feet</v>
      </c>
      <c r="C968" t="b">
        <f>TRUE</f>
        <v>1</v>
      </c>
      <c r="D968">
        <f>IF(Skills!C18=1,60+Inputs!$B$25+Inputs!$B$29,IF(Skills!C18=2,90+Inputs!$B$26+Inputs!$B$29,IF(Skills!C18=3,120+Inputs!$B$27+Inputs!$B$29,MAX(0,(Inputs!$B$3-100)*3)+Inputs!$B$28+Inputs!$B$29)))</f>
        <v>127</v>
      </c>
      <c r="E968">
        <f>INDEX(FactorTable!$B$2:$Y$301, MATCH(ROUND(MIN(300,MAX(1,D968)),0), FactorTable!$A$2:$A$301,0), Skills!M18+1)</f>
        <v>0</v>
      </c>
      <c r="F968">
        <f>IF(Skills!N18=TRUE,(Skills!L18/10)*(E968/1000),Skills!L18/10)+Skills!O18</f>
        <v>15</v>
      </c>
      <c r="G968">
        <f>Calc!G18</f>
        <v>1</v>
      </c>
      <c r="H968">
        <f>Calc!H18</f>
        <v>1</v>
      </c>
      <c r="I968">
        <f>IF(Skills!X18&lt;&gt;"",1+(Skills!X18/10)*(Z953/1000)/100,1)</f>
        <v>1</v>
      </c>
      <c r="O968">
        <f>(1-Summary!$B$11)*S968+Summary!$B$11*U968</f>
        <v>0</v>
      </c>
      <c r="P968">
        <f>IF(B991=0,0,O968/B991)</f>
        <v>0</v>
      </c>
      <c r="Q968">
        <f>IFERROR(1/(IF(Inputs!$B$38="pvp",15,MAX(0.1,Skills!E18-IF(TRUE=TRUE,Inputs!$B$32,0)))*(1-IF(AND(ArtifactsInput!$M$27,Inputs!$B$4="Chapter Hunt"),CHOOSE(ArtifactsInput!$N$27+1,20,24,28,32,36,40),0)/100)),0)</f>
        <v>1.6666666666666666E-2</v>
      </c>
      <c r="R968">
        <f>IF(AND(Inputs!$B$38&lt;&gt;"pvp",Inputs!$B$43&gt;0),IF(Inputs!$B$43&lt;=0,0,(INT(Inputs!$B$43/(IF(Inputs!$B$38="pvp",15,MAX(0.1,Skills!E18-IF(TRUE=TRUE,Inputs!$B$32,0)))*(1-IF(AND(ArtifactsInput!$M$27,Inputs!$B$4="Chapter Hunt"),CHOOSE(ArtifactsInput!$N$27+1,20,24,28,32,36,40),0)/100)))+1)),0)</f>
        <v>1</v>
      </c>
      <c r="S968">
        <v>0</v>
      </c>
      <c r="U968">
        <v>0</v>
      </c>
    </row>
    <row r="969" spans="1:21" x14ac:dyDescent="0.2">
      <c r="A969" t="str">
        <f>Skills!A19</f>
        <v>INFINITY</v>
      </c>
      <c r="B969" t="str">
        <f>Skills!B19</f>
        <v>Infinity</v>
      </c>
      <c r="C969" t="b">
        <f>Inputs!$B$3&gt;=110</f>
        <v>1</v>
      </c>
      <c r="D969">
        <f>IF(Skills!C19=1,60+Inputs!$B$25+Inputs!$B$29,IF(Skills!C19=2,90+Inputs!$B$26+Inputs!$B$29,IF(Skills!C19=3,120+Inputs!$B$27+Inputs!$B$29,MAX(0,(Inputs!$B$3-100)*3)+Inputs!$B$28+Inputs!$B$29)))</f>
        <v>185</v>
      </c>
      <c r="E969">
        <f>INDEX(FactorTable!$B$2:$Y$301, MATCH(ROUND(MIN(300,MAX(1,D969)),0), FactorTable!$A$2:$A$301,0), Skills!M19+1)</f>
        <v>1740</v>
      </c>
      <c r="F969">
        <f>IF(Skills!N19=TRUE,(Skills!L19/10)*(E969/1000),Skills!L19/10)+Skills!O19</f>
        <v>37.700579999999995</v>
      </c>
      <c r="G969">
        <f>Calc!G19</f>
        <v>1</v>
      </c>
      <c r="H969">
        <f>Calc!H19</f>
        <v>1</v>
      </c>
      <c r="I969">
        <f>IF(Skills!X19&lt;&gt;"",1+(Skills!X19/10)*(Z953/1000)/100,1)</f>
        <v>1</v>
      </c>
      <c r="O969">
        <f>(1-Summary!$B$11)*S969+Summary!$B$11*U969</f>
        <v>0</v>
      </c>
      <c r="P969">
        <f>IF(B991=0,0,O969/B991)</f>
        <v>0</v>
      </c>
      <c r="Q969">
        <f>IFERROR(1/(IF(Inputs!$B$38="pvp",15,MAX(0.1,Skills!E19-IF(TRUE=TRUE,Inputs!$B$32,0)))*(1-IF(AND(ArtifactsInput!$M$27,Inputs!$B$4="Chapter Hunt"),CHOOSE(ArtifactsInput!$N$27+1,20,24,28,32,36,40),0)/100)),0)</f>
        <v>3.3333333333333333E-2</v>
      </c>
      <c r="R969">
        <f>IF(AND(Inputs!$B$38&lt;&gt;"pvp",Inputs!$B$43&gt;0),IF(Inputs!$B$43&lt;=0,0,(INT(Inputs!$B$43/(IF(Inputs!$B$38="pvp",15,MAX(0.1,Skills!E19-IF(TRUE=TRUE,Inputs!$B$32,0)))*(1-IF(AND(ArtifactsInput!$M$27,Inputs!$B$4="Chapter Hunt"),CHOOSE(ArtifactsInput!$N$27+1,20,24,28,32,36,40),0)/100)))+1)),0)</f>
        <v>2</v>
      </c>
      <c r="S969">
        <v>0</v>
      </c>
      <c r="U969">
        <v>0</v>
      </c>
    </row>
    <row r="970" spans="1:21" x14ac:dyDescent="0.2">
      <c r="A970" t="str">
        <f>Skills!A20</f>
        <v>MAGIC_CRITICAL_RATE</v>
      </c>
      <c r="B970" t="str">
        <f>Skills!B20</f>
        <v>Magic Critical (Crit Rate)</v>
      </c>
      <c r="C970" t="b">
        <f>TRUE</f>
        <v>1</v>
      </c>
      <c r="D970">
        <f>IF(Skills!C20=1,60+Inputs!$B$25+Inputs!$B$29,IF(Skills!C20=2,90+Inputs!$B$26+Inputs!$B$29,IF(Skills!C20=3,120+Inputs!$B$27+Inputs!$B$29,MAX(0,(Inputs!$B$3-100)*3)+Inputs!$B$28+Inputs!$B$29)))</f>
        <v>184</v>
      </c>
      <c r="E970">
        <f>INDEX(FactorTable!$B$2:$Y$301, MATCH(ROUND(MIN(300,MAX(1,D970)),0), FactorTable!$A$2:$A$301,0), Skills!M20+1)</f>
        <v>1552</v>
      </c>
      <c r="F970">
        <f>IF(Skills!N20=TRUE,(Skills!L20/10)*(E970/1000),Skills!L20/10)+Skills!O20</f>
        <v>12.416</v>
      </c>
      <c r="G970">
        <f>Calc!G20</f>
        <v>1</v>
      </c>
      <c r="H970">
        <f>Calc!H20</f>
        <v>1</v>
      </c>
      <c r="I970">
        <f>IF(Skills!X20&lt;&gt;"",1+(Skills!X20/10)*(Z953/1000)/100,1)</f>
        <v>1</v>
      </c>
      <c r="O970">
        <f>(1-Summary!$B$11)*S970+Summary!$B$11*U970</f>
        <v>0</v>
      </c>
      <c r="P970">
        <f>IF(B991=0,0,O970/B991)</f>
        <v>0</v>
      </c>
      <c r="Q970">
        <f>IFERROR(1/(IF(Inputs!$B$38="pvp",15,MAX(0.1,Skills!E20-IF(TRUE=TRUE,Inputs!$B$32,0)))*(1-IF(AND(ArtifactsInput!$M$27,Inputs!$B$4="Chapter Hunt"),CHOOSE(ArtifactsInput!$N$27+1,20,24,28,32,36,40),0)/100)),0)</f>
        <v>10</v>
      </c>
      <c r="R970">
        <v>0</v>
      </c>
      <c r="S970">
        <v>0</v>
      </c>
      <c r="U970">
        <v>0</v>
      </c>
    </row>
    <row r="971" spans="1:21" x14ac:dyDescent="0.2">
      <c r="A971" t="str">
        <f>Skills!A21</f>
        <v>MAGIC_CRITICAL_DAMAGE</v>
      </c>
      <c r="B971" t="str">
        <f>Skills!B21</f>
        <v>Magic Critical (Crit Damage)</v>
      </c>
      <c r="C971" t="b">
        <f>TRUE</f>
        <v>1</v>
      </c>
      <c r="D971">
        <f>IF(Skills!C21=1,60+Inputs!$B$25+Inputs!$B$29,IF(Skills!C21=2,90+Inputs!$B$26+Inputs!$B$29,IF(Skills!C21=3,120+Inputs!$B$27+Inputs!$B$29,MAX(0,(Inputs!$B$3-100)*3)+Inputs!$B$28+Inputs!$B$29)))</f>
        <v>184</v>
      </c>
      <c r="E971">
        <f>INDEX(FactorTable!$B$2:$Y$301, MATCH(ROUND(MIN(300,MAX(1,D971)),0), FactorTable!$A$2:$A$301,0), Skills!M21+1)</f>
        <v>1552</v>
      </c>
      <c r="F971">
        <f>IF(Skills!N21=TRUE,(Skills!L21/10)*(E971/1000),Skills!L21/10)+Skills!O21</f>
        <v>18.624000000000002</v>
      </c>
      <c r="G971">
        <f>Calc!G21</f>
        <v>1</v>
      </c>
      <c r="H971">
        <f>Calc!H21</f>
        <v>1</v>
      </c>
      <c r="I971">
        <f>IF(Skills!X21&lt;&gt;"",1+(Skills!X21/10)*(Z953/1000)/100,1)</f>
        <v>1</v>
      </c>
      <c r="O971">
        <f>(1-Summary!$B$11)*S971+Summary!$B$11*U971</f>
        <v>0</v>
      </c>
      <c r="P971">
        <f>IF(B991=0,0,O971/B991)</f>
        <v>0</v>
      </c>
      <c r="Q971">
        <f>IFERROR(1/(IF(Inputs!$B$38="pvp",15,MAX(0.1,Skills!E21-IF(TRUE=TRUE,Inputs!$B$32,0)))*(1-IF(AND(ArtifactsInput!$M$27,Inputs!$B$4="Chapter Hunt"),CHOOSE(ArtifactsInput!$N$27+1,20,24,28,32,36,40),0)/100)),0)</f>
        <v>10</v>
      </c>
      <c r="R971">
        <v>0</v>
      </c>
      <c r="S971">
        <v>0</v>
      </c>
      <c r="U971">
        <v>0</v>
      </c>
    </row>
    <row r="972" spans="1:21" x14ac:dyDescent="0.2">
      <c r="A972" t="str">
        <f>Skills!A22</f>
        <v>SPELL_MASTERY</v>
      </c>
      <c r="B972" t="str">
        <f>Skills!B22</f>
        <v>Spell Mastery</v>
      </c>
      <c r="C972" t="b">
        <f>TRUE</f>
        <v>1</v>
      </c>
      <c r="D972">
        <f>IF(Skills!C22=1,60+Inputs!$B$25+Inputs!$B$29,IF(Skills!C22=2,90+Inputs!$B$26+Inputs!$B$29,IF(Skills!C22=3,120+Inputs!$B$27+Inputs!$B$29,MAX(0,(Inputs!$B$3-100)*3)+Inputs!$B$28+Inputs!$B$29)))</f>
        <v>168</v>
      </c>
      <c r="E972">
        <f>INDEX(FactorTable!$B$2:$Y$301, MATCH(ROUND(MIN(300,MAX(1,D972)),0), FactorTable!$A$2:$A$301,0), Skills!M22+1)</f>
        <v>1504</v>
      </c>
      <c r="F972">
        <f>IF(Skills!N22=TRUE,(Skills!L22/10)*(E972/1000),Skills!L22/10)+Skills!O22</f>
        <v>22.56</v>
      </c>
      <c r="G972">
        <f>Calc!G22</f>
        <v>1</v>
      </c>
      <c r="H972">
        <f>Calc!H22</f>
        <v>1</v>
      </c>
      <c r="I972">
        <f>IF(Skills!X22&lt;&gt;"",1+(Skills!X22/10)*(Z953/1000)/100,1)</f>
        <v>1</v>
      </c>
      <c r="O972">
        <f>(1-Summary!$B$11)*S972+Summary!$B$11*U972</f>
        <v>0</v>
      </c>
      <c r="P972">
        <f>IF(B991=0,0,O972/B991)</f>
        <v>0</v>
      </c>
      <c r="Q972">
        <f>IFERROR(1/(IF(Inputs!$B$38="pvp",15,MAX(0.1,Skills!E22-IF(TRUE=TRUE,Inputs!$B$32,0)))*(1-IF(AND(ArtifactsInput!$M$27,Inputs!$B$4="Chapter Hunt"),CHOOSE(ArtifactsInput!$N$27+1,20,24,28,32,36,40),0)/100)),0)</f>
        <v>10</v>
      </c>
      <c r="R972">
        <v>0</v>
      </c>
      <c r="S972">
        <v>0</v>
      </c>
      <c r="U972">
        <v>0</v>
      </c>
    </row>
    <row r="973" spans="1:21" x14ac:dyDescent="0.2">
      <c r="A973" t="str">
        <f>Skills!A23</f>
        <v>ELEMENT_AMPLIFICATION</v>
      </c>
      <c r="B973" t="str">
        <f>Skills!B23</f>
        <v>Element Amplification</v>
      </c>
      <c r="C973" t="b">
        <f>TRUE</f>
        <v>1</v>
      </c>
      <c r="D973">
        <f>IF(Skills!C23=1,60+Inputs!$B$25+Inputs!$B$29,IF(Skills!C23=2,90+Inputs!$B$26+Inputs!$B$29,IF(Skills!C23=3,120+Inputs!$B$27+Inputs!$B$29,MAX(0,(Inputs!$B$3-100)*3)+Inputs!$B$28+Inputs!$B$29)))</f>
        <v>185</v>
      </c>
      <c r="E973">
        <f>INDEX(FactorTable!$B$2:$Y$301, MATCH(ROUND(MIN(300,MAX(1,D973)),0), FactorTable!$A$2:$A$301,0), Skills!M23+1)</f>
        <v>1555</v>
      </c>
      <c r="F973">
        <f>IF(Skills!N23=TRUE,(Skills!L23/10)*(E973/1000),Skills!L23/10)+Skills!O23</f>
        <v>23.324999999999999</v>
      </c>
      <c r="G973">
        <f>Calc!G23</f>
        <v>1</v>
      </c>
      <c r="H973">
        <f>Calc!H23</f>
        <v>1</v>
      </c>
      <c r="I973">
        <f>IF(Skills!X23&lt;&gt;"",1+(Skills!X23/10)*(Z953/1000)/100,1)</f>
        <v>1</v>
      </c>
      <c r="O973">
        <f>(1-Summary!$B$11)*S973+Summary!$B$11*U973</f>
        <v>0</v>
      </c>
      <c r="P973">
        <f>IF(B991=0,0,O973/B991)</f>
        <v>0</v>
      </c>
      <c r="Q973">
        <f>IFERROR(1/(IF(Inputs!$B$38="pvp",15,MAX(0.1,Skills!E23-IF(TRUE=TRUE,Inputs!$B$32,0)))*(1-IF(AND(ArtifactsInput!$M$27,Inputs!$B$4="Chapter Hunt"),CHOOSE(ArtifactsInput!$N$27+1,20,24,28,32,36,40),0)/100)),0)</f>
        <v>10</v>
      </c>
      <c r="R973">
        <v>0</v>
      </c>
      <c r="S973">
        <v>0</v>
      </c>
      <c r="U973">
        <v>0</v>
      </c>
    </row>
    <row r="974" spans="1:21" x14ac:dyDescent="0.2">
      <c r="A974" t="str">
        <f>Skills!A24</f>
        <v>IFRIT</v>
      </c>
      <c r="B974" t="str">
        <f>Skills!B24</f>
        <v>Ifrit</v>
      </c>
      <c r="C974" t="b">
        <f>Inputs!$B$3&gt;=115</f>
        <v>1</v>
      </c>
      <c r="D974">
        <f>IF(Skills!C24=1,60+Inputs!$B$25+Inputs!$B$29,IF(Skills!C24=2,90+Inputs!$B$26+Inputs!$B$29,IF(Skills!C24=3,120+Inputs!$B$27+Inputs!$B$29,MAX(0,(Inputs!$B$3-100)*3)+Inputs!$B$28+Inputs!$B$29)))</f>
        <v>185</v>
      </c>
      <c r="E974">
        <f>INDEX(FactorTable!$B$2:$Y$301, MATCH(ROUND(MIN(300,MAX(1,D974)),0), FactorTable!$A$2:$A$301,0), Skills!M24+1)</f>
        <v>1925</v>
      </c>
      <c r="F974">
        <f>IF(Skills!N24=TRUE,(Skills!L24/10)*(E974/1000),Skills!L24/10)+Skills!O24</f>
        <v>6737.5</v>
      </c>
      <c r="G974">
        <f>Calc!G24</f>
        <v>7.5</v>
      </c>
      <c r="H974">
        <f>Calc!H24</f>
        <v>1</v>
      </c>
      <c r="I974">
        <f>IF(Skills!X24&lt;&gt;"",1+(Skills!X24/10)*(Z953/1000)/100,1)</f>
        <v>1</v>
      </c>
      <c r="J974">
        <f>(((Inputs!$B$6+1)*(1+Inputs!$B$7/100))+(((Inputs!$B$12*(1+Inputs!$B$13/100))-(Inputs!$B$12*(1+Inputs!$B$13/100)))+0.25*(Inputs!$B$14-Inputs!$B$14))*(1+Inputs!$B$7/100))*(F974/100)</f>
        <v>24331461305.285751</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122259089488467.34</v>
      </c>
      <c r="L974">
        <f>K974*(MIN(Inputs!$B$22+(F972-Calc!F22),(Inputs!$B$23+(IF(ArtifactsInput!$M$15,CHOOSE(ArtifactsInput!$N$15+1,25,30,35,40,45,50)/100*(Inputs!$B$11-Inputs!$B$11),0))))/100+(Inputs!$B$23+(IF(ArtifactsInput!$M$15,CHOOSE(ArtifactsInput!$N$15+1,25,30,35,40,45,50)/100*(Inputs!$B$11-Inputs!$B$11),0)))/100)/2</f>
        <v>406511472549153.94</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1918327638959457.2</v>
      </c>
      <c r="N974">
        <f>L974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1918327638959457.2</v>
      </c>
      <c r="O974">
        <f>(1-Summary!$B$11)*S974+Summary!$B$11*U974</f>
        <v>2194087237059879.2</v>
      </c>
      <c r="P974">
        <f>IF(B991=0,0,O974/B991)</f>
        <v>6.6312914553869617E-2</v>
      </c>
      <c r="Q974">
        <f>IFERROR(1/(IF(Inputs!$B$38="pvp",15,MAX(0.1,Skills!E24-IF(TRUE=TRUE,Inputs!$B$32,0)))*(1-IF(AND(ArtifactsInput!$M$27,Inputs!$B$4="Chapter Hunt"),CHOOSE(ArtifactsInput!$N$27+1,20,24,28,32,36,40),0)/100)),0)</f>
        <v>1.2500000000000001E-2</v>
      </c>
      <c r="R974">
        <f>IF(AND(Inputs!$B$38&lt;&gt;"pvp",Inputs!$B$43&gt;0),IF(MAX(0,Inputs!$B$43-B988)&lt;=0,0,(INT(MAX(0,Inputs!$B$43-B988)/(IF(Inputs!$B$38="pvp",15,MAX(0.1,Skills!E24-IF(TRUE=TRUE,Inputs!$B$32,0)))*(1-IF(AND(ArtifactsInput!$M$27,Inputs!$B$4="Chapter Hunt"),CHOOSE(ArtifactsInput!$N$27+1,20,24,28,32,36,40),0)/100)))+1)),0)</f>
        <v>1</v>
      </c>
      <c r="S974">
        <f>IF(C974,(H974*N974*IF(AND(Inputs!$B$38&lt;&gt;"pvp",Inputs!$B$43&gt;0),((Skills!G24*((R974-1)*IF(Skills!H24&gt;0,Skills!I24/Skills!H24,1)+IF(Skills!H24&gt;0,MIN(Skills!I24,MAX(0,MAX(0,Inputs!$B$43-B988)-((R974-1)*(IF(Inputs!$B$38="pvp",15,MAX(0.1,Skills!E24-IF(TRUE=TRUE,Inputs!$B$32,0)))*(1-IF(AND(ArtifactsInput!$M$27,Inputs!$B$4="Chapter Hunt"),CHOOSE(ArtifactsInput!$N$27+1,20,24,28,32,36,40),0)/100)))))/Skills!H24,1)))/Inputs!$B$43),G974*Q974)*(1+IF(Inputs!$B$3&gt;=130,0.2*(Skills!I16/(1/Q965)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1140205990406527.5</v>
      </c>
      <c r="U974">
        <f>IF(C974,(H974*N974*IF(AND(Inputs!$B$38&lt;&gt;"pvp",Inputs!$B$43&gt;0),((Skills!G24*((R974-1)*IF(Skills!H24&gt;0,Skills!I24/Skills!H24,1)+IF(Skills!H24&gt;0,MIN(Skills!I24,MAX(0,MAX(0,Inputs!$B$43-B988)-((R974-1)*(IF(Inputs!$B$38="pvp",15,MAX(0.1,Skills!E24-IF(TRUE=TRUE,Inputs!$B$32,0)))*(1-IF(AND(ArtifactsInput!$M$27,Inputs!$B$4="Chapter Hunt"),CHOOSE(ArtifactsInput!$N$27+1,20,24,28,32,36,40),0)/100)))))/Skills!H24,1)))/Inputs!$B$43),G974*Q974)*(1+IF(Inputs!$B$3&gt;=130,0.2*(Skills!I16/(1/Q965)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3247968483713231</v>
      </c>
    </row>
    <row r="975" spans="1:21" x14ac:dyDescent="0.2">
      <c r="A975" t="str">
        <f>Skills!A25</f>
        <v>BUFF_MASTERY</v>
      </c>
      <c r="B975" t="str">
        <f>Skills!B25</f>
        <v>Buff Mastery</v>
      </c>
      <c r="C975" t="b">
        <f>Inputs!$B$3&gt;=117</f>
        <v>1</v>
      </c>
      <c r="D975">
        <f>IF(Skills!C25=1,60+Inputs!$B$25+Inputs!$B$29,IF(Skills!C25=2,90+Inputs!$B$26+Inputs!$B$29,IF(Skills!C25=3,120+Inputs!$B$27+Inputs!$B$29,MAX(0,(Inputs!$B$3-100)*3)+Inputs!$B$28+Inputs!$B$29)))</f>
        <v>185</v>
      </c>
      <c r="E975">
        <f>INDEX(FactorTable!$B$2:$Y$301, MATCH(ROUND(MIN(300,MAX(1,D975)),0), FactorTable!$A$2:$A$301,0), Skills!M25+1)</f>
        <v>1555</v>
      </c>
      <c r="F975">
        <f>IF(Skills!N25=TRUE,(Skills!L25/10)*(E975/1000),Skills!L25/10)+Skills!O25</f>
        <v>15.549999999999999</v>
      </c>
      <c r="G975">
        <f>Calc!G25</f>
        <v>1</v>
      </c>
      <c r="H975">
        <f>Calc!H25</f>
        <v>1</v>
      </c>
      <c r="I975">
        <f>IF(Skills!X25&lt;&gt;"",1+(Skills!X25/10)*(Z953/1000)/100,1)</f>
        <v>1</v>
      </c>
      <c r="O975">
        <f>(1-Summary!$B$11)*S975+Summary!$B$11*U975</f>
        <v>0</v>
      </c>
      <c r="P975">
        <f>IF(B991=0,0,O975/B991)</f>
        <v>0</v>
      </c>
      <c r="Q975">
        <f>IFERROR(1/(IF(Inputs!$B$38="pvp",15,MAX(0.1,Skills!E25-IF(TRUE=TRUE,Inputs!$B$32,0)))*(1-IF(AND(ArtifactsInput!$M$27,Inputs!$B$4="Chapter Hunt"),CHOOSE(ArtifactsInput!$N$27+1,20,24,28,32,36,40),0)/100)),0)</f>
        <v>10</v>
      </c>
      <c r="R975">
        <v>0</v>
      </c>
      <c r="S975">
        <v>0</v>
      </c>
      <c r="U975">
        <v>0</v>
      </c>
    </row>
    <row r="976" spans="1:21" x14ac:dyDescent="0.2">
      <c r="A976" t="str">
        <f>Skills!A26</f>
        <v>ARCANE_AIM</v>
      </c>
      <c r="B976" t="str">
        <f>Skills!B26</f>
        <v>Arcane Aim</v>
      </c>
      <c r="C976" t="b">
        <f>Inputs!$B$3&gt;=120</f>
        <v>0</v>
      </c>
      <c r="D976">
        <f>IF(Skills!C26=1,60+Inputs!$B$25+Inputs!$B$29,IF(Skills!C26=2,90+Inputs!$B$26+Inputs!$B$29,IF(Skills!C26=3,120+Inputs!$B$27+Inputs!$B$29,MAX(0,(Inputs!$B$3-100)*3)+Inputs!$B$28+Inputs!$B$29)))</f>
        <v>185</v>
      </c>
      <c r="E976">
        <f>INDEX(FactorTable!$B$2:$Y$301, MATCH(ROUND(MIN(300,MAX(1,D976)),0), FactorTable!$A$2:$A$301,0), Skills!M26+1)</f>
        <v>1555</v>
      </c>
      <c r="F976">
        <f>IF(Skills!N26=TRUE,(Skills!L26/10)*(E976/1000),Skills!L26/10)+Skills!O26</f>
        <v>4.665</v>
      </c>
      <c r="G976">
        <f>Calc!G26</f>
        <v>1</v>
      </c>
      <c r="H976">
        <f>Calc!H26</f>
        <v>1</v>
      </c>
      <c r="I976">
        <f>IF(Skills!X26&lt;&gt;"",1+(Skills!X26/10)*(Z953/1000)/100,1)</f>
        <v>1</v>
      </c>
      <c r="O976">
        <f>(1-Summary!$B$11)*S976+Summary!$B$11*U976</f>
        <v>0</v>
      </c>
      <c r="P976">
        <f>IF(B991=0,0,O976/B991)</f>
        <v>0</v>
      </c>
      <c r="Q976">
        <f>IFERROR(1/(IF(Inputs!$B$38="pvp",15,MAX(0.1,Skills!E26-IF(TRUE=TRUE,Inputs!$B$32,0)))*(1-IF(AND(ArtifactsInput!$M$27,Inputs!$B$4="Chapter Hunt"),CHOOSE(ArtifactsInput!$N$27+1,20,24,28,32,36,40),0)/100)),0)</f>
        <v>10</v>
      </c>
      <c r="R976">
        <v>0</v>
      </c>
      <c r="S976">
        <v>0</v>
      </c>
      <c r="U976">
        <v>0</v>
      </c>
    </row>
    <row r="977" spans="1:21" x14ac:dyDescent="0.2">
      <c r="A977" t="str">
        <f>Skills!A27</f>
        <v>FERVENT_DRAIN</v>
      </c>
      <c r="B977" t="str">
        <f>Skills!B27</f>
        <v>Fervent Drain</v>
      </c>
      <c r="C977" t="b">
        <f>Inputs!$B$3&gt;=125</f>
        <v>0</v>
      </c>
      <c r="D977">
        <f>IF(Skills!C27=1,60+Inputs!$B$25+Inputs!$B$29,IF(Skills!C27=2,90+Inputs!$B$26+Inputs!$B$29,IF(Skills!C27=3,120+Inputs!$B$27+Inputs!$B$29,MAX(0,(Inputs!$B$3-100)*3)+Inputs!$B$28+Inputs!$B$29)))</f>
        <v>185</v>
      </c>
      <c r="E977">
        <f>INDEX(FactorTable!$B$2:$Y$301, MATCH(ROUND(MIN(300,MAX(1,D977)),0), FactorTable!$A$2:$A$301,0), Skills!M27+1)</f>
        <v>1555</v>
      </c>
      <c r="F977">
        <f>IF(Skills!N27=TRUE,(Skills!L27/10)*(E977/1000),Skills!L27/10)+Skills!O27</f>
        <v>6.22</v>
      </c>
      <c r="G977">
        <f>Calc!G27</f>
        <v>1</v>
      </c>
      <c r="H977">
        <f>Calc!H27</f>
        <v>1</v>
      </c>
      <c r="I977">
        <f>IF(Skills!X27&lt;&gt;"",1+(Skills!X27/10)*(Z953/1000)/100,1)</f>
        <v>1</v>
      </c>
      <c r="O977">
        <f>(1-Summary!$B$11)*S977+Summary!$B$11*U977</f>
        <v>0</v>
      </c>
      <c r="P977">
        <f>IF(B991=0,0,O977/B991)</f>
        <v>0</v>
      </c>
      <c r="Q977">
        <f>IFERROR(1/(IF(Inputs!$B$38="pvp",15,MAX(0.1,Skills!E27-IF(TRUE=TRUE,Inputs!$B$32,0)))*(1-IF(AND(ArtifactsInput!$M$27,Inputs!$B$4="Chapter Hunt"),CHOOSE(ArtifactsInput!$N$27+1,20,24,28,32,36,40),0)/100)),0)</f>
        <v>10</v>
      </c>
      <c r="R977">
        <v>0</v>
      </c>
      <c r="S977">
        <v>0</v>
      </c>
      <c r="U977">
        <v>0</v>
      </c>
    </row>
    <row r="978" spans="1:21" x14ac:dyDescent="0.2">
      <c r="A978" t="str">
        <f>Skills!A28</f>
        <v>FLAME_HAZE_FOG</v>
      </c>
      <c r="B978" t="str">
        <f>Skills!B28</f>
        <v>Flame Haze (poison fog DoT)</v>
      </c>
      <c r="C978" t="b">
        <f>Inputs!$B$3&gt;=118</f>
        <v>0</v>
      </c>
      <c r="D978">
        <f>IF(Skills!C28=1,60+Inputs!$B$25+Inputs!$B$29,IF(Skills!C28=2,90+Inputs!$B$26+Inputs!$B$29,IF(Skills!C28=3,120+Inputs!$B$27+Inputs!$B$29,MAX(0,(Inputs!$B$3-100)*3)+Inputs!$B$28+Inputs!$B$29)))</f>
        <v>185</v>
      </c>
      <c r="E978">
        <f>INDEX(FactorTable!$B$2:$Y$301, MATCH(ROUND(MIN(300,MAX(1,D978)),0), FactorTable!$A$2:$A$301,0), Skills!M28+1)</f>
        <v>1925</v>
      </c>
      <c r="F978">
        <f>IF(Skills!N28=TRUE,(Skills!L28/10)*(E978/1000),Skills!L28/10)+Skills!O28</f>
        <v>134.75</v>
      </c>
      <c r="G978">
        <f>Calc!G28</f>
        <v>50</v>
      </c>
      <c r="H978">
        <f>Calc!H28</f>
        <v>1</v>
      </c>
      <c r="I978">
        <f>IF(Skills!X28&lt;&gt;"",1+(Skills!X28/10)*(Z953/1000)/100,1)</f>
        <v>1</v>
      </c>
      <c r="J978">
        <f>(((Inputs!$B$6+1)*(1+Inputs!$B$7/100))+(((Inputs!$B$12*(1+Inputs!$B$13/100))-(Inputs!$B$12*(1+Inputs!$B$13/100)))+0.25*(Inputs!$B$14-Inputs!$B$14))*(1+Inputs!$B$7/100))*(F978/100)</f>
        <v>486629226.10571498</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2445181789769.3467</v>
      </c>
      <c r="L978">
        <f>K978*(MIN(Inputs!$B$22+(F972-Calc!F22),(Inputs!$B$23+(IF(ArtifactsInput!$M$15,CHOOSE(ArtifactsInput!$N$15+1,25,30,35,40,45,50)/100*(Inputs!$B$11-Inputs!$B$11),0))))/100+(Inputs!$B$23+(IF(ArtifactsInput!$M$15,CHOOSE(ArtifactsInput!$N$15+1,25,30,35,40,45,50)/100*(Inputs!$B$11-Inputs!$B$11),0)))/100)/2</f>
        <v>8130229450983.0781</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38366552779189.141</v>
      </c>
      <c r="N978">
        <f>L978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38366552779189.141</v>
      </c>
      <c r="O978">
        <f>(1-Summary!$B$11)*S978+Summary!$B$11*U978</f>
        <v>0</v>
      </c>
      <c r="P978">
        <f>IF(B991=0,0,O978/B991)</f>
        <v>0</v>
      </c>
      <c r="Q978">
        <f>IFERROR(1/(IF(Inputs!$B$38="pvp",15,MAX(0.1,Skills!E28-IF(TRUE=TRUE,Inputs!$B$32,0)))*(1-IF(AND(ArtifactsInput!$M$27,Inputs!$B$4="Chapter Hunt"),CHOOSE(ArtifactsInput!$N$27+1,20,24,28,32,36,40),0)/100)),0)</f>
        <v>0.04</v>
      </c>
      <c r="R978">
        <f>IF(AND(Inputs!$B$38&lt;&gt;"pvp",Inputs!$B$43&gt;0),IF(MAX(0,Inputs!$B$43-B988)&lt;=0,0,(INT(MAX(0,Inputs!$B$43-B988)/(IF(Inputs!$B$38="pvp",15,MAX(0.1,Skills!E28-IF(TRUE=TRUE,Inputs!$B$32,0)))*(1-IF(AND(ArtifactsInput!$M$27,Inputs!$B$4="Chapter Hunt"),CHOOSE(ArtifactsInput!$N$27+1,20,24,28,32,36,40),0)/100)))+1)),0)</f>
        <v>2</v>
      </c>
      <c r="S978">
        <f>IF(C978,(H978*N978*IF(AND(Inputs!$B$38&lt;&gt;"pvp",Inputs!$B$43&gt;0),((Skills!G28*((R978-1)*IF(Skills!H28&gt;0,Skills!I28/Skills!H28,1)+IF(Skills!H28&gt;0,MIN(Skills!I28,MAX(0,MAX(0,Inputs!$B$43-B988)-((R978-1)*(IF(Inputs!$B$38="pvp",15,MAX(0.1,Skills!E28-IF(TRUE=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78">
        <f>IF(C978,(H978*N978*IF(AND(Inputs!$B$38&lt;&gt;"pvp",Inputs!$B$43&gt;0),((Skills!G28*((R978-1)*IF(Skills!H28&gt;0,Skills!I28/Skills!H28,1)+IF(Skills!H28&gt;0,MIN(Skills!I28,MAX(0,MAX(0,Inputs!$B$43-B988)-((R978-1)*(IF(Inputs!$B$38="pvp",15,MAX(0.1,Skills!E28-IF(TRUE=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980" spans="1:21" x14ac:dyDescent="0.2">
      <c r="A980" t="s">
        <v>356</v>
      </c>
      <c r="B980">
        <f>1+(F961*Skills!Z11)/100</f>
        <v>1.25</v>
      </c>
    </row>
    <row r="981" spans="1:21" x14ac:dyDescent="0.2">
      <c r="A981" t="s">
        <v>435</v>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1.18624</v>
      </c>
    </row>
    <row r="982" spans="1:21" x14ac:dyDescent="0.2">
      <c r="A982" t="s">
        <v>358</v>
      </c>
      <c r="B982">
        <f>(1+(F956*IF(AND(Inputs!$B$38&lt;&gt;"pvp",Inputs!$B$43&gt;0),(((R956-1)*MIN((Skills!T6*(1+((Inputs!$B$34+(ArtifactsInput!$M$7-ArtifactsInput!$M$7)*CHOOSE(ArtifactsInput!$N$7+1,6,7.2,8.4,9.6,10.8,12)))/100)),(1/Q956))+MIN((Skills!T6*(1+((Inputs!$B$34+(ArtifactsInput!$M$7-ArtifactsInput!$M$7)*CHOOSE(ArtifactsInput!$N$7+1,6,7.2,8.4,9.6,10.8,12)))/100)),MAX(0,Inputs!$B$43-((R956-1)*(1/Q956)))))/Inputs!$B$43),IF(Inputs!$B$38="pvp",MIN((Skills!T6*(1+((Inputs!$B$34+(ArtifactsInput!$M$7-ArtifactsInput!$M$7)*CHOOSE(ArtifactsInput!$N$7+1,6,7.2,8.4,9.6,10.8,12)))/100)),15)/15,MIN(1,(Skills!T6*(1+((Inputs!$B$34+(ArtifactsInput!$M$7-ArtifactsInput!$M$7)*CHOOSE(ArtifactsInput!$N$7+1,6,7.2,8.4,9.6,10.8,12)))/100))/(1/Q956))))+F967*IF(AND(Inputs!$B$38&lt;&gt;"pvp",Inputs!$B$43&gt;0),(((R967-1)*MIN((Skills!T17*(1+((Inputs!$B$34+(ArtifactsInput!$M$7-ArtifactsInput!$M$7)*CHOOSE(ArtifactsInput!$N$7+1,6,7.2,8.4,9.6,10.8,12)))/100)),(1/Q967))+MIN((Skills!T17*(1+((Inputs!$B$34+(ArtifactsInput!$M$7-ArtifactsInput!$M$7)*CHOOSE(ArtifactsInput!$N$7+1,6,7.2,8.4,9.6,10.8,12)))/100)),MAX(0,Inputs!$B$43-((R967-1)*(1/Q967)))))/Inputs!$B$43),IF(Inputs!$B$38="pvp",MIN((Skills!T17*(1+((Inputs!$B$34+(ArtifactsInput!$M$7-ArtifactsInput!$M$7)*CHOOSE(ArtifactsInput!$N$7+1,6,7.2,8.4,9.6,10.8,12)))/100)),15)/15,MIN(1,(Skills!T17*(1+((Inputs!$B$34+(ArtifactsInput!$M$7-ArtifactsInput!$M$7)*CHOOSE(ArtifactsInput!$N$7+1,6,7.2,8.4,9.6,10.8,12)))/100))/(1/Q967)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MIN((Skills!T19*(1+((Inputs!$B$34+(ArtifactsInput!$M$7-ArtifactsInput!$M$7)*CHOOSE(ArtifactsInput!$N$7+1,6,7.2,8.4,9.6,10.8,12)))/100)),(1/Q969))+MIN((Skills!T19*(1+((Inputs!$B$34+(ArtifactsInput!$M$7-ArtifactsInput!$M$7)*CHOOSE(ArtifactsInput!$N$7+1,6,7.2,8.4,9.6,10.8,12)))/100)),MAX(0,Inputs!$B$43-((R969-1)*(1/Q969)))))/Inputs!$B$43),IF(Inputs!$B$38="pvp",MIN((Skills!T19*(1+((Inputs!$B$34+(ArtifactsInput!$M$7-ArtifactsInput!$M$7)*CHOOSE(ArtifactsInput!$N$7+1,6,7.2,8.4,9.6,10.8,12)))/100)),15)/15,MIN(1,(Skills!T19*(1+((Inputs!$B$34+(ArtifactsInput!$M$7-ArtifactsInput!$M$7)*CHOOSE(ArtifactsInput!$N$7+1,6,7.2,8.4,9.6,10.8,12)))/100))/(1/Q969))))/100),1)</f>
        <v>1.7965808377980694</v>
      </c>
    </row>
    <row r="983" spans="1:21" x14ac:dyDescent="0.2">
      <c r="A983" t="s">
        <v>359</v>
      </c>
      <c r="B983">
        <f>F968*IF(AND(Inputs!$B$38&lt;&gt;"pvp",Inputs!$B$43&gt;0),(((R968-1)*MIN((Skills!T18*(1+((Inputs!$B$34+(ArtifactsInput!$M$7-ArtifactsInput!$M$7)*CHOOSE(ArtifactsInput!$N$7+1,6,7.2,8.4,9.6,10.8,12)))/100)),(1/Q968))+MIN((Skills!T18*(1+((Inputs!$B$34+(ArtifactsInput!$M$7-ArtifactsInput!$M$7)*CHOOSE(ArtifactsInput!$N$7+1,6,7.2,8.4,9.6,10.8,12)))/100)),MAX(0,Inputs!$B$43-((R968-1)*(1/Q968)))))/Inputs!$B$43),IF(Inputs!$B$38="pvp",MIN((Skills!T18*(1+((Inputs!$B$34+(ArtifactsInput!$M$7-ArtifactsInput!$M$7)*CHOOSE(ArtifactsInput!$N$7+1,6,7.2,8.4,9.6,10.8,12)))/100)),15)/15,MIN(1,(Skills!T18*(1+((Inputs!$B$34+(ArtifactsInput!$M$7-ArtifactsInput!$M$7)*CHOOSE(ArtifactsInput!$N$7+1,6,7.2,8.4,9.6,10.8,12)))/100))/(1/Q968))))</f>
        <v>6.4968749999999993</v>
      </c>
    </row>
    <row r="984" spans="1:21" x14ac:dyDescent="0.2">
      <c r="A984" t="s">
        <v>436</v>
      </c>
      <c r="B984">
        <f>1+MIN(150,150*(1-(1-(Inputs!$B$11+(ArtifactsInput!$M$15-ArtifactsInput!$M$15)*CHOOSE(ArtifactsInput!$N$15+1,8,9.6,11.2,12.8,14.4,16))/150)*(1-B983/150)))/100</f>
        <v>1.6982958749999999</v>
      </c>
    </row>
    <row r="985" spans="1:21" x14ac:dyDescent="0.2">
      <c r="A985" t="s">
        <v>437</v>
      </c>
      <c r="B985">
        <f>IF(AND(Inputs!$B$38&lt;&gt;"pvp",Inputs!$B$43&gt;0),SUMPRODUCT((Skills!F2:F28=TRUE)*(C952:C978=TRUE)*R952:R978)/Inputs!$B$43,SUMPRODUCT((Skills!F2:F28=TRUE)*(C952:C978=TRUE)*Q952:Q978))</f>
        <v>0.47499999999999998</v>
      </c>
    </row>
    <row r="986" spans="1:21" x14ac:dyDescent="0.2">
      <c r="A986" t="s">
        <v>362</v>
      </c>
      <c r="B986">
        <f>MAX(0,B984-B985)</f>
        <v>1.2232958749999998</v>
      </c>
    </row>
    <row r="987" spans="1:21" x14ac:dyDescent="0.2">
      <c r="A987" t="s">
        <v>438</v>
      </c>
      <c r="B987">
        <f>IF(AND(Inputs!$B$38&lt;&gt;"pvp",Inputs!$B$43&gt;0),SUMPRODUCT((Skills!V2:V28=TRUE)*(C952:C978=TRUE)*R952:R978*Skills!W2:W28)/Inputs!$B$43,SUMPRODUCT((Skills!V2:V28=TRUE)*(C952:C978=TRUE)*Q952:Q978*Skills!W2:W28))+B986</f>
        <v>1.5482958749999998</v>
      </c>
    </row>
    <row r="988" spans="1:21" x14ac:dyDescent="0.2">
      <c r="A988" t="s">
        <v>439</v>
      </c>
      <c r="B988">
        <f>IF(AND(Inputs!$B$38&lt;&gt;"pvp",Inputs!$B$43&gt;0),SUMPRODUCT((Skills!T2:T28&gt;0)*(Skills!F2:F28=TRUE)*(C952:C978=TRUE))/B984,0)</f>
        <v>2.3553021937358238</v>
      </c>
    </row>
    <row r="989" spans="1:21" x14ac:dyDescent="0.2">
      <c r="A989" t="s">
        <v>440</v>
      </c>
      <c r="B989">
        <f>SUM(S952:S978)</f>
        <v>9517272046679770</v>
      </c>
    </row>
    <row r="990" spans="1:21" x14ac:dyDescent="0.2">
      <c r="A990" t="s">
        <v>441</v>
      </c>
      <c r="B990">
        <f>SUM(U952:U978)</f>
        <v>5.6656481642807112E+16</v>
      </c>
    </row>
    <row r="991" spans="1:21" x14ac:dyDescent="0.2">
      <c r="A991" s="6" t="s">
        <v>348</v>
      </c>
      <c r="B991" s="6">
        <f>SUM(O952:O978)</f>
        <v>3.3086876844743444E+16</v>
      </c>
    </row>
    <row r="994" spans="1:26" x14ac:dyDescent="0.2">
      <c r="A994" s="6" t="s">
        <v>462</v>
      </c>
    </row>
    <row r="995" spans="1:26" x14ac:dyDescent="0.2">
      <c r="A995" s="5" t="s">
        <v>136</v>
      </c>
      <c r="B995" s="5" t="s">
        <v>137</v>
      </c>
      <c r="C995" s="5" t="s">
        <v>328</v>
      </c>
      <c r="D995" s="5" t="s">
        <v>329</v>
      </c>
      <c r="E995" s="5" t="s">
        <v>330</v>
      </c>
      <c r="F995" s="5" t="s">
        <v>331</v>
      </c>
      <c r="G995" s="5" t="s">
        <v>332</v>
      </c>
      <c r="H995" s="5" t="s">
        <v>333</v>
      </c>
      <c r="I995" s="5" t="s">
        <v>334</v>
      </c>
      <c r="J995" s="5" t="s">
        <v>335</v>
      </c>
      <c r="K995" s="5" t="s">
        <v>336</v>
      </c>
      <c r="L995" s="5" t="s">
        <v>337</v>
      </c>
      <c r="M995" s="5" t="s">
        <v>338</v>
      </c>
      <c r="N995" s="5" t="s">
        <v>339</v>
      </c>
      <c r="O995" s="5" t="s">
        <v>340</v>
      </c>
      <c r="P995" s="5" t="s">
        <v>341</v>
      </c>
      <c r="R995" t="s">
        <v>434</v>
      </c>
    </row>
    <row r="996" spans="1:26" x14ac:dyDescent="0.2">
      <c r="A996" t="str">
        <f>Skills!A2</f>
        <v>BASIC_ATTACK</v>
      </c>
      <c r="B996" t="str">
        <f>Skills!B2</f>
        <v>Basic Attack</v>
      </c>
      <c r="C996" t="b">
        <f>TRUE</f>
        <v>1</v>
      </c>
      <c r="F996">
        <f>T998+Skills!O2</f>
        <v>537.6</v>
      </c>
      <c r="G996">
        <f>Calc!G2</f>
        <v>5</v>
      </c>
      <c r="H996">
        <f>Calc!H2</f>
        <v>1</v>
      </c>
      <c r="I996">
        <f>IF(Skills!X2&lt;&gt;"",1+(Skills!X2/10)*(Z997/1000)/100,1)</f>
        <v>1</v>
      </c>
      <c r="J996">
        <f>((Inputs!$B$6*(1+(Inputs!$B$7+1)/100))+(((Inputs!$B$12*(1+Inputs!$B$13/100))-(Inputs!$B$12*(1+Inputs!$B$13/100)))+0.25*(Inputs!$B$14-Inputs!$B$14))*(1+(Inputs!$B$7+1)/100))*(F996/100)</f>
        <v>1941516241.2495363</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6620485263962.4561</v>
      </c>
      <c r="L996">
        <f>K996*(MIN(Inputs!$B$22+(F1016-Calc!F22),(Inputs!$B$23+(IF(ArtifactsInput!$M$15,CHOOSE(ArtifactsInput!$N$15+1,25,30,35,40,45,50)/100*(Inputs!$B$11-Inputs!$B$11),0))))/100+(Inputs!$B$23+(IF(ArtifactsInput!$M$15,CHOOSE(ArtifactsInput!$N$15+1,25,30,35,40,45,50)/100*(Inputs!$B$11-Inputs!$B$11),0)))/100)/2</f>
        <v>22013113502675.168</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103879882619124.11</v>
      </c>
      <c r="N996">
        <f>L996*(1-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103879882619124.11</v>
      </c>
      <c r="O996">
        <f>(1-Summary!$B$11)*S996+Summary!$B$11*U996</f>
        <v>1.2513792546693094E+16</v>
      </c>
      <c r="P996">
        <f>IF(B1035=0,0,O996/B1035)</f>
        <v>0.37819938885449517</v>
      </c>
      <c r="Q996">
        <f>IFERROR(1/(IF(Inputs!$B$38="pvp",15,MAX(0.1,Skills!E2-IF(TRUE=TRUE,Inputs!$B$32,0)))*(1-IF(AND(ArtifactsInput!$M$27,Inputs!$B$4="Chapter Hunt"),CHOOSE(ArtifactsInput!$N$27+1,20,24,28,32,36,40),0)/100)),0)</f>
        <v>10</v>
      </c>
      <c r="R996">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2077689851621549.8</v>
      </c>
      <c r="T996">
        <f>MAX(0,(Inputs!$B$3-100)*3)+Inputs!$B$28+Inputs!$B$29</f>
        <v>185</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2.294989524176464E+16</v>
      </c>
      <c r="Z996">
        <f>MAX(0,(Inputs!$B$3-100)*3)+Inputs!$B$28+Inputs!$B$29</f>
        <v>185</v>
      </c>
    </row>
    <row r="997" spans="1:26" x14ac:dyDescent="0.2">
      <c r="A997" t="str">
        <f>Skills!A3</f>
        <v>IGNITE</v>
      </c>
      <c r="B997" t="str">
        <f>Skills!B3</f>
        <v>Ignite</v>
      </c>
      <c r="C997" t="b">
        <f>TRUE</f>
        <v>1</v>
      </c>
      <c r="D997">
        <f>IF(Skills!C3=1,60+Inputs!$B$25+Inputs!$B$29,IF(Skills!C3=2,90+Inputs!$B$26+Inputs!$B$29,IF(Skills!C3=3,120+Inputs!$B$27+Inputs!$B$29,MAX(0,(Inputs!$B$3-100)*3)+Inputs!$B$28+Inputs!$B$29)))</f>
        <v>168</v>
      </c>
      <c r="E997">
        <f>INDEX(FactorTable!$B$2:$Y$301, MATCH(ROUND(MIN(300,MAX(1,D997)),0), FactorTable!$A$2:$A$301,0), Skills!M3+1)</f>
        <v>1672</v>
      </c>
      <c r="F997">
        <f>IF(Skills!N3=TRUE,(Skills!L3/10)*(E997/1000),Skills!L3/10)+Skills!O3</f>
        <v>121.736</v>
      </c>
      <c r="G997">
        <f>Calc!G3</f>
        <v>3</v>
      </c>
      <c r="H997">
        <f>Calc!H3</f>
        <v>1</v>
      </c>
      <c r="I997">
        <f>IF(Skills!X3&lt;&gt;"",1+(Skills!X3/10)*(Z997/1000)/100,1)</f>
        <v>4.8250000000000002</v>
      </c>
      <c r="J997">
        <f>((Inputs!$B$6*(1+(Inputs!$B$7+1)/100))+(((Inputs!$B$12*(1+Inputs!$B$13/100))-(Inputs!$B$12*(1+Inputs!$B$13/100)))+0.25*(Inputs!$B$14-Inputs!$B$14))*(1+(Inputs!$B$7+1)/100))*(F997/100)</f>
        <v>439643640.52223498</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10658867843407.734</v>
      </c>
      <c r="L997">
        <f>K997*(MIN(Inputs!$B$22+(F1016-Calc!F22),(Inputs!$B$23+(IF(ArtifactsInput!$M$15,CHOOSE(ArtifactsInput!$N$15+1,25,30,35,40,45,50)/100*(Inputs!$B$11-Inputs!$B$11),0))))/100+(Inputs!$B$23+(IF(ArtifactsInput!$M$15,CHOOSE(ArtifactsInput!$N$15+1,25,30,35,40,45,50)/100*(Inputs!$B$11-Inputs!$B$11),0)))/100)/2</f>
        <v>35440735579330.719</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167244831198861.66</v>
      </c>
      <c r="N997">
        <f>L997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167244831198861.66</v>
      </c>
      <c r="O997">
        <f>(1-Summary!$B$11)*S997+Summary!$B$11*U997</f>
        <v>2907551390392210</v>
      </c>
      <c r="P997">
        <f>IF(B1035=0,0,O997/B1035)</f>
        <v>8.7873772463965119E-2</v>
      </c>
      <c r="Q997">
        <f>IFERROR(1/(IF(Inputs!$B$38="pvp",15,MAX(0.1,Skills!E3-IF(FALSE=TRUE,Inputs!$B$32,0)))*(1-IF(AND(ArtifactsInput!$M$27,Inputs!$B$4="Chapter Hunt"),CHOOSE(ArtifactsInput!$N$27+1,20,24,28,32,36,40),0)/100)),0)</f>
        <v>1</v>
      </c>
      <c r="R997">
        <f>IF(AND(Inputs!$B$38&lt;&gt;"pvp",Inputs!$B$43&gt;0),IF(MAX(0,Inputs!$B$43-B1032)&lt;=0,0,(INT(MAX(0,Inputs!$B$43-B1032)/(IF(Inputs!$B$38="pvp",15,MAX(0.1,Skills!E3-IF(FALSE=TRUE,Inputs!$B$32,0)))*(1-IF(AND(ArtifactsInput!$M$27,Inputs!$B$4="Chapter Hunt"),CHOOSE(ArtifactsInput!$N$27+1,20,24,28,32,36,40),0)/100)))+1)),0)</f>
        <v>38</v>
      </c>
      <c r="S997">
        <f>IF(C997,(H997*N997*IF(AND(Inputs!$B$38&lt;&gt;"pvp",Inputs!$B$43&gt;0),((Skills!G3*((R997-1)*IF(Skills!H3&gt;0,Skills!I3/Skills!H3,1)+IF(Skills!H3&gt;0,MIN(Skills!I3,MAX(0,MAX(0,Inputs!$B$43-B1032)-((R997-1)*(IF(Inputs!$B$38="pvp",15,MAX(0.1,Skills!E3-IF(FALSE=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1510973427466115.8</v>
      </c>
      <c r="T997">
        <f>INDEX(FactorTable!$B$2:$Y$301, MATCH(ROUND(MIN(300,MAX(1,T996)),0), FactorTable!$A$2:$A$301,0), 22)</f>
        <v>1740</v>
      </c>
      <c r="U997">
        <f>IF(C997,(H997*N997*IF(AND(Inputs!$B$38&lt;&gt;"pvp",Inputs!$B$43&gt;0),((Skills!G3*((R997-1)*IF(Skills!H3&gt;0,Skills!I3/Skills!H3,1)+IF(Skills!H3&gt;0,MIN(Skills!I3,MAX(0,MAX(0,Inputs!$B$43-B1032)-((R997-1)*(IF(Inputs!$B$38="pvp",15,MAX(0.1,Skills!E3-IF(FALSE=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4304129353318304</v>
      </c>
      <c r="Z997">
        <f>INDEX(FactorTable!$B$2:$Y$301, MATCH(ROUND(MIN(300,MAX(1,Z996)),0), FactorTable!$A$2:$A$301,0), 24)</f>
        <v>7650</v>
      </c>
    </row>
    <row r="998" spans="1:26" x14ac:dyDescent="0.2">
      <c r="A998" t="str">
        <f>Skills!A4</f>
        <v>POISON_BREATH</v>
      </c>
      <c r="B998" t="str">
        <f>Skills!B4</f>
        <v>Poison Breath</v>
      </c>
      <c r="C998" t="b">
        <f>TRUE</f>
        <v>1</v>
      </c>
      <c r="D998">
        <f>IF(Skills!C4=1,60+Inputs!$B$25+Inputs!$B$29,IF(Skills!C4=2,90+Inputs!$B$26+Inputs!$B$29,IF(Skills!C4=3,120+Inputs!$B$27+Inputs!$B$29,MAX(0,(Inputs!$B$3-100)*3)+Inputs!$B$28+Inputs!$B$29)))</f>
        <v>168</v>
      </c>
      <c r="E998">
        <f>INDEX(FactorTable!$B$2:$Y$301, MATCH(ROUND(MIN(300,MAX(1,D998)),0), FactorTable!$A$2:$A$301,0), Skills!M4+1)</f>
        <v>1840</v>
      </c>
      <c r="F998">
        <f>IF(Skills!N4=TRUE,(Skills!L4/10)*(E998/1000),Skills!L4/10)+Skills!O4</f>
        <v>438</v>
      </c>
      <c r="G998">
        <f>Calc!G4</f>
        <v>3</v>
      </c>
      <c r="H998">
        <f>Calc!H4</f>
        <v>1</v>
      </c>
      <c r="I998">
        <f>IF(Skills!X4&lt;&gt;"",1+(Skills!X4/10)*(Z997/1000)/100,1)</f>
        <v>7.12</v>
      </c>
      <c r="J998">
        <f>((Inputs!$B$6*(1+(Inputs!$B$7+1)/100))+(((Inputs!$B$12*(1+Inputs!$B$13/100))-(Inputs!$B$12*(1+Inputs!$B$13/100)))+0.25*(Inputs!$B$14-Inputs!$B$14))*(1+(Inputs!$B$7+1)/100))*(F998/100)</f>
        <v>1581815687.62518</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56591191304206.102</v>
      </c>
      <c r="L998">
        <f>K998*(MIN(Inputs!$B$22+(F1016-Calc!F22),(Inputs!$B$23+(IF(ArtifactsInput!$M$15,CHOOSE(ArtifactsInput!$N$15+1,25,30,35,40,45,50)/100*(Inputs!$B$11-Inputs!$B$11),0))))/100+(Inputs!$B$23+(IF(ArtifactsInput!$M$15,CHOOSE(ArtifactsInput!$N$15+1,25,30,35,40,45,50)/100*(Inputs!$B$11-Inputs!$B$11),0)))/100)/2</f>
        <v>188165711086485.31</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887953990617124.12</v>
      </c>
      <c r="N998">
        <f>L998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887953990617124.12</v>
      </c>
      <c r="O998">
        <f>(1-Summary!$B$11)*S998+Summary!$B$11*U998</f>
        <v>2120767112340174</v>
      </c>
      <c r="P998">
        <f>IF(B1035=0,0,O998/B1035)</f>
        <v>6.4095103286790758E-2</v>
      </c>
      <c r="Q998">
        <f>IFERROR(1/(IF(Inputs!$B$38="pvp",15,MAX(0.1,Skills!E4-IF(TRUE=TRUE,Inputs!$B$32,0)))*(1-IF(AND(ArtifactsInput!$M$27,Inputs!$B$4="Chapter Hunt"),CHOOSE(ArtifactsInput!$N$27+1,20,24,28,32,36,40),0)/100)),0)</f>
        <v>5.5555555555555552E-2</v>
      </c>
      <c r="R998">
        <f>IF(AND(Inputs!$B$38&lt;&gt;"pvp",Inputs!$B$43&gt;0),IF(MAX(0,Inputs!$B$43-B1032)&lt;=0,0,(INT(MAX(0,Inputs!$B$43-B1032)/(IF(Inputs!$B$38="pvp",15,MAX(0.1,Skills!E4-IF(TRUE=TRUE,Inputs!$B$32,0)))*(1-IF(AND(ArtifactsInput!$M$27,Inputs!$B$4="Chapter Hunt"),CHOOSE(ArtifactsInput!$N$27+1,20,24,28,32,36,40),0)/100)))+1)),0)</f>
        <v>3</v>
      </c>
      <c r="S998">
        <f>IF(C998,(H998*N998*IF(AND(Inputs!$B$38&lt;&gt;"pvp",Inputs!$B$43&gt;0),((Skills!G4*((R998-1)*IF(Skills!H4&gt;0,Skills!I4/Skills!H4,1)+IF(Skills!H4&gt;0,MIN(Skills!I4,MAX(0,MAX(0,Inputs!$B$43-B1032)-((R998-1)*(IF(Inputs!$B$38="pvp",15,MAX(0.1,Skills!E4-IF(TRUE=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633333183807663.75</v>
      </c>
      <c r="T998">
        <f>290*T997/1000</f>
        <v>504.6</v>
      </c>
      <c r="U998">
        <f>IF(C998,(H998*N998*IF(AND(Inputs!$B$38&lt;&gt;"pvp",Inputs!$B$43&gt;0),((Skills!G4*((R998-1)*IF(Skills!H4&gt;0,Skills!I4/Skills!H4,1)+IF(Skills!H4&gt;0,MIN(Skills!I4,MAX(0,MAX(0,Inputs!$B$43-B1032)-((R998-1)*(IF(Inputs!$B$38="pvp",15,MAX(0.1,Skills!E4-IF(TRUE=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3608201040872684</v>
      </c>
    </row>
    <row r="999" spans="1:26" x14ac:dyDescent="0.2">
      <c r="A999" t="str">
        <f>Skills!A5</f>
        <v>ELEMENTAL_DRAIN</v>
      </c>
      <c r="B999" t="str">
        <f>Skills!B5</f>
        <v>Elemental Drain</v>
      </c>
      <c r="C999" t="b">
        <f>TRUE</f>
        <v>1</v>
      </c>
      <c r="D999">
        <f>IF(Skills!C5=1,60+Inputs!$B$25+Inputs!$B$29,IF(Skills!C5=2,90+Inputs!$B$26+Inputs!$B$29,IF(Skills!C5=3,120+Inputs!$B$27+Inputs!$B$29,MAX(0,(Inputs!$B$3-100)*3)+Inputs!$B$28+Inputs!$B$29)))</f>
        <v>168</v>
      </c>
      <c r="E999">
        <f>INDEX(FactorTable!$B$2:$Y$301, MATCH(ROUND(MIN(300,MAX(1,D999)),0), FactorTable!$A$2:$A$301,0), Skills!M5+1)</f>
        <v>1672</v>
      </c>
      <c r="F999">
        <f>IF(Skills!N5=TRUE,(Skills!L5/10)*(E999/1000),Skills!L5/10)+Skills!O5</f>
        <v>20.064</v>
      </c>
      <c r="G999">
        <f>Calc!G5</f>
        <v>5</v>
      </c>
      <c r="H999">
        <f>Calc!H5</f>
        <v>1</v>
      </c>
      <c r="I999">
        <f>IF(Skills!X5&lt;&gt;"",1+(Skills!X5/10)*(Z997/1000)/100,1)</f>
        <v>12.475</v>
      </c>
      <c r="J999">
        <f>((Inputs!$B$6*(1+(Inputs!$B$7+1)/100))+(((Inputs!$B$12*(1+Inputs!$B$13/100))-(Inputs!$B$12*(1+Inputs!$B$13/100)))+0.25*(Inputs!$B$14-Inputs!$B$14))*(1+(Inputs!$B$7+1)/100))*(F999/100)</f>
        <v>72460159.718063042</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4542059359940.709</v>
      </c>
      <c r="L999">
        <f>K999*(MIN(Inputs!$B$22+(F1016-Calc!F22),(Inputs!$B$23+(IF(ArtifactsInput!$M$15,CHOOSE(ArtifactsInput!$N$15+1,25,30,35,40,45,50)/100*(Inputs!$B$11-Inputs!$B$11),0))))/100+(Inputs!$B$23+(IF(ArtifactsInput!$M$15,CHOOSE(ArtifactsInput!$N$15+1,25,30,35,40,45,50)/100*(Inputs!$B$11-Inputs!$B$11),0)))/100)/2</f>
        <v>15102347371802.857</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71267977247537.672</v>
      </c>
      <c r="N999">
        <f>L999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71267977247537.672</v>
      </c>
      <c r="O999">
        <f>(1-Summary!$B$11)*S999+Summary!$B$11*U999</f>
        <v>1046035736050734.1</v>
      </c>
      <c r="P999">
        <f>IF(B1035=0,0,O999/B1035)</f>
        <v>3.1613923166633758E-2</v>
      </c>
      <c r="Q999">
        <f>IFERROR(1/(IF(Inputs!$B$38="pvp",15,MAX(0.1,Skills!E5-IF(FALSE=TRUE,Inputs!$B$32,0)))*(1-IF(AND(ArtifactsInput!$M$27,Inputs!$B$4="Chapter Hunt"),CHOOSE(ArtifactsInput!$N$27+1,20,24,28,32,36,40),0)/100)),0)</f>
        <v>1</v>
      </c>
      <c r="R999">
        <f>IF(AND(Inputs!$B$38&lt;&gt;"pvp",Inputs!$B$43&gt;0),IF(MAX(0,Inputs!$B$43-B1032)&lt;=0,0,(INT(MAX(0,Inputs!$B$43-B1032)/(IF(Inputs!$B$38="pvp",15,MAX(0.1,Skills!E5-IF(FALSE=TRUE,Inputs!$B$32,0)))*(1-IF(AND(ArtifactsInput!$M$27,Inputs!$B$4="Chapter Hunt"),CHOOSE(ArtifactsInput!$N$27+1,20,24,28,32,36,40),0)/100)))+1)),0)</f>
        <v>38</v>
      </c>
      <c r="S999">
        <f>IF(C999,(H999*N999*IF(AND(Inputs!$B$38&lt;&gt;"pvp",Inputs!$B$43&gt;0),((Skills!G5*((R999-1)*IF(Skills!H5&gt;0,Skills!I5/Skills!H5,1)+IF(Skills!H5&gt;0,MIN(Skills!I5,MAX(0,MAX(0,Inputs!$B$43-B1032)-((R999-1)*(IF(Inputs!$B$38="pvp",15,MAX(0.1,Skills!E5-IF(FALSE=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1073117567404798.5</v>
      </c>
      <c r="U999">
        <f>IF(C999,(H999*N999*IF(AND(Inputs!$B$38&lt;&gt;"pvp",Inputs!$B$43&gt;0),((Skills!G5*((R999-1)*IF(Skills!H5&gt;0,Skills!I5/Skills!H5,1)+IF(Skills!H5&gt;0,MIN(Skills!I5,MAX(0,MAX(0,Inputs!$B$43-B1032)-((R999-1)*(IF(Inputs!$B$38="pvp",15,MAX(0.1,Skills!E5-IF(FALSE=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1018953904696669.8</v>
      </c>
    </row>
    <row r="1000" spans="1:26" x14ac:dyDescent="0.2">
      <c r="A1000" t="str">
        <f>Skills!A6</f>
        <v>MEDITATION</v>
      </c>
      <c r="B1000" t="str">
        <f>Skills!B6</f>
        <v>Meditation</v>
      </c>
      <c r="C1000" t="b">
        <f>TRUE</f>
        <v>1</v>
      </c>
      <c r="D1000">
        <f>IF(Skills!C6=1,60+Inputs!$B$25+Inputs!$B$29,IF(Skills!C6=2,90+Inputs!$B$26+Inputs!$B$29,IF(Skills!C6=3,120+Inputs!$B$27+Inputs!$B$29,MAX(0,(Inputs!$B$3-100)*3)+Inputs!$B$28+Inputs!$B$29)))</f>
        <v>168</v>
      </c>
      <c r="E1000">
        <f>INDEX(FactorTable!$B$2:$Y$301, MATCH(ROUND(MIN(300,MAX(1,D1000)),0), FactorTable!$A$2:$A$301,0), Skills!M6+1)</f>
        <v>1672</v>
      </c>
      <c r="F1000">
        <f>IF(Skills!N6=TRUE,(Skills!L6/10)*(E1000/1000),Skills!L6/10)+Skills!O6</f>
        <v>33.44</v>
      </c>
      <c r="G1000">
        <f>Calc!G6</f>
        <v>1</v>
      </c>
      <c r="H1000">
        <f>Calc!H6</f>
        <v>1</v>
      </c>
      <c r="I1000">
        <f>IF(Skills!X6&lt;&gt;"",1+(Skills!X6/10)*(Z997/1000)/100,1)</f>
        <v>1</v>
      </c>
      <c r="O1000">
        <f>(1-Summary!$B$11)*S1000+Summary!$B$11*U1000</f>
        <v>0</v>
      </c>
      <c r="P1000">
        <f>IF(B1035=0,0,O1000/B1035)</f>
        <v>0</v>
      </c>
      <c r="Q1000">
        <f>IFERROR(1/(IF(Inputs!$B$38="pvp",15,MAX(0.1,Skills!E6-IF(TRUE=TRUE,Inputs!$B$32,0)))*(1-IF(AND(ArtifactsInput!$M$27,Inputs!$B$4="Chapter Hunt"),CHOOSE(ArtifactsInput!$N$27+1,20,24,28,32,36,40),0)/100)),0)</f>
        <v>3.3333333333333333E-2</v>
      </c>
      <c r="R1000">
        <f>IF(AND(Inputs!$B$38&lt;&gt;"pvp",Inputs!$B$43&gt;0),IF(Inputs!$B$43&lt;=0,0,(INT(Inputs!$B$43/(IF(Inputs!$B$38="pvp",15,MAX(0.1,Skills!E6-IF(TRUE=TRUE,Inputs!$B$32,0)))*(1-IF(AND(ArtifactsInput!$M$27,Inputs!$B$4="Chapter Hunt"),CHOOSE(ArtifactsInput!$N$27+1,20,24,28,32,36,40),0)/100)))+1)),0)</f>
        <v>2</v>
      </c>
      <c r="S1000">
        <v>0</v>
      </c>
      <c r="U1000">
        <v>0</v>
      </c>
    </row>
    <row r="1001" spans="1:26" x14ac:dyDescent="0.2">
      <c r="A1001" t="str">
        <f>Skills!A7</f>
        <v>POISON_MIST_BURST</v>
      </c>
      <c r="B1001" t="str">
        <f>Skills!B7</f>
        <v>Poison Mist (burst)</v>
      </c>
      <c r="C1001" t="b">
        <f>TRUE</f>
        <v>1</v>
      </c>
      <c r="D1001">
        <f>IF(Skills!C7=1,60+Inputs!$B$25+Inputs!$B$29,IF(Skills!C7=2,90+Inputs!$B$26+Inputs!$B$29,IF(Skills!C7=3,120+Inputs!$B$27+Inputs!$B$29,MAX(0,(Inputs!$B$3-100)*3)+Inputs!$B$28+Inputs!$B$29)))</f>
        <v>184</v>
      </c>
      <c r="E1001">
        <f>INDEX(FactorTable!$B$2:$Y$301, MATCH(ROUND(MIN(300,MAX(1,D1001)),0), FactorTable!$A$2:$A$301,0), Skills!M7+1)</f>
        <v>1920</v>
      </c>
      <c r="F1001">
        <f>IF(Skills!N7=TRUE,(Skills!L7/10)*(E1001/1000),Skills!L7/10)+Skills!O7</f>
        <v>357.2</v>
      </c>
      <c r="G1001">
        <f>Calc!G7</f>
        <v>3</v>
      </c>
      <c r="H1001">
        <f>Calc!H7</f>
        <v>1</v>
      </c>
      <c r="I1001">
        <f>IF(Skills!X7&lt;&gt;"",1+(Skills!X7/10)*(Z997/1000)/100,1)</f>
        <v>1.7650000000000001</v>
      </c>
      <c r="J1001">
        <f>((Inputs!$B$6*(1+(Inputs!$B$7+1)/100))+(((Inputs!$B$12*(1+Inputs!$B$13/100))-(Inputs!$B$12*(1+Inputs!$B$13/100)))+0.25*(Inputs!$B$14-Inputs!$B$14))*(1+(Inputs!$B$7+1)/100))*(F1001/100)</f>
        <v>1290010419.2230921</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11440655073901.793</v>
      </c>
      <c r="L1001">
        <f>K1001*(MIN(Inputs!$B$22+(F1016-Calc!F22),(Inputs!$B$23+(IF(ArtifactsInput!$M$15,CHOOSE(ArtifactsInput!$N$15+1,25,30,35,40,45,50)/100*(Inputs!$B$11-Inputs!$B$11),0))))/100+(Inputs!$B$23+(IF(ArtifactsInput!$M$15,CHOOSE(ArtifactsInput!$N$15+1,25,30,35,40,45,50)/100*(Inputs!$B$11-Inputs!$B$11),0)))/100)/2</f>
        <v>38040178120723.461</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179511600551694</v>
      </c>
      <c r="N1001">
        <f>L1001*(1-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179511600551694</v>
      </c>
      <c r="O1001">
        <f>(1-Summary!$B$11)*S1001+Summary!$B$11*U1001</f>
        <v>447926321276614.38</v>
      </c>
      <c r="P1001">
        <f>IF(B1035=0,0,O1001/B1035)</f>
        <v>1.3537499549121505E-2</v>
      </c>
      <c r="Q1001">
        <f>IFERROR(1/(IF(Inputs!$B$38="pvp",15,MAX(0.1,Skills!E7-IF(TRUE=TRUE,Inputs!$B$32,0)))*(1-IF(AND(ArtifactsInput!$M$27,Inputs!$B$4="Chapter Hunt"),CHOOSE(ArtifactsInput!$N$27+1,20,24,28,32,36,40),0)/100)),0)</f>
        <v>4.0816326530612242E-2</v>
      </c>
      <c r="R1001">
        <f>IF(AND(Inputs!$B$38&lt;&gt;"pvp",Inputs!$B$43&gt;0),IF(MAX(0,Inputs!$B$43-B1032)&lt;=0,0,(INT(MAX(0,Inputs!$B$43-B1032)/(IF(Inputs!$B$38="pvp",15,MAX(0.1,Skills!E7-IF(TRUE=TRUE,Inputs!$B$32,0)))*(1-IF(AND(ArtifactsInput!$M$27,Inputs!$B$4="Chapter Hunt"),CHOOSE(ArtifactsInput!$N$27+1,20,24,28,32,36,40),0)/100)))+1)),0)</f>
        <v>2</v>
      </c>
      <c r="S1001">
        <f>IF(C1001,(H1001*N1001*IF(AND(Inputs!$B$38&lt;&gt;"pvp",Inputs!$B$43&gt;0),((Skills!G7*((R1001-1)*IF(Skills!H7&gt;0,Skills!I7/Skills!H7,1)+IF(Skills!H7&gt;0,MIN(Skills!I7,MAX(0,MAX(0,Inputs!$B$43-B1032)-((R1001-1)*(IF(Inputs!$B$38="pvp",15,MAX(0.1,Skills!E7-IF(TRUE=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85357766062330.484</v>
      </c>
      <c r="U1001">
        <f>IF(C1001,(H1001*N1001*IF(AND(Inputs!$B$38&lt;&gt;"pvp",Inputs!$B$43&gt;0),((Skills!G7*((R1001-1)*IF(Skills!H7&gt;0,Skills!I7/Skills!H7,1)+IF(Skills!H7&gt;0,MIN(Skills!I7,MAX(0,MAX(0,Inputs!$B$43-B1032)-((R1001-1)*(IF(Inputs!$B$38="pvp",15,MAX(0.1,Skills!E7-IF(TRUE=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810494876490898.25</v>
      </c>
    </row>
    <row r="1002" spans="1:26" x14ac:dyDescent="0.2">
      <c r="A1002" t="str">
        <f>Skills!A8</f>
        <v>POISON_MIST_DOT</v>
      </c>
      <c r="B1002" t="str">
        <f>Skills!B8</f>
        <v>Poison Mist (fog DoT)</v>
      </c>
      <c r="C1002" t="b">
        <f>TRUE</f>
        <v>1</v>
      </c>
      <c r="D1002">
        <f>IF(Skills!C8=1,60+Inputs!$B$25+Inputs!$B$29,IF(Skills!C8=2,90+Inputs!$B$26+Inputs!$B$29,IF(Skills!C8=3,120+Inputs!$B$27+Inputs!$B$29,MAX(0,(Inputs!$B$3-100)*3)+Inputs!$B$28+Inputs!$B$29)))</f>
        <v>184</v>
      </c>
      <c r="E1002">
        <f>INDEX(FactorTable!$B$2:$Y$301, MATCH(ROUND(MIN(300,MAX(1,D1002)),0), FactorTable!$A$2:$A$301,0), Skills!M8+1)</f>
        <v>1920</v>
      </c>
      <c r="F1002">
        <f>IF(Skills!N8=TRUE,(Skills!L8/10)*(E1002/1000),Skills!L8/10)+Skills!O8</f>
        <v>134.4</v>
      </c>
      <c r="G1002">
        <f>Calc!G8</f>
        <v>50</v>
      </c>
      <c r="H1002">
        <f>Calc!H8</f>
        <v>1</v>
      </c>
      <c r="I1002">
        <f>IF(Skills!X8&lt;&gt;"",1+(Skills!X8/10)*(Z997/1000)/100,1)</f>
        <v>1.7650000000000001</v>
      </c>
      <c r="J1002">
        <f>((Inputs!$B$6*(1+(Inputs!$B$7+1)/100))+(((Inputs!$B$12*(1+Inputs!$B$13/100))-(Inputs!$B$12*(1+Inputs!$B$13/100)))+0.25*(Inputs!$B$14-Inputs!$B$14))*(1+(Inputs!$B$7+1)/100))*(F1002/100)</f>
        <v>485379060.31238407</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4304658572039.1973</v>
      </c>
      <c r="L1002">
        <f>K1002*(MIN(Inputs!$B$22+(F1016-Calc!F22),(Inputs!$B$23+(IF(ArtifactsInput!$M$15,CHOOSE(ArtifactsInput!$N$15+1,25,30,35,40,45,50)/100*(Inputs!$B$11-Inputs!$B$11),0))))/100+(Inputs!$B$23+(IF(ArtifactsInput!$M$15,CHOOSE(ArtifactsInput!$N$15+1,25,30,35,40,45,50)/100*(Inputs!$B$11-Inputs!$B$11),0)))/100)/2</f>
        <v>14312989752030.332</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67542998639831.125</v>
      </c>
      <c r="N1002">
        <f>L1002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67542998639831.125</v>
      </c>
      <c r="O1002">
        <f>(1-Summary!$B$11)*S1002+Summary!$B$11*U1002</f>
        <v>2327540378662820</v>
      </c>
      <c r="P1002">
        <f>IF(B1035=0,0,O1002/B1035)</f>
        <v>7.0344329703392827E-2</v>
      </c>
      <c r="Q1002">
        <f>IFERROR(1/(IF(Inputs!$B$38="pvp",15,MAX(0.1,Skills!E8-IF(TRUE=TRUE,Inputs!$B$32,0)))*(1-IF(AND(ArtifactsInput!$M$27,Inputs!$B$4="Chapter Hunt"),CHOOSE(ArtifactsInput!$N$27+1,20,24,28,32,36,40),0)/100)),0)</f>
        <v>4.0816326530612242E-2</v>
      </c>
      <c r="R1002">
        <f>IF(AND(Inputs!$B$38&lt;&gt;"pvp",Inputs!$B$43&gt;0),IF(MAX(0,Inputs!$B$43-B1032)&lt;=0,0,(INT(MAX(0,Inputs!$B$43-B1032)/(IF(Inputs!$B$38="pvp",15,MAX(0.1,Skills!E8-IF(TRUE=TRUE,Inputs!$B$32,0)))*(1-IF(AND(ArtifactsInput!$M$27,Inputs!$B$4="Chapter Hunt"),CHOOSE(ArtifactsInput!$N$27+1,20,24,28,32,36,40),0)/100)))+1)),0)</f>
        <v>2</v>
      </c>
      <c r="S1002">
        <f>IF(C1002,(H1002*N1002*IF(AND(Inputs!$B$38&lt;&gt;"pvp",Inputs!$B$43&gt;0),((Skills!G8*((R1002-1)*IF(Skills!H8&gt;0,Skills!I8/Skills!H8,1)+IF(Skills!H8&gt;0,MIN(Skills!I8,MAX(0,MAX(0,Inputs!$B$43-B1032)-((R1002-1)*(IF(Inputs!$B$38="pvp",15,MAX(0.1,Skills!E8-IF(TRUE=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443540907746386.5</v>
      </c>
      <c r="U1002">
        <f>IF(C1002,(H1002*N1002*IF(AND(Inputs!$B$38&lt;&gt;"pvp",Inputs!$B$43&gt;0),((Skills!G8*((R1002-1)*IF(Skills!H8&gt;0,Skills!I8/Skills!H8,1)+IF(Skills!H8&gt;0,MIN(Skills!I8,MAX(0,MAX(0,Inputs!$B$43-B1032)-((R1002-1)*(IF(Inputs!$B$38="pvp",15,MAX(0.1,Skills!E8-IF(TRUE=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4211539849579253.5</v>
      </c>
    </row>
    <row r="1003" spans="1:26" x14ac:dyDescent="0.2">
      <c r="A1003" t="str">
        <f>Skills!A9</f>
        <v>MIST_ERUPTION</v>
      </c>
      <c r="B1003" t="str">
        <f>Skills!B9</f>
        <v>Mist Eruption</v>
      </c>
      <c r="C1003" t="b">
        <f>Inputs!$B$3&gt;=103</f>
        <v>1</v>
      </c>
      <c r="D1003">
        <f>IF(Skills!C9=1,60+Inputs!$B$25+Inputs!$B$29,IF(Skills!C9=2,90+Inputs!$B$26+Inputs!$B$29,IF(Skills!C9=3,120+Inputs!$B$27+Inputs!$B$29,MAX(0,(Inputs!$B$3-100)*3)+Inputs!$B$28+Inputs!$B$29)))</f>
        <v>185</v>
      </c>
      <c r="E1003">
        <f>INDEX(FactorTable!$B$2:$Y$301, MATCH(ROUND(MIN(300,MAX(1,D1003)),0), FactorTable!$A$2:$A$301,0), Skills!M9+1)</f>
        <v>1925</v>
      </c>
      <c r="F1003">
        <f>IF(Skills!N9=TRUE,(Skills!L9/10)*(E1003/1000),Skills!L9/10)+Skills!O9</f>
        <v>5775</v>
      </c>
      <c r="G1003">
        <f>Calc!G9</f>
        <v>2.5</v>
      </c>
      <c r="H1003">
        <f>Calc!H9</f>
        <v>1</v>
      </c>
      <c r="I1003">
        <f>IF(Skills!X9&lt;&gt;"",1+(Skills!X9/10)*(Z997/1000)/100,1)</f>
        <v>1</v>
      </c>
      <c r="J1003">
        <f>((Inputs!$B$6*(1+(Inputs!$B$7+1)/100))+(((Inputs!$B$12*(1+Inputs!$B$13/100))-(Inputs!$B$12*(1+Inputs!$B$13/100)))+0.25*(Inputs!$B$14-Inputs!$B$14))*(1+(Inputs!$B$7+1)/100))*(F1003/100)</f>
        <v>20856131497.797752</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104796486128787.06</v>
      </c>
      <c r="L1003">
        <f>K1003*(MIN(Inputs!$B$22+(F1016-Calc!F22),(Inputs!$B$23+(IF(ArtifactsInput!$M$15,CHOOSE(ArtifactsInput!$N$15+1,25,30,35,40,45,50)/100*(Inputs!$B$11-Inputs!$B$11),0))))/100+(Inputs!$B$23+(IF(ArtifactsInput!$M$15,CHOOSE(ArtifactsInput!$N$15+1,25,30,35,40,45,50)/100*(Inputs!$B$11-Inputs!$B$11),0)))/100)/2</f>
        <v>348448316378217</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1644327604988805.8</v>
      </c>
      <c r="N1003">
        <f>L1003*(1-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1644327604988805.8</v>
      </c>
      <c r="O1003">
        <f>(1-Summary!$B$11)*S1003+Summary!$B$11*U1003</f>
        <v>3419173713623597.5</v>
      </c>
      <c r="P1003">
        <f>IF(B1035=0,0,O1003/B1035)</f>
        <v>0.10333633101673263</v>
      </c>
      <c r="Q1003">
        <f>IFERROR(1/(IF(Inputs!$B$38="pvp",15,MAX(0.1,Skills!E9-IF(TRUE=TRUE,Inputs!$B$32,0)))*(1-IF(AND(ArtifactsInput!$M$27,Inputs!$B$4="Chapter Hunt"),CHOOSE(ArtifactsInput!$N$27+1,20,24,28,32,36,40),0)/100)),0)</f>
        <v>4.0816326530612242E-2</v>
      </c>
      <c r="R1003">
        <f>IF(AND(Inputs!$B$38&lt;&gt;"pvp",Inputs!$B$43&gt;0),IF(MAX(0,Inputs!$B$43-B1032)&lt;=0,0,(INT(MAX(0,Inputs!$B$43-B1032)/(IF(Inputs!$B$38="pvp",15,MAX(0.1,Skills!E9-IF(TRUE=TRUE,Inputs!$B$32,0)))*(1-IF(AND(ArtifactsInput!$M$27,Inputs!$B$4="Chapter Hunt"),CHOOSE(ArtifactsInput!$N$27+1,20,24,28,32,36,40),0)/100)))+1)),0)</f>
        <v>2</v>
      </c>
      <c r="S1003">
        <f>IF(C1003,(H1003*N1003*IF(AND(Inputs!$B$38&lt;&gt;"pvp",Inputs!$B$43&gt;0),((Skills!G9*((R1003-1)*IF(Skills!H9&gt;0,Skills!I9/Skills!H9,1)+IF(Skills!H9&gt;0,MIN(Skills!I9,MAX(0,MAX(0,Inputs!$B$43-B1032)-((R1003-1)*(IF(Inputs!$B$38="pvp",15,MAX(0.1,Skills!E9-IF(TRUE=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651564813476814.25</v>
      </c>
      <c r="U1003">
        <f>IF(C1003,(H1003*N1003*IF(AND(Inputs!$B$38&lt;&gt;"pvp",Inputs!$B$43&gt;0),((Skills!G9*((R1003-1)*IF(Skills!H9&gt;0,Skills!I9/Skills!H9,1)+IF(Skills!H9&gt;0,MIN(Skills!I9,MAX(0,MAX(0,Inputs!$B$43-B1032)-((R1003-1)*(IF(Inputs!$B$38="pvp",15,MAX(0.1,Skills!E9-IF(TRUE=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6186782613770381</v>
      </c>
    </row>
    <row r="1004" spans="1:26" x14ac:dyDescent="0.2">
      <c r="A1004" t="str">
        <f>Skills!A10</f>
        <v>CREEPING_TOXIN</v>
      </c>
      <c r="B1004" t="str">
        <f>Skills!B10</f>
        <v>Creeping Toxin</v>
      </c>
      <c r="C1004" t="b">
        <f>TRUE</f>
        <v>1</v>
      </c>
      <c r="D1004">
        <f>IF(Skills!C10=1,60+Inputs!$B$25+Inputs!$B$29,IF(Skills!C10=2,90+Inputs!$B$26+Inputs!$B$29,IF(Skills!C10=3,120+Inputs!$B$27+Inputs!$B$29,MAX(0,(Inputs!$B$3-100)*3)+Inputs!$B$28+Inputs!$B$29)))</f>
        <v>184</v>
      </c>
      <c r="E1004">
        <f>INDEX(FactorTable!$B$2:$Y$301, MATCH(ROUND(MIN(300,MAX(1,D1004)),0), FactorTable!$A$2:$A$301,0), Skills!M10+1)</f>
        <v>1920</v>
      </c>
      <c r="F1004">
        <f>IF(Skills!N10=TRUE,(Skills!L10/10)*(E1004/1000),Skills!L10/10)+Skills!O10</f>
        <v>280.39999999999998</v>
      </c>
      <c r="G1004">
        <f>Calc!G10</f>
        <v>15</v>
      </c>
      <c r="H1004">
        <f>Calc!H10</f>
        <v>1</v>
      </c>
      <c r="I1004">
        <f>IF(Skills!X10&lt;&gt;"",1+(Skills!X10/10)*(Z997/1000)/100,1)</f>
        <v>1.7650000000000001</v>
      </c>
      <c r="J1004">
        <f>((Inputs!$B$6*(1+(Inputs!$B$7+1)/100))+(((Inputs!$B$12*(1+Inputs!$B$13/100))-(Inputs!$B$12*(1+Inputs!$B$13/100)))+0.25*(Inputs!$B$14-Inputs!$B$14))*(1+(Inputs!$B$7+1)/100))*(F1004/100)</f>
        <v>1012650956.187444</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8980850175593.6777</v>
      </c>
      <c r="L1004">
        <f>K1004*(MIN(Inputs!$B$22+(F1016-Calc!F22),(Inputs!$B$23+(IF(ArtifactsInput!$M$15,CHOOSE(ArtifactsInput!$N$15+1,25,30,35,40,45,50)/100*(Inputs!$B$11-Inputs!$B$11),0))))/100+(Inputs!$B$23+(IF(ArtifactsInput!$M$15,CHOOSE(ArtifactsInput!$N$15+1,25,30,35,40,45,50)/100*(Inputs!$B$11-Inputs!$B$11),0)))/100)/2</f>
        <v>29861326833848.98</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140915601328933.31</v>
      </c>
      <c r="N1004">
        <f>L1004*(1-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140915601328933.31</v>
      </c>
      <c r="O1004">
        <f>(1-Summary!$B$11)*S1004+Summary!$B$11*U1004</f>
        <v>324332986601097.25</v>
      </c>
      <c r="P1004">
        <f>IF(B1035=0,0,O1004/B1035)</f>
        <v>9.8021872154419772E-3</v>
      </c>
      <c r="Q1004">
        <f>IFERROR(1/(IF(Inputs!$B$38="pvp",15,MAX(0.1,Skills!E10-IF(TRUE=TRUE,Inputs!$B$32,0)))*(1-IF(AND(ArtifactsInput!$M$27,Inputs!$B$4="Chapter Hunt"),CHOOSE(ArtifactsInput!$N$27+1,20,24,28,32,36,40),0)/100)),0)</f>
        <v>3.7037037037037035E-2</v>
      </c>
      <c r="R1004">
        <f>IF(AND(Inputs!$B$38&lt;&gt;"pvp",Inputs!$B$43&gt;0),IF(MAX(0,Inputs!$B$43-B1032)&lt;=0,0,(INT(MAX(0,Inputs!$B$43-B1032)/(IF(Inputs!$B$38="pvp",15,MAX(0.1,Skills!E10-IF(TRUE=TRUE,Inputs!$B$32,0)))*(1-IF(AND(ArtifactsInput!$M$27,Inputs!$B$4="Chapter Hunt"),CHOOSE(ArtifactsInput!$N$27+1,20,24,28,32,36,40),0)/100)))+1)),0)</f>
        <v>2</v>
      </c>
      <c r="S1004">
        <f>IF(C1004,(H1004*N1004*IF(AND(Inputs!$B$38&lt;&gt;"pvp",Inputs!$B$43&gt;0),((Skills!G10*((R1004-1)*IF(Skills!H10&gt;0,Skills!I10/Skills!H10,1)+IF(Skills!H10&gt;0,MIN(Skills!I10,MAX(0,MAX(0,Inputs!$B$43-B1032)-((R1004-1)*(IF(Inputs!$B$38="pvp",15,MAX(0.1,Skills!E10-IF(TRUE=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286388737472278.06</v>
      </c>
      <c r="U1004">
        <f>IF(C1004,(H1004*N1004*IF(AND(Inputs!$B$38&lt;&gt;"pvp",Inputs!$B$43&gt;0),((Skills!G10*((R1004-1)*IF(Skills!H10&gt;0,Skills!I10/Skills!H10,1)+IF(Skills!H10&gt;0,MIN(Skills!I10,MAX(0,MAX(0,Inputs!$B$43-B1032)-((R1004-1)*(IF(Inputs!$B$38="pvp",15,MAX(0.1,Skills!E10-IF(TRUE=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362277235729916.44</v>
      </c>
    </row>
    <row r="1005" spans="1:26" x14ac:dyDescent="0.2">
      <c r="A1005" t="str">
        <f>Skills!A11</f>
        <v>BURNING_MAGIC</v>
      </c>
      <c r="B1005" t="str">
        <f>Skills!B11</f>
        <v>Burning Magic</v>
      </c>
      <c r="C1005" t="b">
        <f>TRUE</f>
        <v>1</v>
      </c>
      <c r="D1005">
        <f>IF(Skills!C11=1,60+Inputs!$B$25+Inputs!$B$29,IF(Skills!C11=2,90+Inputs!$B$26+Inputs!$B$29,IF(Skills!C11=3,120+Inputs!$B$27+Inputs!$B$29,MAX(0,(Inputs!$B$3-100)*3)+Inputs!$B$28+Inputs!$B$29)))</f>
        <v>184</v>
      </c>
      <c r="E1005">
        <f>INDEX(FactorTable!$B$2:$Y$301, MATCH(ROUND(MIN(300,MAX(1,D1005)),0), FactorTable!$A$2:$A$301,0), Skills!M11+1)</f>
        <v>0</v>
      </c>
      <c r="F1005">
        <f>IF(Skills!N11=TRUE,(Skills!L11/10)*(E1005/1000),Skills!L11/10)+Skills!O11</f>
        <v>5</v>
      </c>
      <c r="G1005">
        <f>Calc!G11</f>
        <v>1</v>
      </c>
      <c r="H1005">
        <f>Calc!H11</f>
        <v>1</v>
      </c>
      <c r="I1005">
        <f>IF(Skills!X11&lt;&gt;"",1+(Skills!X11/10)*(Z997/1000)/100,1)</f>
        <v>1</v>
      </c>
      <c r="O1005">
        <f>(1-Summary!$B$11)*S1005+Summary!$B$11*U1005</f>
        <v>0</v>
      </c>
      <c r="P1005">
        <f>IF(B1035=0,0,O1005/B1035)</f>
        <v>0</v>
      </c>
      <c r="Q1005">
        <f>IFERROR(1/(IF(Inputs!$B$38="pvp",15,MAX(0.1,Skills!E11-IF(TRUE=TRUE,Inputs!$B$32,0)))*(1-IF(AND(ArtifactsInput!$M$27,Inputs!$B$4="Chapter Hunt"),CHOOSE(ArtifactsInput!$N$27+1,20,24,28,32,36,40),0)/100)),0)</f>
        <v>10</v>
      </c>
      <c r="R1005">
        <v>0</v>
      </c>
      <c r="S1005">
        <v>0</v>
      </c>
      <c r="U1005">
        <v>0</v>
      </c>
    </row>
    <row r="1006" spans="1:26" x14ac:dyDescent="0.2">
      <c r="A1006" t="str">
        <f>Skills!A12</f>
        <v>ELEMENTAL_DECREASE</v>
      </c>
      <c r="B1006" t="str">
        <f>Skills!B12</f>
        <v>Elemental Decrease</v>
      </c>
      <c r="C1006" t="b">
        <f>TRUE</f>
        <v>1</v>
      </c>
      <c r="D1006">
        <f>IF(Skills!C12=1,60+Inputs!$B$25+Inputs!$B$29,IF(Skills!C12=2,90+Inputs!$B$26+Inputs!$B$29,IF(Skills!C12=3,120+Inputs!$B$27+Inputs!$B$29,MAX(0,(Inputs!$B$3-100)*3)+Inputs!$B$28+Inputs!$B$29)))</f>
        <v>184</v>
      </c>
      <c r="E1006">
        <f>INDEX(FactorTable!$B$2:$Y$301, MATCH(ROUND(MIN(300,MAX(1,D1006)),0), FactorTable!$A$2:$A$301,0), Skills!M12+1)</f>
        <v>1552</v>
      </c>
      <c r="F1006">
        <f>IF(Skills!N12=TRUE,(Skills!L12/10)*(E1006/1000),Skills!L12/10)+Skills!O12</f>
        <v>18.624000000000002</v>
      </c>
      <c r="G1006">
        <f>Calc!G12</f>
        <v>1</v>
      </c>
      <c r="H1006">
        <f>Calc!H12</f>
        <v>0.5</v>
      </c>
      <c r="I1006">
        <f>IF(Skills!X12&lt;&gt;"",1+(Skills!X12/10)*(Z997/1000)/100,1)</f>
        <v>1</v>
      </c>
      <c r="O1006">
        <f>(1-Summary!$B$11)*S1006+Summary!$B$11*U1006</f>
        <v>0</v>
      </c>
      <c r="P1006">
        <f>IF(B1035=0,0,O1006/B1035)</f>
        <v>0</v>
      </c>
      <c r="Q1006">
        <f>IFERROR(1/(IF(Inputs!$B$38="pvp",15,MAX(0.1,Skills!E12-IF(TRUE=TRUE,Inputs!$B$32,0)))*(1-IF(AND(ArtifactsInput!$M$27,Inputs!$B$4="Chapter Hunt"),CHOOSE(ArtifactsInput!$N$27+1,20,24,28,32,36,40),0)/100)),0)</f>
        <v>10</v>
      </c>
      <c r="R1006">
        <v>0</v>
      </c>
      <c r="S1006">
        <v>0</v>
      </c>
      <c r="U1006">
        <v>0</v>
      </c>
    </row>
    <row r="1007" spans="1:26" x14ac:dyDescent="0.2">
      <c r="A1007" t="str">
        <f>Skills!A13</f>
        <v>METEOR_SHOWER_BURST</v>
      </c>
      <c r="B1007" t="str">
        <f>Skills!B13</f>
        <v>Meteor Shower (burst)</v>
      </c>
      <c r="C1007" t="b">
        <f>Inputs!$B$3&gt;=105</f>
        <v>1</v>
      </c>
      <c r="D1007">
        <f>IF(Skills!C13=1,60+Inputs!$B$25+Inputs!$B$29,IF(Skills!C13=2,90+Inputs!$B$26+Inputs!$B$29,IF(Skills!C13=3,120+Inputs!$B$27+Inputs!$B$29,MAX(0,(Inputs!$B$3-100)*3)+Inputs!$B$28+Inputs!$B$29)))</f>
        <v>185</v>
      </c>
      <c r="E1007">
        <f>INDEX(FactorTable!$B$2:$Y$301, MATCH(ROUND(MIN(300,MAX(1,D1007)),0), FactorTable!$A$2:$A$301,0), Skills!M13+1)</f>
        <v>1925</v>
      </c>
      <c r="F1007">
        <f>IF(Skills!N13=TRUE,(Skills!L13/10)*(E1007/1000),Skills!L13/10)+Skills!O13</f>
        <v>1155</v>
      </c>
      <c r="G1007">
        <f>Calc!G13</f>
        <v>9</v>
      </c>
      <c r="H1007">
        <f>Calc!H13</f>
        <v>1</v>
      </c>
      <c r="I1007">
        <f>IF(Skills!X13&lt;&gt;"",1+(Skills!X13/10)*(Z997/1000)/100,1)</f>
        <v>1</v>
      </c>
      <c r="J1007">
        <f>((Inputs!$B$6*(1+(Inputs!$B$7+1)/100))+(((Inputs!$B$12*(1+Inputs!$B$13/100))-(Inputs!$B$12*(1+Inputs!$B$13/100)))+0.25*(Inputs!$B$14-Inputs!$B$14))*(1+(Inputs!$B$7+1)/100))*(F1007/100)</f>
        <v>4171226299.5595503</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20959297225757.418</v>
      </c>
      <c r="L1007">
        <f>K1007*(MIN(Inputs!$B$22+(F1016-Calc!F22),(Inputs!$B$23+(IF(ArtifactsInput!$M$15,CHOOSE(ArtifactsInput!$N$15+1,25,30,35,40,45,50)/100*(Inputs!$B$11-Inputs!$B$11),0))))/100+(Inputs!$B$23+(IF(ArtifactsInput!$M$15,CHOOSE(ArtifactsInput!$N$15+1,25,30,35,40,45,50)/100*(Inputs!$B$11-Inputs!$B$11),0)))/100)/2</f>
        <v>69689663275643.422</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328865520997761.25</v>
      </c>
      <c r="N1007">
        <f>L1007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328865520997761.25</v>
      </c>
      <c r="O1007">
        <f>(1-Summary!$B$11)*S1007+Summary!$B$11*U1007</f>
        <v>1793632551521790</v>
      </c>
      <c r="P1007">
        <f>IF(B1035=0,0,O1007/B1035)</f>
        <v>5.4208245204954382E-2</v>
      </c>
      <c r="Q1007">
        <f>IFERROR(1/(IF(Inputs!$B$38="pvp",15,MAX(0.1,Skills!E13-IF(TRUE=TRUE,Inputs!$B$32,0)))*(1-IF(AND(ArtifactsInput!$M$27,Inputs!$B$4="Chapter Hunt"),CHOOSE(ArtifactsInput!$N$27+1,20,24,28,32,36,40),0)/100)),0)</f>
        <v>3.0303030303030304E-2</v>
      </c>
      <c r="R1007">
        <f>IF(AND(Inputs!$B$38&lt;&gt;"pvp",Inputs!$B$43&gt;0),IF(MAX(0,Inputs!$B$43-B1032)&lt;=0,0,(INT(MAX(0,Inputs!$B$43-B1032)/(IF(Inputs!$B$38="pvp",15,MAX(0.1,Skills!E13-IF(TRUE=TRUE,Inputs!$B$32,0)))*(1-IF(AND(ArtifactsInput!$M$27,Inputs!$B$4="Chapter Hunt"),CHOOSE(ArtifactsInput!$N$27+1,20,24,28,32,36,40),0)/100)))+1)),0)</f>
        <v>2</v>
      </c>
      <c r="S1007">
        <f>IF(C1007,(H1007*N1007*IF(AND(Inputs!$B$38&lt;&gt;"pvp",Inputs!$B$43&gt;0),((Skills!G13*((R1007-1)*IF(Skills!H13&gt;0,Skills!I13/Skills!H13,1)+IF(Skills!H13&gt;0,MIN(Skills!I13,MAX(0,MAX(0,Inputs!$B$43-B1032)-((R1007-1)*(IF(Inputs!$B$38="pvp",15,MAX(0.1,Skills!E13-IF(TRUE=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469126665703306.44</v>
      </c>
      <c r="U1007">
        <f>IF(C1007,(H1007*N1007*IF(AND(Inputs!$B$38&lt;&gt;"pvp",Inputs!$B$43&gt;0),((Skills!G13*((R1007-1)*IF(Skills!H13&gt;0,Skills!I13/Skills!H13,1)+IF(Skills!H13&gt;0,MIN(Skills!I13,MAX(0,MAX(0,Inputs!$B$43-B1032)-((R1007-1)*(IF(Inputs!$B$38="pvp",15,MAX(0.1,Skills!E13-IF(TRUE=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3118138437340273.5</v>
      </c>
    </row>
    <row r="1008" spans="1:26" x14ac:dyDescent="0.2">
      <c r="A1008" t="str">
        <f>Skills!A14</f>
        <v>METEOR_PROC</v>
      </c>
      <c r="B1008" t="str">
        <f>Skills!B14</f>
        <v>Meteor Proc (30% on-hit, 1s ICD)</v>
      </c>
      <c r="C1008" t="b">
        <f>Inputs!$B$3&gt;=113</f>
        <v>1</v>
      </c>
      <c r="D1008">
        <f>IF(Skills!C14=1,60+Inputs!$B$25+Inputs!$B$29,IF(Skills!C14=2,90+Inputs!$B$26+Inputs!$B$29,IF(Skills!C14=3,120+Inputs!$B$27+Inputs!$B$29,MAX(0,(Inputs!$B$3-100)*3)+Inputs!$B$28+Inputs!$B$29)))</f>
        <v>185</v>
      </c>
      <c r="E1008">
        <f>INDEX(FactorTable!$B$2:$Y$301, MATCH(ROUND(MIN(300,MAX(1,D1008)),0), FactorTable!$A$2:$A$301,0), Skills!M14+1)</f>
        <v>1740</v>
      </c>
      <c r="F1008">
        <f>IF(Skills!N14=TRUE,(Skills!L14/10)*(E1008/1000),Skills!L14/10)+Skills!O14</f>
        <v>1653</v>
      </c>
      <c r="G1008">
        <f>Calc!G14</f>
        <v>0</v>
      </c>
      <c r="H1008">
        <f>Calc!H14</f>
        <v>0.30000000000000004</v>
      </c>
      <c r="I1008">
        <f>IF(Skills!X14&lt;&gt;"",1+(Skills!X14/10)*(Z997/1000)/100,1)</f>
        <v>1</v>
      </c>
      <c r="J1008">
        <f>((Inputs!$B$6*(1+(Inputs!$B$7+1)/100))+(((Inputs!$B$12*(1+Inputs!$B$13/100))-(Inputs!$B$12*(1+Inputs!$B$13/100)))+0.25*(Inputs!$B$14-Inputs!$B$14))*(1+(Inputs!$B$7+1)/100))*(F1008/100)</f>
        <v>5969729067.6813307</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29996292912707.363</v>
      </c>
      <c r="L1008">
        <f>K1008*(MIN(Inputs!$B$22+(F1016-Calc!F22),(Inputs!$B$23+(IF(ArtifactsInput!$M$15,CHOOSE(ArtifactsInput!$N$15+1,25,30,35,40,45,50)/100*(Inputs!$B$11-Inputs!$B$11),0))))/100+(Inputs!$B$23+(IF(ArtifactsInput!$M$15,CHOOSE(ArtifactsInput!$N$15+1,25,30,35,40,45,50)/100*(Inputs!$B$11-Inputs!$B$11),0)))/100)/2</f>
        <v>99737673934751.984</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470662083298094.56</v>
      </c>
      <c r="N1008">
        <f>L1008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470662083298094.56</v>
      </c>
      <c r="O1008">
        <f>(1-Summary!$B$11)*S1008+Summary!$B$11*U1008</f>
        <v>461271752678828.75</v>
      </c>
      <c r="P1008">
        <f>IF(B1035=0,0,O1008/B1035)</f>
        <v>1.3940833229257576E-2</v>
      </c>
      <c r="Q1008">
        <f>IFERROR(1/(IF(Inputs!$B$38="pvp",15,MAX(0.1,Skills!E14-IF(TRUE=TRUE,Inputs!$B$32,0)))*(1-IF(AND(ArtifactsInput!$M$27,Inputs!$B$4="Chapter Hunt"),CHOOSE(ArtifactsInput!$N$27+1,20,24,28,32,36,40),0)/100)),0)</f>
        <v>10</v>
      </c>
      <c r="R1008">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473214063427795.19</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449329441929862.25</v>
      </c>
    </row>
    <row r="1009" spans="1:21" x14ac:dyDescent="0.2">
      <c r="A1009" t="str">
        <f>Skills!A15</f>
        <v>FLAME_HAZE_BURST</v>
      </c>
      <c r="B1009" t="str">
        <f>Skills!B15</f>
        <v>Flame Haze (burst)</v>
      </c>
      <c r="C1009" t="b">
        <f>Inputs!$B$3&gt;=107</f>
        <v>1</v>
      </c>
      <c r="D1009">
        <f>IF(Skills!C15=1,60+Inputs!$B$25+Inputs!$B$29,IF(Skills!C15=2,90+Inputs!$B$26+Inputs!$B$29,IF(Skills!C15=3,120+Inputs!$B$27+Inputs!$B$29,MAX(0,(Inputs!$B$3-100)*3)+Inputs!$B$28+Inputs!$B$29)))</f>
        <v>185</v>
      </c>
      <c r="E1009">
        <f>INDEX(FactorTable!$B$2:$Y$301, MATCH(ROUND(MIN(300,MAX(1,D1009)),0), FactorTable!$A$2:$A$301,0), Skills!M15+1)</f>
        <v>1925</v>
      </c>
      <c r="F1009">
        <f>IF(Skills!N15=TRUE,(Skills!L15/10)*(E1009/1000),Skills!L15/10)+Skills!O15</f>
        <v>2310</v>
      </c>
      <c r="G1009">
        <f>Calc!G15</f>
        <v>3</v>
      </c>
      <c r="H1009">
        <f>Calc!H15</f>
        <v>1</v>
      </c>
      <c r="I1009">
        <f>IF(Skills!X15&lt;&gt;"",1+(Skills!X15/10)*(Z997/1000)/100,1)</f>
        <v>1</v>
      </c>
      <c r="J1009">
        <f>((Inputs!$B$6*(1+(Inputs!$B$7+1)/100))+(((Inputs!$B$12*(1+Inputs!$B$13/100))-(Inputs!$B$12*(1+Inputs!$B$13/100)))+0.25*(Inputs!$B$14-Inputs!$B$14))*(1+(Inputs!$B$7+1)/100))*(F1009/100)</f>
        <v>8342452599.1191006</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41918594451514.836</v>
      </c>
      <c r="L1009">
        <f>K1009*(MIN(Inputs!$B$22+(F1016-Calc!F22),(Inputs!$B$23+(IF(ArtifactsInput!$M$15,CHOOSE(ArtifactsInput!$N$15+1,25,30,35,40,45,50)/100*(Inputs!$B$11-Inputs!$B$11),0))))/100+(Inputs!$B$23+(IF(ArtifactsInput!$M$15,CHOOSE(ArtifactsInput!$N$15+1,25,30,35,40,45,50)/100*(Inputs!$B$11-Inputs!$B$11),0)))/100)/2</f>
        <v>139379326551286.84</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657731041995522.5</v>
      </c>
      <c r="N1009">
        <f>L1009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657731041995522.5</v>
      </c>
      <c r="O1009">
        <f>(1-Summary!$B$11)*S1009+Summary!$B$11*U1009</f>
        <v>1641203382539327.5</v>
      </c>
      <c r="P1009">
        <f>IF(B1035=0,0,O1009/B1035)</f>
        <v>4.9601438888031688E-2</v>
      </c>
      <c r="Q1009">
        <f>IFERROR(1/(IF(Inputs!$B$38="pvp",15,MAX(0.1,Skills!E15-IF(TRUE=TRUE,Inputs!$B$32,0)))*(1-IF(AND(ArtifactsInput!$M$27,Inputs!$B$4="Chapter Hunt"),CHOOSE(ArtifactsInput!$N$27+1,20,24,28,32,36,40),0)/100)),0)</f>
        <v>0.04</v>
      </c>
      <c r="R1009">
        <f>IF(AND(Inputs!$B$38&lt;&gt;"pvp",Inputs!$B$43&gt;0),IF(MAX(0,Inputs!$B$43-B1032)&lt;=0,0,(INT(MAX(0,Inputs!$B$43-B1032)/(IF(Inputs!$B$38="pvp",15,MAX(0.1,Skills!E15-IF(TRUE=TRUE,Inputs!$B$32,0)))*(1-IF(AND(ArtifactsInput!$M$27,Inputs!$B$4="Chapter Hunt"),CHOOSE(ArtifactsInput!$N$27+1,20,24,28,32,36,40),0)/100)))+1)),0)</f>
        <v>2</v>
      </c>
      <c r="S1009">
        <f>IF(C1009,(H1009*N1009*IF(AND(Inputs!$B$38&lt;&gt;"pvp",Inputs!$B$43&gt;0),((Skills!G15*((R1009-1)*IF(Skills!H15&gt;0,Skills!I15/Skills!H15,1)+IF(Skills!H15&gt;0,MIN(Skills!I15,MAX(0,MAX(0,Inputs!$B$43-B1032)-((R1009-1)*(IF(Inputs!$B$38="pvp",15,MAX(0.1,Skills!E15-IF(TRUE=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312751110468870.94</v>
      </c>
      <c r="U1009">
        <f>IF(C1009,(H1009*N1009*IF(AND(Inputs!$B$38&lt;&gt;"pvp",Inputs!$B$43&gt;0),((Skills!G15*((R1009-1)*IF(Skills!H15&gt;0,Skills!I15/Skills!H15,1)+IF(Skills!H15&gt;0,MIN(Skills!I15,MAX(0,MAX(0,Inputs!$B$43-B1032)-((R1009-1)*(IF(Inputs!$B$38="pvp",15,MAX(0.1,Skills!E15-IF(TRUE=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2969655654609784</v>
      </c>
    </row>
    <row r="1010" spans="1:21" x14ac:dyDescent="0.2">
      <c r="A1010" t="str">
        <f>Skills!A16</f>
        <v>FLAME_HAZE_DOT</v>
      </c>
      <c r="B1010" t="str">
        <f>Skills!B16</f>
        <v>Flame Haze (burn DoT)</v>
      </c>
      <c r="C1010" t="b">
        <f>Inputs!$B$3&gt;=107</f>
        <v>1</v>
      </c>
      <c r="D1010">
        <f>IF(Skills!C16=1,60+Inputs!$B$25+Inputs!$B$29,IF(Skills!C16=2,90+Inputs!$B$26+Inputs!$B$29,IF(Skills!C16=3,120+Inputs!$B$27+Inputs!$B$29,MAX(0,(Inputs!$B$3-100)*3)+Inputs!$B$28+Inputs!$B$29)))</f>
        <v>185</v>
      </c>
      <c r="E1010">
        <f>INDEX(FactorTable!$B$2:$Y$301, MATCH(ROUND(MIN(300,MAX(1,D1010)),0), FactorTable!$A$2:$A$301,0), Skills!M16+1)</f>
        <v>1925</v>
      </c>
      <c r="F1010">
        <f>IF(Skills!N16=TRUE,(Skills!L16/10)*(E1010/1000),Skills!L16/10)+Skills!O16</f>
        <v>288.75</v>
      </c>
      <c r="G1010">
        <f>Calc!G16</f>
        <v>30</v>
      </c>
      <c r="H1010">
        <f>Calc!H16</f>
        <v>1</v>
      </c>
      <c r="I1010">
        <f>IF(Skills!X16&lt;&gt;"",1+(Skills!X16/10)*(Z997/1000)/100,1)</f>
        <v>1</v>
      </c>
      <c r="J1010">
        <f>((Inputs!$B$6*(1+(Inputs!$B$7+1)/100))+(((Inputs!$B$12*(1+Inputs!$B$13/100))-(Inputs!$B$12*(1+Inputs!$B$13/100)))+0.25*(Inputs!$B$14-Inputs!$B$14))*(1+(Inputs!$B$7+1)/100))*(F1010/100)</f>
        <v>1042806574.8898876</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5239824306439.3545</v>
      </c>
      <c r="L1010">
        <f>K1010*(MIN(Inputs!$B$22+(F1016-Calc!F22),(Inputs!$B$23+(IF(ArtifactsInput!$M$15,CHOOSE(ArtifactsInput!$N$15+1,25,30,35,40,45,50)/100*(Inputs!$B$11-Inputs!$B$11),0))))/100+(Inputs!$B$23+(IF(ArtifactsInput!$M$15,CHOOSE(ArtifactsInput!$N$15+1,25,30,35,40,45,50)/100*(Inputs!$B$11-Inputs!$B$11),0)))/100)/2</f>
        <v>17422415818910.855</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82216380249440.312</v>
      </c>
      <c r="N1010">
        <f>L1010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82216380249440.312</v>
      </c>
      <c r="O1010">
        <f>(1-Summary!$B$11)*S1010+Summary!$B$11*U1010</f>
        <v>1890440481204929</v>
      </c>
      <c r="P1010">
        <f>IF(B1035=0,0,O1010/B1035)</f>
        <v>5.7134032867313181E-2</v>
      </c>
      <c r="Q1010">
        <f>IFERROR(1/(IF(Inputs!$B$38="pvp",15,MAX(0.1,Skills!E16-IF(TRUE=TRUE,Inputs!$B$32,0)))*(1-IF(AND(ArtifactsInput!$M$27,Inputs!$B$4="Chapter Hunt"),CHOOSE(ArtifactsInput!$N$27+1,20,24,28,32,36,40),0)/100)),0)</f>
        <v>0.04</v>
      </c>
      <c r="R1010">
        <f>IF(AND(Inputs!$B$38&lt;&gt;"pvp",Inputs!$B$43&gt;0),IF(MAX(0,Inputs!$B$43-B1032)&lt;=0,0,(INT(MAX(0,Inputs!$B$43-B1032)/(IF(Inputs!$B$38="pvp",15,MAX(0.1,Skills!E16-IF(TRUE=TRUE,Inputs!$B$32,0)))*(1-IF(AND(ArtifactsInput!$M$27,Inputs!$B$4="Chapter Hunt"),CHOOSE(ArtifactsInput!$N$27+1,20,24,28,32,36,40),0)/100)))+1)),0)</f>
        <v>2</v>
      </c>
      <c r="S1010">
        <f>IF(C1010,(H1010*N1010*IF(AND(Inputs!$B$38&lt;&gt;"pvp",Inputs!$B$43&gt;0),((Skills!G16*((R1010-1)*IF(Skills!H16&gt;0,Skills!I16/Skills!H16,1)+IF(Skills!H16&gt;0,MIN(Skills!I16,MAX(0,MAX(0,Inputs!$B$43-B1032)-((R1010-1)*(IF(Inputs!$B$38="pvp",15,MAX(0.1,Skills!E16-IF(TRUE=TRUE,Inputs!$B$32,0)))*(1-IF(AND(ArtifactsInput!$M$27,Inputs!$B$4="Chapter Hunt"),CHOOSE(ArtifactsInput!$N$27+1,20,24,28,32,36,40),0)/100)))))/Skills!H16,1)))/Inputs!$B$43),G1010*Q1010)*(1+IF(Inputs!$B$3&gt;=126,0.05*(B1030+Q1007+(H1008*B1031)/(1+Skills!H14*H1008*B1031)+Q1018),0)*(1/Q1009)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360246247395228.44</v>
      </c>
      <c r="U1010">
        <f>IF(C1010,(H1010*N1010*IF(AND(Inputs!$B$38&lt;&gt;"pvp",Inputs!$B$43&gt;0),((Skills!G16*((R1010-1)*IF(Skills!H16&gt;0,Skills!I16/Skills!H16,1)+IF(Skills!H16&gt;0,MIN(Skills!I16,MAX(0,MAX(0,Inputs!$B$43-B1032)-((R1010-1)*(IF(Inputs!$B$38="pvp",15,MAX(0.1,Skills!E16-IF(TRUE=TRUE,Inputs!$B$32,0)))*(1-IF(AND(ArtifactsInput!$M$27,Inputs!$B$4="Chapter Hunt"),CHOOSE(ArtifactsInput!$N$27+1,20,24,28,32,36,40),0)/100)))))/Skills!H16,1)))/Inputs!$B$43),G1010*Q1010)*(1+IF(Inputs!$B$3&gt;=126,0.05*(B1030+Q1007+(H1008*B1031)/(1+Skills!H14*H1008*B1031)+Q1018),0)*(1/Q1009)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3420634715014629.5</v>
      </c>
    </row>
    <row r="1011" spans="1:21" x14ac:dyDescent="0.2">
      <c r="A1011" t="str">
        <f>Skills!A17</f>
        <v>MAGIC_GUARD</v>
      </c>
      <c r="B1011" t="str">
        <f>Skills!B17</f>
        <v>Magic Guard</v>
      </c>
      <c r="C1011" t="b">
        <f>TRUE</f>
        <v>1</v>
      </c>
      <c r="D1011">
        <f>IF(Skills!C17=1,60+Inputs!$B$25+Inputs!$B$29,IF(Skills!C17=2,90+Inputs!$B$26+Inputs!$B$29,IF(Skills!C17=3,120+Inputs!$B$27+Inputs!$B$29,MAX(0,(Inputs!$B$3-100)*3)+Inputs!$B$28+Inputs!$B$29)))</f>
        <v>127</v>
      </c>
      <c r="E1011">
        <f>INDEX(FactorTable!$B$2:$Y$301, MATCH(ROUND(MIN(300,MAX(1,D1011)),0), FactorTable!$A$2:$A$301,0), Skills!M17+1)</f>
        <v>1508</v>
      </c>
      <c r="F1011">
        <f>IF(Skills!N17=TRUE,(Skills!L17/10)*(E1011/1000),Skills!L17/10)+Skills!O17</f>
        <v>18.096</v>
      </c>
      <c r="G1011">
        <f>Calc!G17</f>
        <v>1</v>
      </c>
      <c r="H1011">
        <f>Calc!H17</f>
        <v>1</v>
      </c>
      <c r="I1011">
        <f>IF(Skills!X17&lt;&gt;"",1+(Skills!X17/10)*(Z997/1000)/100,1)</f>
        <v>1</v>
      </c>
      <c r="O1011">
        <f>(1-Summary!$B$11)*S1011+Summary!$B$11*U1011</f>
        <v>0</v>
      </c>
      <c r="P1011">
        <f>IF(B1035=0,0,O1011/B1035)</f>
        <v>0</v>
      </c>
      <c r="Q1011">
        <f>IFERROR(1/(IF(Inputs!$B$38="pvp",15,MAX(0.1,Skills!E17-IF(TRUE=TRUE,Inputs!$B$32,0)))*(1-IF(AND(ArtifactsInput!$M$27,Inputs!$B$4="Chapter Hunt"),CHOOSE(ArtifactsInput!$N$27+1,20,24,28,32,36,40),0)/100)),0)</f>
        <v>4.7619047619047616E-2</v>
      </c>
      <c r="R1011">
        <f>IF(AND(Inputs!$B$38&lt;&gt;"pvp",Inputs!$B$43&gt;0),IF(Inputs!$B$43&lt;=0,0,(INT(Inputs!$B$43/(IF(Inputs!$B$38="pvp",15,MAX(0.1,Skills!E17-IF(TRUE=TRUE,Inputs!$B$32,0)))*(1-IF(AND(ArtifactsInput!$M$27,Inputs!$B$4="Chapter Hunt"),CHOOSE(ArtifactsInput!$N$27+1,20,24,28,32,36,40),0)/100)))+1)),0)</f>
        <v>2</v>
      </c>
      <c r="S1011">
        <v>0</v>
      </c>
      <c r="U1011">
        <v>0</v>
      </c>
    </row>
    <row r="1012" spans="1:21" x14ac:dyDescent="0.2">
      <c r="A1012" t="str">
        <f>Skills!A18</f>
        <v>NIMBLE_FEET</v>
      </c>
      <c r="B1012" t="str">
        <f>Skills!B18</f>
        <v>Nimble Feet</v>
      </c>
      <c r="C1012" t="b">
        <f>TRUE</f>
        <v>1</v>
      </c>
      <c r="D1012">
        <f>IF(Skills!C18=1,60+Inputs!$B$25+Inputs!$B$29,IF(Skills!C18=2,90+Inputs!$B$26+Inputs!$B$29,IF(Skills!C18=3,120+Inputs!$B$27+Inputs!$B$29,MAX(0,(Inputs!$B$3-100)*3)+Inputs!$B$28+Inputs!$B$29)))</f>
        <v>127</v>
      </c>
      <c r="E1012">
        <f>INDEX(FactorTable!$B$2:$Y$301, MATCH(ROUND(MIN(300,MAX(1,D1012)),0), FactorTable!$A$2:$A$301,0), Skills!M18+1)</f>
        <v>0</v>
      </c>
      <c r="F1012">
        <f>IF(Skills!N18=TRUE,(Skills!L18/10)*(E1012/1000),Skills!L18/10)+Skills!O18</f>
        <v>15</v>
      </c>
      <c r="G1012">
        <f>Calc!G18</f>
        <v>1</v>
      </c>
      <c r="H1012">
        <f>Calc!H18</f>
        <v>1</v>
      </c>
      <c r="I1012">
        <f>IF(Skills!X18&lt;&gt;"",1+(Skills!X18/10)*(Z997/1000)/100,1)</f>
        <v>1</v>
      </c>
      <c r="O1012">
        <f>(1-Summary!$B$11)*S1012+Summary!$B$11*U1012</f>
        <v>0</v>
      </c>
      <c r="P1012">
        <f>IF(B1035=0,0,O1012/B1035)</f>
        <v>0</v>
      </c>
      <c r="Q1012">
        <f>IFERROR(1/(IF(Inputs!$B$38="pvp",15,MAX(0.1,Skills!E18-IF(TRUE=TRUE,Inputs!$B$32,0)))*(1-IF(AND(ArtifactsInput!$M$27,Inputs!$B$4="Chapter Hunt"),CHOOSE(ArtifactsInput!$N$27+1,20,24,28,32,36,40),0)/100)),0)</f>
        <v>1.6666666666666666E-2</v>
      </c>
      <c r="R1012">
        <f>IF(AND(Inputs!$B$38&lt;&gt;"pvp",Inputs!$B$43&gt;0),IF(Inputs!$B$43&lt;=0,0,(INT(Inputs!$B$43/(IF(Inputs!$B$38="pvp",15,MAX(0.1,Skills!E18-IF(TRUE=TRUE,Inputs!$B$32,0)))*(1-IF(AND(ArtifactsInput!$M$27,Inputs!$B$4="Chapter Hunt"),CHOOSE(ArtifactsInput!$N$27+1,20,24,28,32,36,40),0)/100)))+1)),0)</f>
        <v>1</v>
      </c>
      <c r="S1012">
        <v>0</v>
      </c>
      <c r="U1012">
        <v>0</v>
      </c>
    </row>
    <row r="1013" spans="1:21" x14ac:dyDescent="0.2">
      <c r="A1013" t="str">
        <f>Skills!A19</f>
        <v>INFINITY</v>
      </c>
      <c r="B1013" t="str">
        <f>Skills!B19</f>
        <v>Infinity</v>
      </c>
      <c r="C1013" t="b">
        <f>Inputs!$B$3&gt;=110</f>
        <v>1</v>
      </c>
      <c r="D1013">
        <f>IF(Skills!C19=1,60+Inputs!$B$25+Inputs!$B$29,IF(Skills!C19=2,90+Inputs!$B$26+Inputs!$B$29,IF(Skills!C19=3,120+Inputs!$B$27+Inputs!$B$29,MAX(0,(Inputs!$B$3-100)*3)+Inputs!$B$28+Inputs!$B$29)))</f>
        <v>185</v>
      </c>
      <c r="E1013">
        <f>INDEX(FactorTable!$B$2:$Y$301, MATCH(ROUND(MIN(300,MAX(1,D1013)),0), FactorTable!$A$2:$A$301,0), Skills!M19+1)</f>
        <v>1740</v>
      </c>
      <c r="F1013">
        <f>IF(Skills!N19=TRUE,(Skills!L19/10)*(E1013/1000),Skills!L19/10)+Skills!O19</f>
        <v>37.700579999999995</v>
      </c>
      <c r="G1013">
        <f>Calc!G19</f>
        <v>1</v>
      </c>
      <c r="H1013">
        <f>Calc!H19</f>
        <v>1</v>
      </c>
      <c r="I1013">
        <f>IF(Skills!X19&lt;&gt;"",1+(Skills!X19/10)*(Z997/1000)/100,1)</f>
        <v>1</v>
      </c>
      <c r="O1013">
        <f>(1-Summary!$B$11)*S1013+Summary!$B$11*U1013</f>
        <v>0</v>
      </c>
      <c r="P1013">
        <f>IF(B1035=0,0,O1013/B1035)</f>
        <v>0</v>
      </c>
      <c r="Q1013">
        <f>IFERROR(1/(IF(Inputs!$B$38="pvp",15,MAX(0.1,Skills!E19-IF(TRUE=TRUE,Inputs!$B$32,0)))*(1-IF(AND(ArtifactsInput!$M$27,Inputs!$B$4="Chapter Hunt"),CHOOSE(ArtifactsInput!$N$27+1,20,24,28,32,36,40),0)/100)),0)</f>
        <v>3.3333333333333333E-2</v>
      </c>
      <c r="R1013">
        <f>IF(AND(Inputs!$B$38&lt;&gt;"pvp",Inputs!$B$43&gt;0),IF(Inputs!$B$43&lt;=0,0,(INT(Inputs!$B$43/(IF(Inputs!$B$38="pvp",15,MAX(0.1,Skills!E19-IF(TRUE=TRUE,Inputs!$B$32,0)))*(1-IF(AND(ArtifactsInput!$M$27,Inputs!$B$4="Chapter Hunt"),CHOOSE(ArtifactsInput!$N$27+1,20,24,28,32,36,40),0)/100)))+1)),0)</f>
        <v>2</v>
      </c>
      <c r="S1013">
        <v>0</v>
      </c>
      <c r="U1013">
        <v>0</v>
      </c>
    </row>
    <row r="1014" spans="1:21" x14ac:dyDescent="0.2">
      <c r="A1014" t="str">
        <f>Skills!A20</f>
        <v>MAGIC_CRITICAL_RATE</v>
      </c>
      <c r="B1014" t="str">
        <f>Skills!B20</f>
        <v>Magic Critical (Crit Rate)</v>
      </c>
      <c r="C1014" t="b">
        <f>TRUE</f>
        <v>1</v>
      </c>
      <c r="D1014">
        <f>IF(Skills!C20=1,60+Inputs!$B$25+Inputs!$B$29,IF(Skills!C20=2,90+Inputs!$B$26+Inputs!$B$29,IF(Skills!C20=3,120+Inputs!$B$27+Inputs!$B$29,MAX(0,(Inputs!$B$3-100)*3)+Inputs!$B$28+Inputs!$B$29)))</f>
        <v>184</v>
      </c>
      <c r="E1014">
        <f>INDEX(FactorTable!$B$2:$Y$301, MATCH(ROUND(MIN(300,MAX(1,D1014)),0), FactorTable!$A$2:$A$301,0), Skills!M20+1)</f>
        <v>1552</v>
      </c>
      <c r="F1014">
        <f>IF(Skills!N20=TRUE,(Skills!L20/10)*(E1014/1000),Skills!L20/10)+Skills!O20</f>
        <v>12.416</v>
      </c>
      <c r="G1014">
        <f>Calc!G20</f>
        <v>1</v>
      </c>
      <c r="H1014">
        <f>Calc!H20</f>
        <v>1</v>
      </c>
      <c r="I1014">
        <f>IF(Skills!X20&lt;&gt;"",1+(Skills!X20/10)*(Z997/1000)/100,1)</f>
        <v>1</v>
      </c>
      <c r="O1014">
        <f>(1-Summary!$B$11)*S1014+Summary!$B$11*U1014</f>
        <v>0</v>
      </c>
      <c r="P1014">
        <f>IF(B1035=0,0,O1014/B1035)</f>
        <v>0</v>
      </c>
      <c r="Q1014">
        <f>IFERROR(1/(IF(Inputs!$B$38="pvp",15,MAX(0.1,Skills!E20-IF(TRUE=TRUE,Inputs!$B$32,0)))*(1-IF(AND(ArtifactsInput!$M$27,Inputs!$B$4="Chapter Hunt"),CHOOSE(ArtifactsInput!$N$27+1,20,24,28,32,36,40),0)/100)),0)</f>
        <v>10</v>
      </c>
      <c r="R1014">
        <v>0</v>
      </c>
      <c r="S1014">
        <v>0</v>
      </c>
      <c r="U1014">
        <v>0</v>
      </c>
    </row>
    <row r="1015" spans="1:21" x14ac:dyDescent="0.2">
      <c r="A1015" t="str">
        <f>Skills!A21</f>
        <v>MAGIC_CRITICAL_DAMAGE</v>
      </c>
      <c r="B1015" t="str">
        <f>Skills!B21</f>
        <v>Magic Critical (Crit Damage)</v>
      </c>
      <c r="C1015" t="b">
        <f>TRUE</f>
        <v>1</v>
      </c>
      <c r="D1015">
        <f>IF(Skills!C21=1,60+Inputs!$B$25+Inputs!$B$29,IF(Skills!C21=2,90+Inputs!$B$26+Inputs!$B$29,IF(Skills!C21=3,120+Inputs!$B$27+Inputs!$B$29,MAX(0,(Inputs!$B$3-100)*3)+Inputs!$B$28+Inputs!$B$29)))</f>
        <v>184</v>
      </c>
      <c r="E1015">
        <f>INDEX(FactorTable!$B$2:$Y$301, MATCH(ROUND(MIN(300,MAX(1,D1015)),0), FactorTable!$A$2:$A$301,0), Skills!M21+1)</f>
        <v>1552</v>
      </c>
      <c r="F1015">
        <f>IF(Skills!N21=TRUE,(Skills!L21/10)*(E1015/1000),Skills!L21/10)+Skills!O21</f>
        <v>18.624000000000002</v>
      </c>
      <c r="G1015">
        <f>Calc!G21</f>
        <v>1</v>
      </c>
      <c r="H1015">
        <f>Calc!H21</f>
        <v>1</v>
      </c>
      <c r="I1015">
        <f>IF(Skills!X21&lt;&gt;"",1+(Skills!X21/10)*(Z997/1000)/100,1)</f>
        <v>1</v>
      </c>
      <c r="O1015">
        <f>(1-Summary!$B$11)*S1015+Summary!$B$11*U1015</f>
        <v>0</v>
      </c>
      <c r="P1015">
        <f>IF(B1035=0,0,O1015/B1035)</f>
        <v>0</v>
      </c>
      <c r="Q1015">
        <f>IFERROR(1/(IF(Inputs!$B$38="pvp",15,MAX(0.1,Skills!E21-IF(TRUE=TRUE,Inputs!$B$32,0)))*(1-IF(AND(ArtifactsInput!$M$27,Inputs!$B$4="Chapter Hunt"),CHOOSE(ArtifactsInput!$N$27+1,20,24,28,32,36,40),0)/100)),0)</f>
        <v>10</v>
      </c>
      <c r="R1015">
        <v>0</v>
      </c>
      <c r="S1015">
        <v>0</v>
      </c>
      <c r="U1015">
        <v>0</v>
      </c>
    </row>
    <row r="1016" spans="1:21" x14ac:dyDescent="0.2">
      <c r="A1016" t="str">
        <f>Skills!A22</f>
        <v>SPELL_MASTERY</v>
      </c>
      <c r="B1016" t="str">
        <f>Skills!B22</f>
        <v>Spell Mastery</v>
      </c>
      <c r="C1016" t="b">
        <f>TRUE</f>
        <v>1</v>
      </c>
      <c r="D1016">
        <f>IF(Skills!C22=1,60+Inputs!$B$25+Inputs!$B$29,IF(Skills!C22=2,90+Inputs!$B$26+Inputs!$B$29,IF(Skills!C22=3,120+Inputs!$B$27+Inputs!$B$29,MAX(0,(Inputs!$B$3-100)*3)+Inputs!$B$28+Inputs!$B$29)))</f>
        <v>168</v>
      </c>
      <c r="E1016">
        <f>INDEX(FactorTable!$B$2:$Y$301, MATCH(ROUND(MIN(300,MAX(1,D1016)),0), FactorTable!$A$2:$A$301,0), Skills!M22+1)</f>
        <v>1504</v>
      </c>
      <c r="F1016">
        <f>IF(Skills!N22=TRUE,(Skills!L22/10)*(E1016/1000),Skills!L22/10)+Skills!O22</f>
        <v>22.56</v>
      </c>
      <c r="G1016">
        <f>Calc!G22</f>
        <v>1</v>
      </c>
      <c r="H1016">
        <f>Calc!H22</f>
        <v>1</v>
      </c>
      <c r="I1016">
        <f>IF(Skills!X22&lt;&gt;"",1+(Skills!X22/10)*(Z997/1000)/100,1)</f>
        <v>1</v>
      </c>
      <c r="O1016">
        <f>(1-Summary!$B$11)*S1016+Summary!$B$11*U1016</f>
        <v>0</v>
      </c>
      <c r="P1016">
        <f>IF(B1035=0,0,O1016/B1035)</f>
        <v>0</v>
      </c>
      <c r="Q1016">
        <f>IFERROR(1/(IF(Inputs!$B$38="pvp",15,MAX(0.1,Skills!E22-IF(TRUE=TRUE,Inputs!$B$32,0)))*(1-IF(AND(ArtifactsInput!$M$27,Inputs!$B$4="Chapter Hunt"),CHOOSE(ArtifactsInput!$N$27+1,20,24,28,32,36,40),0)/100)),0)</f>
        <v>10</v>
      </c>
      <c r="R1016">
        <v>0</v>
      </c>
      <c r="S1016">
        <v>0</v>
      </c>
      <c r="U1016">
        <v>0</v>
      </c>
    </row>
    <row r="1017" spans="1:21" x14ac:dyDescent="0.2">
      <c r="A1017" t="str">
        <f>Skills!A23</f>
        <v>ELEMENT_AMPLIFICATION</v>
      </c>
      <c r="B1017" t="str">
        <f>Skills!B23</f>
        <v>Element Amplification</v>
      </c>
      <c r="C1017" t="b">
        <f>TRUE</f>
        <v>1</v>
      </c>
      <c r="D1017">
        <f>IF(Skills!C23=1,60+Inputs!$B$25+Inputs!$B$29,IF(Skills!C23=2,90+Inputs!$B$26+Inputs!$B$29,IF(Skills!C23=3,120+Inputs!$B$27+Inputs!$B$29,MAX(0,(Inputs!$B$3-100)*3)+Inputs!$B$28+Inputs!$B$29)))</f>
        <v>185</v>
      </c>
      <c r="E1017">
        <f>INDEX(FactorTable!$B$2:$Y$301, MATCH(ROUND(MIN(300,MAX(1,D1017)),0), FactorTable!$A$2:$A$301,0), Skills!M23+1)</f>
        <v>1555</v>
      </c>
      <c r="F1017">
        <f>IF(Skills!N23=TRUE,(Skills!L23/10)*(E1017/1000),Skills!L23/10)+Skills!O23</f>
        <v>23.324999999999999</v>
      </c>
      <c r="G1017">
        <f>Calc!G23</f>
        <v>1</v>
      </c>
      <c r="H1017">
        <f>Calc!H23</f>
        <v>1</v>
      </c>
      <c r="I1017">
        <f>IF(Skills!X23&lt;&gt;"",1+(Skills!X23/10)*(Z997/1000)/100,1)</f>
        <v>1</v>
      </c>
      <c r="O1017">
        <f>(1-Summary!$B$11)*S1017+Summary!$B$11*U1017</f>
        <v>0</v>
      </c>
      <c r="P1017">
        <f>IF(B1035=0,0,O1017/B1035)</f>
        <v>0</v>
      </c>
      <c r="Q1017">
        <f>IFERROR(1/(IF(Inputs!$B$38="pvp",15,MAX(0.1,Skills!E23-IF(TRUE=TRUE,Inputs!$B$32,0)))*(1-IF(AND(ArtifactsInput!$M$27,Inputs!$B$4="Chapter Hunt"),CHOOSE(ArtifactsInput!$N$27+1,20,24,28,32,36,40),0)/100)),0)</f>
        <v>10</v>
      </c>
      <c r="R1017">
        <v>0</v>
      </c>
      <c r="S1017">
        <v>0</v>
      </c>
      <c r="U1017">
        <v>0</v>
      </c>
    </row>
    <row r="1018" spans="1:21" x14ac:dyDescent="0.2">
      <c r="A1018" t="str">
        <f>Skills!A24</f>
        <v>IFRIT</v>
      </c>
      <c r="B1018" t="str">
        <f>Skills!B24</f>
        <v>Ifrit</v>
      </c>
      <c r="C1018" t="b">
        <f>Inputs!$B$3&gt;=115</f>
        <v>1</v>
      </c>
      <c r="D1018">
        <f>IF(Skills!C24=1,60+Inputs!$B$25+Inputs!$B$29,IF(Skills!C24=2,90+Inputs!$B$26+Inputs!$B$29,IF(Skills!C24=3,120+Inputs!$B$27+Inputs!$B$29,MAX(0,(Inputs!$B$3-100)*3)+Inputs!$B$28+Inputs!$B$29)))</f>
        <v>185</v>
      </c>
      <c r="E1018">
        <f>INDEX(FactorTable!$B$2:$Y$301, MATCH(ROUND(MIN(300,MAX(1,D1018)),0), FactorTable!$A$2:$A$301,0), Skills!M24+1)</f>
        <v>1925</v>
      </c>
      <c r="F1018">
        <f>IF(Skills!N24=TRUE,(Skills!L24/10)*(E1018/1000),Skills!L24/10)+Skills!O24</f>
        <v>6737.5</v>
      </c>
      <c r="G1018">
        <f>Calc!G24</f>
        <v>7.5</v>
      </c>
      <c r="H1018">
        <f>Calc!H24</f>
        <v>1</v>
      </c>
      <c r="I1018">
        <f>IF(Skills!X24&lt;&gt;"",1+(Skills!X24/10)*(Z997/1000)/100,1)</f>
        <v>1</v>
      </c>
      <c r="J1018">
        <f>((Inputs!$B$6*(1+(Inputs!$B$7+1)/100))+(((Inputs!$B$12*(1+Inputs!$B$13/100))-(Inputs!$B$12*(1+Inputs!$B$13/100)))+0.25*(Inputs!$B$14-Inputs!$B$14))*(1+(Inputs!$B$7+1)/100))*(F1018/100)</f>
        <v>24332153414.097378</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122262567150251.58</v>
      </c>
      <c r="L1018">
        <f>K1018*(MIN(Inputs!$B$22+(F1016-Calc!F22),(Inputs!$B$23+(IF(ArtifactsInput!$M$15,CHOOSE(ArtifactsInput!$N$15+1,25,30,35,40,45,50)/100*(Inputs!$B$11-Inputs!$B$11),0))))/100+(Inputs!$B$23+(IF(ArtifactsInput!$M$15,CHOOSE(ArtifactsInput!$N$15+1,25,30,35,40,45,50)/100*(Inputs!$B$11-Inputs!$B$11),0)))/100)/2</f>
        <v>406523035774586.5</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1918382205820273.5</v>
      </c>
      <c r="N1018">
        <f>L1018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1918382205820273.5</v>
      </c>
      <c r="O1018">
        <f>(1-Summary!$B$11)*S1018+Summary!$B$11*U1018</f>
        <v>2194149647906937.5</v>
      </c>
      <c r="P1018">
        <f>IF(B1035=0,0,O1018/B1035)</f>
        <v>6.6312914553869604E-2</v>
      </c>
      <c r="Q1018">
        <f>IFERROR(1/(IF(Inputs!$B$38="pvp",15,MAX(0.1,Skills!E24-IF(TRUE=TRUE,Inputs!$B$32,0)))*(1-IF(AND(ArtifactsInput!$M$27,Inputs!$B$4="Chapter Hunt"),CHOOSE(ArtifactsInput!$N$27+1,20,24,28,32,36,40),0)/100)),0)</f>
        <v>1.2500000000000001E-2</v>
      </c>
      <c r="R1018">
        <f>IF(AND(Inputs!$B$38&lt;&gt;"pvp",Inputs!$B$43&gt;0),IF(MAX(0,Inputs!$B$43-B1032)&lt;=0,0,(INT(MAX(0,Inputs!$B$43-B1032)/(IF(Inputs!$B$38="pvp",15,MAX(0.1,Skills!E24-IF(TRUE=TRUE,Inputs!$B$32,0)))*(1-IF(AND(ArtifactsInput!$M$27,Inputs!$B$4="Chapter Hunt"),CHOOSE(ArtifactsInput!$N$27+1,20,24,28,32,36,40),0)/100)))+1)),0)</f>
        <v>1</v>
      </c>
      <c r="S1018">
        <f>IF(C1018,(H1018*N1018*IF(AND(Inputs!$B$38&lt;&gt;"pvp",Inputs!$B$43&gt;0),((Skills!G24*((R1018-1)*IF(Skills!H24&gt;0,Skills!I24/Skills!H24,1)+IF(Skills!H24&gt;0,MIN(Skills!I24,MAX(0,MAX(0,Inputs!$B$43-B1032)-((R1018-1)*(IF(Inputs!$B$38="pvp",15,MAX(0.1,Skills!E24-IF(TRUE=TRUE,Inputs!$B$32,0)))*(1-IF(AND(ArtifactsInput!$M$27,Inputs!$B$4="Chapter Hunt"),CHOOSE(ArtifactsInput!$N$27+1,20,24,28,32,36,40),0)/100)))))/Skills!H24,1)))/Inputs!$B$43),G1018*Q1018)*(1+IF(Inputs!$B$3&gt;=130,0.2*(Skills!I16/(1/Q1009)+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1140238423584425</v>
      </c>
      <c r="U1018">
        <f>IF(C1018,(H1018*N1018*IF(AND(Inputs!$B$38&lt;&gt;"pvp",Inputs!$B$43&gt;0),((Skills!G24*((R1018-1)*IF(Skills!H24&gt;0,Skills!I24/Skills!H24,1)+IF(Skills!H24&gt;0,MIN(Skills!I24,MAX(0,MAX(0,Inputs!$B$43-B1032)-((R1018-1)*(IF(Inputs!$B$38="pvp",15,MAX(0.1,Skills!E24-IF(TRUE=TRUE,Inputs!$B$32,0)))*(1-IF(AND(ArtifactsInput!$M$27,Inputs!$B$4="Chapter Hunt"),CHOOSE(ArtifactsInput!$N$27+1,20,24,28,32,36,40),0)/100)))))/Skills!H24,1)))/Inputs!$B$43),G1018*Q1018)*(1+IF(Inputs!$B$3&gt;=130,0.2*(Skills!I16/(1/Q1009)+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3248060872229450</v>
      </c>
    </row>
    <row r="1019" spans="1:21" x14ac:dyDescent="0.2">
      <c r="A1019" t="str">
        <f>Skills!A25</f>
        <v>BUFF_MASTERY</v>
      </c>
      <c r="B1019" t="str">
        <f>Skills!B25</f>
        <v>Buff Mastery</v>
      </c>
      <c r="C1019" t="b">
        <f>Inputs!$B$3&gt;=117</f>
        <v>1</v>
      </c>
      <c r="D1019">
        <f>IF(Skills!C25=1,60+Inputs!$B$25+Inputs!$B$29,IF(Skills!C25=2,90+Inputs!$B$26+Inputs!$B$29,IF(Skills!C25=3,120+Inputs!$B$27+Inputs!$B$29,MAX(0,(Inputs!$B$3-100)*3)+Inputs!$B$28+Inputs!$B$29)))</f>
        <v>185</v>
      </c>
      <c r="E1019">
        <f>INDEX(FactorTable!$B$2:$Y$301, MATCH(ROUND(MIN(300,MAX(1,D1019)),0), FactorTable!$A$2:$A$301,0), Skills!M25+1)</f>
        <v>1555</v>
      </c>
      <c r="F1019">
        <f>IF(Skills!N25=TRUE,(Skills!L25/10)*(E1019/1000),Skills!L25/10)+Skills!O25</f>
        <v>15.549999999999999</v>
      </c>
      <c r="G1019">
        <f>Calc!G25</f>
        <v>1</v>
      </c>
      <c r="H1019">
        <f>Calc!H25</f>
        <v>1</v>
      </c>
      <c r="I1019">
        <f>IF(Skills!X25&lt;&gt;"",1+(Skills!X25/10)*(Z997/1000)/100,1)</f>
        <v>1</v>
      </c>
      <c r="O1019">
        <f>(1-Summary!$B$11)*S1019+Summary!$B$11*U1019</f>
        <v>0</v>
      </c>
      <c r="P1019">
        <f>IF(B1035=0,0,O1019/B1035)</f>
        <v>0</v>
      </c>
      <c r="Q1019">
        <f>IFERROR(1/(IF(Inputs!$B$38="pvp",15,MAX(0.1,Skills!E25-IF(TRUE=TRUE,Inputs!$B$32,0)))*(1-IF(AND(ArtifactsInput!$M$27,Inputs!$B$4="Chapter Hunt"),CHOOSE(ArtifactsInput!$N$27+1,20,24,28,32,36,40),0)/100)),0)</f>
        <v>10</v>
      </c>
      <c r="R1019">
        <v>0</v>
      </c>
      <c r="S1019">
        <v>0</v>
      </c>
      <c r="U1019">
        <v>0</v>
      </c>
    </row>
    <row r="1020" spans="1:21" x14ac:dyDescent="0.2">
      <c r="A1020" t="str">
        <f>Skills!A26</f>
        <v>ARCANE_AIM</v>
      </c>
      <c r="B1020" t="str">
        <f>Skills!B26</f>
        <v>Arcane Aim</v>
      </c>
      <c r="C1020" t="b">
        <f>Inputs!$B$3&gt;=120</f>
        <v>0</v>
      </c>
      <c r="D1020">
        <f>IF(Skills!C26=1,60+Inputs!$B$25+Inputs!$B$29,IF(Skills!C26=2,90+Inputs!$B$26+Inputs!$B$29,IF(Skills!C26=3,120+Inputs!$B$27+Inputs!$B$29,MAX(0,(Inputs!$B$3-100)*3)+Inputs!$B$28+Inputs!$B$29)))</f>
        <v>185</v>
      </c>
      <c r="E1020">
        <f>INDEX(FactorTable!$B$2:$Y$301, MATCH(ROUND(MIN(300,MAX(1,D1020)),0), FactorTable!$A$2:$A$301,0), Skills!M26+1)</f>
        <v>1555</v>
      </c>
      <c r="F1020">
        <f>IF(Skills!N26=TRUE,(Skills!L26/10)*(E1020/1000),Skills!L26/10)+Skills!O26</f>
        <v>4.665</v>
      </c>
      <c r="G1020">
        <f>Calc!G26</f>
        <v>1</v>
      </c>
      <c r="H1020">
        <f>Calc!H26</f>
        <v>1</v>
      </c>
      <c r="I1020">
        <f>IF(Skills!X26&lt;&gt;"",1+(Skills!X26/10)*(Z997/1000)/100,1)</f>
        <v>1</v>
      </c>
      <c r="O1020">
        <f>(1-Summary!$B$11)*S1020+Summary!$B$11*U1020</f>
        <v>0</v>
      </c>
      <c r="P1020">
        <f>IF(B1035=0,0,O1020/B1035)</f>
        <v>0</v>
      </c>
      <c r="Q1020">
        <f>IFERROR(1/(IF(Inputs!$B$38="pvp",15,MAX(0.1,Skills!E26-IF(TRUE=TRUE,Inputs!$B$32,0)))*(1-IF(AND(ArtifactsInput!$M$27,Inputs!$B$4="Chapter Hunt"),CHOOSE(ArtifactsInput!$N$27+1,20,24,28,32,36,40),0)/100)),0)</f>
        <v>10</v>
      </c>
      <c r="R1020">
        <v>0</v>
      </c>
      <c r="S1020">
        <v>0</v>
      </c>
      <c r="U1020">
        <v>0</v>
      </c>
    </row>
    <row r="1021" spans="1:21" x14ac:dyDescent="0.2">
      <c r="A1021" t="str">
        <f>Skills!A27</f>
        <v>FERVENT_DRAIN</v>
      </c>
      <c r="B1021" t="str">
        <f>Skills!B27</f>
        <v>Fervent Drain</v>
      </c>
      <c r="C1021" t="b">
        <f>Inputs!$B$3&gt;=125</f>
        <v>0</v>
      </c>
      <c r="D1021">
        <f>IF(Skills!C27=1,60+Inputs!$B$25+Inputs!$B$29,IF(Skills!C27=2,90+Inputs!$B$26+Inputs!$B$29,IF(Skills!C27=3,120+Inputs!$B$27+Inputs!$B$29,MAX(0,(Inputs!$B$3-100)*3)+Inputs!$B$28+Inputs!$B$29)))</f>
        <v>185</v>
      </c>
      <c r="E1021">
        <f>INDEX(FactorTable!$B$2:$Y$301, MATCH(ROUND(MIN(300,MAX(1,D1021)),0), FactorTable!$A$2:$A$301,0), Skills!M27+1)</f>
        <v>1555</v>
      </c>
      <c r="F1021">
        <f>IF(Skills!N27=TRUE,(Skills!L27/10)*(E1021/1000),Skills!L27/10)+Skills!O27</f>
        <v>6.22</v>
      </c>
      <c r="G1021">
        <f>Calc!G27</f>
        <v>1</v>
      </c>
      <c r="H1021">
        <f>Calc!H27</f>
        <v>1</v>
      </c>
      <c r="I1021">
        <f>IF(Skills!X27&lt;&gt;"",1+(Skills!X27/10)*(Z997/1000)/100,1)</f>
        <v>1</v>
      </c>
      <c r="O1021">
        <f>(1-Summary!$B$11)*S1021+Summary!$B$11*U1021</f>
        <v>0</v>
      </c>
      <c r="P1021">
        <f>IF(B1035=0,0,O1021/B1035)</f>
        <v>0</v>
      </c>
      <c r="Q1021">
        <f>IFERROR(1/(IF(Inputs!$B$38="pvp",15,MAX(0.1,Skills!E27-IF(TRUE=TRUE,Inputs!$B$32,0)))*(1-IF(AND(ArtifactsInput!$M$27,Inputs!$B$4="Chapter Hunt"),CHOOSE(ArtifactsInput!$N$27+1,20,24,28,32,36,40),0)/100)),0)</f>
        <v>10</v>
      </c>
      <c r="R1021">
        <v>0</v>
      </c>
      <c r="S1021">
        <v>0</v>
      </c>
      <c r="U1021">
        <v>0</v>
      </c>
    </row>
    <row r="1022" spans="1:21" x14ac:dyDescent="0.2">
      <c r="A1022" t="str">
        <f>Skills!A28</f>
        <v>FLAME_HAZE_FOG</v>
      </c>
      <c r="B1022" t="str">
        <f>Skills!B28</f>
        <v>Flame Haze (poison fog DoT)</v>
      </c>
      <c r="C1022" t="b">
        <f>Inputs!$B$3&gt;=118</f>
        <v>0</v>
      </c>
      <c r="D1022">
        <f>IF(Skills!C28=1,60+Inputs!$B$25+Inputs!$B$29,IF(Skills!C28=2,90+Inputs!$B$26+Inputs!$B$29,IF(Skills!C28=3,120+Inputs!$B$27+Inputs!$B$29,MAX(0,(Inputs!$B$3-100)*3)+Inputs!$B$28+Inputs!$B$29)))</f>
        <v>185</v>
      </c>
      <c r="E1022">
        <f>INDEX(FactorTable!$B$2:$Y$301, MATCH(ROUND(MIN(300,MAX(1,D1022)),0), FactorTable!$A$2:$A$301,0), Skills!M28+1)</f>
        <v>1925</v>
      </c>
      <c r="F1022">
        <f>IF(Skills!N28=TRUE,(Skills!L28/10)*(E1022/1000),Skills!L28/10)+Skills!O28</f>
        <v>134.75</v>
      </c>
      <c r="G1022">
        <f>Calc!G28</f>
        <v>50</v>
      </c>
      <c r="H1022">
        <f>Calc!H28</f>
        <v>1</v>
      </c>
      <c r="I1022">
        <f>IF(Skills!X28&lt;&gt;"",1+(Skills!X28/10)*(Z997/1000)/100,1)</f>
        <v>1</v>
      </c>
      <c r="J1022">
        <f>((Inputs!$B$6*(1+(Inputs!$B$7+1)/100))+(((Inputs!$B$12*(1+Inputs!$B$13/100))-(Inputs!$B$12*(1+Inputs!$B$13/100)))+0.25*(Inputs!$B$14-Inputs!$B$14))*(1+(Inputs!$B$7+1)/100))*(F1022/100)</f>
        <v>486643068.28194749</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2445251343005.0317</v>
      </c>
      <c r="L1022">
        <f>K1022*(MIN(Inputs!$B$22+(F1016-Calc!F22),(Inputs!$B$23+(IF(ArtifactsInput!$M$15,CHOOSE(ArtifactsInput!$N$15+1,25,30,35,40,45,50)/100*(Inputs!$B$11-Inputs!$B$11),0))))/100+(Inputs!$B$23+(IF(ArtifactsInput!$M$15,CHOOSE(ArtifactsInput!$N$15+1,25,30,35,40,45,50)/100*(Inputs!$B$11-Inputs!$B$11),0)))/100)/2</f>
        <v>8130460715491.7314</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38367644116405.477</v>
      </c>
      <c r="N1022">
        <f>L1022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38367644116405.477</v>
      </c>
      <c r="O1022">
        <f>(1-Summary!$B$11)*S1022+Summary!$B$11*U1022</f>
        <v>0</v>
      </c>
      <c r="P1022">
        <f>IF(B1035=0,0,O1022/B1035)</f>
        <v>0</v>
      </c>
      <c r="Q1022">
        <f>IFERROR(1/(IF(Inputs!$B$38="pvp",15,MAX(0.1,Skills!E28-IF(TRUE=TRUE,Inputs!$B$32,0)))*(1-IF(AND(ArtifactsInput!$M$27,Inputs!$B$4="Chapter Hunt"),CHOOSE(ArtifactsInput!$N$27+1,20,24,28,32,36,40),0)/100)),0)</f>
        <v>0.04</v>
      </c>
      <c r="R1022">
        <f>IF(AND(Inputs!$B$38&lt;&gt;"pvp",Inputs!$B$43&gt;0),IF(MAX(0,Inputs!$B$43-B1032)&lt;=0,0,(INT(MAX(0,Inputs!$B$43-B1032)/(IF(Inputs!$B$38="pvp",15,MAX(0.1,Skills!E28-IF(TRUE=TRUE,Inputs!$B$32,0)))*(1-IF(AND(ArtifactsInput!$M$27,Inputs!$B$4="Chapter Hunt"),CHOOSE(ArtifactsInput!$N$27+1,20,24,28,32,36,40),0)/100)))+1)),0)</f>
        <v>2</v>
      </c>
      <c r="S1022">
        <f>IF(C1022,(H1022*N1022*IF(AND(Inputs!$B$38&lt;&gt;"pvp",Inputs!$B$43&gt;0),((Skills!G28*((R1022-1)*IF(Skills!H28&gt;0,Skills!I28/Skills!H28,1)+IF(Skills!H28&gt;0,MIN(Skills!I28,MAX(0,MAX(0,Inputs!$B$43-B1032)-((R1022-1)*(IF(Inputs!$B$38="pvp",15,MAX(0.1,Skills!E28-IF(TRUE=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022">
        <f>IF(C1022,(H1022*N1022*IF(AND(Inputs!$B$38&lt;&gt;"pvp",Inputs!$B$43&gt;0),((Skills!G28*((R1022-1)*IF(Skills!H28&gt;0,Skills!I28/Skills!H28,1)+IF(Skills!H28&gt;0,MIN(Skills!I28,MAX(0,MAX(0,Inputs!$B$43-B1032)-((R1022-1)*(IF(Inputs!$B$38="pvp",15,MAX(0.1,Skills!E28-IF(TRUE=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24" spans="1:21" x14ac:dyDescent="0.2">
      <c r="A1024" t="s">
        <v>356</v>
      </c>
      <c r="B1024">
        <f>1+(F1005*Skills!Z11)/100</f>
        <v>1.25</v>
      </c>
    </row>
    <row r="1025" spans="1:26" x14ac:dyDescent="0.2">
      <c r="A1025" t="s">
        <v>435</v>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1.18624</v>
      </c>
    </row>
    <row r="1026" spans="1:26" x14ac:dyDescent="0.2">
      <c r="A1026" t="s">
        <v>358</v>
      </c>
      <c r="B1026">
        <f>(1+(F1000*IF(AND(Inputs!$B$38&lt;&gt;"pvp",Inputs!$B$43&gt;0),(((R1000-1)*MIN((Skills!T6*(1+((Inputs!$B$34+(ArtifactsInput!$M$7-ArtifactsInput!$M$7)*CHOOSE(ArtifactsInput!$N$7+1,6,7.2,8.4,9.6,10.8,12)))/100)),(1/Q1000))+MIN((Skills!T6*(1+((Inputs!$B$34+(ArtifactsInput!$M$7-ArtifactsInput!$M$7)*CHOOSE(ArtifactsInput!$N$7+1,6,7.2,8.4,9.6,10.8,12)))/100)),MAX(0,Inputs!$B$43-((R1000-1)*(1/Q1000)))))/Inputs!$B$43),IF(Inputs!$B$38="pvp",MIN((Skills!T6*(1+((Inputs!$B$34+(ArtifactsInput!$M$7-ArtifactsInput!$M$7)*CHOOSE(ArtifactsInput!$N$7+1,6,7.2,8.4,9.6,10.8,12)))/100)),15)/15,MIN(1,(Skills!T6*(1+((Inputs!$B$34+(ArtifactsInput!$M$7-ArtifactsInput!$M$7)*CHOOSE(ArtifactsInput!$N$7+1,6,7.2,8.4,9.6,10.8,12)))/100))/(1/Q1000))))+F1011*IF(AND(Inputs!$B$38&lt;&gt;"pvp",Inputs!$B$43&gt;0),(((R1011-1)*MIN((Skills!T17*(1+((Inputs!$B$34+(ArtifactsInput!$M$7-ArtifactsInput!$M$7)*CHOOSE(ArtifactsInput!$N$7+1,6,7.2,8.4,9.6,10.8,12)))/100)),(1/Q1011))+MIN((Skills!T17*(1+((Inputs!$B$34+(ArtifactsInput!$M$7-ArtifactsInput!$M$7)*CHOOSE(ArtifactsInput!$N$7+1,6,7.2,8.4,9.6,10.8,12)))/100)),MAX(0,Inputs!$B$43-((R1011-1)*(1/Q1011)))))/Inputs!$B$43),IF(Inputs!$B$38="pvp",MIN((Skills!T17*(1+((Inputs!$B$34+(ArtifactsInput!$M$7-ArtifactsInput!$M$7)*CHOOSE(ArtifactsInput!$N$7+1,6,7.2,8.4,9.6,10.8,12)))/100)),15)/15,MIN(1,(Skills!T17*(1+((Inputs!$B$34+(ArtifactsInput!$M$7-ArtifactsInput!$M$7)*CHOOSE(ArtifactsInput!$N$7+1,6,7.2,8.4,9.6,10.8,12)))/100))/(1/Q1011)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MIN((Skills!T19*(1+((Inputs!$B$34+(ArtifactsInput!$M$7-ArtifactsInput!$M$7)*CHOOSE(ArtifactsInput!$N$7+1,6,7.2,8.4,9.6,10.8,12)))/100)),(1/Q1013))+MIN((Skills!T19*(1+((Inputs!$B$34+(ArtifactsInput!$M$7-ArtifactsInput!$M$7)*CHOOSE(ArtifactsInput!$N$7+1,6,7.2,8.4,9.6,10.8,12)))/100)),MAX(0,Inputs!$B$43-((R1013-1)*(1/Q1013)))))/Inputs!$B$43),IF(Inputs!$B$38="pvp",MIN((Skills!T19*(1+((Inputs!$B$34+(ArtifactsInput!$M$7-ArtifactsInput!$M$7)*CHOOSE(ArtifactsInput!$N$7+1,6,7.2,8.4,9.6,10.8,12)))/100)),15)/15,MIN(1,(Skills!T19*(1+((Inputs!$B$34+(ArtifactsInput!$M$7-ArtifactsInput!$M$7)*CHOOSE(ArtifactsInput!$N$7+1,6,7.2,8.4,9.6,10.8,12)))/100))/(1/Q1013))))/100),1)</f>
        <v>1.7965808377980694</v>
      </c>
    </row>
    <row r="1027" spans="1:26" x14ac:dyDescent="0.2">
      <c r="A1027" t="s">
        <v>359</v>
      </c>
      <c r="B1027">
        <f>F1012*IF(AND(Inputs!$B$38&lt;&gt;"pvp",Inputs!$B$43&gt;0),(((R1012-1)*MIN((Skills!T18*(1+((Inputs!$B$34+(ArtifactsInput!$M$7-ArtifactsInput!$M$7)*CHOOSE(ArtifactsInput!$N$7+1,6,7.2,8.4,9.6,10.8,12)))/100)),(1/Q1012))+MIN((Skills!T18*(1+((Inputs!$B$34+(ArtifactsInput!$M$7-ArtifactsInput!$M$7)*CHOOSE(ArtifactsInput!$N$7+1,6,7.2,8.4,9.6,10.8,12)))/100)),MAX(0,Inputs!$B$43-((R1012-1)*(1/Q1012)))))/Inputs!$B$43),IF(Inputs!$B$38="pvp",MIN((Skills!T18*(1+((Inputs!$B$34+(ArtifactsInput!$M$7-ArtifactsInput!$M$7)*CHOOSE(ArtifactsInput!$N$7+1,6,7.2,8.4,9.6,10.8,12)))/100)),15)/15,MIN(1,(Skills!T18*(1+((Inputs!$B$34+(ArtifactsInput!$M$7-ArtifactsInput!$M$7)*CHOOSE(ArtifactsInput!$N$7+1,6,7.2,8.4,9.6,10.8,12)))/100))/(1/Q1012))))</f>
        <v>6.4968749999999993</v>
      </c>
    </row>
    <row r="1028" spans="1:26" x14ac:dyDescent="0.2">
      <c r="A1028" t="s">
        <v>436</v>
      </c>
      <c r="B1028">
        <f>1+MIN(150,150*(1-(1-(Inputs!$B$11+(ArtifactsInput!$M$15-ArtifactsInput!$M$15)*CHOOSE(ArtifactsInput!$N$15+1,8,9.6,11.2,12.8,14.4,16))/150)*(1-B1027/150)))/100</f>
        <v>1.6982958749999999</v>
      </c>
    </row>
    <row r="1029" spans="1:26" x14ac:dyDescent="0.2">
      <c r="A1029" t="s">
        <v>437</v>
      </c>
      <c r="B1029">
        <f>IF(AND(Inputs!$B$38&lt;&gt;"pvp",Inputs!$B$43&gt;0),SUMPRODUCT((Skills!F2:F28=TRUE)*(C996:C1022=TRUE)*R996:R1022)/Inputs!$B$43,SUMPRODUCT((Skills!F2:F28=TRUE)*(C996:C1022=TRUE)*Q996:Q1022))</f>
        <v>0.47499999999999998</v>
      </c>
    </row>
    <row r="1030" spans="1:26" x14ac:dyDescent="0.2">
      <c r="A1030" t="s">
        <v>362</v>
      </c>
      <c r="B1030">
        <f>MAX(0,B1028-B1029)</f>
        <v>1.2232958749999998</v>
      </c>
    </row>
    <row r="1031" spans="1:26" x14ac:dyDescent="0.2">
      <c r="A1031" t="s">
        <v>438</v>
      </c>
      <c r="B1031">
        <f>IF(AND(Inputs!$B$38&lt;&gt;"pvp",Inputs!$B$43&gt;0),SUMPRODUCT((Skills!V2:V28=TRUE)*(C996:C1022=TRUE)*R996:R1022*Skills!W2:W28)/Inputs!$B$43,SUMPRODUCT((Skills!V2:V28=TRUE)*(C996:C1022=TRUE)*Q996:Q1022*Skills!W2:W28))+B1030</f>
        <v>1.5482958749999998</v>
      </c>
    </row>
    <row r="1032" spans="1:26" x14ac:dyDescent="0.2">
      <c r="A1032" t="s">
        <v>439</v>
      </c>
      <c r="B1032">
        <f>IF(AND(Inputs!$B$38&lt;&gt;"pvp",Inputs!$B$43&gt;0),SUMPRODUCT((Skills!T2:T28&gt;0)*(Skills!F2:F28=TRUE)*(C996:C1022=TRUE))/B1028,0)</f>
        <v>2.3553021937358238</v>
      </c>
    </row>
    <row r="1033" spans="1:26" x14ac:dyDescent="0.2">
      <c r="A1033" t="s">
        <v>440</v>
      </c>
      <c r="B1033">
        <f>SUM(S996:S1022)</f>
        <v>9517542765637560</v>
      </c>
    </row>
    <row r="1034" spans="1:26" x14ac:dyDescent="0.2">
      <c r="A1034" t="s">
        <v>441</v>
      </c>
      <c r="B1034">
        <f>SUM(U996:U1022)</f>
        <v>5.6658093237346752E+16</v>
      </c>
    </row>
    <row r="1035" spans="1:26" x14ac:dyDescent="0.2">
      <c r="A1035" s="6" t="s">
        <v>348</v>
      </c>
      <c r="B1035" s="6">
        <f>SUM(O996:O1022)</f>
        <v>3.3087818001492148E+16</v>
      </c>
    </row>
    <row r="1038" spans="1:26" x14ac:dyDescent="0.2">
      <c r="A1038" s="6" t="s">
        <v>463</v>
      </c>
    </row>
    <row r="1039" spans="1:26" x14ac:dyDescent="0.2">
      <c r="A1039" s="5" t="s">
        <v>136</v>
      </c>
      <c r="B1039" s="5" t="s">
        <v>137</v>
      </c>
      <c r="C1039" s="5" t="s">
        <v>328</v>
      </c>
      <c r="D1039" s="5" t="s">
        <v>329</v>
      </c>
      <c r="E1039" s="5" t="s">
        <v>330</v>
      </c>
      <c r="F1039" s="5" t="s">
        <v>331</v>
      </c>
      <c r="G1039" s="5" t="s">
        <v>332</v>
      </c>
      <c r="H1039" s="5" t="s">
        <v>333</v>
      </c>
      <c r="I1039" s="5" t="s">
        <v>334</v>
      </c>
      <c r="J1039" s="5" t="s">
        <v>335</v>
      </c>
      <c r="K1039" s="5" t="s">
        <v>336</v>
      </c>
      <c r="L1039" s="5" t="s">
        <v>337</v>
      </c>
      <c r="M1039" s="5" t="s">
        <v>338</v>
      </c>
      <c r="N1039" s="5" t="s">
        <v>339</v>
      </c>
      <c r="O1039" s="5" t="s">
        <v>340</v>
      </c>
      <c r="P1039" s="5" t="s">
        <v>341</v>
      </c>
      <c r="R1039" t="s">
        <v>434</v>
      </c>
    </row>
    <row r="1040" spans="1:26" x14ac:dyDescent="0.2">
      <c r="A1040" t="str">
        <f>Skills!A2</f>
        <v>BASIC_ATTACK</v>
      </c>
      <c r="B1040" t="str">
        <f>Skills!B2</f>
        <v>Basic Attack</v>
      </c>
      <c r="C1040" t="b">
        <f>TRUE</f>
        <v>1</v>
      </c>
      <c r="F1040">
        <f>T1042+Skills!O2</f>
        <v>537.6</v>
      </c>
      <c r="G1040">
        <f>Calc!G2</f>
        <v>5</v>
      </c>
      <c r="H1040">
        <f>Calc!H2</f>
        <v>1</v>
      </c>
      <c r="I1040">
        <f>IF(Skills!X2&lt;&gt;"",1+(Skills!X2/10)*(Z1041/1000)/100,1)</f>
        <v>1</v>
      </c>
      <c r="J1040">
        <f>((Inputs!$B$6*(1+Inputs!$B$7/100))+(((Inputs!$B$12*(1+Inputs!$B$13/100))-(Inputs!$B$12*(1+Inputs!$B$13/100)))+0.25*(Inputs!$B$14-Inputs!$B$14))*(1+Inputs!$B$7/100))*(F1040/100)</f>
        <v>1941459186.9980164</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6708939396607.3535</v>
      </c>
      <c r="L1040">
        <f>K1040*(MIN(Inputs!$B$22+(F1060-Calc!F22),(Inputs!$B$23+(IF(ArtifactsInput!$M$15,CHOOSE(ArtifactsInput!$N$15+1,25,30,35,40,45,50)/100*(Inputs!$B$11-Inputs!$B$11),0))))/100+(Inputs!$B$23+(IF(ArtifactsInput!$M$15,CHOOSE(ArtifactsInput!$N$15+1,25,30,35,40,45,50)/100*(Inputs!$B$11-Inputs!$B$11),0)))/100)/2</f>
        <v>22307223493719.453</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105267787666862.09</v>
      </c>
      <c r="N1040">
        <f>L1040*(1-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105267787666862.09</v>
      </c>
      <c r="O1040">
        <f>(1-Summary!$B$11)*S1040+Summary!$B$11*U1040</f>
        <v>1.2421829090667018E+16</v>
      </c>
      <c r="P1040">
        <f>IF(B1079=0,0,O1040/B1079)</f>
        <v>0.37170147083934424</v>
      </c>
      <c r="Q1040">
        <f>IFERROR(1/(IF(Inputs!$B$38="pvp",15,MAX(0.1,Skills!E2-IF(TRUE=TRUE,(Inputs!$B$32+1),0)))*(1-IF(AND(ArtifactsInput!$M$27,Inputs!$B$4="Chapter Hunt"),CHOOSE(ArtifactsInput!$N$27+1,20,24,28,32,36,40),0)/100)),0)</f>
        <v>10</v>
      </c>
      <c r="R1040">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2062420976211279.5</v>
      </c>
      <c r="T1040">
        <f>MAX(0,(Inputs!$B$3-100)*3)+Inputs!$B$28+Inputs!$B$29</f>
        <v>185</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2.2781237205122756E+16</v>
      </c>
      <c r="Z1040">
        <f>MAX(0,(Inputs!$B$3-100)*3)+Inputs!$B$28+Inputs!$B$29</f>
        <v>185</v>
      </c>
    </row>
    <row r="1041" spans="1:26" x14ac:dyDescent="0.2">
      <c r="A1041" t="str">
        <f>Skills!A3</f>
        <v>IGNITE</v>
      </c>
      <c r="B1041" t="str">
        <f>Skills!B3</f>
        <v>Ignite</v>
      </c>
      <c r="C1041" t="b">
        <f>TRUE</f>
        <v>1</v>
      </c>
      <c r="D1041">
        <f>IF(Skills!C3=1,60+Inputs!$B$25+Inputs!$B$29,IF(Skills!C3=2,90+Inputs!$B$26+Inputs!$B$29,IF(Skills!C3=3,120+Inputs!$B$27+Inputs!$B$29,MAX(0,(Inputs!$B$3-100)*3)+Inputs!$B$28+Inputs!$B$29)))</f>
        <v>168</v>
      </c>
      <c r="E1041">
        <f>INDEX(FactorTable!$B$2:$Y$301, MATCH(ROUND(MIN(300,MAX(1,D1041)),0), FactorTable!$A$2:$A$301,0), Skills!M3+1)</f>
        <v>1672</v>
      </c>
      <c r="F1041">
        <f>IF(Skills!N3=TRUE,(Skills!L3/10)*(E1041/1000),Skills!L3/10)+Skills!O3</f>
        <v>121.736</v>
      </c>
      <c r="G1041">
        <f>Calc!G3</f>
        <v>3</v>
      </c>
      <c r="H1041">
        <f>Calc!H3</f>
        <v>1</v>
      </c>
      <c r="I1041">
        <f>IF(Skills!X3&lt;&gt;"",1+(Skills!X3/10)*(Z1041/1000)/100,1)</f>
        <v>4.8250000000000002</v>
      </c>
      <c r="J1041">
        <f>((Inputs!$B$6*(1+Inputs!$B$7/100))+(((Inputs!$B$12*(1+Inputs!$B$13/100))-(Inputs!$B$12*(1+Inputs!$B$13/100)))+0.25*(Inputs!$B$14-Inputs!$B$14))*(1+Inputs!$B$7/100))*(F1041/100)</f>
        <v>439630720.9605478</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10801277481443.984</v>
      </c>
      <c r="L1041">
        <f>K1041*(MIN(Inputs!$B$22+(F1060-Calc!F22),(Inputs!$B$23+(IF(ArtifactsInput!$M$15,CHOOSE(ArtifactsInput!$N$15+1,25,30,35,40,45,50)/100*(Inputs!$B$11-Inputs!$B$11),0))))/100+(Inputs!$B$23+(IF(ArtifactsInput!$M$15,CHOOSE(ArtifactsInput!$N$15+1,25,30,35,40,45,50)/100*(Inputs!$B$11-Inputs!$B$11),0)))/100)/2</f>
        <v>35914247625801.25</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169479334546156.06</v>
      </c>
      <c r="N1041">
        <f>L1041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169479334546156.06</v>
      </c>
      <c r="O1041">
        <f>(1-Summary!$B$11)*S1041+Summary!$B$11*U1041</f>
        <v>2946398231084923</v>
      </c>
      <c r="P1041">
        <f>IF(B1079=0,0,O1041/B1079)</f>
        <v>8.8165804583123578E-2</v>
      </c>
      <c r="Q1041">
        <f>IFERROR(1/(IF(Inputs!$B$38="pvp",15,MAX(0.1,Skills!E3-IF(FALSE=TRUE,(Inputs!$B$32+1),0)))*(1-IF(AND(ArtifactsInput!$M$27,Inputs!$B$4="Chapter Hunt"),CHOOSE(ArtifactsInput!$N$27+1,20,24,28,32,36,40),0)/100)),0)</f>
        <v>1</v>
      </c>
      <c r="R1041">
        <f>IF(AND(Inputs!$B$38&lt;&gt;"pvp",Inputs!$B$43&gt;0),IF(MAX(0,Inputs!$B$43-B1076)&lt;=0,0,(INT(MAX(0,Inputs!$B$43-B1076)/(IF(Inputs!$B$38="pvp",15,MAX(0.1,Skills!E3-IF(FALSE=TRUE,(Inputs!$B$32+1),0)))*(1-IF(AND(ArtifactsInput!$M$27,Inputs!$B$4="Chapter Hunt"),CHOOSE(ArtifactsInput!$N$27+1,20,24,28,32,36,40),0)/100)))+1)),0)</f>
        <v>38</v>
      </c>
      <c r="S1041">
        <f>IF(C1041,(H1041*N1041*IF(AND(Inputs!$B$38&lt;&gt;"pvp",Inputs!$B$43&gt;0),((Skills!G3*((R1041-1)*IF(Skills!H3&gt;0,Skills!I3/Skills!H3,1)+IF(Skills!H3&gt;0,MIN(Skills!I3,MAX(0,MAX(0,Inputs!$B$43-B1076)-((R1041-1)*(IF(Inputs!$B$38="pvp",15,MAX(0.1,Skills!E3-IF(FALSE=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1531161047957247</v>
      </c>
      <c r="T1041">
        <f>INDEX(FactorTable!$B$2:$Y$301, MATCH(ROUND(MIN(300,MAX(1,T1040)),0), FactorTable!$A$2:$A$301,0), 22)</f>
        <v>1740</v>
      </c>
      <c r="U1041">
        <f>IF(C1041,(H1041*N1041*IF(AND(Inputs!$B$38&lt;&gt;"pvp",Inputs!$B$43&gt;0),((Skills!G3*((R1041-1)*IF(Skills!H3&gt;0,Skills!I3/Skills!H3,1)+IF(Skills!H3&gt;0,MIN(Skills!I3,MAX(0,MAX(0,Inputs!$B$43-B1076)-((R1041-1)*(IF(Inputs!$B$38="pvp",15,MAX(0.1,Skills!E3-IF(FALSE=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4361635414212599.5</v>
      </c>
      <c r="Z1041">
        <f>INDEX(FactorTable!$B$2:$Y$301, MATCH(ROUND(MIN(300,MAX(1,Z1040)),0), FactorTable!$A$2:$A$301,0), 24)</f>
        <v>7650</v>
      </c>
    </row>
    <row r="1042" spans="1:26" x14ac:dyDescent="0.2">
      <c r="A1042" t="str">
        <f>Skills!A4</f>
        <v>POISON_BREATH</v>
      </c>
      <c r="B1042" t="str">
        <f>Skills!B4</f>
        <v>Poison Breath</v>
      </c>
      <c r="C1042" t="b">
        <f>TRUE</f>
        <v>1</v>
      </c>
      <c r="D1042">
        <f>IF(Skills!C4=1,60+Inputs!$B$25+Inputs!$B$29,IF(Skills!C4=2,90+Inputs!$B$26+Inputs!$B$29,IF(Skills!C4=3,120+Inputs!$B$27+Inputs!$B$29,MAX(0,(Inputs!$B$3-100)*3)+Inputs!$B$28+Inputs!$B$29)))</f>
        <v>168</v>
      </c>
      <c r="E1042">
        <f>INDEX(FactorTable!$B$2:$Y$301, MATCH(ROUND(MIN(300,MAX(1,D1042)),0), FactorTable!$A$2:$A$301,0), Skills!M4+1)</f>
        <v>1840</v>
      </c>
      <c r="F1042">
        <f>IF(Skills!N4=TRUE,(Skills!L4/10)*(E1042/1000),Skills!L4/10)+Skills!O4</f>
        <v>438</v>
      </c>
      <c r="G1042">
        <f>Calc!G4</f>
        <v>3</v>
      </c>
      <c r="H1042">
        <f>Calc!H4</f>
        <v>1</v>
      </c>
      <c r="I1042">
        <f>IF(Skills!X4&lt;&gt;"",1+(Skills!X4/10)*(Z1041/1000)/100,1)</f>
        <v>7.12</v>
      </c>
      <c r="J1042">
        <f>((Inputs!$B$6*(1+Inputs!$B$7/100))+(((Inputs!$B$12*(1+Inputs!$B$13/100))-(Inputs!$B$12*(1+Inputs!$B$13/100)))+0.25*(Inputs!$B$14-Inputs!$B$14))*(1+Inputs!$B$7/100))*(F1042/100)</f>
        <v>1581769203.69258</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57347287654031.523</v>
      </c>
      <c r="L1042">
        <f>K1042*(MIN(Inputs!$B$22+(F1060-Calc!F22),(Inputs!$B$23+(IF(ArtifactsInput!$M$15,CHOOSE(ArtifactsInput!$N$15+1,25,30,35,40,45,50)/100*(Inputs!$B$11-Inputs!$B$11),0))))/100+(Inputs!$B$23+(IF(ArtifactsInput!$M$15,CHOOSE(ArtifactsInput!$N$15+1,25,30,35,40,45,50)/100*(Inputs!$B$11-Inputs!$B$11),0)))/100)/2</f>
        <v>190679731449654.81</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899817652710921</v>
      </c>
      <c r="N1042">
        <f>L1042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899817652710921</v>
      </c>
      <c r="O1042">
        <f>(1-Summary!$B$11)*S1042+Summary!$B$11*U1042</f>
        <v>2149101986293445.8</v>
      </c>
      <c r="P1042">
        <f>IF(B1079=0,0,O1042/B1079)</f>
        <v>6.4308111426940859E-2</v>
      </c>
      <c r="Q1042">
        <f>IFERROR(1/(IF(Inputs!$B$38="pvp",15,MAX(0.1,Skills!E4-IF(TRUE=TRUE,(Inputs!$B$32+1),0)))*(1-IF(AND(ArtifactsInput!$M$27,Inputs!$B$4="Chapter Hunt"),CHOOSE(ArtifactsInput!$N$27+1,20,24,28,32,36,40),0)/100)),0)</f>
        <v>5.8823529411764705E-2</v>
      </c>
      <c r="R1042">
        <f>IF(AND(Inputs!$B$38&lt;&gt;"pvp",Inputs!$B$43&gt;0),IF(MAX(0,Inputs!$B$43-B1076)&lt;=0,0,(INT(MAX(0,Inputs!$B$43-B1076)/(IF(Inputs!$B$38="pvp",15,MAX(0.1,Skills!E4-IF(TRUE=TRUE,(Inputs!$B$32+1),0)))*(1-IF(AND(ArtifactsInput!$M$27,Inputs!$B$4="Chapter Hunt"),CHOOSE(ArtifactsInput!$N$27+1,20,24,28,32,36,40),0)/100)))+1)),0)</f>
        <v>3</v>
      </c>
      <c r="S1042">
        <f>IF(C1042,(H1042*N1042*IF(AND(Inputs!$B$38&lt;&gt;"pvp",Inputs!$B$43&gt;0),((Skills!G4*((R1042-1)*IF(Skills!H4&gt;0,Skills!I4/Skills!H4,1)+IF(Skills!H4&gt;0,MIN(Skills!I4,MAX(0,MAX(0,Inputs!$B$43-B1076)-((R1042-1)*(IF(Inputs!$B$38="pvp",15,MAX(0.1,Skills!E4-IF(TRUE=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641794940796064.38</v>
      </c>
      <c r="T1042">
        <f>290*T1041/1000</f>
        <v>504.6</v>
      </c>
      <c r="U1042">
        <f>IF(C1042,(H1042*N1042*IF(AND(Inputs!$B$38&lt;&gt;"pvp",Inputs!$B$43&gt;0),((Skills!G4*((R1042-1)*IF(Skills!H4&gt;0,Skills!I4/Skills!H4,1)+IF(Skills!H4&gt;0,MIN(Skills!I4,MAX(0,MAX(0,Inputs!$B$43-B1076)-((R1042-1)*(IF(Inputs!$B$38="pvp",15,MAX(0.1,Skills!E4-IF(TRUE=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3656409031790827</v>
      </c>
    </row>
    <row r="1043" spans="1:26" x14ac:dyDescent="0.2">
      <c r="A1043" t="str">
        <f>Skills!A5</f>
        <v>ELEMENTAL_DRAIN</v>
      </c>
      <c r="B1043" t="str">
        <f>Skills!B5</f>
        <v>Elemental Drain</v>
      </c>
      <c r="C1043" t="b">
        <f>TRUE</f>
        <v>1</v>
      </c>
      <c r="D1043">
        <f>IF(Skills!C5=1,60+Inputs!$B$25+Inputs!$B$29,IF(Skills!C5=2,90+Inputs!$B$26+Inputs!$B$29,IF(Skills!C5=3,120+Inputs!$B$27+Inputs!$B$29,MAX(0,(Inputs!$B$3-100)*3)+Inputs!$B$28+Inputs!$B$29)))</f>
        <v>168</v>
      </c>
      <c r="E1043">
        <f>INDEX(FactorTable!$B$2:$Y$301, MATCH(ROUND(MIN(300,MAX(1,D1043)),0), FactorTable!$A$2:$A$301,0), Skills!M5+1)</f>
        <v>1672</v>
      </c>
      <c r="F1043">
        <f>IF(Skills!N5=TRUE,(Skills!L5/10)*(E1043/1000),Skills!L5/10)+Skills!O5</f>
        <v>20.064</v>
      </c>
      <c r="G1043">
        <f>Calc!G5</f>
        <v>5</v>
      </c>
      <c r="H1043">
        <f>Calc!H5</f>
        <v>1</v>
      </c>
      <c r="I1043">
        <f>IF(Skills!X5&lt;&gt;"",1+(Skills!X5/10)*(Z1041/1000)/100,1)</f>
        <v>12.475</v>
      </c>
      <c r="J1043">
        <f>((Inputs!$B$6*(1+Inputs!$B$7/100))+(((Inputs!$B$12*(1+Inputs!$B$13/100))-(Inputs!$B$12*(1+Inputs!$B$13/100)))+0.25*(Inputs!$B$14-Inputs!$B$14))*(1+Inputs!$B$7/100))*(F1043/100)</f>
        <v>72458030.371890247</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4602744325632.293</v>
      </c>
      <c r="L1043">
        <f>K1043*(MIN(Inputs!$B$22+(F1060-Calc!F22),(Inputs!$B$23+(IF(ArtifactsInput!$M$15,CHOOSE(ArtifactsInput!$N$15+1,25,30,35,40,45,50)/100*(Inputs!$B$11-Inputs!$B$11),0))))/100+(Inputs!$B$23+(IF(ArtifactsInput!$M$15,CHOOSE(ArtifactsInput!$N$15+1,25,30,35,40,45,50)/100*(Inputs!$B$11-Inputs!$B$11),0)))/100)/2</f>
        <v>15304124882727.375</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72220165321590.469</v>
      </c>
      <c r="N1043">
        <f>L1043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72220165321590.469</v>
      </c>
      <c r="O1043">
        <f>(1-Summary!$B$11)*S1043+Summary!$B$11*U1043</f>
        <v>1060011476507644.1</v>
      </c>
      <c r="P1043">
        <f>IF(B1079=0,0,O1043/B1079)</f>
        <v>3.1718986153215473E-2</v>
      </c>
      <c r="Q1043">
        <f>IFERROR(1/(IF(Inputs!$B$38="pvp",15,MAX(0.1,Skills!E5-IF(FALSE=TRUE,(Inputs!$B$32+1),0)))*(1-IF(AND(ArtifactsInput!$M$27,Inputs!$B$4="Chapter Hunt"),CHOOSE(ArtifactsInput!$N$27+1,20,24,28,32,36,40),0)/100)),0)</f>
        <v>1</v>
      </c>
      <c r="R1043">
        <f>IF(AND(Inputs!$B$38&lt;&gt;"pvp",Inputs!$B$43&gt;0),IF(MAX(0,Inputs!$B$43-B1076)&lt;=0,0,(INT(MAX(0,Inputs!$B$43-B1076)/(IF(Inputs!$B$38="pvp",15,MAX(0.1,Skills!E5-IF(FALSE=TRUE,(Inputs!$B$32+1),0)))*(1-IF(AND(ArtifactsInput!$M$27,Inputs!$B$4="Chapter Hunt"),CHOOSE(ArtifactsInput!$N$27+1,20,24,28,32,36,40),0)/100)))+1)),0)</f>
        <v>38</v>
      </c>
      <c r="S1043">
        <f>IF(C1043,(H1043*N1043*IF(AND(Inputs!$B$38&lt;&gt;"pvp",Inputs!$B$43&gt;0),((Skills!G5*((R1043-1)*IF(Skills!H5&gt;0,Skills!I5/Skills!H5,1)+IF(Skills!H5&gt;0,MIN(Skills!I5,MAX(0,MAX(0,Inputs!$B$43-B1076)-((R1043-1)*(IF(Inputs!$B$38="pvp",15,MAX(0.1,Skills!E5-IF(FALSE=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1087455139329848.5</v>
      </c>
      <c r="U1043">
        <f>IF(C1043,(H1043*N1043*IF(AND(Inputs!$B$38&lt;&gt;"pvp",Inputs!$B$43&gt;0),((Skills!G5*((R1043-1)*IF(Skills!H5&gt;0,Skills!I5/Skills!H5,1)+IF(Skills!H5&gt;0,MIN(Skills!I5,MAX(0,MAX(0,Inputs!$B$43-B1076)-((R1043-1)*(IF(Inputs!$B$38="pvp",15,MAX(0.1,Skills!E5-IF(FALSE=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1032567813685439.8</v>
      </c>
    </row>
    <row r="1044" spans="1:26" x14ac:dyDescent="0.2">
      <c r="A1044" t="str">
        <f>Skills!A6</f>
        <v>MEDITATION</v>
      </c>
      <c r="B1044" t="str">
        <f>Skills!B6</f>
        <v>Meditation</v>
      </c>
      <c r="C1044" t="b">
        <f>TRUE</f>
        <v>1</v>
      </c>
      <c r="D1044">
        <f>IF(Skills!C6=1,60+Inputs!$B$25+Inputs!$B$29,IF(Skills!C6=2,90+Inputs!$B$26+Inputs!$B$29,IF(Skills!C6=3,120+Inputs!$B$27+Inputs!$B$29,MAX(0,(Inputs!$B$3-100)*3)+Inputs!$B$28+Inputs!$B$29)))</f>
        <v>168</v>
      </c>
      <c r="E1044">
        <f>INDEX(FactorTable!$B$2:$Y$301, MATCH(ROUND(MIN(300,MAX(1,D1044)),0), FactorTable!$A$2:$A$301,0), Skills!M6+1)</f>
        <v>1672</v>
      </c>
      <c r="F1044">
        <f>IF(Skills!N6=TRUE,(Skills!L6/10)*(E1044/1000),Skills!L6/10)+Skills!O6</f>
        <v>33.44</v>
      </c>
      <c r="G1044">
        <f>Calc!G6</f>
        <v>1</v>
      </c>
      <c r="H1044">
        <f>Calc!H6</f>
        <v>1</v>
      </c>
      <c r="I1044">
        <f>IF(Skills!X6&lt;&gt;"",1+(Skills!X6/10)*(Z1041/1000)/100,1)</f>
        <v>1</v>
      </c>
      <c r="O1044">
        <f>(1-Summary!$B$11)*S1044+Summary!$B$11*U1044</f>
        <v>0</v>
      </c>
      <c r="P1044">
        <f>IF(B1079=0,0,O1044/B1079)</f>
        <v>0</v>
      </c>
      <c r="Q1044">
        <f>IFERROR(1/(IF(Inputs!$B$38="pvp",15,MAX(0.1,Skills!E6-IF(TRUE=TRUE,(Inputs!$B$32+1),0)))*(1-IF(AND(ArtifactsInput!$M$27,Inputs!$B$4="Chapter Hunt"),CHOOSE(ArtifactsInput!$N$27+1,20,24,28,32,36,40),0)/100)),0)</f>
        <v>3.4482758620689655E-2</v>
      </c>
      <c r="R1044">
        <f>IF(AND(Inputs!$B$38&lt;&gt;"pvp",Inputs!$B$43&gt;0),IF(Inputs!$B$43&lt;=0,0,(INT(Inputs!$B$43/(IF(Inputs!$B$38="pvp",15,MAX(0.1,Skills!E6-IF(TRUE=TRUE,(Inputs!$B$32+1),0)))*(1-IF(AND(ArtifactsInput!$M$27,Inputs!$B$4="Chapter Hunt"),CHOOSE(ArtifactsInput!$N$27+1,20,24,28,32,36,40),0)/100)))+1)),0)</f>
        <v>2</v>
      </c>
      <c r="S1044">
        <v>0</v>
      </c>
      <c r="U1044">
        <v>0</v>
      </c>
    </row>
    <row r="1045" spans="1:26" x14ac:dyDescent="0.2">
      <c r="A1045" t="str">
        <f>Skills!A7</f>
        <v>POISON_MIST_BURST</v>
      </c>
      <c r="B1045" t="str">
        <f>Skills!B7</f>
        <v>Poison Mist (burst)</v>
      </c>
      <c r="C1045" t="b">
        <f>TRUE</f>
        <v>1</v>
      </c>
      <c r="D1045">
        <f>IF(Skills!C7=1,60+Inputs!$B$25+Inputs!$B$29,IF(Skills!C7=2,90+Inputs!$B$26+Inputs!$B$29,IF(Skills!C7=3,120+Inputs!$B$27+Inputs!$B$29,MAX(0,(Inputs!$B$3-100)*3)+Inputs!$B$28+Inputs!$B$29)))</f>
        <v>184</v>
      </c>
      <c r="E1045">
        <f>INDEX(FactorTable!$B$2:$Y$301, MATCH(ROUND(MIN(300,MAX(1,D1045)),0), FactorTable!$A$2:$A$301,0), Skills!M7+1)</f>
        <v>1920</v>
      </c>
      <c r="F1045">
        <f>IF(Skills!N7=TRUE,(Skills!L7/10)*(E1045/1000),Skills!L7/10)+Skills!O7</f>
        <v>357.2</v>
      </c>
      <c r="G1045">
        <f>Calc!G7</f>
        <v>3</v>
      </c>
      <c r="H1045">
        <f>Calc!H7</f>
        <v>1</v>
      </c>
      <c r="I1045">
        <f>IF(Skills!X7&lt;&gt;"",1+(Skills!X7/10)*(Z1041/1000)/100,1)</f>
        <v>1.7650000000000001</v>
      </c>
      <c r="J1045">
        <f>((Inputs!$B$6*(1+Inputs!$B$7/100))+(((Inputs!$B$12*(1+Inputs!$B$13/100))-(Inputs!$B$12*(1+Inputs!$B$13/100)))+0.25*(Inputs!$B$14-Inputs!$B$14))*(1+Inputs!$B$7/100))*(F1045/100)</f>
        <v>1289972510.4086521</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11593509914763.678</v>
      </c>
      <c r="L1045">
        <f>K1045*(MIN(Inputs!$B$22+(F1060-Calc!F22),(Inputs!$B$23+(IF(ArtifactsInput!$M$15,CHOOSE(ArtifactsInput!$N$15+1,25,30,35,40,45,50)/100*(Inputs!$B$11-Inputs!$B$11),0))))/100+(Inputs!$B$23+(IF(ArtifactsInput!$M$15,CHOOSE(ArtifactsInput!$N$15+1,25,30,35,40,45,50)/100*(Inputs!$B$11-Inputs!$B$11),0)))/100)/2</f>
        <v>38548420466589.234</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181909996181834.56</v>
      </c>
      <c r="N1045">
        <f>L1045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181909996181834.56</v>
      </c>
      <c r="O1045">
        <f>(1-Summary!$B$11)*S1045+Summary!$B$11*U1045</f>
        <v>453910917972722.69</v>
      </c>
      <c r="P1045">
        <f>IF(B1079=0,0,O1045/B1079)</f>
        <v>1.3582488907955036E-2</v>
      </c>
      <c r="Q1045">
        <f>IFERROR(1/(IF(Inputs!$B$38="pvp",15,MAX(0.1,Skills!E7-IF(TRUE=TRUE,(Inputs!$B$32+1),0)))*(1-IF(AND(ArtifactsInput!$M$27,Inputs!$B$4="Chapter Hunt"),CHOOSE(ArtifactsInput!$N$27+1,20,24,28,32,36,40),0)/100)),0)</f>
        <v>4.2553191489361701E-2</v>
      </c>
      <c r="R1045">
        <f>IF(AND(Inputs!$B$38&lt;&gt;"pvp",Inputs!$B$43&gt;0),IF(MAX(0,Inputs!$B$43-B1076)&lt;=0,0,(INT(MAX(0,Inputs!$B$43-B1076)/(IF(Inputs!$B$38="pvp",15,MAX(0.1,Skills!E7-IF(TRUE=TRUE,(Inputs!$B$32+1),0)))*(1-IF(AND(ArtifactsInput!$M$27,Inputs!$B$4="Chapter Hunt"),CHOOSE(ArtifactsInput!$N$27+1,20,24,28,32,36,40),0)/100)))+1)),0)</f>
        <v>2</v>
      </c>
      <c r="S1045">
        <f>IF(C1045,(H1045*N1045*IF(AND(Inputs!$B$38&lt;&gt;"pvp",Inputs!$B$43&gt;0),((Skills!G7*((R1045-1)*IF(Skills!H7&gt;0,Skills!I7/Skills!H7,1)+IF(Skills!H7&gt;0,MIN(Skills!I7,MAX(0,MAX(0,Inputs!$B$43-B1076)-((R1045-1)*(IF(Inputs!$B$38="pvp",15,MAX(0.1,Skills!E7-IF(TRUE=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86498203184462.328</v>
      </c>
      <c r="U1045">
        <f>IF(C1045,(H1045*N1045*IF(AND(Inputs!$B$38&lt;&gt;"pvp",Inputs!$B$43&gt;0),((Skills!G7*((R1045-1)*IF(Skills!H7&gt;0,Skills!I7/Skills!H7,1)+IF(Skills!H7&gt;0,MIN(Skills!I7,MAX(0,MAX(0,Inputs!$B$43-B1076)-((R1045-1)*(IF(Inputs!$B$38="pvp",15,MAX(0.1,Skills!E7-IF(TRUE=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821323632760983</v>
      </c>
    </row>
    <row r="1046" spans="1:26" x14ac:dyDescent="0.2">
      <c r="A1046" t="str">
        <f>Skills!A8</f>
        <v>POISON_MIST_DOT</v>
      </c>
      <c r="B1046" t="str">
        <f>Skills!B8</f>
        <v>Poison Mist (fog DoT)</v>
      </c>
      <c r="C1046" t="b">
        <f>TRUE</f>
        <v>1</v>
      </c>
      <c r="D1046">
        <f>IF(Skills!C8=1,60+Inputs!$B$25+Inputs!$B$29,IF(Skills!C8=2,90+Inputs!$B$26+Inputs!$B$29,IF(Skills!C8=3,120+Inputs!$B$27+Inputs!$B$29,MAX(0,(Inputs!$B$3-100)*3)+Inputs!$B$28+Inputs!$B$29)))</f>
        <v>184</v>
      </c>
      <c r="E1046">
        <f>INDEX(FactorTable!$B$2:$Y$301, MATCH(ROUND(MIN(300,MAX(1,D1046)),0), FactorTable!$A$2:$A$301,0), Skills!M8+1)</f>
        <v>1920</v>
      </c>
      <c r="F1046">
        <f>IF(Skills!N8=TRUE,(Skills!L8/10)*(E1046/1000),Skills!L8/10)+Skills!O8</f>
        <v>134.4</v>
      </c>
      <c r="G1046">
        <f>Calc!G8</f>
        <v>50</v>
      </c>
      <c r="H1046">
        <f>Calc!H8</f>
        <v>1</v>
      </c>
      <c r="I1046">
        <f>IF(Skills!X8&lt;&gt;"",1+(Skills!X8/10)*(Z1041/1000)/100,1)</f>
        <v>1.7650000000000001</v>
      </c>
      <c r="J1046">
        <f>((Inputs!$B$6*(1+Inputs!$B$7/100))+(((Inputs!$B$12*(1+Inputs!$B$13/100))-(Inputs!$B$12*(1+Inputs!$B$13/100)))+0.25*(Inputs!$B$14-Inputs!$B$14))*(1+Inputs!$B$7/100))*(F1046/100)</f>
        <v>485364796.74950409</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4362171703651.2827</v>
      </c>
      <c r="L1046">
        <f>K1046*(MIN(Inputs!$B$22+(F1060-Calc!F22),(Inputs!$B$23+(IF(ArtifactsInput!$M$15,CHOOSE(ArtifactsInput!$N$15+1,25,30,35,40,45,50)/100*(Inputs!$B$11-Inputs!$B$11),0))))/100+(Inputs!$B$23+(IF(ArtifactsInput!$M$15,CHOOSE(ArtifactsInput!$N$15+1,25,30,35,40,45,50)/100*(Inputs!$B$11-Inputs!$B$11),0)))/100)/2</f>
        <v>14504220914640.516</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68445418496188.586</v>
      </c>
      <c r="N1046">
        <f>L1046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68445418496188.586</v>
      </c>
      <c r="O1046">
        <f>(1-Summary!$B$11)*S1046+Summary!$B$11*U1046</f>
        <v>2429799728465802</v>
      </c>
      <c r="P1046">
        <f>IF(B1079=0,0,O1046/B1079)</f>
        <v>7.2707499541621909E-2</v>
      </c>
      <c r="Q1046">
        <f>IFERROR(1/(IF(Inputs!$B$38="pvp",15,MAX(0.1,Skills!E8-IF(TRUE=TRUE,(Inputs!$B$32+1),0)))*(1-IF(AND(ArtifactsInput!$M$27,Inputs!$B$4="Chapter Hunt"),CHOOSE(ArtifactsInput!$N$27+1,20,24,28,32,36,40),0)/100)),0)</f>
        <v>4.2553191489361701E-2</v>
      </c>
      <c r="R1046">
        <f>IF(AND(Inputs!$B$38&lt;&gt;"pvp",Inputs!$B$43&gt;0),IF(MAX(0,Inputs!$B$43-B1076)&lt;=0,0,(INT(MAX(0,Inputs!$B$43-B1076)/(IF(Inputs!$B$38="pvp",15,MAX(0.1,Skills!E8-IF(TRUE=TRUE,(Inputs!$B$32+1),0)))*(1-IF(AND(ArtifactsInput!$M$27,Inputs!$B$4="Chapter Hunt"),CHOOSE(ArtifactsInput!$N$27+1,20,24,28,32,36,40),0)/100)))+1)),0)</f>
        <v>2</v>
      </c>
      <c r="S1046">
        <f>IF(C1046,(H1046*N1046*IF(AND(Inputs!$B$38&lt;&gt;"pvp",Inputs!$B$43&gt;0),((Skills!G8*((R1046-1)*IF(Skills!H8&gt;0,Skills!I8/Skills!H8,1)+IF(Skills!H8&gt;0,MIN(Skills!I8,MAX(0,MAX(0,Inputs!$B$43-B1076)-((R1046-1)*(IF(Inputs!$B$38="pvp",15,MAX(0.1,Skills!E8-IF(TRUE=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463027660909924.44</v>
      </c>
      <c r="U1046">
        <f>IF(C1046,(H1046*N1046*IF(AND(Inputs!$B$38&lt;&gt;"pvp",Inputs!$B$43&gt;0),((Skills!G8*((R1046-1)*IF(Skills!H8&gt;0,Skills!I8/Skills!H8,1)+IF(Skills!H8&gt;0,MIN(Skills!I8,MAX(0,MAX(0,Inputs!$B$43-B1076)-((R1046-1)*(IF(Inputs!$B$38="pvp",15,MAX(0.1,Skills!E8-IF(TRUE=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4396571796021680</v>
      </c>
    </row>
    <row r="1047" spans="1:26" x14ac:dyDescent="0.2">
      <c r="A1047" t="str">
        <f>Skills!A9</f>
        <v>MIST_ERUPTION</v>
      </c>
      <c r="B1047" t="str">
        <f>Skills!B9</f>
        <v>Mist Eruption</v>
      </c>
      <c r="C1047" t="b">
        <f>Inputs!$B$3&gt;=103</f>
        <v>1</v>
      </c>
      <c r="D1047">
        <f>IF(Skills!C9=1,60+Inputs!$B$25+Inputs!$B$29,IF(Skills!C9=2,90+Inputs!$B$26+Inputs!$B$29,IF(Skills!C9=3,120+Inputs!$B$27+Inputs!$B$29,MAX(0,(Inputs!$B$3-100)*3)+Inputs!$B$28+Inputs!$B$29)))</f>
        <v>185</v>
      </c>
      <c r="E1047">
        <f>INDEX(FactorTable!$B$2:$Y$301, MATCH(ROUND(MIN(300,MAX(1,D1047)),0), FactorTable!$A$2:$A$301,0), Skills!M9+1)</f>
        <v>1925</v>
      </c>
      <c r="F1047">
        <f>IF(Skills!N9=TRUE,(Skills!L9/10)*(E1047/1000),Skills!L9/10)+Skills!O9</f>
        <v>5775</v>
      </c>
      <c r="G1047">
        <f>Calc!G9</f>
        <v>2.5</v>
      </c>
      <c r="H1047">
        <f>Calc!H9</f>
        <v>1</v>
      </c>
      <c r="I1047">
        <f>IF(Skills!X9&lt;&gt;"",1+(Skills!X9/10)*(Z1041/1000)/100,1)</f>
        <v>1</v>
      </c>
      <c r="J1047">
        <f>((Inputs!$B$6*(1+Inputs!$B$7/100))+(((Inputs!$B$12*(1+Inputs!$B$13/100))-(Inputs!$B$12*(1+Inputs!$B$13/100)))+0.25*(Inputs!$B$14-Inputs!$B$14))*(1+Inputs!$B$7/100))*(F1047/100)</f>
        <v>20855518610.330254</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106196637615448.19</v>
      </c>
      <c r="L1047">
        <f>K1047*(MIN(Inputs!$B$22+(F1060-Calc!F22),(Inputs!$B$23+(IF(ArtifactsInput!$M$15,CHOOSE(ArtifactsInput!$N$15+1,25,30,35,40,45,50)/100*(Inputs!$B$11-Inputs!$B$11),0))))/100+(Inputs!$B$23+(IF(ArtifactsInput!$M$15,CHOOSE(ArtifactsInput!$N$15+1,25,30,35,40,45,50)/100*(Inputs!$B$11-Inputs!$B$11),0)))/100)/2</f>
        <v>353103820071365.25</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1666296926916772.5</v>
      </c>
      <c r="N1047">
        <f>L1047*(1-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1666296926916772.5</v>
      </c>
      <c r="O1047">
        <f>(1-Summary!$B$11)*S1047+Summary!$B$11*U1047</f>
        <v>3464856172407563.5</v>
      </c>
      <c r="P1047">
        <f>IF(B1079=0,0,O1047/B1079)</f>
        <v>0.10367975006984383</v>
      </c>
      <c r="Q1047">
        <f>IFERROR(1/(IF(Inputs!$B$38="pvp",15,MAX(0.1,Skills!E9-IF(TRUE=TRUE,(Inputs!$B$32+1),0)))*(1-IF(AND(ArtifactsInput!$M$27,Inputs!$B$4="Chapter Hunt"),CHOOSE(ArtifactsInput!$N$27+1,20,24,28,32,36,40),0)/100)),0)</f>
        <v>4.2553191489361701E-2</v>
      </c>
      <c r="R1047">
        <f>IF(AND(Inputs!$B$38&lt;&gt;"pvp",Inputs!$B$43&gt;0),IF(MAX(0,Inputs!$B$43-B1076)&lt;=0,0,(INT(MAX(0,Inputs!$B$43-B1076)/(IF(Inputs!$B$38="pvp",15,MAX(0.1,Skills!E9-IF(TRUE=TRUE,(Inputs!$B$32+1),0)))*(1-IF(AND(ArtifactsInput!$M$27,Inputs!$B$4="Chapter Hunt"),CHOOSE(ArtifactsInput!$N$27+1,20,24,28,32,36,40),0)/100)))+1)),0)</f>
        <v>2</v>
      </c>
      <c r="S1047">
        <f>IF(C1047,(H1047*N1047*IF(AND(Inputs!$B$38&lt;&gt;"pvp",Inputs!$B$43&gt;0),((Skills!G9*((R1047-1)*IF(Skills!H9&gt;0,Skills!I9/Skills!H9,1)+IF(Skills!H9&gt;0,MIN(Skills!I9,MAX(0,MAX(0,Inputs!$B$43-B1076)-((R1047-1)*(IF(Inputs!$B$38="pvp",15,MAX(0.1,Skills!E9-IF(TRUE=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660270157290771.12</v>
      </c>
      <c r="U1047">
        <f>IF(C1047,(H1047*N1047*IF(AND(Inputs!$B$38&lt;&gt;"pvp",Inputs!$B$43&gt;0),((Skills!G9*((R1047-1)*IF(Skills!H9&gt;0,Skills!I9/Skills!H9,1)+IF(Skills!H9&gt;0,MIN(Skills!I9,MAX(0,MAX(0,Inputs!$B$43-B1076)-((R1047-1)*(IF(Inputs!$B$38="pvp",15,MAX(0.1,Skills!E9-IF(TRUE=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6269442187524356</v>
      </c>
    </row>
    <row r="1048" spans="1:26" x14ac:dyDescent="0.2">
      <c r="A1048" t="str">
        <f>Skills!A10</f>
        <v>CREEPING_TOXIN</v>
      </c>
      <c r="B1048" t="str">
        <f>Skills!B10</f>
        <v>Creeping Toxin</v>
      </c>
      <c r="C1048" t="b">
        <f>TRUE</f>
        <v>1</v>
      </c>
      <c r="D1048">
        <f>IF(Skills!C10=1,60+Inputs!$B$25+Inputs!$B$29,IF(Skills!C10=2,90+Inputs!$B$26+Inputs!$B$29,IF(Skills!C10=3,120+Inputs!$B$27+Inputs!$B$29,MAX(0,(Inputs!$B$3-100)*3)+Inputs!$B$28+Inputs!$B$29)))</f>
        <v>184</v>
      </c>
      <c r="E1048">
        <f>INDEX(FactorTable!$B$2:$Y$301, MATCH(ROUND(MIN(300,MAX(1,D1048)),0), FactorTable!$A$2:$A$301,0), Skills!M10+1)</f>
        <v>1920</v>
      </c>
      <c r="F1048">
        <f>IF(Skills!N10=TRUE,(Skills!L10/10)*(E1048/1000),Skills!L10/10)+Skills!O10</f>
        <v>280.39999999999998</v>
      </c>
      <c r="G1048">
        <f>Calc!G10</f>
        <v>15</v>
      </c>
      <c r="H1048">
        <f>Calc!H10</f>
        <v>1</v>
      </c>
      <c r="I1048">
        <f>IF(Skills!X10&lt;&gt;"",1+(Skills!X10/10)*(Z1041/1000)/100,1)</f>
        <v>1.7650000000000001</v>
      </c>
      <c r="J1048">
        <f>((Inputs!$B$6*(1+Inputs!$B$7/100))+(((Inputs!$B$12*(1+Inputs!$B$13/100))-(Inputs!$B$12*(1+Inputs!$B$13/100)))+0.25*(Inputs!$B$14-Inputs!$B$14))*(1+Inputs!$B$7/100))*(F1048/100)</f>
        <v>1012621197.9803641</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9100840369820.0859</v>
      </c>
      <c r="L1048">
        <f>K1048*(MIN(Inputs!$B$22+(F1060-Calc!F22),(Inputs!$B$23+(IF(ArtifactsInput!$M$15,CHOOSE(ArtifactsInput!$N$15+1,25,30,35,40,45,50)/100*(Inputs!$B$11-Inputs!$B$11),0))))/100+(Inputs!$B$23+(IF(ArtifactsInput!$M$15,CHOOSE(ArtifactsInput!$N$15+1,25,30,35,40,45,50)/100*(Inputs!$B$11-Inputs!$B$11),0)))/100)/2</f>
        <v>30260294229651.789</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142798328469726.78</v>
      </c>
      <c r="N1048">
        <f>L1048*(1-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142798328469726.78</v>
      </c>
      <c r="O1048">
        <f>(1-Summary!$B$11)*S1048+Summary!$B$11*U1048</f>
        <v>341482443261068</v>
      </c>
      <c r="P1048">
        <f>IF(B1079=0,0,O1048/B1079)</f>
        <v>1.0218263791869329E-2</v>
      </c>
      <c r="Q1048">
        <f>IFERROR(1/(IF(Inputs!$B$38="pvp",15,MAX(0.1,Skills!E10-IF(TRUE=TRUE,(Inputs!$B$32+1),0)))*(1-IF(AND(ArtifactsInput!$M$27,Inputs!$B$4="Chapter Hunt"),CHOOSE(ArtifactsInput!$N$27+1,20,24,28,32,36,40),0)/100)),0)</f>
        <v>3.8461538461538464E-2</v>
      </c>
      <c r="R1048">
        <f>IF(AND(Inputs!$B$38&lt;&gt;"pvp",Inputs!$B$43&gt;0),IF(MAX(0,Inputs!$B$43-B1076)&lt;=0,0,(INT(MAX(0,Inputs!$B$43-B1076)/(IF(Inputs!$B$38="pvp",15,MAX(0.1,Skills!E10-IF(TRUE=TRUE,(Inputs!$B$32+1),0)))*(1-IF(AND(ArtifactsInput!$M$27,Inputs!$B$4="Chapter Hunt"),CHOOSE(ArtifactsInput!$N$27+1,20,24,28,32,36,40),0)/100)))+1)),0)</f>
        <v>2</v>
      </c>
      <c r="S1048">
        <f>IF(C1048,(H1048*N1048*IF(AND(Inputs!$B$38&lt;&gt;"pvp",Inputs!$B$43&gt;0),((Skills!G10*((R1048-1)*IF(Skills!H10&gt;0,Skills!I10/Skills!H10,1)+IF(Skills!H10&gt;0,MIN(Skills!I10,MAX(0,MAX(0,Inputs!$B$43-B1076)-((R1048-1)*(IF(Inputs!$B$38="pvp",15,MAX(0.1,Skills!E10-IF(TRUE=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301531851013255</v>
      </c>
      <c r="U1048">
        <f>IF(C1048,(H1048*N1048*IF(AND(Inputs!$B$38&lt;&gt;"pvp",Inputs!$B$43&gt;0),((Skills!G10*((R1048-1)*IF(Skills!H10&gt;0,Skills!I10/Skills!H10,1)+IF(Skills!H10&gt;0,MIN(Skills!I10,MAX(0,MAX(0,Inputs!$B$43-B1076)-((R1048-1)*(IF(Inputs!$B$38="pvp",15,MAX(0.1,Skills!E10-IF(TRUE=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381433035508880.94</v>
      </c>
    </row>
    <row r="1049" spans="1:26" x14ac:dyDescent="0.2">
      <c r="A1049" t="str">
        <f>Skills!A11</f>
        <v>BURNING_MAGIC</v>
      </c>
      <c r="B1049" t="str">
        <f>Skills!B11</f>
        <v>Burning Magic</v>
      </c>
      <c r="C1049" t="b">
        <f>TRUE</f>
        <v>1</v>
      </c>
      <c r="D1049">
        <f>IF(Skills!C11=1,60+Inputs!$B$25+Inputs!$B$29,IF(Skills!C11=2,90+Inputs!$B$26+Inputs!$B$29,IF(Skills!C11=3,120+Inputs!$B$27+Inputs!$B$29,MAX(0,(Inputs!$B$3-100)*3)+Inputs!$B$28+Inputs!$B$29)))</f>
        <v>184</v>
      </c>
      <c r="E1049">
        <f>INDEX(FactorTable!$B$2:$Y$301, MATCH(ROUND(MIN(300,MAX(1,D1049)),0), FactorTable!$A$2:$A$301,0), Skills!M11+1)</f>
        <v>0</v>
      </c>
      <c r="F1049">
        <f>IF(Skills!N11=TRUE,(Skills!L11/10)*(E1049/1000),Skills!L11/10)+Skills!O11</f>
        <v>5</v>
      </c>
      <c r="G1049">
        <f>Calc!G11</f>
        <v>1</v>
      </c>
      <c r="H1049">
        <f>Calc!H11</f>
        <v>1</v>
      </c>
      <c r="I1049">
        <f>IF(Skills!X11&lt;&gt;"",1+(Skills!X11/10)*(Z1041/1000)/100,1)</f>
        <v>1</v>
      </c>
      <c r="O1049">
        <f>(1-Summary!$B$11)*S1049+Summary!$B$11*U1049</f>
        <v>0</v>
      </c>
      <c r="P1049">
        <f>IF(B1079=0,0,O1049/B1079)</f>
        <v>0</v>
      </c>
      <c r="Q1049">
        <f>IFERROR(1/(IF(Inputs!$B$38="pvp",15,MAX(0.1,Skills!E11-IF(TRUE=TRUE,(Inputs!$B$32+1),0)))*(1-IF(AND(ArtifactsInput!$M$27,Inputs!$B$4="Chapter Hunt"),CHOOSE(ArtifactsInput!$N$27+1,20,24,28,32,36,40),0)/100)),0)</f>
        <v>10</v>
      </c>
      <c r="R1049">
        <v>0</v>
      </c>
      <c r="S1049">
        <v>0</v>
      </c>
      <c r="U1049">
        <v>0</v>
      </c>
    </row>
    <row r="1050" spans="1:26" x14ac:dyDescent="0.2">
      <c r="A1050" t="str">
        <f>Skills!A12</f>
        <v>ELEMENTAL_DECREASE</v>
      </c>
      <c r="B1050" t="str">
        <f>Skills!B12</f>
        <v>Elemental Decrease</v>
      </c>
      <c r="C1050" t="b">
        <f>TRUE</f>
        <v>1</v>
      </c>
      <c r="D1050">
        <f>IF(Skills!C12=1,60+Inputs!$B$25+Inputs!$B$29,IF(Skills!C12=2,90+Inputs!$B$26+Inputs!$B$29,IF(Skills!C12=3,120+Inputs!$B$27+Inputs!$B$29,MAX(0,(Inputs!$B$3-100)*3)+Inputs!$B$28+Inputs!$B$29)))</f>
        <v>184</v>
      </c>
      <c r="E1050">
        <f>INDEX(FactorTable!$B$2:$Y$301, MATCH(ROUND(MIN(300,MAX(1,D1050)),0), FactorTable!$A$2:$A$301,0), Skills!M12+1)</f>
        <v>1552</v>
      </c>
      <c r="F1050">
        <f>IF(Skills!N12=TRUE,(Skills!L12/10)*(E1050/1000),Skills!L12/10)+Skills!O12</f>
        <v>18.624000000000002</v>
      </c>
      <c r="G1050">
        <f>Calc!G12</f>
        <v>1</v>
      </c>
      <c r="H1050">
        <f>Calc!H12</f>
        <v>0.5</v>
      </c>
      <c r="I1050">
        <f>IF(Skills!X12&lt;&gt;"",1+(Skills!X12/10)*(Z1041/1000)/100,1)</f>
        <v>1</v>
      </c>
      <c r="O1050">
        <f>(1-Summary!$B$11)*S1050+Summary!$B$11*U1050</f>
        <v>0</v>
      </c>
      <c r="P1050">
        <f>IF(B1079=0,0,O1050/B1079)</f>
        <v>0</v>
      </c>
      <c r="Q1050">
        <f>IFERROR(1/(IF(Inputs!$B$38="pvp",15,MAX(0.1,Skills!E12-IF(TRUE=TRUE,(Inputs!$B$32+1),0)))*(1-IF(AND(ArtifactsInput!$M$27,Inputs!$B$4="Chapter Hunt"),CHOOSE(ArtifactsInput!$N$27+1,20,24,28,32,36,40),0)/100)),0)</f>
        <v>10</v>
      </c>
      <c r="R1050">
        <v>0</v>
      </c>
      <c r="S1050">
        <v>0</v>
      </c>
      <c r="U1050">
        <v>0</v>
      </c>
    </row>
    <row r="1051" spans="1:26" x14ac:dyDescent="0.2">
      <c r="A1051" t="str">
        <f>Skills!A13</f>
        <v>METEOR_SHOWER_BURST</v>
      </c>
      <c r="B1051" t="str">
        <f>Skills!B13</f>
        <v>Meteor Shower (burst)</v>
      </c>
      <c r="C1051" t="b">
        <f>Inputs!$B$3&gt;=105</f>
        <v>1</v>
      </c>
      <c r="D1051">
        <f>IF(Skills!C13=1,60+Inputs!$B$25+Inputs!$B$29,IF(Skills!C13=2,90+Inputs!$B$26+Inputs!$B$29,IF(Skills!C13=3,120+Inputs!$B$27+Inputs!$B$29,MAX(0,(Inputs!$B$3-100)*3)+Inputs!$B$28+Inputs!$B$29)))</f>
        <v>185</v>
      </c>
      <c r="E1051">
        <f>INDEX(FactorTable!$B$2:$Y$301, MATCH(ROUND(MIN(300,MAX(1,D1051)),0), FactorTable!$A$2:$A$301,0), Skills!M13+1)</f>
        <v>1925</v>
      </c>
      <c r="F1051">
        <f>IF(Skills!N13=TRUE,(Skills!L13/10)*(E1051/1000),Skills!L13/10)+Skills!O13</f>
        <v>1155</v>
      </c>
      <c r="G1051">
        <f>Calc!G13</f>
        <v>9</v>
      </c>
      <c r="H1051">
        <f>Calc!H13</f>
        <v>1</v>
      </c>
      <c r="I1051">
        <f>IF(Skills!X13&lt;&gt;"",1+(Skills!X13/10)*(Z1041/1000)/100,1)</f>
        <v>1</v>
      </c>
      <c r="J1051">
        <f>((Inputs!$B$6*(1+Inputs!$B$7/100))+(((Inputs!$B$12*(1+Inputs!$B$13/100))-(Inputs!$B$12*(1+Inputs!$B$13/100)))+0.25*(Inputs!$B$14-Inputs!$B$14))*(1+Inputs!$B$7/100))*(F1051/100)</f>
        <v>4171103722.0660505</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21239327523089.637</v>
      </c>
      <c r="L1051">
        <f>K1051*(MIN(Inputs!$B$22+(F1060-Calc!F22),(Inputs!$B$23+(IF(ArtifactsInput!$M$15,CHOOSE(ArtifactsInput!$N$15+1,25,30,35,40,45,50)/100*(Inputs!$B$11-Inputs!$B$11),0))))/100+(Inputs!$B$23+(IF(ArtifactsInput!$M$15,CHOOSE(ArtifactsInput!$N$15+1,25,30,35,40,45,50)/100*(Inputs!$B$11-Inputs!$B$11),0)))/100)/2</f>
        <v>70620764014273.047</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333259385383354.44</v>
      </c>
      <c r="N1051">
        <f>L1051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333259385383354.44</v>
      </c>
      <c r="O1051">
        <f>(1-Summary!$B$11)*S1051+Summary!$B$11*U1051</f>
        <v>1817596687880815</v>
      </c>
      <c r="P1051">
        <f>IF(B1079=0,0,O1051/B1079)</f>
        <v>5.4388396213374511E-2</v>
      </c>
      <c r="Q1051">
        <f>IFERROR(1/(IF(Inputs!$B$38="pvp",15,MAX(0.1,Skills!E13-IF(TRUE=TRUE,(Inputs!$B$32+1),0)))*(1-IF(AND(ArtifactsInput!$M$27,Inputs!$B$4="Chapter Hunt"),CHOOSE(ArtifactsInput!$N$27+1,20,24,28,32,36,40),0)/100)),0)</f>
        <v>3.125E-2</v>
      </c>
      <c r="R1051">
        <f>IF(AND(Inputs!$B$38&lt;&gt;"pvp",Inputs!$B$43&gt;0),IF(MAX(0,Inputs!$B$43-B1076)&lt;=0,0,(INT(MAX(0,Inputs!$B$43-B1076)/(IF(Inputs!$B$38="pvp",15,MAX(0.1,Skills!E13-IF(TRUE=TRUE,(Inputs!$B$32+1),0)))*(1-IF(AND(ArtifactsInput!$M$27,Inputs!$B$4="Chapter Hunt"),CHOOSE(ArtifactsInput!$N$27+1,20,24,28,32,36,40),0)/100)))+1)),0)</f>
        <v>2</v>
      </c>
      <c r="S1051">
        <f>IF(C1051,(H1051*N1051*IF(AND(Inputs!$B$38&lt;&gt;"pvp",Inputs!$B$43&gt;0),((Skills!G13*((R1051-1)*IF(Skills!H13&gt;0,Skills!I13/Skills!H13,1)+IF(Skills!H13&gt;0,MIN(Skills!I13,MAX(0,MAX(0,Inputs!$B$43-B1076)-((R1051-1)*(IF(Inputs!$B$38="pvp",15,MAX(0.1,Skills!E13-IF(TRUE=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475394513249355.12</v>
      </c>
      <c r="U1051">
        <f>IF(C1051,(H1051*N1051*IF(AND(Inputs!$B$38&lt;&gt;"pvp",Inputs!$B$43&gt;0),((Skills!G13*((R1051-1)*IF(Skills!H13&gt;0,Skills!I13/Skills!H13,1)+IF(Skills!H13&gt;0,MIN(Skills!I13,MAX(0,MAX(0,Inputs!$B$43-B1076)-((R1051-1)*(IF(Inputs!$B$38="pvp",15,MAX(0.1,Skills!E13-IF(TRUE=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3159798862512275</v>
      </c>
    </row>
    <row r="1052" spans="1:26" x14ac:dyDescent="0.2">
      <c r="A1052" t="str">
        <f>Skills!A14</f>
        <v>METEOR_PROC</v>
      </c>
      <c r="B1052" t="str">
        <f>Skills!B14</f>
        <v>Meteor Proc (30% on-hit, 1s ICD)</v>
      </c>
      <c r="C1052" t="b">
        <f>Inputs!$B$3&gt;=113</f>
        <v>1</v>
      </c>
      <c r="D1052">
        <f>IF(Skills!C14=1,60+Inputs!$B$25+Inputs!$B$29,IF(Skills!C14=2,90+Inputs!$B$26+Inputs!$B$29,IF(Skills!C14=3,120+Inputs!$B$27+Inputs!$B$29,MAX(0,(Inputs!$B$3-100)*3)+Inputs!$B$28+Inputs!$B$29)))</f>
        <v>185</v>
      </c>
      <c r="E1052">
        <f>INDEX(FactorTable!$B$2:$Y$301, MATCH(ROUND(MIN(300,MAX(1,D1052)),0), FactorTable!$A$2:$A$301,0), Skills!M14+1)</f>
        <v>1740</v>
      </c>
      <c r="F1052">
        <f>IF(Skills!N14=TRUE,(Skills!L14/10)*(E1052/1000),Skills!L14/10)+Skills!O14</f>
        <v>1653</v>
      </c>
      <c r="G1052">
        <f>Calc!G14</f>
        <v>0</v>
      </c>
      <c r="H1052">
        <f>Calc!H14</f>
        <v>0.30000000000000004</v>
      </c>
      <c r="I1052">
        <f>IF(Skills!X14&lt;&gt;"",1+(Skills!X14/10)*(Z1041/1000)/100,1)</f>
        <v>1</v>
      </c>
      <c r="J1052">
        <f>((Inputs!$B$6*(1+Inputs!$B$7/100))+(((Inputs!$B$12*(1+Inputs!$B$13/100))-(Inputs!$B$12*(1+Inputs!$B$13/100)))+0.25*(Inputs!$B$14-Inputs!$B$14))*(1+Inputs!$B$7/100))*(F1052/100)</f>
        <v>5969553638.5932312</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30397063546032.176</v>
      </c>
      <c r="L1052">
        <f>K1052*(MIN(Inputs!$B$22+(F1060-Calc!F22),(Inputs!$B$23+(IF(ArtifactsInput!$M$15,CHOOSE(ArtifactsInput!$N$15+1,25,30,35,40,45,50)/100*(Inputs!$B$11-Inputs!$B$11),0))))/100+(Inputs!$B$23+(IF(ArtifactsInput!$M$15,CHOOSE(ArtifactsInput!$N$15+1,25,30,35,40,45,50)/100*(Inputs!$B$11-Inputs!$B$11),0)))/100)/2</f>
        <v>101070236290556.98</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476950445055138.38</v>
      </c>
      <c r="N1052">
        <f>L1052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476950445055138.38</v>
      </c>
      <c r="O1052">
        <f>(1-Summary!$B$11)*S1052+Summary!$B$11*U1052</f>
        <v>462254402877096.5</v>
      </c>
      <c r="P1052">
        <f>IF(B1079=0,0,O1052/B1079)</f>
        <v>1.3832153074821711E-2</v>
      </c>
      <c r="Q1052">
        <f>IFERROR(1/(IF(Inputs!$B$38="pvp",15,MAX(0.1,Skills!E14-IF(TRUE=TRUE,(Inputs!$B$32+1),0)))*(1-IF(AND(ArtifactsInput!$M$27,Inputs!$B$4="Chapter Hunt"),CHOOSE(ArtifactsInput!$N$27+1,20,24,28,32,36,40),0)/100)),0)</f>
        <v>10</v>
      </c>
      <c r="R1052">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474222154407895.12</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450286651346297.88</v>
      </c>
    </row>
    <row r="1053" spans="1:26" x14ac:dyDescent="0.2">
      <c r="A1053" t="str">
        <f>Skills!A15</f>
        <v>FLAME_HAZE_BURST</v>
      </c>
      <c r="B1053" t="str">
        <f>Skills!B15</f>
        <v>Flame Haze (burst)</v>
      </c>
      <c r="C1053" t="b">
        <f>Inputs!$B$3&gt;=107</f>
        <v>1</v>
      </c>
      <c r="D1053">
        <f>IF(Skills!C15=1,60+Inputs!$B$25+Inputs!$B$29,IF(Skills!C15=2,90+Inputs!$B$26+Inputs!$B$29,IF(Skills!C15=3,120+Inputs!$B$27+Inputs!$B$29,MAX(0,(Inputs!$B$3-100)*3)+Inputs!$B$28+Inputs!$B$29)))</f>
        <v>185</v>
      </c>
      <c r="E1053">
        <f>INDEX(FactorTable!$B$2:$Y$301, MATCH(ROUND(MIN(300,MAX(1,D1053)),0), FactorTable!$A$2:$A$301,0), Skills!M15+1)</f>
        <v>1925</v>
      </c>
      <c r="F1053">
        <f>IF(Skills!N15=TRUE,(Skills!L15/10)*(E1053/1000),Skills!L15/10)+Skills!O15</f>
        <v>2310</v>
      </c>
      <c r="G1053">
        <f>Calc!G15</f>
        <v>3</v>
      </c>
      <c r="H1053">
        <f>Calc!H15</f>
        <v>1</v>
      </c>
      <c r="I1053">
        <f>IF(Skills!X15&lt;&gt;"",1+(Skills!X15/10)*(Z1041/1000)/100,1)</f>
        <v>1</v>
      </c>
      <c r="J1053">
        <f>((Inputs!$B$6*(1+Inputs!$B$7/100))+(((Inputs!$B$12*(1+Inputs!$B$13/100))-(Inputs!$B$12*(1+Inputs!$B$13/100)))+0.25*(Inputs!$B$14-Inputs!$B$14))*(1+Inputs!$B$7/100))*(F1053/100)</f>
        <v>8342207444.1321011</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42478655046179.273</v>
      </c>
      <c r="L1053">
        <f>K1053*(MIN(Inputs!$B$22+(F1060-Calc!F22),(Inputs!$B$23+(IF(ArtifactsInput!$M$15,CHOOSE(ArtifactsInput!$N$15+1,25,30,35,40,45,50)/100*(Inputs!$B$11-Inputs!$B$11),0))))/100+(Inputs!$B$23+(IF(ArtifactsInput!$M$15,CHOOSE(ArtifactsInput!$N$15+1,25,30,35,40,45,50)/100*(Inputs!$B$11-Inputs!$B$11),0)))/100)/2</f>
        <v>141241528028546.09</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666518770766708.88</v>
      </c>
      <c r="N1053">
        <f>L1053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666518770766708.88</v>
      </c>
      <c r="O1053">
        <f>(1-Summary!$B$11)*S1053+Summary!$B$11*U1053</f>
        <v>1663130962755630.2</v>
      </c>
      <c r="P1053">
        <f>IF(B1079=0,0,O1053/B1079)</f>
        <v>4.9766280033525033E-2</v>
      </c>
      <c r="Q1053">
        <f>IFERROR(1/(IF(Inputs!$B$38="pvp",15,MAX(0.1,Skills!E15-IF(TRUE=TRUE,(Inputs!$B$32+1),0)))*(1-IF(AND(ArtifactsInput!$M$27,Inputs!$B$4="Chapter Hunt"),CHOOSE(ArtifactsInput!$N$27+1,20,24,28,32,36,40),0)/100)),0)</f>
        <v>4.1666666666666664E-2</v>
      </c>
      <c r="R1053">
        <f>IF(AND(Inputs!$B$38&lt;&gt;"pvp",Inputs!$B$43&gt;0),IF(MAX(0,Inputs!$B$43-B1076)&lt;=0,0,(INT(MAX(0,Inputs!$B$43-B1076)/(IF(Inputs!$B$38="pvp",15,MAX(0.1,Skills!E15-IF(TRUE=TRUE,(Inputs!$B$32+1),0)))*(1-IF(AND(ArtifactsInput!$M$27,Inputs!$B$4="Chapter Hunt"),CHOOSE(ArtifactsInput!$N$27+1,20,24,28,32,36,40),0)/100)))+1)),0)</f>
        <v>2</v>
      </c>
      <c r="S1053">
        <f>IF(C1053,(H1053*N1053*IF(AND(Inputs!$B$38&lt;&gt;"pvp",Inputs!$B$43&gt;0),((Skills!G15*((R1053-1)*IF(Skills!H15&gt;0,Skills!I15/Skills!H15,1)+IF(Skills!H15&gt;0,MIN(Skills!I15,MAX(0,MAX(0,Inputs!$B$43-B1076)-((R1053-1)*(IF(Inputs!$B$38="pvp",15,MAX(0.1,Skills!E15-IF(TRUE=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316929675499570.06</v>
      </c>
      <c r="U1053">
        <f>IF(C1053,(H1053*N1053*IF(AND(Inputs!$B$38&lt;&gt;"pvp",Inputs!$B$43&gt;0),((Skills!G15*((R1053-1)*IF(Skills!H15&gt;0,Skills!I15/Skills!H15,1)+IF(Skills!H15&gt;0,MIN(Skills!I15,MAX(0,MAX(0,Inputs!$B$43-B1076)-((R1053-1)*(IF(Inputs!$B$38="pvp",15,MAX(0.1,Skills!E15-IF(TRUE=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3009332250011690.5</v>
      </c>
    </row>
    <row r="1054" spans="1:26" x14ac:dyDescent="0.2">
      <c r="A1054" t="str">
        <f>Skills!A16</f>
        <v>FLAME_HAZE_DOT</v>
      </c>
      <c r="B1054" t="str">
        <f>Skills!B16</f>
        <v>Flame Haze (burn DoT)</v>
      </c>
      <c r="C1054" t="b">
        <f>Inputs!$B$3&gt;=107</f>
        <v>1</v>
      </c>
      <c r="D1054">
        <f>IF(Skills!C16=1,60+Inputs!$B$25+Inputs!$B$29,IF(Skills!C16=2,90+Inputs!$B$26+Inputs!$B$29,IF(Skills!C16=3,120+Inputs!$B$27+Inputs!$B$29,MAX(0,(Inputs!$B$3-100)*3)+Inputs!$B$28+Inputs!$B$29)))</f>
        <v>185</v>
      </c>
      <c r="E1054">
        <f>INDEX(FactorTable!$B$2:$Y$301, MATCH(ROUND(MIN(300,MAX(1,D1054)),0), FactorTable!$A$2:$A$301,0), Skills!M16+1)</f>
        <v>1925</v>
      </c>
      <c r="F1054">
        <f>IF(Skills!N16=TRUE,(Skills!L16/10)*(E1054/1000),Skills!L16/10)+Skills!O16</f>
        <v>288.75</v>
      </c>
      <c r="G1054">
        <f>Calc!G16</f>
        <v>30</v>
      </c>
      <c r="H1054">
        <f>Calc!H16</f>
        <v>1</v>
      </c>
      <c r="I1054">
        <f>IF(Skills!X16&lt;&gt;"",1+(Skills!X16/10)*(Z1041/1000)/100,1)</f>
        <v>1</v>
      </c>
      <c r="J1054">
        <f>((Inputs!$B$6*(1+Inputs!$B$7/100))+(((Inputs!$B$12*(1+Inputs!$B$13/100))-(Inputs!$B$12*(1+Inputs!$B$13/100)))+0.25*(Inputs!$B$14-Inputs!$B$14))*(1+Inputs!$B$7/100))*(F1054/100)</f>
        <v>1042775930.5165126</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5309831880772.4092</v>
      </c>
      <c r="L1054">
        <f>K1054*(MIN(Inputs!$B$22+(F1060-Calc!F22),(Inputs!$B$23+(IF(ArtifactsInput!$M$15,CHOOSE(ArtifactsInput!$N$15+1,25,30,35,40,45,50)/100*(Inputs!$B$11-Inputs!$B$11),0))))/100+(Inputs!$B$23+(IF(ArtifactsInput!$M$15,CHOOSE(ArtifactsInput!$N$15+1,25,30,35,40,45,50)/100*(Inputs!$B$11-Inputs!$B$11),0)))/100)/2</f>
        <v>17655191003568.262</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83314846345838.609</v>
      </c>
      <c r="N1054">
        <f>L1054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83314846345838.609</v>
      </c>
      <c r="O1054">
        <f>(1-Summary!$B$11)*S1054+Summary!$B$11*U1054</f>
        <v>1984995160015676</v>
      </c>
      <c r="P1054">
        <f>IF(B1079=0,0,O1054/B1079)</f>
        <v>5.9397502187593459E-2</v>
      </c>
      <c r="Q1054">
        <f>IFERROR(1/(IF(Inputs!$B$38="pvp",15,MAX(0.1,Skills!E16-IF(TRUE=TRUE,(Inputs!$B$32+1),0)))*(1-IF(AND(ArtifactsInput!$M$27,Inputs!$B$4="Chapter Hunt"),CHOOSE(ArtifactsInput!$N$27+1,20,24,28,32,36,40),0)/100)),0)</f>
        <v>4.1666666666666664E-2</v>
      </c>
      <c r="R1054">
        <f>IF(AND(Inputs!$B$38&lt;&gt;"pvp",Inputs!$B$43&gt;0),IF(MAX(0,Inputs!$B$43-B1076)&lt;=0,0,(INT(MAX(0,Inputs!$B$43-B1076)/(IF(Inputs!$B$38="pvp",15,MAX(0.1,Skills!E16-IF(TRUE=TRUE,(Inputs!$B$32+1),0)))*(1-IF(AND(ArtifactsInput!$M$27,Inputs!$B$4="Chapter Hunt"),CHOOSE(ArtifactsInput!$N$27+1,20,24,28,32,36,40),0)/100)))+1)),0)</f>
        <v>2</v>
      </c>
      <c r="S1054">
        <f>IF(C1054,(H1054*N1054*IF(AND(Inputs!$B$38&lt;&gt;"pvp",Inputs!$B$43&gt;0),((Skills!G16*((R1054-1)*IF(Skills!H16&gt;0,Skills!I16/Skills!H16,1)+IF(Skills!H16&gt;0,MIN(Skills!I16,MAX(0,MAX(0,Inputs!$B$43-B1076)-((R1054-1)*(IF(Inputs!$B$38="pvp",15,MAX(0.1,Skills!E16-IF(TRUE=TRUE,(Inputs!$B$32+1),0)))*(1-IF(AND(ArtifactsInput!$M$27,Inputs!$B$4="Chapter Hunt"),CHOOSE(ArtifactsInput!$N$27+1,20,24,28,32,36,40),0)/100)))))/Skills!H16,1)))/Inputs!$B$43),G1054*Q1054)*(1+IF(Inputs!$B$3&gt;=126,0.05*(B1074+Q1051+(H1052*B1075)/(1+Skills!H14*H1052*B1075)+Q1062),0)*(1/Q1053)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378264782521773</v>
      </c>
      <c r="U1054">
        <f>IF(C1054,(H1054*N1054*IF(AND(Inputs!$B$38&lt;&gt;"pvp",Inputs!$B$43&gt;0),((Skills!G16*((R1054-1)*IF(Skills!H16&gt;0,Skills!I16/Skills!H16,1)+IF(Skills!H16&gt;0,MIN(Skills!I16,MAX(0,MAX(0,Inputs!$B$43-B1076)-((R1054-1)*(IF(Inputs!$B$38="pvp",15,MAX(0.1,Skills!E16-IF(TRUE=TRUE,(Inputs!$B$32+1),0)))*(1-IF(AND(ArtifactsInput!$M$27,Inputs!$B$4="Chapter Hunt"),CHOOSE(ArtifactsInput!$N$27+1,20,24,28,32,36,40),0)/100)))))/Skills!H16,1)))/Inputs!$B$43),G1054*Q1054)*(1+IF(Inputs!$B$3&gt;=126,0.05*(B1074+Q1051+(H1052*B1075)/(1+Skills!H14*H1052*B1075)+Q1062),0)*(1/Q1053)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3591725537509579</v>
      </c>
    </row>
    <row r="1055" spans="1:26" x14ac:dyDescent="0.2">
      <c r="A1055" t="str">
        <f>Skills!A17</f>
        <v>MAGIC_GUARD</v>
      </c>
      <c r="B1055" t="str">
        <f>Skills!B17</f>
        <v>Magic Guard</v>
      </c>
      <c r="C1055" t="b">
        <f>TRUE</f>
        <v>1</v>
      </c>
      <c r="D1055">
        <f>IF(Skills!C17=1,60+Inputs!$B$25+Inputs!$B$29,IF(Skills!C17=2,90+Inputs!$B$26+Inputs!$B$29,IF(Skills!C17=3,120+Inputs!$B$27+Inputs!$B$29,MAX(0,(Inputs!$B$3-100)*3)+Inputs!$B$28+Inputs!$B$29)))</f>
        <v>127</v>
      </c>
      <c r="E1055">
        <f>INDEX(FactorTable!$B$2:$Y$301, MATCH(ROUND(MIN(300,MAX(1,D1055)),0), FactorTable!$A$2:$A$301,0), Skills!M17+1)</f>
        <v>1508</v>
      </c>
      <c r="F1055">
        <f>IF(Skills!N17=TRUE,(Skills!L17/10)*(E1055/1000),Skills!L17/10)+Skills!O17</f>
        <v>18.096</v>
      </c>
      <c r="G1055">
        <f>Calc!G17</f>
        <v>1</v>
      </c>
      <c r="H1055">
        <f>Calc!H17</f>
        <v>1</v>
      </c>
      <c r="I1055">
        <f>IF(Skills!X17&lt;&gt;"",1+(Skills!X17/10)*(Z1041/1000)/100,1)</f>
        <v>1</v>
      </c>
      <c r="O1055">
        <f>(1-Summary!$B$11)*S1055+Summary!$B$11*U1055</f>
        <v>0</v>
      </c>
      <c r="P1055">
        <f>IF(B1079=0,0,O1055/B1079)</f>
        <v>0</v>
      </c>
      <c r="Q1055">
        <f>IFERROR(1/(IF(Inputs!$B$38="pvp",15,MAX(0.1,Skills!E17-IF(TRUE=TRUE,(Inputs!$B$32+1),0)))*(1-IF(AND(ArtifactsInput!$M$27,Inputs!$B$4="Chapter Hunt"),CHOOSE(ArtifactsInput!$N$27+1,20,24,28,32,36,40),0)/100)),0)</f>
        <v>0.05</v>
      </c>
      <c r="R1055">
        <f>IF(AND(Inputs!$B$38&lt;&gt;"pvp",Inputs!$B$43&gt;0),IF(Inputs!$B$43&lt;=0,0,(INT(Inputs!$B$43/(IF(Inputs!$B$38="pvp",15,MAX(0.1,Skills!E17-IF(TRUE=TRUE,(Inputs!$B$32+1),0)))*(1-IF(AND(ArtifactsInput!$M$27,Inputs!$B$4="Chapter Hunt"),CHOOSE(ArtifactsInput!$N$27+1,20,24,28,32,36,40),0)/100)))+1)),0)</f>
        <v>3</v>
      </c>
      <c r="S1055">
        <v>0</v>
      </c>
      <c r="U1055">
        <v>0</v>
      </c>
    </row>
    <row r="1056" spans="1:26" x14ac:dyDescent="0.2">
      <c r="A1056" t="str">
        <f>Skills!A18</f>
        <v>NIMBLE_FEET</v>
      </c>
      <c r="B1056" t="str">
        <f>Skills!B18</f>
        <v>Nimble Feet</v>
      </c>
      <c r="C1056" t="b">
        <f>TRUE</f>
        <v>1</v>
      </c>
      <c r="D1056">
        <f>IF(Skills!C18=1,60+Inputs!$B$25+Inputs!$B$29,IF(Skills!C18=2,90+Inputs!$B$26+Inputs!$B$29,IF(Skills!C18=3,120+Inputs!$B$27+Inputs!$B$29,MAX(0,(Inputs!$B$3-100)*3)+Inputs!$B$28+Inputs!$B$29)))</f>
        <v>127</v>
      </c>
      <c r="E1056">
        <f>INDEX(FactorTable!$B$2:$Y$301, MATCH(ROUND(MIN(300,MAX(1,D1056)),0), FactorTable!$A$2:$A$301,0), Skills!M18+1)</f>
        <v>0</v>
      </c>
      <c r="F1056">
        <f>IF(Skills!N18=TRUE,(Skills!L18/10)*(E1056/1000),Skills!L18/10)+Skills!O18</f>
        <v>15</v>
      </c>
      <c r="G1056">
        <f>Calc!G18</f>
        <v>1</v>
      </c>
      <c r="H1056">
        <f>Calc!H18</f>
        <v>1</v>
      </c>
      <c r="I1056">
        <f>IF(Skills!X18&lt;&gt;"",1+(Skills!X18/10)*(Z1041/1000)/100,1)</f>
        <v>1</v>
      </c>
      <c r="O1056">
        <f>(1-Summary!$B$11)*S1056+Summary!$B$11*U1056</f>
        <v>0</v>
      </c>
      <c r="P1056">
        <f>IF(B1079=0,0,O1056/B1079)</f>
        <v>0</v>
      </c>
      <c r="Q1056">
        <f>IFERROR(1/(IF(Inputs!$B$38="pvp",15,MAX(0.1,Skills!E18-IF(TRUE=TRUE,(Inputs!$B$32+1),0)))*(1-IF(AND(ArtifactsInput!$M$27,Inputs!$B$4="Chapter Hunt"),CHOOSE(ArtifactsInput!$N$27+1,20,24,28,32,36,40),0)/100)),0)</f>
        <v>1.6949152542372881E-2</v>
      </c>
      <c r="R1056">
        <f>IF(AND(Inputs!$B$38&lt;&gt;"pvp",Inputs!$B$43&gt;0),IF(Inputs!$B$43&lt;=0,0,(INT(Inputs!$B$43/(IF(Inputs!$B$38="pvp",15,MAX(0.1,Skills!E18-IF(TRUE=TRUE,(Inputs!$B$32+1),0)))*(1-IF(AND(ArtifactsInput!$M$27,Inputs!$B$4="Chapter Hunt"),CHOOSE(ArtifactsInput!$N$27+1,20,24,28,32,36,40),0)/100)))+1)),0)</f>
        <v>1</v>
      </c>
      <c r="S1056">
        <v>0</v>
      </c>
      <c r="U1056">
        <v>0</v>
      </c>
    </row>
    <row r="1057" spans="1:21" x14ac:dyDescent="0.2">
      <c r="A1057" t="str">
        <f>Skills!A19</f>
        <v>INFINITY</v>
      </c>
      <c r="B1057" t="str">
        <f>Skills!B19</f>
        <v>Infinity</v>
      </c>
      <c r="C1057" t="b">
        <f>Inputs!$B$3&gt;=110</f>
        <v>1</v>
      </c>
      <c r="D1057">
        <f>IF(Skills!C19=1,60+Inputs!$B$25+Inputs!$B$29,IF(Skills!C19=2,90+Inputs!$B$26+Inputs!$B$29,IF(Skills!C19=3,120+Inputs!$B$27+Inputs!$B$29,MAX(0,(Inputs!$B$3-100)*3)+Inputs!$B$28+Inputs!$B$29)))</f>
        <v>185</v>
      </c>
      <c r="E1057">
        <f>INDEX(FactorTable!$B$2:$Y$301, MATCH(ROUND(MIN(300,MAX(1,D1057)),0), FactorTable!$A$2:$A$301,0), Skills!M19+1)</f>
        <v>1740</v>
      </c>
      <c r="F1057">
        <f>IF(Skills!N19=TRUE,(Skills!L19/10)*(E1057/1000),Skills!L19/10)+Skills!O19</f>
        <v>37.700579999999995</v>
      </c>
      <c r="G1057">
        <f>Calc!G19</f>
        <v>1</v>
      </c>
      <c r="H1057">
        <f>Calc!H19</f>
        <v>1</v>
      </c>
      <c r="I1057">
        <f>IF(Skills!X19&lt;&gt;"",1+(Skills!X19/10)*(Z1041/1000)/100,1)</f>
        <v>1</v>
      </c>
      <c r="O1057">
        <f>(1-Summary!$B$11)*S1057+Summary!$B$11*U1057</f>
        <v>0</v>
      </c>
      <c r="P1057">
        <f>IF(B1079=0,0,O1057/B1079)</f>
        <v>0</v>
      </c>
      <c r="Q1057">
        <f>IFERROR(1/(IF(Inputs!$B$38="pvp",15,MAX(0.1,Skills!E19-IF(TRUE=TRUE,(Inputs!$B$32+1),0)))*(1-IF(AND(ArtifactsInput!$M$27,Inputs!$B$4="Chapter Hunt"),CHOOSE(ArtifactsInput!$N$27+1,20,24,28,32,36,40),0)/100)),0)</f>
        <v>3.4482758620689655E-2</v>
      </c>
      <c r="R1057">
        <f>IF(AND(Inputs!$B$38&lt;&gt;"pvp",Inputs!$B$43&gt;0),IF(Inputs!$B$43&lt;=0,0,(INT(Inputs!$B$43/(IF(Inputs!$B$38="pvp",15,MAX(0.1,Skills!E19-IF(TRUE=TRUE,(Inputs!$B$32+1),0)))*(1-IF(AND(ArtifactsInput!$M$27,Inputs!$B$4="Chapter Hunt"),CHOOSE(ArtifactsInput!$N$27+1,20,24,28,32,36,40),0)/100)))+1)),0)</f>
        <v>2</v>
      </c>
      <c r="S1057">
        <v>0</v>
      </c>
      <c r="U1057">
        <v>0</v>
      </c>
    </row>
    <row r="1058" spans="1:21" x14ac:dyDescent="0.2">
      <c r="A1058" t="str">
        <f>Skills!A20</f>
        <v>MAGIC_CRITICAL_RATE</v>
      </c>
      <c r="B1058" t="str">
        <f>Skills!B20</f>
        <v>Magic Critical (Crit Rate)</v>
      </c>
      <c r="C1058" t="b">
        <f>TRUE</f>
        <v>1</v>
      </c>
      <c r="D1058">
        <f>IF(Skills!C20=1,60+Inputs!$B$25+Inputs!$B$29,IF(Skills!C20=2,90+Inputs!$B$26+Inputs!$B$29,IF(Skills!C20=3,120+Inputs!$B$27+Inputs!$B$29,MAX(0,(Inputs!$B$3-100)*3)+Inputs!$B$28+Inputs!$B$29)))</f>
        <v>184</v>
      </c>
      <c r="E1058">
        <f>INDEX(FactorTable!$B$2:$Y$301, MATCH(ROUND(MIN(300,MAX(1,D1058)),0), FactorTable!$A$2:$A$301,0), Skills!M20+1)</f>
        <v>1552</v>
      </c>
      <c r="F1058">
        <f>IF(Skills!N20=TRUE,(Skills!L20/10)*(E1058/1000),Skills!L20/10)+Skills!O20</f>
        <v>12.416</v>
      </c>
      <c r="G1058">
        <f>Calc!G20</f>
        <v>1</v>
      </c>
      <c r="H1058">
        <f>Calc!H20</f>
        <v>1</v>
      </c>
      <c r="I1058">
        <f>IF(Skills!X20&lt;&gt;"",1+(Skills!X20/10)*(Z1041/1000)/100,1)</f>
        <v>1</v>
      </c>
      <c r="O1058">
        <f>(1-Summary!$B$11)*S1058+Summary!$B$11*U1058</f>
        <v>0</v>
      </c>
      <c r="P1058">
        <f>IF(B1079=0,0,O1058/B1079)</f>
        <v>0</v>
      </c>
      <c r="Q1058">
        <f>IFERROR(1/(IF(Inputs!$B$38="pvp",15,MAX(0.1,Skills!E20-IF(TRUE=TRUE,(Inputs!$B$32+1),0)))*(1-IF(AND(ArtifactsInput!$M$27,Inputs!$B$4="Chapter Hunt"),CHOOSE(ArtifactsInput!$N$27+1,20,24,28,32,36,40),0)/100)),0)</f>
        <v>10</v>
      </c>
      <c r="R1058">
        <v>0</v>
      </c>
      <c r="S1058">
        <v>0</v>
      </c>
      <c r="U1058">
        <v>0</v>
      </c>
    </row>
    <row r="1059" spans="1:21" x14ac:dyDescent="0.2">
      <c r="A1059" t="str">
        <f>Skills!A21</f>
        <v>MAGIC_CRITICAL_DAMAGE</v>
      </c>
      <c r="B1059" t="str">
        <f>Skills!B21</f>
        <v>Magic Critical (Crit Damage)</v>
      </c>
      <c r="C1059" t="b">
        <f>TRUE</f>
        <v>1</v>
      </c>
      <c r="D1059">
        <f>IF(Skills!C21=1,60+Inputs!$B$25+Inputs!$B$29,IF(Skills!C21=2,90+Inputs!$B$26+Inputs!$B$29,IF(Skills!C21=3,120+Inputs!$B$27+Inputs!$B$29,MAX(0,(Inputs!$B$3-100)*3)+Inputs!$B$28+Inputs!$B$29)))</f>
        <v>184</v>
      </c>
      <c r="E1059">
        <f>INDEX(FactorTable!$B$2:$Y$301, MATCH(ROUND(MIN(300,MAX(1,D1059)),0), FactorTable!$A$2:$A$301,0), Skills!M21+1)</f>
        <v>1552</v>
      </c>
      <c r="F1059">
        <f>IF(Skills!N21=TRUE,(Skills!L21/10)*(E1059/1000),Skills!L21/10)+Skills!O21</f>
        <v>18.624000000000002</v>
      </c>
      <c r="G1059">
        <f>Calc!G21</f>
        <v>1</v>
      </c>
      <c r="H1059">
        <f>Calc!H21</f>
        <v>1</v>
      </c>
      <c r="I1059">
        <f>IF(Skills!X21&lt;&gt;"",1+(Skills!X21/10)*(Z1041/1000)/100,1)</f>
        <v>1</v>
      </c>
      <c r="O1059">
        <f>(1-Summary!$B$11)*S1059+Summary!$B$11*U1059</f>
        <v>0</v>
      </c>
      <c r="P1059">
        <f>IF(B1079=0,0,O1059/B1079)</f>
        <v>0</v>
      </c>
      <c r="Q1059">
        <f>IFERROR(1/(IF(Inputs!$B$38="pvp",15,MAX(0.1,Skills!E21-IF(TRUE=TRUE,(Inputs!$B$32+1),0)))*(1-IF(AND(ArtifactsInput!$M$27,Inputs!$B$4="Chapter Hunt"),CHOOSE(ArtifactsInput!$N$27+1,20,24,28,32,36,40),0)/100)),0)</f>
        <v>10</v>
      </c>
      <c r="R1059">
        <v>0</v>
      </c>
      <c r="S1059">
        <v>0</v>
      </c>
      <c r="U1059">
        <v>0</v>
      </c>
    </row>
    <row r="1060" spans="1:21" x14ac:dyDescent="0.2">
      <c r="A1060" t="str">
        <f>Skills!A22</f>
        <v>SPELL_MASTERY</v>
      </c>
      <c r="B1060" t="str">
        <f>Skills!B22</f>
        <v>Spell Mastery</v>
      </c>
      <c r="C1060" t="b">
        <f>TRUE</f>
        <v>1</v>
      </c>
      <c r="D1060">
        <f>IF(Skills!C22=1,60+Inputs!$B$25+Inputs!$B$29,IF(Skills!C22=2,90+Inputs!$B$26+Inputs!$B$29,IF(Skills!C22=3,120+Inputs!$B$27+Inputs!$B$29,MAX(0,(Inputs!$B$3-100)*3)+Inputs!$B$28+Inputs!$B$29)))</f>
        <v>168</v>
      </c>
      <c r="E1060">
        <f>INDEX(FactorTable!$B$2:$Y$301, MATCH(ROUND(MIN(300,MAX(1,D1060)),0), FactorTable!$A$2:$A$301,0), Skills!M22+1)</f>
        <v>1504</v>
      </c>
      <c r="F1060">
        <f>IF(Skills!N22=TRUE,(Skills!L22/10)*(E1060/1000),Skills!L22/10)+Skills!O22</f>
        <v>22.56</v>
      </c>
      <c r="G1060">
        <f>Calc!G22</f>
        <v>1</v>
      </c>
      <c r="H1060">
        <f>Calc!H22</f>
        <v>1</v>
      </c>
      <c r="I1060">
        <f>IF(Skills!X22&lt;&gt;"",1+(Skills!X22/10)*(Z1041/1000)/100,1)</f>
        <v>1</v>
      </c>
      <c r="O1060">
        <f>(1-Summary!$B$11)*S1060+Summary!$B$11*U1060</f>
        <v>0</v>
      </c>
      <c r="P1060">
        <f>IF(B1079=0,0,O1060/B1079)</f>
        <v>0</v>
      </c>
      <c r="Q1060">
        <f>IFERROR(1/(IF(Inputs!$B$38="pvp",15,MAX(0.1,Skills!E22-IF(TRUE=TRUE,(Inputs!$B$32+1),0)))*(1-IF(AND(ArtifactsInput!$M$27,Inputs!$B$4="Chapter Hunt"),CHOOSE(ArtifactsInput!$N$27+1,20,24,28,32,36,40),0)/100)),0)</f>
        <v>10</v>
      </c>
      <c r="R1060">
        <v>0</v>
      </c>
      <c r="S1060">
        <v>0</v>
      </c>
      <c r="U1060">
        <v>0</v>
      </c>
    </row>
    <row r="1061" spans="1:21" x14ac:dyDescent="0.2">
      <c r="A1061" t="str">
        <f>Skills!A23</f>
        <v>ELEMENT_AMPLIFICATION</v>
      </c>
      <c r="B1061" t="str">
        <f>Skills!B23</f>
        <v>Element Amplification</v>
      </c>
      <c r="C1061" t="b">
        <f>TRUE</f>
        <v>1</v>
      </c>
      <c r="D1061">
        <f>IF(Skills!C23=1,60+Inputs!$B$25+Inputs!$B$29,IF(Skills!C23=2,90+Inputs!$B$26+Inputs!$B$29,IF(Skills!C23=3,120+Inputs!$B$27+Inputs!$B$29,MAX(0,(Inputs!$B$3-100)*3)+Inputs!$B$28+Inputs!$B$29)))</f>
        <v>185</v>
      </c>
      <c r="E1061">
        <f>INDEX(FactorTable!$B$2:$Y$301, MATCH(ROUND(MIN(300,MAX(1,D1061)),0), FactorTable!$A$2:$A$301,0), Skills!M23+1)</f>
        <v>1555</v>
      </c>
      <c r="F1061">
        <f>IF(Skills!N23=TRUE,(Skills!L23/10)*(E1061/1000),Skills!L23/10)+Skills!O23</f>
        <v>23.324999999999999</v>
      </c>
      <c r="G1061">
        <f>Calc!G23</f>
        <v>1</v>
      </c>
      <c r="H1061">
        <f>Calc!H23</f>
        <v>1</v>
      </c>
      <c r="I1061">
        <f>IF(Skills!X23&lt;&gt;"",1+(Skills!X23/10)*(Z1041/1000)/100,1)</f>
        <v>1</v>
      </c>
      <c r="O1061">
        <f>(1-Summary!$B$11)*S1061+Summary!$B$11*U1061</f>
        <v>0</v>
      </c>
      <c r="P1061">
        <f>IF(B1079=0,0,O1061/B1079)</f>
        <v>0</v>
      </c>
      <c r="Q1061">
        <f>IFERROR(1/(IF(Inputs!$B$38="pvp",15,MAX(0.1,Skills!E23-IF(TRUE=TRUE,(Inputs!$B$32+1),0)))*(1-IF(AND(ArtifactsInput!$M$27,Inputs!$B$4="Chapter Hunt"),CHOOSE(ArtifactsInput!$N$27+1,20,24,28,32,36,40),0)/100)),0)</f>
        <v>10</v>
      </c>
      <c r="R1061">
        <v>0</v>
      </c>
      <c r="S1061">
        <v>0</v>
      </c>
      <c r="U1061">
        <v>0</v>
      </c>
    </row>
    <row r="1062" spans="1:21" x14ac:dyDescent="0.2">
      <c r="A1062" t="str">
        <f>Skills!A24</f>
        <v>IFRIT</v>
      </c>
      <c r="B1062" t="str">
        <f>Skills!B24</f>
        <v>Ifrit</v>
      </c>
      <c r="C1062" t="b">
        <f>Inputs!$B$3&gt;=115</f>
        <v>1</v>
      </c>
      <c r="D1062">
        <f>IF(Skills!C24=1,60+Inputs!$B$25+Inputs!$B$29,IF(Skills!C24=2,90+Inputs!$B$26+Inputs!$B$29,IF(Skills!C24=3,120+Inputs!$B$27+Inputs!$B$29,MAX(0,(Inputs!$B$3-100)*3)+Inputs!$B$28+Inputs!$B$29)))</f>
        <v>185</v>
      </c>
      <c r="E1062">
        <f>INDEX(FactorTable!$B$2:$Y$301, MATCH(ROUND(MIN(300,MAX(1,D1062)),0), FactorTable!$A$2:$A$301,0), Skills!M24+1)</f>
        <v>1925</v>
      </c>
      <c r="F1062">
        <f>IF(Skills!N24=TRUE,(Skills!L24/10)*(E1062/1000),Skills!L24/10)+Skills!O24</f>
        <v>6737.5</v>
      </c>
      <c r="G1062">
        <f>Calc!G24</f>
        <v>7.5</v>
      </c>
      <c r="H1062">
        <f>Calc!H24</f>
        <v>1</v>
      </c>
      <c r="I1062">
        <f>IF(Skills!X24&lt;&gt;"",1+(Skills!X24/10)*(Z1041/1000)/100,1)</f>
        <v>1</v>
      </c>
      <c r="J1062">
        <f>((Inputs!$B$6*(1+Inputs!$B$7/100))+(((Inputs!$B$12*(1+Inputs!$B$13/100))-(Inputs!$B$12*(1+Inputs!$B$13/100)))+0.25*(Inputs!$B$14-Inputs!$B$14))*(1+Inputs!$B$7/100))*(F1062/100)</f>
        <v>24331438378.718628</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123896077218022.89</v>
      </c>
      <c r="L1062">
        <f>K1062*(MIN(Inputs!$B$22+(F1060-Calc!F22),(Inputs!$B$23+(IF(ArtifactsInput!$M$15,CHOOSE(ArtifactsInput!$N$15+1,25,30,35,40,45,50)/100*(Inputs!$B$11-Inputs!$B$11),0))))/100+(Inputs!$B$23+(IF(ArtifactsInput!$M$15,CHOOSE(ArtifactsInput!$N$15+1,25,30,35,40,45,50)/100*(Inputs!$B$11-Inputs!$B$11),0)))/100)/2</f>
        <v>411954456749926.12</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1944013081402901.2</v>
      </c>
      <c r="N1062">
        <f>L1062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1944013081402901.2</v>
      </c>
      <c r="O1062">
        <f>(1-Summary!$B$11)*S1062+Summary!$B$11*U1062</f>
        <v>2223464961854568.2</v>
      </c>
      <c r="P1062">
        <f>IF(B1079=0,0,O1062/B1079)</f>
        <v>6.6533293176770841E-2</v>
      </c>
      <c r="Q1062">
        <f>IFERROR(1/(IF(Inputs!$B$38="pvp",15,MAX(0.1,Skills!E24-IF(TRUE=TRUE,(Inputs!$B$32+1),0)))*(1-IF(AND(ArtifactsInput!$M$27,Inputs!$B$4="Chapter Hunt"),CHOOSE(ArtifactsInput!$N$27+1,20,24,28,32,36,40),0)/100)),0)</f>
        <v>1.2658227848101266E-2</v>
      </c>
      <c r="R1062">
        <f>IF(AND(Inputs!$B$38&lt;&gt;"pvp",Inputs!$B$43&gt;0),IF(MAX(0,Inputs!$B$43-B1076)&lt;=0,0,(INT(MAX(0,Inputs!$B$43-B1076)/(IF(Inputs!$B$38="pvp",15,MAX(0.1,Skills!E24-IF(TRUE=TRUE,(Inputs!$B$32+1),0)))*(1-IF(AND(ArtifactsInput!$M$27,Inputs!$B$4="Chapter Hunt"),CHOOSE(ArtifactsInput!$N$27+1,20,24,28,32,36,40),0)/100)))+1)),0)</f>
        <v>1</v>
      </c>
      <c r="S1062">
        <f>IF(C1062,(H1062*N1062*IF(AND(Inputs!$B$38&lt;&gt;"pvp",Inputs!$B$43&gt;0),((Skills!G24*((R1062-1)*IF(Skills!H24&gt;0,Skills!I24/Skills!H24,1)+IF(Skills!H24&gt;0,MIN(Skills!I24,MAX(0,MAX(0,Inputs!$B$43-B1076)-((R1062-1)*(IF(Inputs!$B$38="pvp",15,MAX(0.1,Skills!E24-IF(TRUE=TRUE,(Inputs!$B$32+1),0)))*(1-IF(AND(ArtifactsInput!$M$27,Inputs!$B$4="Chapter Hunt"),CHOOSE(ArtifactsInput!$N$27+1,20,24,28,32,36,40),0)/100)))))/Skills!H24,1)))/Inputs!$B$43),G1062*Q1062)*(1+IF(Inputs!$B$3&gt;=130,0.2*(Skills!I16/(1/Q1053)+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1155472775258849.5</v>
      </c>
      <c r="U1062">
        <f>IF(C1062,(H1062*N1062*IF(AND(Inputs!$B$38&lt;&gt;"pvp",Inputs!$B$43&gt;0),((Skills!G24*((R1062-1)*IF(Skills!H24&gt;0,Skills!I24/Skills!H24,1)+IF(Skills!H24&gt;0,MIN(Skills!I24,MAX(0,MAX(0,Inputs!$B$43-B1076)-((R1062-1)*(IF(Inputs!$B$38="pvp",15,MAX(0.1,Skills!E24-IF(TRUE=TRUE,(Inputs!$B$32+1),0)))*(1-IF(AND(ArtifactsInput!$M$27,Inputs!$B$4="Chapter Hunt"),CHOOSE(ArtifactsInput!$N$27+1,20,24,28,32,36,40),0)/100)))))/Skills!H24,1)))/Inputs!$B$43),G1062*Q1062)*(1+IF(Inputs!$B$3&gt;=130,0.2*(Skills!I16/(1/Q1053)+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3291457148450287</v>
      </c>
    </row>
    <row r="1063" spans="1:21" x14ac:dyDescent="0.2">
      <c r="A1063" t="str">
        <f>Skills!A25</f>
        <v>BUFF_MASTERY</v>
      </c>
      <c r="B1063" t="str">
        <f>Skills!B25</f>
        <v>Buff Mastery</v>
      </c>
      <c r="C1063" t="b">
        <f>Inputs!$B$3&gt;=117</f>
        <v>1</v>
      </c>
      <c r="D1063">
        <f>IF(Skills!C25=1,60+Inputs!$B$25+Inputs!$B$29,IF(Skills!C25=2,90+Inputs!$B$26+Inputs!$B$29,IF(Skills!C25=3,120+Inputs!$B$27+Inputs!$B$29,MAX(0,(Inputs!$B$3-100)*3)+Inputs!$B$28+Inputs!$B$29)))</f>
        <v>185</v>
      </c>
      <c r="E1063">
        <f>INDEX(FactorTable!$B$2:$Y$301, MATCH(ROUND(MIN(300,MAX(1,D1063)),0), FactorTable!$A$2:$A$301,0), Skills!M25+1)</f>
        <v>1555</v>
      </c>
      <c r="F1063">
        <f>IF(Skills!N25=TRUE,(Skills!L25/10)*(E1063/1000),Skills!L25/10)+Skills!O25</f>
        <v>15.549999999999999</v>
      </c>
      <c r="G1063">
        <f>Calc!G25</f>
        <v>1</v>
      </c>
      <c r="H1063">
        <f>Calc!H25</f>
        <v>1</v>
      </c>
      <c r="I1063">
        <f>IF(Skills!X25&lt;&gt;"",1+(Skills!X25/10)*(Z1041/1000)/100,1)</f>
        <v>1</v>
      </c>
      <c r="O1063">
        <f>(1-Summary!$B$11)*S1063+Summary!$B$11*U1063</f>
        <v>0</v>
      </c>
      <c r="P1063">
        <f>IF(B1079=0,0,O1063/B1079)</f>
        <v>0</v>
      </c>
      <c r="Q1063">
        <f>IFERROR(1/(IF(Inputs!$B$38="pvp",15,MAX(0.1,Skills!E25-IF(TRUE=TRUE,(Inputs!$B$32+1),0)))*(1-IF(AND(ArtifactsInput!$M$27,Inputs!$B$4="Chapter Hunt"),CHOOSE(ArtifactsInput!$N$27+1,20,24,28,32,36,40),0)/100)),0)</f>
        <v>10</v>
      </c>
      <c r="R1063">
        <v>0</v>
      </c>
      <c r="S1063">
        <v>0</v>
      </c>
      <c r="U1063">
        <v>0</v>
      </c>
    </row>
    <row r="1064" spans="1:21" x14ac:dyDescent="0.2">
      <c r="A1064" t="str">
        <f>Skills!A26</f>
        <v>ARCANE_AIM</v>
      </c>
      <c r="B1064" t="str">
        <f>Skills!B26</f>
        <v>Arcane Aim</v>
      </c>
      <c r="C1064" t="b">
        <f>Inputs!$B$3&gt;=120</f>
        <v>0</v>
      </c>
      <c r="D1064">
        <f>IF(Skills!C26=1,60+Inputs!$B$25+Inputs!$B$29,IF(Skills!C26=2,90+Inputs!$B$26+Inputs!$B$29,IF(Skills!C26=3,120+Inputs!$B$27+Inputs!$B$29,MAX(0,(Inputs!$B$3-100)*3)+Inputs!$B$28+Inputs!$B$29)))</f>
        <v>185</v>
      </c>
      <c r="E1064">
        <f>INDEX(FactorTable!$B$2:$Y$301, MATCH(ROUND(MIN(300,MAX(1,D1064)),0), FactorTable!$A$2:$A$301,0), Skills!M26+1)</f>
        <v>1555</v>
      </c>
      <c r="F1064">
        <f>IF(Skills!N26=TRUE,(Skills!L26/10)*(E1064/1000),Skills!L26/10)+Skills!O26</f>
        <v>4.665</v>
      </c>
      <c r="G1064">
        <f>Calc!G26</f>
        <v>1</v>
      </c>
      <c r="H1064">
        <f>Calc!H26</f>
        <v>1</v>
      </c>
      <c r="I1064">
        <f>IF(Skills!X26&lt;&gt;"",1+(Skills!X26/10)*(Z1041/1000)/100,1)</f>
        <v>1</v>
      </c>
      <c r="O1064">
        <f>(1-Summary!$B$11)*S1064+Summary!$B$11*U1064</f>
        <v>0</v>
      </c>
      <c r="P1064">
        <f>IF(B1079=0,0,O1064/B1079)</f>
        <v>0</v>
      </c>
      <c r="Q1064">
        <f>IFERROR(1/(IF(Inputs!$B$38="pvp",15,MAX(0.1,Skills!E26-IF(TRUE=TRUE,(Inputs!$B$32+1),0)))*(1-IF(AND(ArtifactsInput!$M$27,Inputs!$B$4="Chapter Hunt"),CHOOSE(ArtifactsInput!$N$27+1,20,24,28,32,36,40),0)/100)),0)</f>
        <v>10</v>
      </c>
      <c r="R1064">
        <v>0</v>
      </c>
      <c r="S1064">
        <v>0</v>
      </c>
      <c r="U1064">
        <v>0</v>
      </c>
    </row>
    <row r="1065" spans="1:21" x14ac:dyDescent="0.2">
      <c r="A1065" t="str">
        <f>Skills!A27</f>
        <v>FERVENT_DRAIN</v>
      </c>
      <c r="B1065" t="str">
        <f>Skills!B27</f>
        <v>Fervent Drain</v>
      </c>
      <c r="C1065" t="b">
        <f>Inputs!$B$3&gt;=125</f>
        <v>0</v>
      </c>
      <c r="D1065">
        <f>IF(Skills!C27=1,60+Inputs!$B$25+Inputs!$B$29,IF(Skills!C27=2,90+Inputs!$B$26+Inputs!$B$29,IF(Skills!C27=3,120+Inputs!$B$27+Inputs!$B$29,MAX(0,(Inputs!$B$3-100)*3)+Inputs!$B$28+Inputs!$B$29)))</f>
        <v>185</v>
      </c>
      <c r="E1065">
        <f>INDEX(FactorTable!$B$2:$Y$301, MATCH(ROUND(MIN(300,MAX(1,D1065)),0), FactorTable!$A$2:$A$301,0), Skills!M27+1)</f>
        <v>1555</v>
      </c>
      <c r="F1065">
        <f>IF(Skills!N27=TRUE,(Skills!L27/10)*(E1065/1000),Skills!L27/10)+Skills!O27</f>
        <v>6.22</v>
      </c>
      <c r="G1065">
        <f>Calc!G27</f>
        <v>1</v>
      </c>
      <c r="H1065">
        <f>Calc!H27</f>
        <v>1</v>
      </c>
      <c r="I1065">
        <f>IF(Skills!X27&lt;&gt;"",1+(Skills!X27/10)*(Z1041/1000)/100,1)</f>
        <v>1</v>
      </c>
      <c r="O1065">
        <f>(1-Summary!$B$11)*S1065+Summary!$B$11*U1065</f>
        <v>0</v>
      </c>
      <c r="P1065">
        <f>IF(B1079=0,0,O1065/B1079)</f>
        <v>0</v>
      </c>
      <c r="Q1065">
        <f>IFERROR(1/(IF(Inputs!$B$38="pvp",15,MAX(0.1,Skills!E27-IF(TRUE=TRUE,(Inputs!$B$32+1),0)))*(1-IF(AND(ArtifactsInput!$M$27,Inputs!$B$4="Chapter Hunt"),CHOOSE(ArtifactsInput!$N$27+1,20,24,28,32,36,40),0)/100)),0)</f>
        <v>10</v>
      </c>
      <c r="R1065">
        <v>0</v>
      </c>
      <c r="S1065">
        <v>0</v>
      </c>
      <c r="U1065">
        <v>0</v>
      </c>
    </row>
    <row r="1066" spans="1:21" x14ac:dyDescent="0.2">
      <c r="A1066" t="str">
        <f>Skills!A28</f>
        <v>FLAME_HAZE_FOG</v>
      </c>
      <c r="B1066" t="str">
        <f>Skills!B28</f>
        <v>Flame Haze (poison fog DoT)</v>
      </c>
      <c r="C1066" t="b">
        <f>Inputs!$B$3&gt;=118</f>
        <v>0</v>
      </c>
      <c r="D1066">
        <f>IF(Skills!C28=1,60+Inputs!$B$25+Inputs!$B$29,IF(Skills!C28=2,90+Inputs!$B$26+Inputs!$B$29,IF(Skills!C28=3,120+Inputs!$B$27+Inputs!$B$29,MAX(0,(Inputs!$B$3-100)*3)+Inputs!$B$28+Inputs!$B$29)))</f>
        <v>185</v>
      </c>
      <c r="E1066">
        <f>INDEX(FactorTable!$B$2:$Y$301, MATCH(ROUND(MIN(300,MAX(1,D1066)),0), FactorTable!$A$2:$A$301,0), Skills!M28+1)</f>
        <v>1925</v>
      </c>
      <c r="F1066">
        <f>IF(Skills!N28=TRUE,(Skills!L28/10)*(E1066/1000),Skills!L28/10)+Skills!O28</f>
        <v>134.75</v>
      </c>
      <c r="G1066">
        <f>Calc!G28</f>
        <v>50</v>
      </c>
      <c r="H1066">
        <f>Calc!H28</f>
        <v>1</v>
      </c>
      <c r="I1066">
        <f>IF(Skills!X28&lt;&gt;"",1+(Skills!X28/10)*(Z1041/1000)/100,1)</f>
        <v>1</v>
      </c>
      <c r="J1066">
        <f>((Inputs!$B$6*(1+Inputs!$B$7/100))+(((Inputs!$B$12*(1+Inputs!$B$13/100))-(Inputs!$B$12*(1+Inputs!$B$13/100)))+0.25*(Inputs!$B$14-Inputs!$B$14))*(1+Inputs!$B$7/100))*(F1066/100)</f>
        <v>486628767.57437253</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2477921544360.4575</v>
      </c>
      <c r="L1066">
        <f>K1066*(MIN(Inputs!$B$22+(F1060-Calc!F22),(Inputs!$B$23+(IF(ArtifactsInput!$M$15,CHOOSE(ArtifactsInput!$N$15+1,25,30,35,40,45,50)/100*(Inputs!$B$11-Inputs!$B$11),0))))/100+(Inputs!$B$23+(IF(ArtifactsInput!$M$15,CHOOSE(ArtifactsInput!$N$15+1,25,30,35,40,45,50)/100*(Inputs!$B$11-Inputs!$B$11),0)))/100)/2</f>
        <v>8239089134998.5215</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38880261628058.016</v>
      </c>
      <c r="N1066">
        <f>L1066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38880261628058.016</v>
      </c>
      <c r="O1066">
        <f>(1-Summary!$B$11)*S1066+Summary!$B$11*U1066</f>
        <v>0</v>
      </c>
      <c r="P1066">
        <f>IF(B1079=0,0,O1066/B1079)</f>
        <v>0</v>
      </c>
      <c r="Q1066">
        <f>IFERROR(1/(IF(Inputs!$B$38="pvp",15,MAX(0.1,Skills!E28-IF(TRUE=TRUE,(Inputs!$B$32+1),0)))*(1-IF(AND(ArtifactsInput!$M$27,Inputs!$B$4="Chapter Hunt"),CHOOSE(ArtifactsInput!$N$27+1,20,24,28,32,36,40),0)/100)),0)</f>
        <v>4.1666666666666664E-2</v>
      </c>
      <c r="R1066">
        <f>IF(AND(Inputs!$B$38&lt;&gt;"pvp",Inputs!$B$43&gt;0),IF(MAX(0,Inputs!$B$43-B1076)&lt;=0,0,(INT(MAX(0,Inputs!$B$43-B1076)/(IF(Inputs!$B$38="pvp",15,MAX(0.1,Skills!E28-IF(TRUE=TRUE,(Inputs!$B$32+1),0)))*(1-IF(AND(ArtifactsInput!$M$27,Inputs!$B$4="Chapter Hunt"),CHOOSE(ArtifactsInput!$N$27+1,20,24,28,32,36,40),0)/100)))+1)),0)</f>
        <v>2</v>
      </c>
      <c r="S1066">
        <f>IF(C1066,(H1066*N1066*IF(AND(Inputs!$B$38&lt;&gt;"pvp",Inputs!$B$43&gt;0),((Skills!G28*((R1066-1)*IF(Skills!H28&gt;0,Skills!I28/Skills!H28,1)+IF(Skills!H28&gt;0,MIN(Skills!I28,MAX(0,MAX(0,Inputs!$B$43-B1076)-((R1066-1)*(IF(Inputs!$B$38="pvp",15,MAX(0.1,Skills!E28-IF(TRUE=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066">
        <f>IF(C1066,(H1066*N1066*IF(AND(Inputs!$B$38&lt;&gt;"pvp",Inputs!$B$43&gt;0),((Skills!G28*((R1066-1)*IF(Skills!H28&gt;0,Skills!I28/Skills!H28,1)+IF(Skills!H28&gt;0,MIN(Skills!I28,MAX(0,MAX(0,Inputs!$B$43-B1076)-((R1066-1)*(IF(Inputs!$B$38="pvp",15,MAX(0.1,Skills!E28-IF(TRUE=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68" spans="1:21" x14ac:dyDescent="0.2">
      <c r="A1068" t="s">
        <v>356</v>
      </c>
      <c r="B1068">
        <f>1+(F1049*Skills!Z11)/100</f>
        <v>1.25</v>
      </c>
    </row>
    <row r="1069" spans="1:21" x14ac:dyDescent="0.2">
      <c r="A1069" t="s">
        <v>435</v>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1.18624</v>
      </c>
    </row>
    <row r="1070" spans="1:21" x14ac:dyDescent="0.2">
      <c r="A1070" t="s">
        <v>358</v>
      </c>
      <c r="B1070">
        <f>(1+(F1044*IF(AND(Inputs!$B$38&lt;&gt;"pvp",Inputs!$B$43&gt;0),(((R1044-1)*MIN((Skills!T6*(1+((Inputs!$B$34+(ArtifactsInput!$M$7-ArtifactsInput!$M$7)*CHOOSE(ArtifactsInput!$N$7+1,6,7.2,8.4,9.6,10.8,12)))/100)),(1/Q1044))+MIN((Skills!T6*(1+((Inputs!$B$34+(ArtifactsInput!$M$7-ArtifactsInput!$M$7)*CHOOSE(ArtifactsInput!$N$7+1,6,7.2,8.4,9.6,10.8,12)))/100)),MAX(0,Inputs!$B$43-((R1044-1)*(1/Q1044)))))/Inputs!$B$43),IF(Inputs!$B$38="pvp",MIN((Skills!T6*(1+((Inputs!$B$34+(ArtifactsInput!$M$7-ArtifactsInput!$M$7)*CHOOSE(ArtifactsInput!$N$7+1,6,7.2,8.4,9.6,10.8,12)))/100)),15)/15,MIN(1,(Skills!T6*(1+((Inputs!$B$34+(ArtifactsInput!$M$7-ArtifactsInput!$M$7)*CHOOSE(ArtifactsInput!$N$7+1,6,7.2,8.4,9.6,10.8,12)))/100))/(1/Q1044))))+F1055*IF(AND(Inputs!$B$38&lt;&gt;"pvp",Inputs!$B$43&gt;0),(((R1055-1)*MIN((Skills!T17*(1+((Inputs!$B$34+(ArtifactsInput!$M$7-ArtifactsInput!$M$7)*CHOOSE(ArtifactsInput!$N$7+1,6,7.2,8.4,9.6,10.8,12)))/100)),(1/Q1055))+MIN((Skills!T17*(1+((Inputs!$B$34+(ArtifactsInput!$M$7-ArtifactsInput!$M$7)*CHOOSE(ArtifactsInput!$N$7+1,6,7.2,8.4,9.6,10.8,12)))/100)),MAX(0,Inputs!$B$43-((R1055-1)*(1/Q1055)))))/Inputs!$B$43),IF(Inputs!$B$38="pvp",MIN((Skills!T17*(1+((Inputs!$B$34+(ArtifactsInput!$M$7-ArtifactsInput!$M$7)*CHOOSE(ArtifactsInput!$N$7+1,6,7.2,8.4,9.6,10.8,12)))/100)),15)/15,MIN(1,(Skills!T17*(1+((Inputs!$B$34+(ArtifactsInput!$M$7-ArtifactsInput!$M$7)*CHOOSE(ArtifactsInput!$N$7+1,6,7.2,8.4,9.6,10.8,12)))/100))/(1/Q1055)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MIN((Skills!T19*(1+((Inputs!$B$34+(ArtifactsInput!$M$7-ArtifactsInput!$M$7)*CHOOSE(ArtifactsInput!$N$7+1,6,7.2,8.4,9.6,10.8,12)))/100)),(1/Q1057))+MIN((Skills!T19*(1+((Inputs!$B$34+(ArtifactsInput!$M$7-ArtifactsInput!$M$7)*CHOOSE(ArtifactsInput!$N$7+1,6,7.2,8.4,9.6,10.8,12)))/100)),MAX(0,Inputs!$B$43-((R1057-1)*(1/Q1057)))))/Inputs!$B$43),IF(Inputs!$B$38="pvp",MIN((Skills!T19*(1+((Inputs!$B$34+(ArtifactsInput!$M$7-ArtifactsInput!$M$7)*CHOOSE(ArtifactsInput!$N$7+1,6,7.2,8.4,9.6,10.8,12)))/100)),15)/15,MIN(1,(Skills!T19*(1+((Inputs!$B$34+(ArtifactsInput!$M$7-ArtifactsInput!$M$7)*CHOOSE(ArtifactsInput!$N$7+1,6,7.2,8.4,9.6,10.8,12)))/100))/(1/Q1057))))/100),1)</f>
        <v>1.8206378673096157</v>
      </c>
    </row>
    <row r="1071" spans="1:21" x14ac:dyDescent="0.2">
      <c r="A1071" t="s">
        <v>359</v>
      </c>
      <c r="B1071">
        <f>F1056*IF(AND(Inputs!$B$38&lt;&gt;"pvp",Inputs!$B$43&gt;0),(((R1056-1)*MIN((Skills!T18*(1+((Inputs!$B$34+(ArtifactsInput!$M$7-ArtifactsInput!$M$7)*CHOOSE(ArtifactsInput!$N$7+1,6,7.2,8.4,9.6,10.8,12)))/100)),(1/Q1056))+MIN((Skills!T18*(1+((Inputs!$B$34+(ArtifactsInput!$M$7-ArtifactsInput!$M$7)*CHOOSE(ArtifactsInput!$N$7+1,6,7.2,8.4,9.6,10.8,12)))/100)),MAX(0,Inputs!$B$43-((R1056-1)*(1/Q1056)))))/Inputs!$B$43),IF(Inputs!$B$38="pvp",MIN((Skills!T18*(1+((Inputs!$B$34+(ArtifactsInput!$M$7-ArtifactsInput!$M$7)*CHOOSE(ArtifactsInput!$N$7+1,6,7.2,8.4,9.6,10.8,12)))/100)),15)/15,MIN(1,(Skills!T18*(1+((Inputs!$B$34+(ArtifactsInput!$M$7-ArtifactsInput!$M$7)*CHOOSE(ArtifactsInput!$N$7+1,6,7.2,8.4,9.6,10.8,12)))/100))/(1/Q1056))))</f>
        <v>6.4968749999999993</v>
      </c>
    </row>
    <row r="1072" spans="1:21" x14ac:dyDescent="0.2">
      <c r="A1072" t="s">
        <v>436</v>
      </c>
      <c r="B1072">
        <f>1+MIN(150,150*(1-(1-(Inputs!$B$11+(ArtifactsInput!$M$15-ArtifactsInput!$M$15)*CHOOSE(ArtifactsInput!$N$15+1,8,9.6,11.2,12.8,14.4,16))/150)*(1-B1071/150)))/100</f>
        <v>1.6982958749999999</v>
      </c>
    </row>
    <row r="1073" spans="1:26" x14ac:dyDescent="0.2">
      <c r="A1073" t="s">
        <v>437</v>
      </c>
      <c r="B1073">
        <f>IF(AND(Inputs!$B$38&lt;&gt;"pvp",Inputs!$B$43&gt;0),SUMPRODUCT((Skills!F2:F28=TRUE)*(C1040:C1066=TRUE)*R1040:R1066)/Inputs!$B$43,SUMPRODUCT((Skills!F2:F28=TRUE)*(C1040:C1066=TRUE)*Q1040:Q1066))</f>
        <v>0.5</v>
      </c>
    </row>
    <row r="1074" spans="1:26" x14ac:dyDescent="0.2">
      <c r="A1074" t="s">
        <v>362</v>
      </c>
      <c r="B1074">
        <f>MAX(0,B1072-B1073)</f>
        <v>1.1982958749999999</v>
      </c>
    </row>
    <row r="1075" spans="1:26" x14ac:dyDescent="0.2">
      <c r="A1075" t="s">
        <v>438</v>
      </c>
      <c r="B1075">
        <f>IF(AND(Inputs!$B$38&lt;&gt;"pvp",Inputs!$B$43&gt;0),SUMPRODUCT((Skills!V2:V28=TRUE)*(C1040:C1066=TRUE)*R1040:R1066*Skills!W2:W28)/Inputs!$B$43,SUMPRODUCT((Skills!V2:V28=TRUE)*(C1040:C1066=TRUE)*Q1040:Q1066*Skills!W2:W28))+B1074</f>
        <v>1.5232958749999999</v>
      </c>
    </row>
    <row r="1076" spans="1:26" x14ac:dyDescent="0.2">
      <c r="A1076" t="s">
        <v>439</v>
      </c>
      <c r="B1076">
        <f>IF(AND(Inputs!$B$38&lt;&gt;"pvp",Inputs!$B$43&gt;0),SUMPRODUCT((Skills!T2:T28&gt;0)*(Skills!F2:F28=TRUE)*(C1040:C1066=TRUE))/B1072,0)</f>
        <v>2.3553021937358238</v>
      </c>
    </row>
    <row r="1077" spans="1:26" x14ac:dyDescent="0.2">
      <c r="A1077" t="s">
        <v>440</v>
      </c>
      <c r="B1077">
        <f>SUM(S1040:S1066)</f>
        <v>9634443877630294</v>
      </c>
    </row>
    <row r="1078" spans="1:26" x14ac:dyDescent="0.2">
      <c r="A1078" t="s">
        <v>441</v>
      </c>
      <c r="B1078">
        <f>SUM(U1040:U1066)</f>
        <v>5.720322056645764E+16</v>
      </c>
    </row>
    <row r="1079" spans="1:26" x14ac:dyDescent="0.2">
      <c r="A1079" s="6" t="s">
        <v>348</v>
      </c>
      <c r="B1079" s="6">
        <f>SUM(O1040:O1066)</f>
        <v>3.341883222204398E+16</v>
      </c>
    </row>
    <row r="1082" spans="1:26" x14ac:dyDescent="0.2">
      <c r="A1082" s="6" t="s">
        <v>464</v>
      </c>
    </row>
    <row r="1083" spans="1:26" x14ac:dyDescent="0.2">
      <c r="A1083" s="5" t="s">
        <v>136</v>
      </c>
      <c r="B1083" s="5" t="s">
        <v>137</v>
      </c>
      <c r="C1083" s="5" t="s">
        <v>328</v>
      </c>
      <c r="D1083" s="5" t="s">
        <v>329</v>
      </c>
      <c r="E1083" s="5" t="s">
        <v>330</v>
      </c>
      <c r="F1083" s="5" t="s">
        <v>331</v>
      </c>
      <c r="G1083" s="5" t="s">
        <v>332</v>
      </c>
      <c r="H1083" s="5" t="s">
        <v>333</v>
      </c>
      <c r="I1083" s="5" t="s">
        <v>334</v>
      </c>
      <c r="J1083" s="5" t="s">
        <v>335</v>
      </c>
      <c r="K1083" s="5" t="s">
        <v>336</v>
      </c>
      <c r="L1083" s="5" t="s">
        <v>337</v>
      </c>
      <c r="M1083" s="5" t="s">
        <v>338</v>
      </c>
      <c r="N1083" s="5" t="s">
        <v>339</v>
      </c>
      <c r="O1083" s="5" t="s">
        <v>340</v>
      </c>
      <c r="P1083" s="5" t="s">
        <v>341</v>
      </c>
      <c r="R1083" t="s">
        <v>434</v>
      </c>
    </row>
    <row r="1084" spans="1:26" x14ac:dyDescent="0.2">
      <c r="A1084" t="str">
        <f>Skills!A2</f>
        <v>BASIC_ATTACK</v>
      </c>
      <c r="B1084" t="str">
        <f>Skills!B2</f>
        <v>Basic Attack</v>
      </c>
      <c r="C1084" t="b">
        <f>TRUE</f>
        <v>1</v>
      </c>
      <c r="F1084">
        <f>T1086+Skills!O2</f>
        <v>537.6</v>
      </c>
      <c r="G1084">
        <f>Calc!G2</f>
        <v>5</v>
      </c>
      <c r="H1084">
        <f>Calc!H2</f>
        <v>1</v>
      </c>
      <c r="I1084">
        <f>IF(Skills!X2&lt;&gt;"",1+(Skills!X2/10)*(Z1085/1000)/100,1)</f>
        <v>1</v>
      </c>
      <c r="J1084">
        <f>((Inputs!$B$6*(1+Inputs!$B$7/100))+(((Inputs!$B$12*(1+Inputs!$B$13/100))-(Inputs!$B$12*(1+Inputs!$B$13/100)))+0.25*(Inputs!$B$14-Inputs!$B$14))*(1+Inputs!$B$7/100))*(F1084/100)</f>
        <v>1941459186.9980164</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6620290711466.1074</v>
      </c>
      <c r="L1084">
        <f>K1084*(MIN(Inputs!$B$22+(F1104-Calc!F22),(Inputs!$B$23+(IF(ArtifactsInput!$M$15,CHOOSE(ArtifactsInput!$N$15+1,25,30,35,40,45,50)/100*(Inputs!$B$11-Inputs!$B$11),0))))/100+(Inputs!$B$23+(IF(ArtifactsInput!$M$15,CHOOSE(ArtifactsInput!$N$15+1,25,30,35,40,45,50)/100*(Inputs!$B$11-Inputs!$B$11),0)))/100)/2</f>
        <v>22012466615624.809</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084">
        <f>L1084*(1-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084">
        <f>(1-Summary!$B$11)*S1084+Summary!$B$11*U1084</f>
        <v>1.346964234529094E+16</v>
      </c>
      <c r="P1084">
        <f>IF(B1123=0,0,O1084/B1123)</f>
        <v>0.39566481620892235</v>
      </c>
      <c r="Q1084">
        <f>IFERROR(1/(IF(Inputs!$B$38="pvp",15,MAX(0.1,Skills!E2-IF(TRUE=TRUE,Inputs!$B$32,0)))*(1-IF(AND(ArtifactsInput!$M$27,Inputs!$B$4="Chapter Hunt"),CHOOSE(ArtifactsInput!$N$27+1,20,24,28,32,36,40),0)/100)),0)</f>
        <v>10</v>
      </c>
      <c r="R1084">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084">
        <f>MAX(0,(Inputs!$B$3-100)*3)+Inputs!$B$28+Inputs!$B$29</f>
        <v>185</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2.4861655894869552E+16</v>
      </c>
      <c r="Z1084">
        <f>MAX(0,(Inputs!$B$3-100)*3)+Inputs!$B$28+Inputs!$B$29</f>
        <v>185</v>
      </c>
    </row>
    <row r="1085" spans="1:26" x14ac:dyDescent="0.2">
      <c r="A1085" t="str">
        <f>Skills!A3</f>
        <v>IGNITE</v>
      </c>
      <c r="B1085" t="str">
        <f>Skills!B3</f>
        <v>Ignite</v>
      </c>
      <c r="C1085" t="b">
        <f>TRUE</f>
        <v>1</v>
      </c>
      <c r="D1085">
        <f>IF(Skills!C3=1,60+Inputs!$B$25+Inputs!$B$29,IF(Skills!C3=2,90+Inputs!$B$26+Inputs!$B$29,IF(Skills!C3=3,120+Inputs!$B$27+Inputs!$B$29,MAX(0,(Inputs!$B$3-100)*3)+Inputs!$B$28+Inputs!$B$29)))</f>
        <v>168</v>
      </c>
      <c r="E1085">
        <f>INDEX(FactorTable!$B$2:$Y$301, MATCH(ROUND(MIN(300,MAX(1,D1085)),0), FactorTable!$A$2:$A$301,0), Skills!M3+1)</f>
        <v>1672</v>
      </c>
      <c r="F1085">
        <f>IF(Skills!N3=TRUE,(Skills!L3/10)*(E1085/1000),Skills!L3/10)+Skills!O3</f>
        <v>121.736</v>
      </c>
      <c r="G1085">
        <f>Calc!G3</f>
        <v>3</v>
      </c>
      <c r="H1085">
        <f>Calc!H3</f>
        <v>1</v>
      </c>
      <c r="I1085">
        <f>IF(Skills!X3&lt;&gt;"",1+(Skills!X3/10)*(Z1085/1000)/100,1)</f>
        <v>4.8250000000000002</v>
      </c>
      <c r="J1085">
        <f>((Inputs!$B$6*(1+Inputs!$B$7/100))+(((Inputs!$B$12*(1+Inputs!$B$13/100))-(Inputs!$B$12*(1+Inputs!$B$13/100)))+0.25*(Inputs!$B$14-Inputs!$B$14))*(1+Inputs!$B$7/100))*(F1085/100)</f>
        <v>439630720.9605478</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10658554617221.965</v>
      </c>
      <c r="L1085">
        <f>K1085*(MIN(Inputs!$B$22+(F1104-Calc!F22),(Inputs!$B$23+(IF(ArtifactsInput!$M$15,CHOOSE(ArtifactsInput!$N$15+1,25,30,35,40,45,50)/100*(Inputs!$B$11-Inputs!$B$11),0))))/100+(Inputs!$B$23+(IF(ArtifactsInput!$M$15,CHOOSE(ArtifactsInput!$N$15+1,25,30,35,40,45,50)/100*(Inputs!$B$11-Inputs!$B$11),0)))/100)/2</f>
        <v>35439694102263.031</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085">
        <f>L1085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085">
        <f>(1-Summary!$B$11)*S1085+Summary!$B$11*U1085</f>
        <v>2907465947806250</v>
      </c>
      <c r="P1085">
        <f>IF(B1123=0,0,O1085/B1123)</f>
        <v>8.5405532707009096E-2</v>
      </c>
      <c r="Q1085">
        <f>IFERROR(1/(IF(Inputs!$B$38="pvp",15,MAX(0.1,Skills!E3-IF(FALSE=TRUE,Inputs!$B$32,0)))*(1-IF(AND(ArtifactsInput!$M$27,Inputs!$B$4="Chapter Hunt"),CHOOSE(ArtifactsInput!$N$27+1,20,24,28,32,36,40),0)/100)),0)</f>
        <v>1</v>
      </c>
      <c r="R1085">
        <f>IF(AND(Inputs!$B$38&lt;&gt;"pvp",Inputs!$B$43&gt;0),IF(MAX(0,Inputs!$B$43-B1120)&lt;=0,0,(INT(MAX(0,Inputs!$B$43-B1120)/(IF(Inputs!$B$38="pvp",15,MAX(0.1,Skills!E3-IF(FALSE=TRUE,Inputs!$B$32,0)))*(1-IF(AND(ArtifactsInput!$M$27,Inputs!$B$4="Chapter Hunt"),CHOOSE(ArtifactsInput!$N$27+1,20,24,28,32,36,40),0)/100)))+1)),0)</f>
        <v>38</v>
      </c>
      <c r="S1085">
        <f>IF(C1085,(H1085*N1085*IF(AND(Inputs!$B$38&lt;&gt;"pvp",Inputs!$B$43&gt;0),((Skills!G3*((R1085-1)*IF(Skills!H3&gt;0,Skills!I3/Skills!H3,1)+IF(Skills!H3&gt;0,MIN(Skills!I3,MAX(0,MAX(0,Inputs!$B$43-B1120)-((R1085-1)*(IF(Inputs!$B$38="pvp",15,MAX(0.1,Skills!E3-IF(FALSE=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085">
        <f>INDEX(FactorTable!$B$2:$Y$301, MATCH(ROUND(MIN(300,MAX(1,T1084)),0), FactorTable!$A$2:$A$301,0), 22)</f>
        <v>1740</v>
      </c>
      <c r="U1085">
        <f>IF(C1085,(H1085*N1085*IF(AND(Inputs!$B$38&lt;&gt;"pvp",Inputs!$B$43&gt;0),((Skills!G3*((R1085-1)*IF(Skills!H3&gt;0,Skills!I3/Skills!H3,1)+IF(Skills!H3&gt;0,MIN(Skills!I3,MAX(0,MAX(0,Inputs!$B$43-B1120)-((R1085-1)*(IF(Inputs!$B$38="pvp",15,MAX(0.1,Skills!E3-IF(FALSE=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085">
        <f>INDEX(FactorTable!$B$2:$Y$301, MATCH(ROUND(MIN(300,MAX(1,Z1084)),0), FactorTable!$A$2:$A$301,0), 24)</f>
        <v>7650</v>
      </c>
    </row>
    <row r="1086" spans="1:26" x14ac:dyDescent="0.2">
      <c r="A1086" t="str">
        <f>Skills!A4</f>
        <v>POISON_BREATH</v>
      </c>
      <c r="B1086" t="str">
        <f>Skills!B4</f>
        <v>Poison Breath</v>
      </c>
      <c r="C1086" t="b">
        <f>TRUE</f>
        <v>1</v>
      </c>
      <c r="D1086">
        <f>IF(Skills!C4=1,60+Inputs!$B$25+Inputs!$B$29,IF(Skills!C4=2,90+Inputs!$B$26+Inputs!$B$29,IF(Skills!C4=3,120+Inputs!$B$27+Inputs!$B$29,MAX(0,(Inputs!$B$3-100)*3)+Inputs!$B$28+Inputs!$B$29)))</f>
        <v>168</v>
      </c>
      <c r="E1086">
        <f>INDEX(FactorTable!$B$2:$Y$301, MATCH(ROUND(MIN(300,MAX(1,D1086)),0), FactorTable!$A$2:$A$301,0), Skills!M4+1)</f>
        <v>1840</v>
      </c>
      <c r="F1086">
        <f>IF(Skills!N4=TRUE,(Skills!L4/10)*(E1086/1000),Skills!L4/10)+Skills!O4</f>
        <v>438</v>
      </c>
      <c r="G1086">
        <f>Calc!G4</f>
        <v>3</v>
      </c>
      <c r="H1086">
        <f>Calc!H4</f>
        <v>1</v>
      </c>
      <c r="I1086">
        <f>IF(Skills!X4&lt;&gt;"",1+(Skills!X4/10)*(Z1085/1000)/100,1)</f>
        <v>7.12</v>
      </c>
      <c r="J1086">
        <f>((Inputs!$B$6*(1+Inputs!$B$7/100))+(((Inputs!$B$12*(1+Inputs!$B$13/100))-(Inputs!$B$12*(1+Inputs!$B$13/100)))+0.25*(Inputs!$B$14-Inputs!$B$14))*(1+Inputs!$B$7/100))*(F1086/100)</f>
        <v>1581769203.69258</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56589528290529.523</v>
      </c>
      <c r="L1086">
        <f>K1086*(MIN(Inputs!$B$22+(F1104-Calc!F22),(Inputs!$B$23+(IF(ArtifactsInput!$M$15,CHOOSE(ArtifactsInput!$N$15+1,25,30,35,40,45,50)/100*(Inputs!$B$11-Inputs!$B$11),0))))/100+(Inputs!$B$23+(IF(ArtifactsInput!$M$15,CHOOSE(ArtifactsInput!$N$15+1,25,30,35,40,45,50)/100*(Inputs!$B$11-Inputs!$B$11),0)))/100)/2</f>
        <v>188160181566010.69</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086">
        <f>L1086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086">
        <f>(1-Summary!$B$11)*S1086+Summary!$B$11*U1086</f>
        <v>2120704790543594.2</v>
      </c>
      <c r="P1086">
        <f>IF(B1123=0,0,O1086/B1123)</f>
        <v>6.2294769948153979E-2</v>
      </c>
      <c r="Q1086">
        <f>IFERROR(1/(IF(Inputs!$B$38="pvp",15,MAX(0.1,Skills!E4-IF(TRUE=TRUE,Inputs!$B$32,0)))*(1-IF(AND(ArtifactsInput!$M$27,Inputs!$B$4="Chapter Hunt"),CHOOSE(ArtifactsInput!$N$27+1,20,24,28,32,36,40),0)/100)),0)</f>
        <v>5.5555555555555552E-2</v>
      </c>
      <c r="R1086">
        <f>IF(AND(Inputs!$B$38&lt;&gt;"pvp",Inputs!$B$43&gt;0),IF(MAX(0,Inputs!$B$43-B1120)&lt;=0,0,(INT(MAX(0,Inputs!$B$43-B1120)/(IF(Inputs!$B$38="pvp",15,MAX(0.1,Skills!E4-IF(TRUE=TRUE,Inputs!$B$32,0)))*(1-IF(AND(ArtifactsInput!$M$27,Inputs!$B$4="Chapter Hunt"),CHOOSE(ArtifactsInput!$N$27+1,20,24,28,32,36,40),0)/100)))+1)),0)</f>
        <v>3</v>
      </c>
      <c r="S1086">
        <f>IF(C1086,(H1086*N1086*IF(AND(Inputs!$B$38&lt;&gt;"pvp",Inputs!$B$43&gt;0),((Skills!G4*((R1086-1)*IF(Skills!H4&gt;0,Skills!I4/Skills!H4,1)+IF(Skills!H4&gt;0,MIN(Skills!I4,MAX(0,MAX(0,Inputs!$B$43-B1120)-((R1086-1)*(IF(Inputs!$B$38="pvp",15,MAX(0.1,Skills!E4-IF(TRUE=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086">
        <f>290*T1085/1000</f>
        <v>504.6</v>
      </c>
      <c r="U1086">
        <f>IF(C1086,(H1086*N1086*IF(AND(Inputs!$B$38&lt;&gt;"pvp",Inputs!$B$43&gt;0),((Skills!G4*((R1086-1)*IF(Skills!H4&gt;0,Skills!I4/Skills!H4,1)+IF(Skills!H4&gt;0,MIN(Skills!I4,MAX(0,MAX(0,Inputs!$B$43-B1120)-((R1086-1)*(IF(Inputs!$B$38="pvp",15,MAX(0.1,Skills!E4-IF(TRUE=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087" spans="1:26" x14ac:dyDescent="0.2">
      <c r="A1087" t="str">
        <f>Skills!A5</f>
        <v>ELEMENTAL_DRAIN</v>
      </c>
      <c r="B1087" t="str">
        <f>Skills!B5</f>
        <v>Elemental Drain</v>
      </c>
      <c r="C1087" t="b">
        <f>TRUE</f>
        <v>1</v>
      </c>
      <c r="D1087">
        <f>IF(Skills!C5=1,60+Inputs!$B$25+Inputs!$B$29,IF(Skills!C5=2,90+Inputs!$B$26+Inputs!$B$29,IF(Skills!C5=3,120+Inputs!$B$27+Inputs!$B$29,MAX(0,(Inputs!$B$3-100)*3)+Inputs!$B$28+Inputs!$B$29)))</f>
        <v>168</v>
      </c>
      <c r="E1087">
        <f>INDEX(FactorTable!$B$2:$Y$301, MATCH(ROUND(MIN(300,MAX(1,D1087)),0), FactorTable!$A$2:$A$301,0), Skills!M5+1)</f>
        <v>1672</v>
      </c>
      <c r="F1087">
        <f>IF(Skills!N5=TRUE,(Skills!L5/10)*(E1087/1000),Skills!L5/10)+Skills!O5</f>
        <v>20.064</v>
      </c>
      <c r="G1087">
        <f>Calc!G5</f>
        <v>5</v>
      </c>
      <c r="H1087">
        <f>Calc!H5</f>
        <v>1</v>
      </c>
      <c r="I1087">
        <f>IF(Skills!X5&lt;&gt;"",1+(Skills!X5/10)*(Z1085/1000)/100,1)</f>
        <v>12.475</v>
      </c>
      <c r="J1087">
        <f>((Inputs!$B$6*(1+Inputs!$B$7/100))+(((Inputs!$B$12*(1+Inputs!$B$13/100))-(Inputs!$B$12*(1+Inputs!$B$13/100)))+0.25*(Inputs!$B$14-Inputs!$B$14))*(1+Inputs!$B$7/100))*(F1087/100)</f>
        <v>72458030.371890247</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4541925884983.542</v>
      </c>
      <c r="L1087">
        <f>K1087*(MIN(Inputs!$B$22+(F1104-Calc!F22),(Inputs!$B$23+(IF(ArtifactsInput!$M$15,CHOOSE(ArtifactsInput!$N$15+1,25,30,35,40,45,50)/100*(Inputs!$B$11-Inputs!$B$11),0))))/100+(Inputs!$B$23+(IF(ArtifactsInput!$M$15,CHOOSE(ArtifactsInput!$N$15+1,25,30,35,40,45,50)/100*(Inputs!$B$11-Inputs!$B$11),0)))/100)/2</f>
        <v>15101903567570.277</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087">
        <f>L1087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087">
        <f>(1-Summary!$B$11)*S1087+Summary!$B$11*U1087</f>
        <v>1046004996783807</v>
      </c>
      <c r="P1087">
        <f>IF(B1123=0,0,O1087/B1123)</f>
        <v>3.0725936457456842E-2</v>
      </c>
      <c r="Q1087">
        <f>IFERROR(1/(IF(Inputs!$B$38="pvp",15,MAX(0.1,Skills!E5-IF(FALSE=TRUE,Inputs!$B$32,0)))*(1-IF(AND(ArtifactsInput!$M$27,Inputs!$B$4="Chapter Hunt"),CHOOSE(ArtifactsInput!$N$27+1,20,24,28,32,36,40),0)/100)),0)</f>
        <v>1</v>
      </c>
      <c r="R1087">
        <f>IF(AND(Inputs!$B$38&lt;&gt;"pvp",Inputs!$B$43&gt;0),IF(MAX(0,Inputs!$B$43-B1120)&lt;=0,0,(INT(MAX(0,Inputs!$B$43-B1120)/(IF(Inputs!$B$38="pvp",15,MAX(0.1,Skills!E5-IF(FALSE=TRUE,Inputs!$B$32,0)))*(1-IF(AND(ArtifactsInput!$M$27,Inputs!$B$4="Chapter Hunt"),CHOOSE(ArtifactsInput!$N$27+1,20,24,28,32,36,40),0)/100)))+1)),0)</f>
        <v>38</v>
      </c>
      <c r="S1087">
        <f>IF(C1087,(H1087*N1087*IF(AND(Inputs!$B$38&lt;&gt;"pvp",Inputs!$B$43&gt;0),((Skills!G5*((R1087-1)*IF(Skills!H5&gt;0,Skills!I5/Skills!H5,1)+IF(Skills!H5&gt;0,MIN(Skills!I5,MAX(0,MAX(0,Inputs!$B$43-B1120)-((R1087-1)*(IF(Inputs!$B$38="pvp",15,MAX(0.1,Skills!E5-IF(FALSE=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087">
        <f>IF(C1087,(H1087*N1087*IF(AND(Inputs!$B$38&lt;&gt;"pvp",Inputs!$B$43&gt;0),((Skills!G5*((R1087-1)*IF(Skills!H5&gt;0,Skills!I5/Skills!H5,1)+IF(Skills!H5&gt;0,MIN(Skills!I5,MAX(0,MAX(0,Inputs!$B$43-B1120)-((R1087-1)*(IF(Inputs!$B$38="pvp",15,MAX(0.1,Skills!E5-IF(FALSE=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088" spans="1:26" x14ac:dyDescent="0.2">
      <c r="A1088" t="str">
        <f>Skills!A6</f>
        <v>MEDITATION</v>
      </c>
      <c r="B1088" t="str">
        <f>Skills!B6</f>
        <v>Meditation</v>
      </c>
      <c r="C1088" t="b">
        <f>TRUE</f>
        <v>1</v>
      </c>
      <c r="D1088">
        <f>IF(Skills!C6=1,60+Inputs!$B$25+Inputs!$B$29,IF(Skills!C6=2,90+Inputs!$B$26+Inputs!$B$29,IF(Skills!C6=3,120+Inputs!$B$27+Inputs!$B$29,MAX(0,(Inputs!$B$3-100)*3)+Inputs!$B$28+Inputs!$B$29)))</f>
        <v>168</v>
      </c>
      <c r="E1088">
        <f>INDEX(FactorTable!$B$2:$Y$301, MATCH(ROUND(MIN(300,MAX(1,D1088)),0), FactorTable!$A$2:$A$301,0), Skills!M6+1)</f>
        <v>1672</v>
      </c>
      <c r="F1088">
        <f>IF(Skills!N6=TRUE,(Skills!L6/10)*(E1088/1000),Skills!L6/10)+Skills!O6</f>
        <v>33.44</v>
      </c>
      <c r="G1088">
        <f>Calc!G6</f>
        <v>1</v>
      </c>
      <c r="H1088">
        <f>Calc!H6</f>
        <v>1</v>
      </c>
      <c r="I1088">
        <f>IF(Skills!X6&lt;&gt;"",1+(Skills!X6/10)*(Z1085/1000)/100,1)</f>
        <v>1</v>
      </c>
      <c r="O1088">
        <f>(1-Summary!$B$11)*S1088+Summary!$B$11*U1088</f>
        <v>0</v>
      </c>
      <c r="P1088">
        <f>IF(B1123=0,0,O1088/B1123)</f>
        <v>0</v>
      </c>
      <c r="Q1088">
        <f>IFERROR(1/(IF(Inputs!$B$38="pvp",15,MAX(0.1,Skills!E6-IF(TRUE=TRUE,Inputs!$B$32,0)))*(1-IF(AND(ArtifactsInput!$M$27,Inputs!$B$4="Chapter Hunt"),CHOOSE(ArtifactsInput!$N$27+1,20,24,28,32,36,40),0)/100)),0)</f>
        <v>3.3333333333333333E-2</v>
      </c>
      <c r="R1088">
        <f>IF(AND(Inputs!$B$38&lt;&gt;"pvp",Inputs!$B$43&gt;0),IF(Inputs!$B$43&lt;=0,0,(INT(Inputs!$B$43/(IF(Inputs!$B$38="pvp",15,MAX(0.1,Skills!E6-IF(TRUE=TRUE,Inputs!$B$32,0)))*(1-IF(AND(ArtifactsInput!$M$27,Inputs!$B$4="Chapter Hunt"),CHOOSE(ArtifactsInput!$N$27+1,20,24,28,32,36,40),0)/100)))+1)),0)</f>
        <v>2</v>
      </c>
      <c r="S1088">
        <v>0</v>
      </c>
      <c r="U1088">
        <v>0</v>
      </c>
    </row>
    <row r="1089" spans="1:21" x14ac:dyDescent="0.2">
      <c r="A1089" t="str">
        <f>Skills!A7</f>
        <v>POISON_MIST_BURST</v>
      </c>
      <c r="B1089" t="str">
        <f>Skills!B7</f>
        <v>Poison Mist (burst)</v>
      </c>
      <c r="C1089" t="b">
        <f>TRUE</f>
        <v>1</v>
      </c>
      <c r="D1089">
        <f>IF(Skills!C7=1,60+Inputs!$B$25+Inputs!$B$29,IF(Skills!C7=2,90+Inputs!$B$26+Inputs!$B$29,IF(Skills!C7=3,120+Inputs!$B$27+Inputs!$B$29,MAX(0,(Inputs!$B$3-100)*3)+Inputs!$B$28+Inputs!$B$29)))</f>
        <v>184</v>
      </c>
      <c r="E1089">
        <f>INDEX(FactorTable!$B$2:$Y$301, MATCH(ROUND(MIN(300,MAX(1,D1089)),0), FactorTable!$A$2:$A$301,0), Skills!M7+1)</f>
        <v>1920</v>
      </c>
      <c r="F1089">
        <f>IF(Skills!N7=TRUE,(Skills!L7/10)*(E1089/1000),Skills!L7/10)+Skills!O7</f>
        <v>357.2</v>
      </c>
      <c r="G1089">
        <f>Calc!G7</f>
        <v>3</v>
      </c>
      <c r="H1089">
        <f>Calc!H7</f>
        <v>1</v>
      </c>
      <c r="I1089">
        <f>IF(Skills!X7&lt;&gt;"",1+(Skills!X7/10)*(Z1085/1000)/100,1)</f>
        <v>1.7650000000000001</v>
      </c>
      <c r="J1089">
        <f>((Inputs!$B$6*(1+Inputs!$B$7/100))+(((Inputs!$B$12*(1+Inputs!$B$13/100))-(Inputs!$B$12*(1+Inputs!$B$13/100)))+0.25*(Inputs!$B$14-Inputs!$B$14))*(1+Inputs!$B$7/100))*(F1089/100)</f>
        <v>1289972510.4086521</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11440318873772.086</v>
      </c>
      <c r="L1089">
        <f>K1089*(MIN(Inputs!$B$22+(F1104-Calc!F22),(Inputs!$B$23+(IF(ArtifactsInput!$M$15,CHOOSE(ArtifactsInput!$N$15+1,25,30,35,40,45,50)/100*(Inputs!$B$11-Inputs!$B$11),0))))/100+(Inputs!$B$23+(IF(ArtifactsInput!$M$15,CHOOSE(ArtifactsInput!$N$15+1,25,30,35,40,45,50)/100*(Inputs!$B$11-Inputs!$B$11),0)))/100)/2</f>
        <v>38039060255292.188</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089">
        <f>L1089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089">
        <f>(1-Summary!$B$11)*S1089+Summary!$B$11*U1089</f>
        <v>447913158316422</v>
      </c>
      <c r="P1089">
        <f>IF(B1123=0,0,O1089/B1123)</f>
        <v>1.3157251909126104E-2</v>
      </c>
      <c r="Q1089">
        <f>IFERROR(1/(IF(Inputs!$B$38="pvp",15,MAX(0.1,Skills!E7-IF(TRUE=TRUE,Inputs!$B$32,0)))*(1-IF(AND(ArtifactsInput!$M$27,Inputs!$B$4="Chapter Hunt"),CHOOSE(ArtifactsInput!$N$27+1,20,24,28,32,36,40),0)/100)),0)</f>
        <v>4.0816326530612242E-2</v>
      </c>
      <c r="R1089">
        <f>IF(AND(Inputs!$B$38&lt;&gt;"pvp",Inputs!$B$43&gt;0),IF(MAX(0,Inputs!$B$43-B1120)&lt;=0,0,(INT(MAX(0,Inputs!$B$43-B1120)/(IF(Inputs!$B$38="pvp",15,MAX(0.1,Skills!E7-IF(TRUE=TRUE,Inputs!$B$32,0)))*(1-IF(AND(ArtifactsInput!$M$27,Inputs!$B$4="Chapter Hunt"),CHOOSE(ArtifactsInput!$N$27+1,20,24,28,32,36,40),0)/100)))+1)),0)</f>
        <v>2</v>
      </c>
      <c r="S1089">
        <f>IF(C1089,(H1089*N1089*IF(AND(Inputs!$B$38&lt;&gt;"pvp",Inputs!$B$43&gt;0),((Skills!G7*((R1089-1)*IF(Skills!H7&gt;0,Skills!I7/Skills!H7,1)+IF(Skills!H7&gt;0,MIN(Skills!I7,MAX(0,MAX(0,Inputs!$B$43-B1120)-((R1089-1)*(IF(Inputs!$B$38="pvp",15,MAX(0.1,Skills!E7-IF(TRUE=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089">
        <f>IF(C1089,(H1089*N1089*IF(AND(Inputs!$B$38&lt;&gt;"pvp",Inputs!$B$43&gt;0),((Skills!G7*((R1089-1)*IF(Skills!H7&gt;0,Skills!I7/Skills!H7,1)+IF(Skills!H7&gt;0,MIN(Skills!I7,MAX(0,MAX(0,Inputs!$B$43-B1120)-((R1089-1)*(IF(Inputs!$B$38="pvp",15,MAX(0.1,Skills!E7-IF(TRUE=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090" spans="1:21" x14ac:dyDescent="0.2">
      <c r="A1090" t="str">
        <f>Skills!A8</f>
        <v>POISON_MIST_DOT</v>
      </c>
      <c r="B1090" t="str">
        <f>Skills!B8</f>
        <v>Poison Mist (fog DoT)</v>
      </c>
      <c r="C1090" t="b">
        <f>TRUE</f>
        <v>1</v>
      </c>
      <c r="D1090">
        <f>IF(Skills!C8=1,60+Inputs!$B$25+Inputs!$B$29,IF(Skills!C8=2,90+Inputs!$B$26+Inputs!$B$29,IF(Skills!C8=3,120+Inputs!$B$27+Inputs!$B$29,MAX(0,(Inputs!$B$3-100)*3)+Inputs!$B$28+Inputs!$B$29)))</f>
        <v>184</v>
      </c>
      <c r="E1090">
        <f>INDEX(FactorTable!$B$2:$Y$301, MATCH(ROUND(MIN(300,MAX(1,D1090)),0), FactorTable!$A$2:$A$301,0), Skills!M8+1)</f>
        <v>1920</v>
      </c>
      <c r="F1090">
        <f>IF(Skills!N8=TRUE,(Skills!L8/10)*(E1090/1000),Skills!L8/10)+Skills!O8</f>
        <v>134.4</v>
      </c>
      <c r="G1090">
        <f>Calc!G8</f>
        <v>50</v>
      </c>
      <c r="H1090">
        <f>Calc!H8</f>
        <v>1</v>
      </c>
      <c r="I1090">
        <f>IF(Skills!X8&lt;&gt;"",1+(Skills!X8/10)*(Z1085/1000)/100,1)</f>
        <v>1.7650000000000001</v>
      </c>
      <c r="J1090">
        <f>((Inputs!$B$6*(1+Inputs!$B$7/100))+(((Inputs!$B$12*(1+Inputs!$B$13/100))-(Inputs!$B$12*(1+Inputs!$B$13/100)))+0.25*(Inputs!$B$14-Inputs!$B$14))*(1+Inputs!$B$7/100))*(F1090/100)</f>
        <v>485364796.74950409</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4304532073446.1597</v>
      </c>
      <c r="L1090">
        <f>K1090*(MIN(Inputs!$B$22+(F1104-Calc!F22),(Inputs!$B$23+(IF(ArtifactsInput!$M$15,CHOOSE(ArtifactsInput!$N$15+1,25,30,35,40,45,50)/100*(Inputs!$B$11-Inputs!$B$11),0))))/100+(Inputs!$B$23+(IF(ArtifactsInput!$M$15,CHOOSE(ArtifactsInput!$N$15+1,25,30,35,40,45,50)/100*(Inputs!$B$11-Inputs!$B$11),0)))/100)/2</f>
        <v>14312569144208.482</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090">
        <f>L1090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090">
        <f>(1-Summary!$B$11)*S1090+Summary!$B$11*U1090</f>
        <v>2327471980535951</v>
      </c>
      <c r="P1090">
        <f>IF(B1123=0,0,O1090/B1123)</f>
        <v>6.8368465160630248E-2</v>
      </c>
      <c r="Q1090">
        <f>IFERROR(1/(IF(Inputs!$B$38="pvp",15,MAX(0.1,Skills!E8-IF(TRUE=TRUE,Inputs!$B$32,0)))*(1-IF(AND(ArtifactsInput!$M$27,Inputs!$B$4="Chapter Hunt"),CHOOSE(ArtifactsInput!$N$27+1,20,24,28,32,36,40),0)/100)),0)</f>
        <v>4.0816326530612242E-2</v>
      </c>
      <c r="R1090">
        <f>IF(AND(Inputs!$B$38&lt;&gt;"pvp",Inputs!$B$43&gt;0),IF(MAX(0,Inputs!$B$43-B1120)&lt;=0,0,(INT(MAX(0,Inputs!$B$43-B1120)/(IF(Inputs!$B$38="pvp",15,MAX(0.1,Skills!E8-IF(TRUE=TRUE,Inputs!$B$32,0)))*(1-IF(AND(ArtifactsInput!$M$27,Inputs!$B$4="Chapter Hunt"),CHOOSE(ArtifactsInput!$N$27+1,20,24,28,32,36,40),0)/100)))+1)),0)</f>
        <v>2</v>
      </c>
      <c r="S1090">
        <f>IF(C1090,(H1090*N1090*IF(AND(Inputs!$B$38&lt;&gt;"pvp",Inputs!$B$43&gt;0),((Skills!G8*((R1090-1)*IF(Skills!H8&gt;0,Skills!I8/Skills!H8,1)+IF(Skills!H8&gt;0,MIN(Skills!I8,MAX(0,MAX(0,Inputs!$B$43-B1120)-((R1090-1)*(IF(Inputs!$B$38="pvp",15,MAX(0.1,Skills!E8-IF(TRUE=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090">
        <f>IF(C1090,(H1090*N1090*IF(AND(Inputs!$B$38&lt;&gt;"pvp",Inputs!$B$43&gt;0),((Skills!G8*((R1090-1)*IF(Skills!H8&gt;0,Skills!I8/Skills!H8,1)+IF(Skills!H8&gt;0,MIN(Skills!I8,MAX(0,MAX(0,Inputs!$B$43-B1120)-((R1090-1)*(IF(Inputs!$B$38="pvp",15,MAX(0.1,Skills!E8-IF(TRUE=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091" spans="1:21" x14ac:dyDescent="0.2">
      <c r="A1091" t="str">
        <f>Skills!A9</f>
        <v>MIST_ERUPTION</v>
      </c>
      <c r="B1091" t="str">
        <f>Skills!B9</f>
        <v>Mist Eruption</v>
      </c>
      <c r="C1091" t="b">
        <f>Inputs!$B$3&gt;=103</f>
        <v>1</v>
      </c>
      <c r="D1091">
        <f>IF(Skills!C9=1,60+Inputs!$B$25+Inputs!$B$29,IF(Skills!C9=2,90+Inputs!$B$26+Inputs!$B$29,IF(Skills!C9=3,120+Inputs!$B$27+Inputs!$B$29,MAX(0,(Inputs!$B$3-100)*3)+Inputs!$B$28+Inputs!$B$29)))</f>
        <v>185</v>
      </c>
      <c r="E1091">
        <f>INDEX(FactorTable!$B$2:$Y$301, MATCH(ROUND(MIN(300,MAX(1,D1091)),0), FactorTable!$A$2:$A$301,0), Skills!M9+1)</f>
        <v>1925</v>
      </c>
      <c r="F1091">
        <f>IF(Skills!N9=TRUE,(Skills!L9/10)*(E1091/1000),Skills!L9/10)+Skills!O9</f>
        <v>5775</v>
      </c>
      <c r="G1091">
        <f>Calc!G9</f>
        <v>2.5</v>
      </c>
      <c r="H1091">
        <f>Calc!H9</f>
        <v>1</v>
      </c>
      <c r="I1091">
        <f>IF(Skills!X9&lt;&gt;"",1+(Skills!X9/10)*(Z1085/1000)/100,1)</f>
        <v>1</v>
      </c>
      <c r="J1091">
        <f>((Inputs!$B$6*(1+Inputs!$B$7/100))+(((Inputs!$B$12*(1+Inputs!$B$13/100))-(Inputs!$B$12*(1+Inputs!$B$13/100)))+0.25*(Inputs!$B$14-Inputs!$B$14))*(1+Inputs!$B$7/100))*(F1091/100)</f>
        <v>20855518610.330254</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104793406533081.95</v>
      </c>
      <c r="L1091">
        <f>K1091*(MIN(Inputs!$B$22+(F1104-Calc!F22),(Inputs!$B$23+(IF(ArtifactsInput!$M$15,CHOOSE(ArtifactsInput!$N$15+1,25,30,35,40,45,50)/100*(Inputs!$B$11-Inputs!$B$11),0))))/100+(Inputs!$B$23+(IF(ArtifactsInput!$M$15,CHOOSE(ArtifactsInput!$N$15+1,25,30,35,40,45,50)/100*(Inputs!$B$11-Inputs!$B$11),0)))/100)/2</f>
        <v>348438076722497.5</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091">
        <f>L1091*(1-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091">
        <f>(1-Summary!$B$11)*S1091+Summary!$B$11*U1091</f>
        <v>3419073236278675</v>
      </c>
      <c r="P1091">
        <f>IF(B1123=0,0,O1091/B1123)</f>
        <v>0.10043377165912619</v>
      </c>
      <c r="Q1091">
        <f>IFERROR(1/(IF(Inputs!$B$38="pvp",15,MAX(0.1,Skills!E9-IF(TRUE=TRUE,Inputs!$B$32,0)))*(1-IF(AND(ArtifactsInput!$M$27,Inputs!$B$4="Chapter Hunt"),CHOOSE(ArtifactsInput!$N$27+1,20,24,28,32,36,40),0)/100)),0)</f>
        <v>4.0816326530612242E-2</v>
      </c>
      <c r="R1091">
        <f>IF(AND(Inputs!$B$38&lt;&gt;"pvp",Inputs!$B$43&gt;0),IF(MAX(0,Inputs!$B$43-B1120)&lt;=0,0,(INT(MAX(0,Inputs!$B$43-B1120)/(IF(Inputs!$B$38="pvp",15,MAX(0.1,Skills!E9-IF(TRUE=TRUE,Inputs!$B$32,0)))*(1-IF(AND(ArtifactsInput!$M$27,Inputs!$B$4="Chapter Hunt"),CHOOSE(ArtifactsInput!$N$27+1,20,24,28,32,36,40),0)/100)))+1)),0)</f>
        <v>2</v>
      </c>
      <c r="S1091">
        <f>IF(C1091,(H1091*N1091*IF(AND(Inputs!$B$38&lt;&gt;"pvp",Inputs!$B$43&gt;0),((Skills!G9*((R1091-1)*IF(Skills!H9&gt;0,Skills!I9/Skills!H9,1)+IF(Skills!H9&gt;0,MIN(Skills!I9,MAX(0,MAX(0,Inputs!$B$43-B1120)-((R1091-1)*(IF(Inputs!$B$38="pvp",15,MAX(0.1,Skills!E9-IF(TRUE=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091">
        <f>IF(C1091,(H1091*N1091*IF(AND(Inputs!$B$38&lt;&gt;"pvp",Inputs!$B$43&gt;0),((Skills!G9*((R1091-1)*IF(Skills!H9&gt;0,Skills!I9/Skills!H9,1)+IF(Skills!H9&gt;0,MIN(Skills!I9,MAX(0,MAX(0,Inputs!$B$43-B1120)-((R1091-1)*(IF(Inputs!$B$38="pvp",15,MAX(0.1,Skills!E9-IF(TRUE=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092" spans="1:21" x14ac:dyDescent="0.2">
      <c r="A1092" t="str">
        <f>Skills!A10</f>
        <v>CREEPING_TOXIN</v>
      </c>
      <c r="B1092" t="str">
        <f>Skills!B10</f>
        <v>Creeping Toxin</v>
      </c>
      <c r="C1092" t="b">
        <f>TRUE</f>
        <v>1</v>
      </c>
      <c r="D1092">
        <f>IF(Skills!C10=1,60+Inputs!$B$25+Inputs!$B$29,IF(Skills!C10=2,90+Inputs!$B$26+Inputs!$B$29,IF(Skills!C10=3,120+Inputs!$B$27+Inputs!$B$29,MAX(0,(Inputs!$B$3-100)*3)+Inputs!$B$28+Inputs!$B$29)))</f>
        <v>184</v>
      </c>
      <c r="E1092">
        <f>INDEX(FactorTable!$B$2:$Y$301, MATCH(ROUND(MIN(300,MAX(1,D1092)),0), FactorTable!$A$2:$A$301,0), Skills!M10+1)</f>
        <v>1920</v>
      </c>
      <c r="F1092">
        <f>IF(Skills!N10=TRUE,(Skills!L10/10)*(E1092/1000),Skills!L10/10)+Skills!O10</f>
        <v>280.39999999999998</v>
      </c>
      <c r="G1092">
        <f>Calc!G10</f>
        <v>15</v>
      </c>
      <c r="H1092">
        <f>Calc!H10</f>
        <v>1</v>
      </c>
      <c r="I1092">
        <f>IF(Skills!X10&lt;&gt;"",1+(Skills!X10/10)*(Z1085/1000)/100,1)</f>
        <v>1.7650000000000001</v>
      </c>
      <c r="J1092">
        <f>((Inputs!$B$6*(1+Inputs!$B$7/100))+(((Inputs!$B$12*(1+Inputs!$B$13/100))-(Inputs!$B$12*(1+Inputs!$B$13/100)))+0.25*(Inputs!$B$14-Inputs!$B$14))*(1+Inputs!$B$7/100))*(F1092/100)</f>
        <v>1012621197.9803641</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8980586260374.2793</v>
      </c>
      <c r="L1092">
        <f>K1092*(MIN(Inputs!$B$22+(F1104-Calc!F22),(Inputs!$B$23+(IF(ArtifactsInput!$M$15,CHOOSE(ArtifactsInput!$N$15+1,25,30,35,40,45,50)/100*(Inputs!$B$11-Inputs!$B$11),0))))/100+(Inputs!$B$23+(IF(ArtifactsInput!$M$15,CHOOSE(ArtifactsInput!$N$15+1,25,30,35,40,45,50)/100*(Inputs!$B$11-Inputs!$B$11),0)))/100)/2</f>
        <v>29860449315744.48</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092">
        <f>L1092*(1-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092">
        <f>(1-Summary!$B$11)*S1092+Summary!$B$11*U1092</f>
        <v>324323455609081.62</v>
      </c>
      <c r="P1092">
        <f>IF(B1123=0,0,O1092/B1123)</f>
        <v>9.5268587811221592E-3</v>
      </c>
      <c r="Q1092">
        <f>IFERROR(1/(IF(Inputs!$B$38="pvp",15,MAX(0.1,Skills!E10-IF(TRUE=TRUE,Inputs!$B$32,0)))*(1-IF(AND(ArtifactsInput!$M$27,Inputs!$B$4="Chapter Hunt"),CHOOSE(ArtifactsInput!$N$27+1,20,24,28,32,36,40),0)/100)),0)</f>
        <v>3.7037037037037035E-2</v>
      </c>
      <c r="R1092">
        <f>IF(AND(Inputs!$B$38&lt;&gt;"pvp",Inputs!$B$43&gt;0),IF(MAX(0,Inputs!$B$43-B1120)&lt;=0,0,(INT(MAX(0,Inputs!$B$43-B1120)/(IF(Inputs!$B$38="pvp",15,MAX(0.1,Skills!E10-IF(TRUE=TRUE,Inputs!$B$32,0)))*(1-IF(AND(ArtifactsInput!$M$27,Inputs!$B$4="Chapter Hunt"),CHOOSE(ArtifactsInput!$N$27+1,20,24,28,32,36,40),0)/100)))+1)),0)</f>
        <v>2</v>
      </c>
      <c r="S1092">
        <f>IF(C1092,(H1092*N1092*IF(AND(Inputs!$B$38&lt;&gt;"pvp",Inputs!$B$43&gt;0),((Skills!G10*((R1092-1)*IF(Skills!H10&gt;0,Skills!I10/Skills!H10,1)+IF(Skills!H10&gt;0,MIN(Skills!I10,MAX(0,MAX(0,Inputs!$B$43-B1120)-((R1092-1)*(IF(Inputs!$B$38="pvp",15,MAX(0.1,Skills!E10-IF(TRUE=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092">
        <f>IF(C1092,(H1092*N1092*IF(AND(Inputs!$B$38&lt;&gt;"pvp",Inputs!$B$43&gt;0),((Skills!G10*((R1092-1)*IF(Skills!H10&gt;0,Skills!I10/Skills!H10,1)+IF(Skills!H10&gt;0,MIN(Skills!I10,MAX(0,MAX(0,Inputs!$B$43-B1120)-((R1092-1)*(IF(Inputs!$B$38="pvp",15,MAX(0.1,Skills!E10-IF(TRUE=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093" spans="1:21" x14ac:dyDescent="0.2">
      <c r="A1093" t="str">
        <f>Skills!A11</f>
        <v>BURNING_MAGIC</v>
      </c>
      <c r="B1093" t="str">
        <f>Skills!B11</f>
        <v>Burning Magic</v>
      </c>
      <c r="C1093" t="b">
        <f>TRUE</f>
        <v>1</v>
      </c>
      <c r="D1093">
        <f>IF(Skills!C11=1,60+Inputs!$B$25+Inputs!$B$29,IF(Skills!C11=2,90+Inputs!$B$26+Inputs!$B$29,IF(Skills!C11=3,120+Inputs!$B$27+Inputs!$B$29,MAX(0,(Inputs!$B$3-100)*3)+Inputs!$B$28+Inputs!$B$29)))</f>
        <v>184</v>
      </c>
      <c r="E1093">
        <f>INDEX(FactorTable!$B$2:$Y$301, MATCH(ROUND(MIN(300,MAX(1,D1093)),0), FactorTable!$A$2:$A$301,0), Skills!M11+1)</f>
        <v>0</v>
      </c>
      <c r="F1093">
        <f>IF(Skills!N11=TRUE,(Skills!L11/10)*(E1093/1000),Skills!L11/10)+Skills!O11</f>
        <v>5</v>
      </c>
      <c r="G1093">
        <f>Calc!G11</f>
        <v>1</v>
      </c>
      <c r="H1093">
        <f>Calc!H11</f>
        <v>1</v>
      </c>
      <c r="I1093">
        <f>IF(Skills!X11&lt;&gt;"",1+(Skills!X11/10)*(Z1085/1000)/100,1)</f>
        <v>1</v>
      </c>
      <c r="O1093">
        <f>(1-Summary!$B$11)*S1093+Summary!$B$11*U1093</f>
        <v>0</v>
      </c>
      <c r="P1093">
        <f>IF(B1123=0,0,O1093/B1123)</f>
        <v>0</v>
      </c>
      <c r="Q1093">
        <f>IFERROR(1/(IF(Inputs!$B$38="pvp",15,MAX(0.1,Skills!E11-IF(TRUE=TRUE,Inputs!$B$32,0)))*(1-IF(AND(ArtifactsInput!$M$27,Inputs!$B$4="Chapter Hunt"),CHOOSE(ArtifactsInput!$N$27+1,20,24,28,32,36,40),0)/100)),0)</f>
        <v>10</v>
      </c>
      <c r="R1093">
        <v>0</v>
      </c>
      <c r="S1093">
        <v>0</v>
      </c>
      <c r="U1093">
        <v>0</v>
      </c>
    </row>
    <row r="1094" spans="1:21" x14ac:dyDescent="0.2">
      <c r="A1094" t="str">
        <f>Skills!A12</f>
        <v>ELEMENTAL_DECREASE</v>
      </c>
      <c r="B1094" t="str">
        <f>Skills!B12</f>
        <v>Elemental Decrease</v>
      </c>
      <c r="C1094" t="b">
        <f>TRUE</f>
        <v>1</v>
      </c>
      <c r="D1094">
        <f>IF(Skills!C12=1,60+Inputs!$B$25+Inputs!$B$29,IF(Skills!C12=2,90+Inputs!$B$26+Inputs!$B$29,IF(Skills!C12=3,120+Inputs!$B$27+Inputs!$B$29,MAX(0,(Inputs!$B$3-100)*3)+Inputs!$B$28+Inputs!$B$29)))</f>
        <v>184</v>
      </c>
      <c r="E1094">
        <f>INDEX(FactorTable!$B$2:$Y$301, MATCH(ROUND(MIN(300,MAX(1,D1094)),0), FactorTable!$A$2:$A$301,0), Skills!M12+1)</f>
        <v>1552</v>
      </c>
      <c r="F1094">
        <f>IF(Skills!N12=TRUE,(Skills!L12/10)*(E1094/1000),Skills!L12/10)+Skills!O12</f>
        <v>18.624000000000002</v>
      </c>
      <c r="G1094">
        <f>Calc!G12</f>
        <v>1</v>
      </c>
      <c r="H1094">
        <f>Calc!H12</f>
        <v>0.5</v>
      </c>
      <c r="I1094">
        <f>IF(Skills!X12&lt;&gt;"",1+(Skills!X12/10)*(Z1085/1000)/100,1)</f>
        <v>1</v>
      </c>
      <c r="O1094">
        <f>(1-Summary!$B$11)*S1094+Summary!$B$11*U1094</f>
        <v>0</v>
      </c>
      <c r="P1094">
        <f>IF(B1123=0,0,O1094/B1123)</f>
        <v>0</v>
      </c>
      <c r="Q1094">
        <f>IFERROR(1/(IF(Inputs!$B$38="pvp",15,MAX(0.1,Skills!E12-IF(TRUE=TRUE,Inputs!$B$32,0)))*(1-IF(AND(ArtifactsInput!$M$27,Inputs!$B$4="Chapter Hunt"),CHOOSE(ArtifactsInput!$N$27+1,20,24,28,32,36,40),0)/100)),0)</f>
        <v>10</v>
      </c>
      <c r="R1094">
        <v>0</v>
      </c>
      <c r="S1094">
        <v>0</v>
      </c>
      <c r="U1094">
        <v>0</v>
      </c>
    </row>
    <row r="1095" spans="1:21" x14ac:dyDescent="0.2">
      <c r="A1095" t="str">
        <f>Skills!A13</f>
        <v>METEOR_SHOWER_BURST</v>
      </c>
      <c r="B1095" t="str">
        <f>Skills!B13</f>
        <v>Meteor Shower (burst)</v>
      </c>
      <c r="C1095" t="b">
        <f>Inputs!$B$3&gt;=105</f>
        <v>1</v>
      </c>
      <c r="D1095">
        <f>IF(Skills!C13=1,60+Inputs!$B$25+Inputs!$B$29,IF(Skills!C13=2,90+Inputs!$B$26+Inputs!$B$29,IF(Skills!C13=3,120+Inputs!$B$27+Inputs!$B$29,MAX(0,(Inputs!$B$3-100)*3)+Inputs!$B$28+Inputs!$B$29)))</f>
        <v>185</v>
      </c>
      <c r="E1095">
        <f>INDEX(FactorTable!$B$2:$Y$301, MATCH(ROUND(MIN(300,MAX(1,D1095)),0), FactorTable!$A$2:$A$301,0), Skills!M13+1)</f>
        <v>1925</v>
      </c>
      <c r="F1095">
        <f>IF(Skills!N13=TRUE,(Skills!L13/10)*(E1095/1000),Skills!L13/10)+Skills!O13</f>
        <v>1155</v>
      </c>
      <c r="G1095">
        <f>Calc!G13</f>
        <v>9</v>
      </c>
      <c r="H1095">
        <f>Calc!H13</f>
        <v>1</v>
      </c>
      <c r="I1095">
        <f>IF(Skills!X13&lt;&gt;"",1+(Skills!X13/10)*(Z1085/1000)/100,1)</f>
        <v>1</v>
      </c>
      <c r="J1095">
        <f>((Inputs!$B$6*(1+Inputs!$B$7/100))+(((Inputs!$B$12*(1+Inputs!$B$13/100))-(Inputs!$B$12*(1+Inputs!$B$13/100)))+0.25*(Inputs!$B$14-Inputs!$B$14))*(1+Inputs!$B$7/100))*(F1095/100)</f>
        <v>4171103722.0660505</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20958681306616.391</v>
      </c>
      <c r="L1095">
        <f>K1095*(MIN(Inputs!$B$22+(F1104-Calc!F22),(Inputs!$B$23+(IF(ArtifactsInput!$M$15,CHOOSE(ArtifactsInput!$N$15+1,25,30,35,40,45,50)/100*(Inputs!$B$11-Inputs!$B$11),0))))/100+(Inputs!$B$23+(IF(ArtifactsInput!$M$15,CHOOSE(ArtifactsInput!$N$15+1,25,30,35,40,45,50)/100*(Inputs!$B$11-Inputs!$B$11),0)))/100)/2</f>
        <v>69687615344499.5</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095">
        <f>L1095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095">
        <f>(1-Summary!$B$11)*S1095+Summary!$B$11*U1095</f>
        <v>1793579843045520.5</v>
      </c>
      <c r="P1095">
        <f>IF(B1123=0,0,O1095/B1123)</f>
        <v>5.2685618575665699E-2</v>
      </c>
      <c r="Q1095">
        <f>IFERROR(1/(IF(Inputs!$B$38="pvp",15,MAX(0.1,Skills!E13-IF(TRUE=TRUE,Inputs!$B$32,0)))*(1-IF(AND(ArtifactsInput!$M$27,Inputs!$B$4="Chapter Hunt"),CHOOSE(ArtifactsInput!$N$27+1,20,24,28,32,36,40),0)/100)),0)</f>
        <v>3.0303030303030304E-2</v>
      </c>
      <c r="R1095">
        <f>IF(AND(Inputs!$B$38&lt;&gt;"pvp",Inputs!$B$43&gt;0),IF(MAX(0,Inputs!$B$43-B1120)&lt;=0,0,(INT(MAX(0,Inputs!$B$43-B1120)/(IF(Inputs!$B$38="pvp",15,MAX(0.1,Skills!E13-IF(TRUE=TRUE,Inputs!$B$32,0)))*(1-IF(AND(ArtifactsInput!$M$27,Inputs!$B$4="Chapter Hunt"),CHOOSE(ArtifactsInput!$N$27+1,20,24,28,32,36,40),0)/100)))+1)),0)</f>
        <v>2</v>
      </c>
      <c r="S1095">
        <f>IF(C1095,(H1095*N1095*IF(AND(Inputs!$B$38&lt;&gt;"pvp",Inputs!$B$43&gt;0),((Skills!G13*((R1095-1)*IF(Skills!H13&gt;0,Skills!I13/Skills!H13,1)+IF(Skills!H13&gt;0,MIN(Skills!I13,MAX(0,MAX(0,Inputs!$B$43-B1120)-((R1095-1)*(IF(Inputs!$B$38="pvp",15,MAX(0.1,Skills!E13-IF(TRUE=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095">
        <f>IF(C1095,(H1095*N1095*IF(AND(Inputs!$B$38&lt;&gt;"pvp",Inputs!$B$43&gt;0),((Skills!G13*((R1095-1)*IF(Skills!H13&gt;0,Skills!I13/Skills!H13,1)+IF(Skills!H13&gt;0,MIN(Skills!I13,MAX(0,MAX(0,Inputs!$B$43-B1120)-((R1095-1)*(IF(Inputs!$B$38="pvp",15,MAX(0.1,Skills!E13-IF(TRUE=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096" spans="1:21" x14ac:dyDescent="0.2">
      <c r="A1096" t="str">
        <f>Skills!A14</f>
        <v>METEOR_PROC</v>
      </c>
      <c r="B1096" t="str">
        <f>Skills!B14</f>
        <v>Meteor Proc (30% on-hit, 1s ICD)</v>
      </c>
      <c r="C1096" t="b">
        <f>Inputs!$B$3&gt;=113</f>
        <v>1</v>
      </c>
      <c r="D1096">
        <f>IF(Skills!C14=1,60+Inputs!$B$25+Inputs!$B$29,IF(Skills!C14=2,90+Inputs!$B$26+Inputs!$B$29,IF(Skills!C14=3,120+Inputs!$B$27+Inputs!$B$29,MAX(0,(Inputs!$B$3-100)*3)+Inputs!$B$28+Inputs!$B$29)))</f>
        <v>185</v>
      </c>
      <c r="E1096">
        <f>INDEX(FactorTable!$B$2:$Y$301, MATCH(ROUND(MIN(300,MAX(1,D1096)),0), FactorTable!$A$2:$A$301,0), Skills!M14+1)</f>
        <v>1740</v>
      </c>
      <c r="F1096">
        <f>IF(Skills!N14=TRUE,(Skills!L14/10)*(E1096/1000),Skills!L14/10)+Skills!O14</f>
        <v>1653</v>
      </c>
      <c r="G1096">
        <f>Calc!G14</f>
        <v>0</v>
      </c>
      <c r="H1096">
        <f>Calc!H14</f>
        <v>0.30000000000000004</v>
      </c>
      <c r="I1096">
        <f>IF(Skills!X14&lt;&gt;"",1+(Skills!X14/10)*(Z1085/1000)/100,1)</f>
        <v>1</v>
      </c>
      <c r="J1096">
        <f>((Inputs!$B$6*(1+Inputs!$B$7/100))+(((Inputs!$B$12*(1+Inputs!$B$13/100))-(Inputs!$B$12*(1+Inputs!$B$13/100)))+0.25*(Inputs!$B$14-Inputs!$B$14))*(1+Inputs!$B$7/100))*(F1096/100)</f>
        <v>5969553638.5932312</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29995411428430.203</v>
      </c>
      <c r="L1096">
        <f>K1096*(MIN(Inputs!$B$22+(F1104-Calc!F22),(Inputs!$B$23+(IF(ArtifactsInput!$M$15,CHOOSE(ArtifactsInput!$N$15+1,25,30,35,40,45,50)/100*(Inputs!$B$11-Inputs!$B$11),0))))/100+(Inputs!$B$23+(IF(ArtifactsInput!$M$15,CHOOSE(ArtifactsInput!$N$15+1,25,30,35,40,45,50)/100*(Inputs!$B$11-Inputs!$B$11),0)))/100)/2</f>
        <v>99734742999530.438</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096">
        <f>L1096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096">
        <f>(1-Summary!$B$11)*S1096+Summary!$B$11*U1096</f>
        <v>461258197543910.38</v>
      </c>
      <c r="P1096">
        <f>IF(B1123=0,0,O1096/B1123)</f>
        <v>1.3549256563584583E-2</v>
      </c>
      <c r="Q1096">
        <f>IFERROR(1/(IF(Inputs!$B$38="pvp",15,MAX(0.1,Skills!E14-IF(TRUE=TRUE,Inputs!$B$32,0)))*(1-IF(AND(ArtifactsInput!$M$27,Inputs!$B$4="Chapter Hunt"),CHOOSE(ArtifactsInput!$N$27+1,20,24,28,32,36,40),0)/100)),0)</f>
        <v>10</v>
      </c>
      <c r="R1096">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097" spans="1:21" x14ac:dyDescent="0.2">
      <c r="A1097" t="str">
        <f>Skills!A15</f>
        <v>FLAME_HAZE_BURST</v>
      </c>
      <c r="B1097" t="str">
        <f>Skills!B15</f>
        <v>Flame Haze (burst)</v>
      </c>
      <c r="C1097" t="b">
        <f>Inputs!$B$3&gt;=107</f>
        <v>1</v>
      </c>
      <c r="D1097">
        <f>IF(Skills!C15=1,60+Inputs!$B$25+Inputs!$B$29,IF(Skills!C15=2,90+Inputs!$B$26+Inputs!$B$29,IF(Skills!C15=3,120+Inputs!$B$27+Inputs!$B$29,MAX(0,(Inputs!$B$3-100)*3)+Inputs!$B$28+Inputs!$B$29)))</f>
        <v>185</v>
      </c>
      <c r="E1097">
        <f>INDEX(FactorTable!$B$2:$Y$301, MATCH(ROUND(MIN(300,MAX(1,D1097)),0), FactorTable!$A$2:$A$301,0), Skills!M15+1)</f>
        <v>1925</v>
      </c>
      <c r="F1097">
        <f>IF(Skills!N15=TRUE,(Skills!L15/10)*(E1097/1000),Skills!L15/10)+Skills!O15</f>
        <v>2310</v>
      </c>
      <c r="G1097">
        <f>Calc!G15</f>
        <v>3</v>
      </c>
      <c r="H1097">
        <f>Calc!H15</f>
        <v>1</v>
      </c>
      <c r="I1097">
        <f>IF(Skills!X15&lt;&gt;"",1+(Skills!X15/10)*(Z1085/1000)/100,1)</f>
        <v>1</v>
      </c>
      <c r="J1097">
        <f>((Inputs!$B$6*(1+Inputs!$B$7/100))+(((Inputs!$B$12*(1+Inputs!$B$13/100))-(Inputs!$B$12*(1+Inputs!$B$13/100)))+0.25*(Inputs!$B$14-Inputs!$B$14))*(1+Inputs!$B$7/100))*(F1097/100)</f>
        <v>8342207444.1321011</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41917362613232.781</v>
      </c>
      <c r="L1097">
        <f>K1097*(MIN(Inputs!$B$22+(F1104-Calc!F22),(Inputs!$B$23+(IF(ArtifactsInput!$M$15,CHOOSE(ArtifactsInput!$N$15+1,25,30,35,40,45,50)/100*(Inputs!$B$11-Inputs!$B$11),0))))/100+(Inputs!$B$23+(IF(ArtifactsInput!$M$15,CHOOSE(ArtifactsInput!$N$15+1,25,30,35,40,45,50)/100*(Inputs!$B$11-Inputs!$B$11),0)))/100)/2</f>
        <v>139375230688999</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097">
        <f>L1097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097">
        <f>(1-Summary!$B$11)*S1097+Summary!$B$11*U1097</f>
        <v>1641155153413763.8</v>
      </c>
      <c r="P1097">
        <f>IF(B1123=0,0,O1097/B1123)</f>
        <v>4.8208210396380562E-2</v>
      </c>
      <c r="Q1097">
        <f>IFERROR(1/(IF(Inputs!$B$38="pvp",15,MAX(0.1,Skills!E15-IF(TRUE=TRUE,Inputs!$B$32,0)))*(1-IF(AND(ArtifactsInput!$M$27,Inputs!$B$4="Chapter Hunt"),CHOOSE(ArtifactsInput!$N$27+1,20,24,28,32,36,40),0)/100)),0)</f>
        <v>0.04</v>
      </c>
      <c r="R1097">
        <f>IF(AND(Inputs!$B$38&lt;&gt;"pvp",Inputs!$B$43&gt;0),IF(MAX(0,Inputs!$B$43-B1120)&lt;=0,0,(INT(MAX(0,Inputs!$B$43-B1120)/(IF(Inputs!$B$38="pvp",15,MAX(0.1,Skills!E15-IF(TRUE=TRUE,Inputs!$B$32,0)))*(1-IF(AND(ArtifactsInput!$M$27,Inputs!$B$4="Chapter Hunt"),CHOOSE(ArtifactsInput!$N$27+1,20,24,28,32,36,40),0)/100)))+1)),0)</f>
        <v>2</v>
      </c>
      <c r="S1097">
        <f>IF(C1097,(H1097*N1097*IF(AND(Inputs!$B$38&lt;&gt;"pvp",Inputs!$B$43&gt;0),((Skills!G15*((R1097-1)*IF(Skills!H15&gt;0,Skills!I15/Skills!H15,1)+IF(Skills!H15&gt;0,MIN(Skills!I15,MAX(0,MAX(0,Inputs!$B$43-B1120)-((R1097-1)*(IF(Inputs!$B$38="pvp",15,MAX(0.1,Skills!E15-IF(TRUE=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097">
        <f>IF(C1097,(H1097*N1097*IF(AND(Inputs!$B$38&lt;&gt;"pvp",Inputs!$B$43&gt;0),((Skills!G15*((R1097-1)*IF(Skills!H15&gt;0,Skills!I15/Skills!H15,1)+IF(Skills!H15&gt;0,MIN(Skills!I15,MAX(0,MAX(0,Inputs!$B$43-B1120)-((R1097-1)*(IF(Inputs!$B$38="pvp",15,MAX(0.1,Skills!E15-IF(TRUE=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098" spans="1:21" x14ac:dyDescent="0.2">
      <c r="A1098" t="str">
        <f>Skills!A16</f>
        <v>FLAME_HAZE_DOT</v>
      </c>
      <c r="B1098" t="str">
        <f>Skills!B16</f>
        <v>Flame Haze (burn DoT)</v>
      </c>
      <c r="C1098" t="b">
        <f>Inputs!$B$3&gt;=107</f>
        <v>1</v>
      </c>
      <c r="D1098">
        <f>IF(Skills!C16=1,60+Inputs!$B$25+Inputs!$B$29,IF(Skills!C16=2,90+Inputs!$B$26+Inputs!$B$29,IF(Skills!C16=3,120+Inputs!$B$27+Inputs!$B$29,MAX(0,(Inputs!$B$3-100)*3)+Inputs!$B$28+Inputs!$B$29)))</f>
        <v>185</v>
      </c>
      <c r="E1098">
        <f>INDEX(FactorTable!$B$2:$Y$301, MATCH(ROUND(MIN(300,MAX(1,D1098)),0), FactorTable!$A$2:$A$301,0), Skills!M16+1)</f>
        <v>1925</v>
      </c>
      <c r="F1098">
        <f>IF(Skills!N16=TRUE,(Skills!L16/10)*(E1098/1000),Skills!L16/10)+Skills!O16</f>
        <v>288.75</v>
      </c>
      <c r="G1098">
        <f>Calc!G16</f>
        <v>30</v>
      </c>
      <c r="H1098">
        <f>Calc!H16</f>
        <v>1</v>
      </c>
      <c r="I1098">
        <f>IF(Skills!X16&lt;&gt;"",1+(Skills!X16/10)*(Z1085/1000)/100,1)</f>
        <v>1</v>
      </c>
      <c r="J1098">
        <f>((Inputs!$B$6*(1+Inputs!$B$7/100))+(((Inputs!$B$12*(1+Inputs!$B$13/100))-(Inputs!$B$12*(1+Inputs!$B$13/100)))+0.25*(Inputs!$B$14-Inputs!$B$14))*(1+Inputs!$B$7/100))*(F1098/100)</f>
        <v>1042775930.5165126</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5239670326654.0977</v>
      </c>
      <c r="L1098">
        <f>K1098*(MIN(Inputs!$B$22+(F1104-Calc!F22),(Inputs!$B$23+(IF(ArtifactsInput!$M$15,CHOOSE(ArtifactsInput!$N$15+1,25,30,35,40,45,50)/100*(Inputs!$B$11-Inputs!$B$11),0))))/100+(Inputs!$B$23+(IF(ArtifactsInput!$M$15,CHOOSE(ArtifactsInput!$N$15+1,25,30,35,40,45,50)/100*(Inputs!$B$11-Inputs!$B$11),0)))/100)/2</f>
        <v>17421903836124.875</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098">
        <f>L1098*(1-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098">
        <f>(1-Summary!$B$11)*S1098+Summary!$B$11*U1098</f>
        <v>1890384927888193</v>
      </c>
      <c r="P1098">
        <f>IF(B1123=0,0,O1098/B1123)</f>
        <v>5.5529225341197662E-2</v>
      </c>
      <c r="Q1098">
        <f>IFERROR(1/(IF(Inputs!$B$38="pvp",15,MAX(0.1,Skills!E16-IF(TRUE=TRUE,Inputs!$B$32,0)))*(1-IF(AND(ArtifactsInput!$M$27,Inputs!$B$4="Chapter Hunt"),CHOOSE(ArtifactsInput!$N$27+1,20,24,28,32,36,40),0)/100)),0)</f>
        <v>0.04</v>
      </c>
      <c r="R1098">
        <f>IF(AND(Inputs!$B$38&lt;&gt;"pvp",Inputs!$B$43&gt;0),IF(MAX(0,Inputs!$B$43-B1120)&lt;=0,0,(INT(MAX(0,Inputs!$B$43-B1120)/(IF(Inputs!$B$38="pvp",15,MAX(0.1,Skills!E16-IF(TRUE=TRUE,Inputs!$B$32,0)))*(1-IF(AND(ArtifactsInput!$M$27,Inputs!$B$4="Chapter Hunt"),CHOOSE(ArtifactsInput!$N$27+1,20,24,28,32,36,40),0)/100)))+1)),0)</f>
        <v>2</v>
      </c>
      <c r="S1098">
        <f>IF(C1098,(H1098*N1098*IF(AND(Inputs!$B$38&lt;&gt;"pvp",Inputs!$B$43&gt;0),((Skills!G16*((R1098-1)*IF(Skills!H16&gt;0,Skills!I16/Skills!H16,1)+IF(Skills!H16&gt;0,MIN(Skills!I16,MAX(0,MAX(0,Inputs!$B$43-B1120)-((R1098-1)*(IF(Inputs!$B$38="pvp",15,MAX(0.1,Skills!E16-IF(TRUE=TRUE,Inputs!$B$32,0)))*(1-IF(AND(ArtifactsInput!$M$27,Inputs!$B$4="Chapter Hunt"),CHOOSE(ArtifactsInput!$N$27+1,20,24,28,32,36,40),0)/100)))))/Skills!H16,1)))/Inputs!$B$43),G1098*Q1098)*(1+IF(Inputs!$B$3&gt;=126,0.05*(B1118+Q1095+(H1096*B1119)/(1+Skills!H14*H1096*B1119)+Q1106),0)*(1/Q1097)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098">
        <f>IF(C1098,(H1098*N1098*IF(AND(Inputs!$B$38&lt;&gt;"pvp",Inputs!$B$43&gt;0),((Skills!G16*((R1098-1)*IF(Skills!H16&gt;0,Skills!I16/Skills!H16,1)+IF(Skills!H16&gt;0,MIN(Skills!I16,MAX(0,MAX(0,Inputs!$B$43-B1120)-((R1098-1)*(IF(Inputs!$B$38="pvp",15,MAX(0.1,Skills!E16-IF(TRUE=TRUE,Inputs!$B$32,0)))*(1-IF(AND(ArtifactsInput!$M$27,Inputs!$B$4="Chapter Hunt"),CHOOSE(ArtifactsInput!$N$27+1,20,24,28,32,36,40),0)/100)))))/Skills!H16,1)))/Inputs!$B$43),G1098*Q1098)*(1+IF(Inputs!$B$3&gt;=126,0.05*(B1118+Q1095+(H1096*B1119)/(1+Skills!H14*H1096*B1119)+Q1106),0)*(1/Q1097)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099" spans="1:21" x14ac:dyDescent="0.2">
      <c r="A1099" t="str">
        <f>Skills!A17</f>
        <v>MAGIC_GUARD</v>
      </c>
      <c r="B1099" t="str">
        <f>Skills!B17</f>
        <v>Magic Guard</v>
      </c>
      <c r="C1099" t="b">
        <f>TRUE</f>
        <v>1</v>
      </c>
      <c r="D1099">
        <f>IF(Skills!C17=1,60+Inputs!$B$25+Inputs!$B$29,IF(Skills!C17=2,90+Inputs!$B$26+Inputs!$B$29,IF(Skills!C17=3,120+Inputs!$B$27+Inputs!$B$29,MAX(0,(Inputs!$B$3-100)*3)+Inputs!$B$28+Inputs!$B$29)))</f>
        <v>127</v>
      </c>
      <c r="E1099">
        <f>INDEX(FactorTable!$B$2:$Y$301, MATCH(ROUND(MIN(300,MAX(1,D1099)),0), FactorTable!$A$2:$A$301,0), Skills!M17+1)</f>
        <v>1508</v>
      </c>
      <c r="F1099">
        <f>IF(Skills!N17=TRUE,(Skills!L17/10)*(E1099/1000),Skills!L17/10)+Skills!O17</f>
        <v>18.096</v>
      </c>
      <c r="G1099">
        <f>Calc!G17</f>
        <v>1</v>
      </c>
      <c r="H1099">
        <f>Calc!H17</f>
        <v>1</v>
      </c>
      <c r="I1099">
        <f>IF(Skills!X17&lt;&gt;"",1+(Skills!X17/10)*(Z1085/1000)/100,1)</f>
        <v>1</v>
      </c>
      <c r="O1099">
        <f>(1-Summary!$B$11)*S1099+Summary!$B$11*U1099</f>
        <v>0</v>
      </c>
      <c r="P1099">
        <f>IF(B1123=0,0,O1099/B1123)</f>
        <v>0</v>
      </c>
      <c r="Q1099">
        <f>IFERROR(1/(IF(Inputs!$B$38="pvp",15,MAX(0.1,Skills!E17-IF(TRUE=TRUE,Inputs!$B$32,0)))*(1-IF(AND(ArtifactsInput!$M$27,Inputs!$B$4="Chapter Hunt"),CHOOSE(ArtifactsInput!$N$27+1,20,24,28,32,36,40),0)/100)),0)</f>
        <v>4.7619047619047616E-2</v>
      </c>
      <c r="R1099">
        <f>IF(AND(Inputs!$B$38&lt;&gt;"pvp",Inputs!$B$43&gt;0),IF(Inputs!$B$43&lt;=0,0,(INT(Inputs!$B$43/(IF(Inputs!$B$38="pvp",15,MAX(0.1,Skills!E17-IF(TRUE=TRUE,Inputs!$B$32,0)))*(1-IF(AND(ArtifactsInput!$M$27,Inputs!$B$4="Chapter Hunt"),CHOOSE(ArtifactsInput!$N$27+1,20,24,28,32,36,40),0)/100)))+1)),0)</f>
        <v>2</v>
      </c>
      <c r="S1099">
        <v>0</v>
      </c>
      <c r="U1099">
        <v>0</v>
      </c>
    </row>
    <row r="1100" spans="1:21" x14ac:dyDescent="0.2">
      <c r="A1100" t="str">
        <f>Skills!A18</f>
        <v>NIMBLE_FEET</v>
      </c>
      <c r="B1100" t="str">
        <f>Skills!B18</f>
        <v>Nimble Feet</v>
      </c>
      <c r="C1100" t="b">
        <f>TRUE</f>
        <v>1</v>
      </c>
      <c r="D1100">
        <f>IF(Skills!C18=1,60+Inputs!$B$25+Inputs!$B$29,IF(Skills!C18=2,90+Inputs!$B$26+Inputs!$B$29,IF(Skills!C18=3,120+Inputs!$B$27+Inputs!$B$29,MAX(0,(Inputs!$B$3-100)*3)+Inputs!$B$28+Inputs!$B$29)))</f>
        <v>127</v>
      </c>
      <c r="E1100">
        <f>INDEX(FactorTable!$B$2:$Y$301, MATCH(ROUND(MIN(300,MAX(1,D1100)),0), FactorTable!$A$2:$A$301,0), Skills!M18+1)</f>
        <v>0</v>
      </c>
      <c r="F1100">
        <f>IF(Skills!N18=TRUE,(Skills!L18/10)*(E1100/1000),Skills!L18/10)+Skills!O18</f>
        <v>15</v>
      </c>
      <c r="G1100">
        <f>Calc!G18</f>
        <v>1</v>
      </c>
      <c r="H1100">
        <f>Calc!H18</f>
        <v>1</v>
      </c>
      <c r="I1100">
        <f>IF(Skills!X18&lt;&gt;"",1+(Skills!X18/10)*(Z1085/1000)/100,1)</f>
        <v>1</v>
      </c>
      <c r="O1100">
        <f>(1-Summary!$B$11)*S1100+Summary!$B$11*U1100</f>
        <v>0</v>
      </c>
      <c r="P1100">
        <f>IF(B1123=0,0,O1100/B1123)</f>
        <v>0</v>
      </c>
      <c r="Q1100">
        <f>IFERROR(1/(IF(Inputs!$B$38="pvp",15,MAX(0.1,Skills!E18-IF(TRUE=TRUE,Inputs!$B$32,0)))*(1-IF(AND(ArtifactsInput!$M$27,Inputs!$B$4="Chapter Hunt"),CHOOSE(ArtifactsInput!$N$27+1,20,24,28,32,36,40),0)/100)),0)</f>
        <v>1.6666666666666666E-2</v>
      </c>
      <c r="R1100">
        <f>IF(AND(Inputs!$B$38&lt;&gt;"pvp",Inputs!$B$43&gt;0),IF(Inputs!$B$43&lt;=0,0,(INT(Inputs!$B$43/(IF(Inputs!$B$38="pvp",15,MAX(0.1,Skills!E18-IF(TRUE=TRUE,Inputs!$B$32,0)))*(1-IF(AND(ArtifactsInput!$M$27,Inputs!$B$4="Chapter Hunt"),CHOOSE(ArtifactsInput!$N$27+1,20,24,28,32,36,40),0)/100)))+1)),0)</f>
        <v>1</v>
      </c>
      <c r="S1100">
        <v>0</v>
      </c>
      <c r="U1100">
        <v>0</v>
      </c>
    </row>
    <row r="1101" spans="1:21" x14ac:dyDescent="0.2">
      <c r="A1101" t="str">
        <f>Skills!A19</f>
        <v>INFINITY</v>
      </c>
      <c r="B1101" t="str">
        <f>Skills!B19</f>
        <v>Infinity</v>
      </c>
      <c r="C1101" t="b">
        <f>Inputs!$B$3&gt;=110</f>
        <v>1</v>
      </c>
      <c r="D1101">
        <f>IF(Skills!C19=1,60+Inputs!$B$25+Inputs!$B$29,IF(Skills!C19=2,90+Inputs!$B$26+Inputs!$B$29,IF(Skills!C19=3,120+Inputs!$B$27+Inputs!$B$29,MAX(0,(Inputs!$B$3-100)*3)+Inputs!$B$28+Inputs!$B$29)))</f>
        <v>185</v>
      </c>
      <c r="E1101">
        <f>INDEX(FactorTable!$B$2:$Y$301, MATCH(ROUND(MIN(300,MAX(1,D1101)),0), FactorTable!$A$2:$A$301,0), Skills!M19+1)</f>
        <v>1740</v>
      </c>
      <c r="F1101">
        <f>IF(Skills!N19=TRUE,(Skills!L19/10)*(E1101/1000),Skills!L19/10)+Skills!O19</f>
        <v>37.700579999999995</v>
      </c>
      <c r="G1101">
        <f>Calc!G19</f>
        <v>1</v>
      </c>
      <c r="H1101">
        <f>Calc!H19</f>
        <v>1</v>
      </c>
      <c r="I1101">
        <f>IF(Skills!X19&lt;&gt;"",1+(Skills!X19/10)*(Z1085/1000)/100,1)</f>
        <v>1</v>
      </c>
      <c r="O1101">
        <f>(1-Summary!$B$11)*S1101+Summary!$B$11*U1101</f>
        <v>0</v>
      </c>
      <c r="P1101">
        <f>IF(B1123=0,0,O1101/B1123)</f>
        <v>0</v>
      </c>
      <c r="Q1101">
        <f>IFERROR(1/(IF(Inputs!$B$38="pvp",15,MAX(0.1,Skills!E19-IF(TRUE=TRUE,Inputs!$B$32,0)))*(1-IF(AND(ArtifactsInput!$M$27,Inputs!$B$4="Chapter Hunt"),CHOOSE(ArtifactsInput!$N$27+1,20,24,28,32,36,40),0)/100)),0)</f>
        <v>3.3333333333333333E-2</v>
      </c>
      <c r="R1101">
        <f>IF(AND(Inputs!$B$38&lt;&gt;"pvp",Inputs!$B$43&gt;0),IF(Inputs!$B$43&lt;=0,0,(INT(Inputs!$B$43/(IF(Inputs!$B$38="pvp",15,MAX(0.1,Skills!E19-IF(TRUE=TRUE,Inputs!$B$32,0)))*(1-IF(AND(ArtifactsInput!$M$27,Inputs!$B$4="Chapter Hunt"),CHOOSE(ArtifactsInput!$N$27+1,20,24,28,32,36,40),0)/100)))+1)),0)</f>
        <v>2</v>
      </c>
      <c r="S1101">
        <v>0</v>
      </c>
      <c r="U1101">
        <v>0</v>
      </c>
    </row>
    <row r="1102" spans="1:21" x14ac:dyDescent="0.2">
      <c r="A1102" t="str">
        <f>Skills!A20</f>
        <v>MAGIC_CRITICAL_RATE</v>
      </c>
      <c r="B1102" t="str">
        <f>Skills!B20</f>
        <v>Magic Critical (Crit Rate)</v>
      </c>
      <c r="C1102" t="b">
        <f>TRUE</f>
        <v>1</v>
      </c>
      <c r="D1102">
        <f>IF(Skills!C20=1,60+Inputs!$B$25+Inputs!$B$29,IF(Skills!C20=2,90+Inputs!$B$26+Inputs!$B$29,IF(Skills!C20=3,120+Inputs!$B$27+Inputs!$B$29,MAX(0,(Inputs!$B$3-100)*3)+Inputs!$B$28+Inputs!$B$29)))</f>
        <v>184</v>
      </c>
      <c r="E1102">
        <f>INDEX(FactorTable!$B$2:$Y$301, MATCH(ROUND(MIN(300,MAX(1,D1102)),0), FactorTable!$A$2:$A$301,0), Skills!M20+1)</f>
        <v>1552</v>
      </c>
      <c r="F1102">
        <f>IF(Skills!N20=TRUE,(Skills!L20/10)*(E1102/1000),Skills!L20/10)+Skills!O20</f>
        <v>12.416</v>
      </c>
      <c r="G1102">
        <f>Calc!G20</f>
        <v>1</v>
      </c>
      <c r="H1102">
        <f>Calc!H20</f>
        <v>1</v>
      </c>
      <c r="I1102">
        <f>IF(Skills!X20&lt;&gt;"",1+(Skills!X20/10)*(Z1085/1000)/100,1)</f>
        <v>1</v>
      </c>
      <c r="O1102">
        <f>(1-Summary!$B$11)*S1102+Summary!$B$11*U1102</f>
        <v>0</v>
      </c>
      <c r="P1102">
        <f>IF(B1123=0,0,O1102/B1123)</f>
        <v>0</v>
      </c>
      <c r="Q1102">
        <f>IFERROR(1/(IF(Inputs!$B$38="pvp",15,MAX(0.1,Skills!E20-IF(TRUE=TRUE,Inputs!$B$32,0)))*(1-IF(AND(ArtifactsInput!$M$27,Inputs!$B$4="Chapter Hunt"),CHOOSE(ArtifactsInput!$N$27+1,20,24,28,32,36,40),0)/100)),0)</f>
        <v>10</v>
      </c>
      <c r="R1102">
        <v>0</v>
      </c>
      <c r="S1102">
        <v>0</v>
      </c>
      <c r="U1102">
        <v>0</v>
      </c>
    </row>
    <row r="1103" spans="1:21" x14ac:dyDescent="0.2">
      <c r="A1103" t="str">
        <f>Skills!A21</f>
        <v>MAGIC_CRITICAL_DAMAGE</v>
      </c>
      <c r="B1103" t="str">
        <f>Skills!B21</f>
        <v>Magic Critical (Crit Damage)</v>
      </c>
      <c r="C1103" t="b">
        <f>TRUE</f>
        <v>1</v>
      </c>
      <c r="D1103">
        <f>IF(Skills!C21=1,60+Inputs!$B$25+Inputs!$B$29,IF(Skills!C21=2,90+Inputs!$B$26+Inputs!$B$29,IF(Skills!C21=3,120+Inputs!$B$27+Inputs!$B$29,MAX(0,(Inputs!$B$3-100)*3)+Inputs!$B$28+Inputs!$B$29)))</f>
        <v>184</v>
      </c>
      <c r="E1103">
        <f>INDEX(FactorTable!$B$2:$Y$301, MATCH(ROUND(MIN(300,MAX(1,D1103)),0), FactorTable!$A$2:$A$301,0), Skills!M21+1)</f>
        <v>1552</v>
      </c>
      <c r="F1103">
        <f>IF(Skills!N21=TRUE,(Skills!L21/10)*(E1103/1000),Skills!L21/10)+Skills!O21</f>
        <v>18.624000000000002</v>
      </c>
      <c r="G1103">
        <f>Calc!G21</f>
        <v>1</v>
      </c>
      <c r="H1103">
        <f>Calc!H21</f>
        <v>1</v>
      </c>
      <c r="I1103">
        <f>IF(Skills!X21&lt;&gt;"",1+(Skills!X21/10)*(Z1085/1000)/100,1)</f>
        <v>1</v>
      </c>
      <c r="O1103">
        <f>(1-Summary!$B$11)*S1103+Summary!$B$11*U1103</f>
        <v>0</v>
      </c>
      <c r="P1103">
        <f>IF(B1123=0,0,O1103/B1123)</f>
        <v>0</v>
      </c>
      <c r="Q1103">
        <f>IFERROR(1/(IF(Inputs!$B$38="pvp",15,MAX(0.1,Skills!E21-IF(TRUE=TRUE,Inputs!$B$32,0)))*(1-IF(AND(ArtifactsInput!$M$27,Inputs!$B$4="Chapter Hunt"),CHOOSE(ArtifactsInput!$N$27+1,20,24,28,32,36,40),0)/100)),0)</f>
        <v>10</v>
      </c>
      <c r="R1103">
        <v>0</v>
      </c>
      <c r="S1103">
        <v>0</v>
      </c>
      <c r="U1103">
        <v>0</v>
      </c>
    </row>
    <row r="1104" spans="1:21" x14ac:dyDescent="0.2">
      <c r="A1104" t="str">
        <f>Skills!A22</f>
        <v>SPELL_MASTERY</v>
      </c>
      <c r="B1104" t="str">
        <f>Skills!B22</f>
        <v>Spell Mastery</v>
      </c>
      <c r="C1104" t="b">
        <f>TRUE</f>
        <v>1</v>
      </c>
      <c r="D1104">
        <f>IF(Skills!C22=1,60+Inputs!$B$25+Inputs!$B$29,IF(Skills!C22=2,90+Inputs!$B$26+Inputs!$B$29,IF(Skills!C22=3,120+Inputs!$B$27+Inputs!$B$29,MAX(0,(Inputs!$B$3-100)*3)+Inputs!$B$28+Inputs!$B$29)))</f>
        <v>168</v>
      </c>
      <c r="E1104">
        <f>INDEX(FactorTable!$B$2:$Y$301, MATCH(ROUND(MIN(300,MAX(1,D1104)),0), FactorTable!$A$2:$A$301,0), Skills!M22+1)</f>
        <v>1504</v>
      </c>
      <c r="F1104">
        <f>IF(Skills!N22=TRUE,(Skills!L22/10)*(E1104/1000),Skills!L22/10)+Skills!O22</f>
        <v>22.56</v>
      </c>
      <c r="G1104">
        <f>Calc!G22</f>
        <v>1</v>
      </c>
      <c r="H1104">
        <f>Calc!H22</f>
        <v>1</v>
      </c>
      <c r="I1104">
        <f>IF(Skills!X22&lt;&gt;"",1+(Skills!X22/10)*(Z1085/1000)/100,1)</f>
        <v>1</v>
      </c>
      <c r="O1104">
        <f>(1-Summary!$B$11)*S1104+Summary!$B$11*U1104</f>
        <v>0</v>
      </c>
      <c r="P1104">
        <f>IF(B1123=0,0,O1104/B1123)</f>
        <v>0</v>
      </c>
      <c r="Q1104">
        <f>IFERROR(1/(IF(Inputs!$B$38="pvp",15,MAX(0.1,Skills!E22-IF(TRUE=TRUE,Inputs!$B$32,0)))*(1-IF(AND(ArtifactsInput!$M$27,Inputs!$B$4="Chapter Hunt"),CHOOSE(ArtifactsInput!$N$27+1,20,24,28,32,36,40),0)/100)),0)</f>
        <v>10</v>
      </c>
      <c r="R1104">
        <v>0</v>
      </c>
      <c r="S1104">
        <v>0</v>
      </c>
      <c r="U1104">
        <v>0</v>
      </c>
    </row>
    <row r="1105" spans="1:21" x14ac:dyDescent="0.2">
      <c r="A1105" t="str">
        <f>Skills!A23</f>
        <v>ELEMENT_AMPLIFICATION</v>
      </c>
      <c r="B1105" t="str">
        <f>Skills!B23</f>
        <v>Element Amplification</v>
      </c>
      <c r="C1105" t="b">
        <f>TRUE</f>
        <v>1</v>
      </c>
      <c r="D1105">
        <f>IF(Skills!C23=1,60+Inputs!$B$25+Inputs!$B$29,IF(Skills!C23=2,90+Inputs!$B$26+Inputs!$B$29,IF(Skills!C23=3,120+Inputs!$B$27+Inputs!$B$29,MAX(0,(Inputs!$B$3-100)*3)+Inputs!$B$28+Inputs!$B$29)))</f>
        <v>185</v>
      </c>
      <c r="E1105">
        <f>INDEX(FactorTable!$B$2:$Y$301, MATCH(ROUND(MIN(300,MAX(1,D1105)),0), FactorTable!$A$2:$A$301,0), Skills!M23+1)</f>
        <v>1555</v>
      </c>
      <c r="F1105">
        <f>IF(Skills!N23=TRUE,(Skills!L23/10)*(E1105/1000),Skills!L23/10)+Skills!O23</f>
        <v>23.324999999999999</v>
      </c>
      <c r="G1105">
        <f>Calc!G23</f>
        <v>1</v>
      </c>
      <c r="H1105">
        <f>Calc!H23</f>
        <v>1</v>
      </c>
      <c r="I1105">
        <f>IF(Skills!X23&lt;&gt;"",1+(Skills!X23/10)*(Z1085/1000)/100,1)</f>
        <v>1</v>
      </c>
      <c r="O1105">
        <f>(1-Summary!$B$11)*S1105+Summary!$B$11*U1105</f>
        <v>0</v>
      </c>
      <c r="P1105">
        <f>IF(B1123=0,0,O1105/B1123)</f>
        <v>0</v>
      </c>
      <c r="Q1105">
        <f>IFERROR(1/(IF(Inputs!$B$38="pvp",15,MAX(0.1,Skills!E23-IF(TRUE=TRUE,Inputs!$B$32,0)))*(1-IF(AND(ArtifactsInput!$M$27,Inputs!$B$4="Chapter Hunt"),CHOOSE(ArtifactsInput!$N$27+1,20,24,28,32,36,40),0)/100)),0)</f>
        <v>10</v>
      </c>
      <c r="R1105">
        <v>0</v>
      </c>
      <c r="S1105">
        <v>0</v>
      </c>
      <c r="U1105">
        <v>0</v>
      </c>
    </row>
    <row r="1106" spans="1:21" x14ac:dyDescent="0.2">
      <c r="A1106" t="str">
        <f>Skills!A24</f>
        <v>IFRIT</v>
      </c>
      <c r="B1106" t="str">
        <f>Skills!B24</f>
        <v>Ifrit</v>
      </c>
      <c r="C1106" t="b">
        <f>Inputs!$B$3&gt;=115</f>
        <v>1</v>
      </c>
      <c r="D1106">
        <f>IF(Skills!C24=1,60+Inputs!$B$25+Inputs!$B$29,IF(Skills!C24=2,90+Inputs!$B$26+Inputs!$B$29,IF(Skills!C24=3,120+Inputs!$B$27+Inputs!$B$29,MAX(0,(Inputs!$B$3-100)*3)+Inputs!$B$28+Inputs!$B$29)))</f>
        <v>185</v>
      </c>
      <c r="E1106">
        <f>INDEX(FactorTable!$B$2:$Y$301, MATCH(ROUND(MIN(300,MAX(1,D1106)),0), FactorTable!$A$2:$A$301,0), Skills!M24+1)</f>
        <v>1925</v>
      </c>
      <c r="F1106">
        <f>IF(Skills!N24=TRUE,(Skills!L24/10)*(E1106/1000),Skills!L24/10)+Skills!O24</f>
        <v>6737.5</v>
      </c>
      <c r="G1106">
        <f>Calc!G24</f>
        <v>7.5</v>
      </c>
      <c r="H1106">
        <f>Calc!H24</f>
        <v>1</v>
      </c>
      <c r="I1106">
        <f>IF(Skills!X24&lt;&gt;"",1+(Skills!X24/10)*(Z1085/1000)/100,1)</f>
        <v>1</v>
      </c>
      <c r="J1106">
        <f>((Inputs!$B$6*(1+Inputs!$B$7/100))+(((Inputs!$B$12*(1+Inputs!$B$13/100))-(Inputs!$B$12*(1+Inputs!$B$13/100)))+0.25*(Inputs!$B$14-Inputs!$B$14))*(1+Inputs!$B$7/100))*(F1106/100)</f>
        <v>24331438378.718628</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122258974288595.61</v>
      </c>
      <c r="L1106">
        <f>K1106*(MIN(Inputs!$B$22+(F1104-Calc!F22),(Inputs!$B$23+(IF(ArtifactsInput!$M$15,CHOOSE(ArtifactsInput!$N$15+1,25,30,35,40,45,50)/100*(Inputs!$B$11-Inputs!$B$11),0))))/100+(Inputs!$B$23+(IF(ArtifactsInput!$M$15,CHOOSE(ArtifactsInput!$N$15+1,25,30,35,40,45,50)/100*(Inputs!$B$11-Inputs!$B$11),0)))/100)/2</f>
        <v>406511089509580.44</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106">
        <f>L1106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106">
        <f>(1-Summary!$B$11)*S1106+Summary!$B$11*U1106</f>
        <v>2194085169658842.8</v>
      </c>
      <c r="P1106">
        <f>IF(B1123=0,0,O1106/B1123)</f>
        <v>6.4450286291624401E-2</v>
      </c>
      <c r="Q1106">
        <f>IFERROR(1/(IF(Inputs!$B$38="pvp",15,MAX(0.1,Skills!E24-IF(TRUE=TRUE,Inputs!$B$32,0)))*(1-IF(AND(ArtifactsInput!$M$27,Inputs!$B$4="Chapter Hunt"),CHOOSE(ArtifactsInput!$N$27+1,20,24,28,32,36,40),0)/100)),0)</f>
        <v>1.2500000000000001E-2</v>
      </c>
      <c r="R1106">
        <f>IF(AND(Inputs!$B$38&lt;&gt;"pvp",Inputs!$B$43&gt;0),IF(MAX(0,Inputs!$B$43-B1120)&lt;=0,0,(INT(MAX(0,Inputs!$B$43-B1120)/(IF(Inputs!$B$38="pvp",15,MAX(0.1,Skills!E24-IF(TRUE=TRUE,Inputs!$B$32,0)))*(1-IF(AND(ArtifactsInput!$M$27,Inputs!$B$4="Chapter Hunt"),CHOOSE(ArtifactsInput!$N$27+1,20,24,28,32,36,40),0)/100)))+1)),0)</f>
        <v>1</v>
      </c>
      <c r="S1106">
        <f>IF(C1106,(H1106*N1106*IF(AND(Inputs!$B$38&lt;&gt;"pvp",Inputs!$B$43&gt;0),((Skills!G24*((R1106-1)*IF(Skills!H24&gt;0,Skills!I24/Skills!H24,1)+IF(Skills!H24&gt;0,MIN(Skills!I24,MAX(0,MAX(0,Inputs!$B$43-B1120)-((R1106-1)*(IF(Inputs!$B$38="pvp",15,MAX(0.1,Skills!E24-IF(TRUE=TRUE,Inputs!$B$32,0)))*(1-IF(AND(ArtifactsInput!$M$27,Inputs!$B$4="Chapter Hunt"),CHOOSE(ArtifactsInput!$N$27+1,20,24,28,32,36,40),0)/100)))))/Skills!H24,1)))/Inputs!$B$43),G1106*Q1106)*(1+IF(Inputs!$B$3&gt;=130,0.2*(Skills!I16/(1/Q1097)+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106">
        <f>IF(C1106,(H1106*N1106*IF(AND(Inputs!$B$38&lt;&gt;"pvp",Inputs!$B$43&gt;0),((Skills!G24*((R1106-1)*IF(Skills!H24&gt;0,Skills!I24/Skills!H24,1)+IF(Skills!H24&gt;0,MIN(Skills!I24,MAX(0,MAX(0,Inputs!$B$43-B1120)-((R1106-1)*(IF(Inputs!$B$38="pvp",15,MAX(0.1,Skills!E24-IF(TRUE=TRUE,Inputs!$B$32,0)))*(1-IF(AND(ArtifactsInput!$M$27,Inputs!$B$4="Chapter Hunt"),CHOOSE(ArtifactsInput!$N$27+1,20,24,28,32,36,40),0)/100)))))/Skills!H24,1)))/Inputs!$B$43),G1106*Q1106)*(1+IF(Inputs!$B$3&gt;=130,0.2*(Skills!I16/(1/Q1097)+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107" spans="1:21" x14ac:dyDescent="0.2">
      <c r="A1107" t="str">
        <f>Skills!A25</f>
        <v>BUFF_MASTERY</v>
      </c>
      <c r="B1107" t="str">
        <f>Skills!B25</f>
        <v>Buff Mastery</v>
      </c>
      <c r="C1107" t="b">
        <f>Inputs!$B$3&gt;=117</f>
        <v>1</v>
      </c>
      <c r="D1107">
        <f>IF(Skills!C25=1,60+Inputs!$B$25+Inputs!$B$29,IF(Skills!C25=2,90+Inputs!$B$26+Inputs!$B$29,IF(Skills!C25=3,120+Inputs!$B$27+Inputs!$B$29,MAX(0,(Inputs!$B$3-100)*3)+Inputs!$B$28+Inputs!$B$29)))</f>
        <v>185</v>
      </c>
      <c r="E1107">
        <f>INDEX(FactorTable!$B$2:$Y$301, MATCH(ROUND(MIN(300,MAX(1,D1107)),0), FactorTable!$A$2:$A$301,0), Skills!M25+1)</f>
        <v>1555</v>
      </c>
      <c r="F1107">
        <f>IF(Skills!N25=TRUE,(Skills!L25/10)*(E1107/1000),Skills!L25/10)+Skills!O25</f>
        <v>15.549999999999999</v>
      </c>
      <c r="G1107">
        <f>Calc!G25</f>
        <v>1</v>
      </c>
      <c r="H1107">
        <f>Calc!H25</f>
        <v>1</v>
      </c>
      <c r="I1107">
        <f>IF(Skills!X25&lt;&gt;"",1+(Skills!X25/10)*(Z1085/1000)/100,1)</f>
        <v>1</v>
      </c>
      <c r="O1107">
        <f>(1-Summary!$B$11)*S1107+Summary!$B$11*U1107</f>
        <v>0</v>
      </c>
      <c r="P1107">
        <f>IF(B1123=0,0,O1107/B1123)</f>
        <v>0</v>
      </c>
      <c r="Q1107">
        <f>IFERROR(1/(IF(Inputs!$B$38="pvp",15,MAX(0.1,Skills!E25-IF(TRUE=TRUE,Inputs!$B$32,0)))*(1-IF(AND(ArtifactsInput!$M$27,Inputs!$B$4="Chapter Hunt"),CHOOSE(ArtifactsInput!$N$27+1,20,24,28,32,36,40),0)/100)),0)</f>
        <v>10</v>
      </c>
      <c r="R1107">
        <v>0</v>
      </c>
      <c r="S1107">
        <v>0</v>
      </c>
      <c r="U1107">
        <v>0</v>
      </c>
    </row>
    <row r="1108" spans="1:21" x14ac:dyDescent="0.2">
      <c r="A1108" t="str">
        <f>Skills!A26</f>
        <v>ARCANE_AIM</v>
      </c>
      <c r="B1108" t="str">
        <f>Skills!B26</f>
        <v>Arcane Aim</v>
      </c>
      <c r="C1108" t="b">
        <f>Inputs!$B$3&gt;=120</f>
        <v>0</v>
      </c>
      <c r="D1108">
        <f>IF(Skills!C26=1,60+Inputs!$B$25+Inputs!$B$29,IF(Skills!C26=2,90+Inputs!$B$26+Inputs!$B$29,IF(Skills!C26=3,120+Inputs!$B$27+Inputs!$B$29,MAX(0,(Inputs!$B$3-100)*3)+Inputs!$B$28+Inputs!$B$29)))</f>
        <v>185</v>
      </c>
      <c r="E1108">
        <f>INDEX(FactorTable!$B$2:$Y$301, MATCH(ROUND(MIN(300,MAX(1,D1108)),0), FactorTable!$A$2:$A$301,0), Skills!M26+1)</f>
        <v>1555</v>
      </c>
      <c r="F1108">
        <f>IF(Skills!N26=TRUE,(Skills!L26/10)*(E1108/1000),Skills!L26/10)+Skills!O26</f>
        <v>4.665</v>
      </c>
      <c r="G1108">
        <f>Calc!G26</f>
        <v>1</v>
      </c>
      <c r="H1108">
        <f>Calc!H26</f>
        <v>1</v>
      </c>
      <c r="I1108">
        <f>IF(Skills!X26&lt;&gt;"",1+(Skills!X26/10)*(Z1085/1000)/100,1)</f>
        <v>1</v>
      </c>
      <c r="O1108">
        <f>(1-Summary!$B$11)*S1108+Summary!$B$11*U1108</f>
        <v>0</v>
      </c>
      <c r="P1108">
        <f>IF(B1123=0,0,O1108/B1123)</f>
        <v>0</v>
      </c>
      <c r="Q1108">
        <f>IFERROR(1/(IF(Inputs!$B$38="pvp",15,MAX(0.1,Skills!E26-IF(TRUE=TRUE,Inputs!$B$32,0)))*(1-IF(AND(ArtifactsInput!$M$27,Inputs!$B$4="Chapter Hunt"),CHOOSE(ArtifactsInput!$N$27+1,20,24,28,32,36,40),0)/100)),0)</f>
        <v>10</v>
      </c>
      <c r="R1108">
        <v>0</v>
      </c>
      <c r="S1108">
        <v>0</v>
      </c>
      <c r="U1108">
        <v>0</v>
      </c>
    </row>
    <row r="1109" spans="1:21" x14ac:dyDescent="0.2">
      <c r="A1109" t="str">
        <f>Skills!A27</f>
        <v>FERVENT_DRAIN</v>
      </c>
      <c r="B1109" t="str">
        <f>Skills!B27</f>
        <v>Fervent Drain</v>
      </c>
      <c r="C1109" t="b">
        <f>Inputs!$B$3&gt;=125</f>
        <v>0</v>
      </c>
      <c r="D1109">
        <f>IF(Skills!C27=1,60+Inputs!$B$25+Inputs!$B$29,IF(Skills!C27=2,90+Inputs!$B$26+Inputs!$B$29,IF(Skills!C27=3,120+Inputs!$B$27+Inputs!$B$29,MAX(0,(Inputs!$B$3-100)*3)+Inputs!$B$28+Inputs!$B$29)))</f>
        <v>185</v>
      </c>
      <c r="E1109">
        <f>INDEX(FactorTable!$B$2:$Y$301, MATCH(ROUND(MIN(300,MAX(1,D1109)),0), FactorTable!$A$2:$A$301,0), Skills!M27+1)</f>
        <v>1555</v>
      </c>
      <c r="F1109">
        <f>IF(Skills!N27=TRUE,(Skills!L27/10)*(E1109/1000),Skills!L27/10)+Skills!O27</f>
        <v>6.22</v>
      </c>
      <c r="G1109">
        <f>Calc!G27</f>
        <v>1</v>
      </c>
      <c r="H1109">
        <f>Calc!H27</f>
        <v>1</v>
      </c>
      <c r="I1109">
        <f>IF(Skills!X27&lt;&gt;"",1+(Skills!X27/10)*(Z1085/1000)/100,1)</f>
        <v>1</v>
      </c>
      <c r="O1109">
        <f>(1-Summary!$B$11)*S1109+Summary!$B$11*U1109</f>
        <v>0</v>
      </c>
      <c r="P1109">
        <f>IF(B1123=0,0,O1109/B1123)</f>
        <v>0</v>
      </c>
      <c r="Q1109">
        <f>IFERROR(1/(IF(Inputs!$B$38="pvp",15,MAX(0.1,Skills!E27-IF(TRUE=TRUE,Inputs!$B$32,0)))*(1-IF(AND(ArtifactsInput!$M$27,Inputs!$B$4="Chapter Hunt"),CHOOSE(ArtifactsInput!$N$27+1,20,24,28,32,36,40),0)/100)),0)</f>
        <v>10</v>
      </c>
      <c r="R1109">
        <v>0</v>
      </c>
      <c r="S1109">
        <v>0</v>
      </c>
      <c r="U1109">
        <v>0</v>
      </c>
    </row>
    <row r="1110" spans="1:21" x14ac:dyDescent="0.2">
      <c r="A1110" t="str">
        <f>Skills!A28</f>
        <v>FLAME_HAZE_FOG</v>
      </c>
      <c r="B1110" t="str">
        <f>Skills!B28</f>
        <v>Flame Haze (poison fog DoT)</v>
      </c>
      <c r="C1110" t="b">
        <f>Inputs!$B$3&gt;=118</f>
        <v>0</v>
      </c>
      <c r="D1110">
        <f>IF(Skills!C28=1,60+Inputs!$B$25+Inputs!$B$29,IF(Skills!C28=2,90+Inputs!$B$26+Inputs!$B$29,IF(Skills!C28=3,120+Inputs!$B$27+Inputs!$B$29,MAX(0,(Inputs!$B$3-100)*3)+Inputs!$B$28+Inputs!$B$29)))</f>
        <v>185</v>
      </c>
      <c r="E1110">
        <f>INDEX(FactorTable!$B$2:$Y$301, MATCH(ROUND(MIN(300,MAX(1,D1110)),0), FactorTable!$A$2:$A$301,0), Skills!M28+1)</f>
        <v>1925</v>
      </c>
      <c r="F1110">
        <f>IF(Skills!N28=TRUE,(Skills!L28/10)*(E1110/1000),Skills!L28/10)+Skills!O28</f>
        <v>134.75</v>
      </c>
      <c r="G1110">
        <f>Calc!G28</f>
        <v>50</v>
      </c>
      <c r="H1110">
        <f>Calc!H28</f>
        <v>1</v>
      </c>
      <c r="I1110">
        <f>IF(Skills!X28&lt;&gt;"",1+(Skills!X28/10)*(Z1085/1000)/100,1)</f>
        <v>1</v>
      </c>
      <c r="J1110">
        <f>((Inputs!$B$6*(1+Inputs!$B$7/100))+(((Inputs!$B$12*(1+Inputs!$B$13/100))-(Inputs!$B$12*(1+Inputs!$B$13/100)))+0.25*(Inputs!$B$14-Inputs!$B$14))*(1+Inputs!$B$7/100))*(F1110/100)</f>
        <v>486628767.57437253</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2445179485771.9116</v>
      </c>
      <c r="L1110">
        <f>K1110*(MIN(Inputs!$B$22+(F1104-Calc!F22),(Inputs!$B$23+(IF(ArtifactsInput!$M$15,CHOOSE(ArtifactsInput!$N$15+1,25,30,35,40,45,50)/100*(Inputs!$B$11-Inputs!$B$11),0))))/100+(Inputs!$B$23+(IF(ArtifactsInput!$M$15,CHOOSE(ArtifactsInput!$N$15+1,25,30,35,40,45,50)/100*(Inputs!$B$11-Inputs!$B$11),0)))/100)/2</f>
        <v>8130221790191.6064</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110">
        <f>L1110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110">
        <f>(1-Summary!$B$11)*S1110+Summary!$B$11*U1110</f>
        <v>0</v>
      </c>
      <c r="P1110">
        <f>IF(B1123=0,0,O1110/B1123)</f>
        <v>0</v>
      </c>
      <c r="Q1110">
        <f>IFERROR(1/(IF(Inputs!$B$38="pvp",15,MAX(0.1,Skills!E28-IF(TRUE=TRUE,Inputs!$B$32,0)))*(1-IF(AND(ArtifactsInput!$M$27,Inputs!$B$4="Chapter Hunt"),CHOOSE(ArtifactsInput!$N$27+1,20,24,28,32,36,40),0)/100)),0)</f>
        <v>0.04</v>
      </c>
      <c r="R1110">
        <f>IF(AND(Inputs!$B$38&lt;&gt;"pvp",Inputs!$B$43&gt;0),IF(MAX(0,Inputs!$B$43-B1120)&lt;=0,0,(INT(MAX(0,Inputs!$B$43-B1120)/(IF(Inputs!$B$38="pvp",15,MAX(0.1,Skills!E28-IF(TRUE=TRUE,Inputs!$B$32,0)))*(1-IF(AND(ArtifactsInput!$M$27,Inputs!$B$4="Chapter Hunt"),CHOOSE(ArtifactsInput!$N$27+1,20,24,28,32,36,40),0)/100)))+1)),0)</f>
        <v>2</v>
      </c>
      <c r="S1110">
        <f>IF(C1110,(H1110*N1110*IF(AND(Inputs!$B$38&lt;&gt;"pvp",Inputs!$B$43&gt;0),((Skills!G28*((R1110-1)*IF(Skills!H28&gt;0,Skills!I28/Skills!H28,1)+IF(Skills!H28&gt;0,MIN(Skills!I28,MAX(0,MAX(0,Inputs!$B$43-B1120)-((R1110-1)*(IF(Inputs!$B$38="pvp",15,MAX(0.1,Skills!E28-IF(TRUE=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10">
        <f>IF(C1110,(H1110*N1110*IF(AND(Inputs!$B$38&lt;&gt;"pvp",Inputs!$B$43&gt;0),((Skills!G28*((R1110-1)*IF(Skills!H28&gt;0,Skills!I28/Skills!H28,1)+IF(Skills!H28&gt;0,MIN(Skills!I28,MAX(0,MAX(0,Inputs!$B$43-B1120)-((R1110-1)*(IF(Inputs!$B$38="pvp",15,MAX(0.1,Skills!E28-IF(TRUE=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112" spans="1:21" x14ac:dyDescent="0.2">
      <c r="A1112" t="s">
        <v>356</v>
      </c>
      <c r="B1112">
        <f>1+(F1093*Skills!Z11)/100</f>
        <v>1.25</v>
      </c>
    </row>
    <row r="1113" spans="1:21" x14ac:dyDescent="0.2">
      <c r="A1113" t="s">
        <v>435</v>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1.18624</v>
      </c>
    </row>
    <row r="1114" spans="1:21" x14ac:dyDescent="0.2">
      <c r="A1114" t="s">
        <v>358</v>
      </c>
      <c r="B1114">
        <f>(1+(F1088*IF(AND(Inputs!$B$38&lt;&gt;"pvp",Inputs!$B$43&gt;0),(((R1088-1)*MIN((Skills!T6*(1+((Inputs!$B$34+(ArtifactsInput!$M$7-ArtifactsInput!$M$7)*CHOOSE(ArtifactsInput!$N$7+1,6,7.2,8.4,9.6,10.8,12)))/100)),(1/Q1088))+MIN((Skills!T6*(1+((Inputs!$B$34+(ArtifactsInput!$M$7-ArtifactsInput!$M$7)*CHOOSE(ArtifactsInput!$N$7+1,6,7.2,8.4,9.6,10.8,12)))/100)),MAX(0,Inputs!$B$43-((R1088-1)*(1/Q1088)))))/Inputs!$B$43),IF(Inputs!$B$38="pvp",MIN((Skills!T6*(1+((Inputs!$B$34+(ArtifactsInput!$M$7-ArtifactsInput!$M$7)*CHOOSE(ArtifactsInput!$N$7+1,6,7.2,8.4,9.6,10.8,12)))/100)),15)/15,MIN(1,(Skills!T6*(1+((Inputs!$B$34+(ArtifactsInput!$M$7-ArtifactsInput!$M$7)*CHOOSE(ArtifactsInput!$N$7+1,6,7.2,8.4,9.6,10.8,12)))/100))/(1/Q1088))))+F1099*IF(AND(Inputs!$B$38&lt;&gt;"pvp",Inputs!$B$43&gt;0),(((R1099-1)*MIN((Skills!T17*(1+((Inputs!$B$34+(ArtifactsInput!$M$7-ArtifactsInput!$M$7)*CHOOSE(ArtifactsInput!$N$7+1,6,7.2,8.4,9.6,10.8,12)))/100)),(1/Q1099))+MIN((Skills!T17*(1+((Inputs!$B$34+(ArtifactsInput!$M$7-ArtifactsInput!$M$7)*CHOOSE(ArtifactsInput!$N$7+1,6,7.2,8.4,9.6,10.8,12)))/100)),MAX(0,Inputs!$B$43-((R1099-1)*(1/Q1099)))))/Inputs!$B$43),IF(Inputs!$B$38="pvp",MIN((Skills!T17*(1+((Inputs!$B$34+(ArtifactsInput!$M$7-ArtifactsInput!$M$7)*CHOOSE(ArtifactsInput!$N$7+1,6,7.2,8.4,9.6,10.8,12)))/100)),15)/15,MIN(1,(Skills!T17*(1+((Inputs!$B$34+(ArtifactsInput!$M$7-ArtifactsInput!$M$7)*CHOOSE(ArtifactsInput!$N$7+1,6,7.2,8.4,9.6,10.8,12)))/100))/(1/Q1099)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MIN((Skills!T19*(1+((Inputs!$B$34+(ArtifactsInput!$M$7-ArtifactsInput!$M$7)*CHOOSE(ArtifactsInput!$N$7+1,6,7.2,8.4,9.6,10.8,12)))/100)),(1/Q1101))+MIN((Skills!T19*(1+((Inputs!$B$34+(ArtifactsInput!$M$7-ArtifactsInput!$M$7)*CHOOSE(ArtifactsInput!$N$7+1,6,7.2,8.4,9.6,10.8,12)))/100)),MAX(0,Inputs!$B$43-((R1101-1)*(1/Q1101)))))/Inputs!$B$43),IF(Inputs!$B$38="pvp",MIN((Skills!T19*(1+((Inputs!$B$34+(ArtifactsInput!$M$7-ArtifactsInput!$M$7)*CHOOSE(ArtifactsInput!$N$7+1,6,7.2,8.4,9.6,10.8,12)))/100)),15)/15,MIN(1,(Skills!T19*(1+((Inputs!$B$34+(ArtifactsInput!$M$7-ArtifactsInput!$M$7)*CHOOSE(ArtifactsInput!$N$7+1,6,7.2,8.4,9.6,10.8,12)))/100))/(1/Q1101))))/100),1)</f>
        <v>1.7965808377980694</v>
      </c>
    </row>
    <row r="1115" spans="1:21" x14ac:dyDescent="0.2">
      <c r="A1115" t="s">
        <v>359</v>
      </c>
      <c r="B1115">
        <f>F1100*IF(AND(Inputs!$B$38&lt;&gt;"pvp",Inputs!$B$43&gt;0),(((R1100-1)*MIN((Skills!T18*(1+((Inputs!$B$34+(ArtifactsInput!$M$7-ArtifactsInput!$M$7)*CHOOSE(ArtifactsInput!$N$7+1,6,7.2,8.4,9.6,10.8,12)))/100)),(1/Q1100))+MIN((Skills!T18*(1+((Inputs!$B$34+(ArtifactsInput!$M$7-ArtifactsInput!$M$7)*CHOOSE(ArtifactsInput!$N$7+1,6,7.2,8.4,9.6,10.8,12)))/100)),MAX(0,Inputs!$B$43-((R1100-1)*(1/Q1100)))))/Inputs!$B$43),IF(Inputs!$B$38="pvp",MIN((Skills!T18*(1+((Inputs!$B$34+(ArtifactsInput!$M$7-ArtifactsInput!$M$7)*CHOOSE(ArtifactsInput!$N$7+1,6,7.2,8.4,9.6,10.8,12)))/100)),15)/15,MIN(1,(Skills!T18*(1+((Inputs!$B$34+(ArtifactsInput!$M$7-ArtifactsInput!$M$7)*CHOOSE(ArtifactsInput!$N$7+1,6,7.2,8.4,9.6,10.8,12)))/100))/(1/Q1100))))</f>
        <v>6.4968749999999993</v>
      </c>
    </row>
    <row r="1116" spans="1:21" x14ac:dyDescent="0.2">
      <c r="A1116" t="s">
        <v>436</v>
      </c>
      <c r="B1116">
        <f>1+MIN(150,150*(1-(1-(Inputs!$B$11+(ArtifactsInput!$M$15-ArtifactsInput!$M$15)*CHOOSE(ArtifactsInput!$N$15+1,8,9.6,11.2,12.8,14.4,16))/150)*(1-B1115/150)))/100</f>
        <v>1.6982958749999999</v>
      </c>
    </row>
    <row r="1117" spans="1:21" x14ac:dyDescent="0.2">
      <c r="A1117" t="s">
        <v>437</v>
      </c>
      <c r="B1117">
        <f>IF(AND(Inputs!$B$38&lt;&gt;"pvp",Inputs!$B$43&gt;0),SUMPRODUCT((Skills!F2:F28=TRUE)*(C1084:C1110=TRUE)*R1084:R1110)/Inputs!$B$43,SUMPRODUCT((Skills!F2:F28=TRUE)*(C1084:C1110=TRUE)*Q1084:Q1110))</f>
        <v>0.47499999999999998</v>
      </c>
    </row>
    <row r="1118" spans="1:21" x14ac:dyDescent="0.2">
      <c r="A1118" t="s">
        <v>362</v>
      </c>
      <c r="B1118">
        <f>MAX(0,B1116-B1117)</f>
        <v>1.2232958749999998</v>
      </c>
    </row>
    <row r="1119" spans="1:21" x14ac:dyDescent="0.2">
      <c r="A1119" t="s">
        <v>438</v>
      </c>
      <c r="B1119">
        <f>IF(AND(Inputs!$B$38&lt;&gt;"pvp",Inputs!$B$43&gt;0),SUMPRODUCT((Skills!V2:V28=TRUE)*(C1084:C1110=TRUE)*R1084:R1110*Skills!W2:W28)/Inputs!$B$43,SUMPRODUCT((Skills!V2:V28=TRUE)*(C1084:C1110=TRUE)*Q1084:Q1110*Skills!W2:W28))+B1118</f>
        <v>1.5482958749999998</v>
      </c>
    </row>
    <row r="1120" spans="1:21" x14ac:dyDescent="0.2">
      <c r="A1120" t="s">
        <v>439</v>
      </c>
      <c r="B1120">
        <f>IF(AND(Inputs!$B$38&lt;&gt;"pvp",Inputs!$B$43&gt;0),SUMPRODUCT((Skills!T2:T28&gt;0)*(Skills!F2:F28=TRUE)*(C1084:C1110=TRUE))/B1116,0)</f>
        <v>2.3553021937358238</v>
      </c>
    </row>
    <row r="1121" spans="1:26" x14ac:dyDescent="0.2">
      <c r="A1121" t="s">
        <v>440</v>
      </c>
      <c r="B1121">
        <f>SUM(S1084:S1110)</f>
        <v>9517263078933292</v>
      </c>
    </row>
    <row r="1122" spans="1:26" x14ac:dyDescent="0.2">
      <c r="A1122" t="s">
        <v>441</v>
      </c>
      <c r="B1122">
        <f>SUM(U1084:U1110)</f>
        <v>5.8568863326496616E+16</v>
      </c>
    </row>
    <row r="1123" spans="1:26" x14ac:dyDescent="0.2">
      <c r="A1123" s="6" t="s">
        <v>348</v>
      </c>
      <c r="B1123" s="6">
        <f>SUM(O1084:O1110)</f>
        <v>3.4043063202714956E+16</v>
      </c>
    </row>
    <row r="1126" spans="1:26" x14ac:dyDescent="0.2">
      <c r="A1126" s="6" t="s">
        <v>465</v>
      </c>
    </row>
    <row r="1127" spans="1:26" x14ac:dyDescent="0.2">
      <c r="A1127" s="5" t="s">
        <v>136</v>
      </c>
      <c r="B1127" s="5" t="s">
        <v>137</v>
      </c>
      <c r="C1127" s="5" t="s">
        <v>328</v>
      </c>
      <c r="D1127" s="5" t="s">
        <v>329</v>
      </c>
      <c r="E1127" s="5" t="s">
        <v>330</v>
      </c>
      <c r="F1127" s="5" t="s">
        <v>331</v>
      </c>
      <c r="G1127" s="5" t="s">
        <v>332</v>
      </c>
      <c r="H1127" s="5" t="s">
        <v>333</v>
      </c>
      <c r="I1127" s="5" t="s">
        <v>334</v>
      </c>
      <c r="J1127" s="5" t="s">
        <v>335</v>
      </c>
      <c r="K1127" s="5" t="s">
        <v>336</v>
      </c>
      <c r="L1127" s="5" t="s">
        <v>337</v>
      </c>
      <c r="M1127" s="5" t="s">
        <v>338</v>
      </c>
      <c r="N1127" s="5" t="s">
        <v>339</v>
      </c>
      <c r="O1127" s="5" t="s">
        <v>340</v>
      </c>
      <c r="P1127" s="5" t="s">
        <v>341</v>
      </c>
      <c r="R1127" t="s">
        <v>434</v>
      </c>
    </row>
    <row r="1128" spans="1:26" x14ac:dyDescent="0.2">
      <c r="A1128" t="str">
        <f>Skills!A2</f>
        <v>BASIC_ATTACK</v>
      </c>
      <c r="B1128" t="str">
        <f>Skills!B2</f>
        <v>Basic Attack</v>
      </c>
      <c r="C1128" t="b">
        <f>TRUE</f>
        <v>1</v>
      </c>
      <c r="F1128">
        <f>T1130+Skills!O2</f>
        <v>537.6</v>
      </c>
      <c r="G1128">
        <f>Calc!G2</f>
        <v>5</v>
      </c>
      <c r="H1128">
        <f>Calc!H2</f>
        <v>1</v>
      </c>
      <c r="I1128">
        <f>IF(Skills!X2&lt;&gt;"",1+(Skills!X2/10)*(Z1129/1000)/100,1)</f>
        <v>1</v>
      </c>
      <c r="J1128">
        <f>((Inputs!$B$6*(1+Inputs!$B$7/100))+(((Inputs!$B$12*(1+Inputs!$B$13/100))-(Inputs!$B$12*(1+Inputs!$B$13/100)))+0.25*(Inputs!$B$14-Inputs!$B$14))*(1+Inputs!$B$7/100))*(F1128/100)</f>
        <v>1941459186.9980164</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6641576648540.2979</v>
      </c>
      <c r="L1128">
        <f>K1128*(MIN(Inputs!$B$22+(F1148-Calc!F22),(Inputs!$B$23+(IF(ArtifactsInput!$M$15,CHOOSE(ArtifactsInput!$N$15+1,25,30,35,40,45,50)/100*(Inputs!$B$11-Inputs!$B$11),0))))/100+(Inputs!$B$23+(IF(ArtifactsInput!$M$15,CHOOSE(ArtifactsInput!$N$15+1,25,30,35,40,45,50)/100*(Inputs!$B$11-Inputs!$B$11),0)))/100)/2</f>
        <v>22083242356396.492</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104210820679835.03</v>
      </c>
      <c r="N1128">
        <f>L1128*(1-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104210820679835.03</v>
      </c>
      <c r="O1128">
        <f>(1-Summary!$B$11)*S1128+Summary!$B$11*U1128</f>
        <v>1.2556883573479984E+16</v>
      </c>
      <c r="P1128">
        <f>IF(B1167=0,0,O1128/B1167)</f>
        <v>0.37825823298974492</v>
      </c>
      <c r="Q1128">
        <f>IFERROR(1/(IF(Inputs!$B$38="pvp",15,MAX(0.1,Skills!E2-IF(TRUE=TRUE,Inputs!$B$32,0)))*(1-IF(AND(ArtifactsInput!$M$27,Inputs!$B$4="Chapter Hunt"),CHOOSE(ArtifactsInput!$N$27+1,20,24,28,32,36,40),0)/100)),0)</f>
        <v>10</v>
      </c>
      <c r="R1128">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2084844340455930.2</v>
      </c>
      <c r="T1128">
        <f>MAX(0,(Inputs!$B$3-100)*3)+Inputs!$B$28+Inputs!$B$29</f>
        <v>185</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2.3028922806504036E+16</v>
      </c>
      <c r="Z1128">
        <f>MAX(0,(Inputs!$B$3-100)*3)+Inputs!$B$28+Inputs!$B$29</f>
        <v>185</v>
      </c>
    </row>
    <row r="1129" spans="1:26" x14ac:dyDescent="0.2">
      <c r="A1129" t="str">
        <f>Skills!A3</f>
        <v>IGNITE</v>
      </c>
      <c r="B1129" t="str">
        <f>Skills!B3</f>
        <v>Ignite</v>
      </c>
      <c r="C1129" t="b">
        <f>TRUE</f>
        <v>1</v>
      </c>
      <c r="D1129">
        <f>IF(Skills!C3=1,60+Inputs!$B$25+Inputs!$B$29,IF(Skills!C3=2,90+Inputs!$B$26+Inputs!$B$29,IF(Skills!C3=3,120+Inputs!$B$27+Inputs!$B$29,MAX(0,(Inputs!$B$3-100)*3)+Inputs!$B$28+Inputs!$B$29)))</f>
        <v>168</v>
      </c>
      <c r="E1129">
        <f>INDEX(FactorTable!$B$2:$Y$301, MATCH(ROUND(MIN(300,MAX(1,D1129)),0), FactorTable!$A$2:$A$301,0), Skills!M3+1)</f>
        <v>1672</v>
      </c>
      <c r="F1129">
        <f>IF(Skills!N3=TRUE,(Skills!L3/10)*(E1129/1000),Skills!L3/10)+Skills!O3</f>
        <v>121.736</v>
      </c>
      <c r="G1129">
        <f>Calc!G3</f>
        <v>3</v>
      </c>
      <c r="H1129">
        <f>Calc!H3</f>
        <v>1</v>
      </c>
      <c r="I1129">
        <f>IF(Skills!X3&lt;&gt;"",1+(Skills!X3/10)*(Z1129/1000)/100,1)</f>
        <v>4.8250000000000002</v>
      </c>
      <c r="J1129">
        <f>((Inputs!$B$6*(1+Inputs!$B$7/100))+(((Inputs!$B$12*(1+Inputs!$B$13/100))-(Inputs!$B$12*(1+Inputs!$B$13/100)))+0.25*(Inputs!$B$14-Inputs!$B$14))*(1+Inputs!$B$7/100))*(F1129/100)</f>
        <v>439630720.9605478</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10692828106310.387</v>
      </c>
      <c r="L1129">
        <f>K1129*(MIN(Inputs!$B$22+(F1148-Calc!F22),(Inputs!$B$23+(IF(ArtifactsInput!$M$15,CHOOSE(ArtifactsInput!$N$15+1,25,30,35,40,45,50)/100*(Inputs!$B$11-Inputs!$B$11),0))))/100+(Inputs!$B$23+(IF(ArtifactsInput!$M$15,CHOOSE(ArtifactsInput!$N$15+1,25,30,35,40,45,50)/100*(Inputs!$B$11-Inputs!$B$11),0)))/100)/2</f>
        <v>35553653453482.039</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167777690646981.72</v>
      </c>
      <c r="N1129">
        <f>L1129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167777690646981.72</v>
      </c>
      <c r="O1129">
        <f>(1-Summary!$B$11)*S1129+Summary!$B$11*U1129</f>
        <v>2916815151897777</v>
      </c>
      <c r="P1129">
        <f>IF(B1167=0,0,O1129/B1167)</f>
        <v>8.7864902056171493E-2</v>
      </c>
      <c r="Q1129">
        <f>IFERROR(1/(IF(Inputs!$B$38="pvp",15,MAX(0.1,Skills!E3-IF(FALSE=TRUE,Inputs!$B$32,0)))*(1-IF(AND(ArtifactsInput!$M$27,Inputs!$B$4="Chapter Hunt"),CHOOSE(ArtifactsInput!$N$27+1,20,24,28,32,36,40),0)/100)),0)</f>
        <v>1</v>
      </c>
      <c r="R1129">
        <f>IF(AND(Inputs!$B$38&lt;&gt;"pvp",Inputs!$B$43&gt;0),IF(MAX(0,Inputs!$B$43-B1164)&lt;=0,0,(INT(MAX(0,Inputs!$B$43-B1164)/(IF(Inputs!$B$38="pvp",15,MAX(0.1,Skills!E3-IF(FALSE=TRUE,Inputs!$B$32,0)))*(1-IF(AND(ArtifactsInput!$M$27,Inputs!$B$4="Chapter Hunt"),CHOOSE(ArtifactsInput!$N$27+1,20,24,28,32,36,40),0)/100)))+1)),0)</f>
        <v>38</v>
      </c>
      <c r="S1129">
        <f>IF(C1129,(H1129*N1129*IF(AND(Inputs!$B$38&lt;&gt;"pvp",Inputs!$B$43&gt;0),((Skills!G3*((R1129-1)*IF(Skills!H3&gt;0,Skills!I3/Skills!H3,1)+IF(Skills!H3&gt;0,MIN(Skills!I3,MAX(0,MAX(0,Inputs!$B$43-B1164)-((R1129-1)*(IF(Inputs!$B$38="pvp",15,MAX(0.1,Skills!E3-IF(FALSE=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1515787546150156.5</v>
      </c>
      <c r="T1129">
        <f>INDEX(FactorTable!$B$2:$Y$301, MATCH(ROUND(MIN(300,MAX(1,T1128)),0), FactorTable!$A$2:$A$301,0), 22)</f>
        <v>1740</v>
      </c>
      <c r="U1129">
        <f>IF(C1129,(H1129*N1129*IF(AND(Inputs!$B$38&lt;&gt;"pvp",Inputs!$B$43&gt;0),((Skills!G3*((R1129-1)*IF(Skills!H3&gt;0,Skills!I3/Skills!H3,1)+IF(Skills!H3&gt;0,MIN(Skills!I3,MAX(0,MAX(0,Inputs!$B$43-B1164)-((R1129-1)*(IF(Inputs!$B$38="pvp",15,MAX(0.1,Skills!E3-IF(FALSE=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4317842757645398</v>
      </c>
      <c r="Z1129">
        <f>INDEX(FactorTable!$B$2:$Y$301, MATCH(ROUND(MIN(300,MAX(1,Z1128)),0), FactorTable!$A$2:$A$301,0), 24)</f>
        <v>7650</v>
      </c>
    </row>
    <row r="1130" spans="1:26" x14ac:dyDescent="0.2">
      <c r="A1130" t="str">
        <f>Skills!A4</f>
        <v>POISON_BREATH</v>
      </c>
      <c r="B1130" t="str">
        <f>Skills!B4</f>
        <v>Poison Breath</v>
      </c>
      <c r="C1130" t="b">
        <f>TRUE</f>
        <v>1</v>
      </c>
      <c r="D1130">
        <f>IF(Skills!C4=1,60+Inputs!$B$25+Inputs!$B$29,IF(Skills!C4=2,90+Inputs!$B$26+Inputs!$B$29,IF(Skills!C4=3,120+Inputs!$B$27+Inputs!$B$29,MAX(0,(Inputs!$B$3-100)*3)+Inputs!$B$28+Inputs!$B$29)))</f>
        <v>168</v>
      </c>
      <c r="E1130">
        <f>INDEX(FactorTable!$B$2:$Y$301, MATCH(ROUND(MIN(300,MAX(1,D1130)),0), FactorTable!$A$2:$A$301,0), Skills!M4+1)</f>
        <v>1840</v>
      </c>
      <c r="F1130">
        <f>IF(Skills!N4=TRUE,(Skills!L4/10)*(E1130/1000),Skills!L4/10)+Skills!O4</f>
        <v>438</v>
      </c>
      <c r="G1130">
        <f>Calc!G4</f>
        <v>3</v>
      </c>
      <c r="H1130">
        <f>Calc!H4</f>
        <v>1</v>
      </c>
      <c r="I1130">
        <f>IF(Skills!X4&lt;&gt;"",1+(Skills!X4/10)*(Z1129/1000)/100,1)</f>
        <v>7.12</v>
      </c>
      <c r="J1130">
        <f>((Inputs!$B$6*(1+Inputs!$B$7/100))+(((Inputs!$B$12*(1+Inputs!$B$13/100))-(Inputs!$B$12*(1+Inputs!$B$13/100)))+0.25*(Inputs!$B$14-Inputs!$B$14))*(1+Inputs!$B$7/100))*(F1130/100)</f>
        <v>1581769203.69258</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56771496732784.398</v>
      </c>
      <c r="L1130">
        <f>K1130*(MIN(Inputs!$B$22+(F1148-Calc!F22),(Inputs!$B$23+(IF(ArtifactsInput!$M$15,CHOOSE(ArtifactsInput!$N$15+1,25,30,35,40,45,50)/100*(Inputs!$B$11-Inputs!$B$11),0))))/100+(Inputs!$B$23+(IF(ArtifactsInput!$M$15,CHOOSE(ArtifactsInput!$N$15+1,25,30,35,40,45,50)/100*(Inputs!$B$11-Inputs!$B$11),0)))/100)/2</f>
        <v>188765226636508.12</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890783104497681.75</v>
      </c>
      <c r="N1130">
        <f>L1130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890783104497681.75</v>
      </c>
      <c r="O1130">
        <f>(1-Summary!$B$11)*S1130+Summary!$B$11*U1130</f>
        <v>2127524097204650.8</v>
      </c>
      <c r="P1130">
        <f>IF(B1167=0,0,O1130/B1167)</f>
        <v>6.4088633214005819E-2</v>
      </c>
      <c r="Q1130">
        <f>IFERROR(1/(IF(Inputs!$B$38="pvp",15,MAX(0.1,Skills!E4-IF(TRUE=TRUE,Inputs!$B$32,0)))*(1-IF(AND(ArtifactsInput!$M$27,Inputs!$B$4="Chapter Hunt"),CHOOSE(ArtifactsInput!$N$27+1,20,24,28,32,36,40),0)/100)),0)</f>
        <v>5.5555555555555552E-2</v>
      </c>
      <c r="R1130">
        <f>IF(AND(Inputs!$B$38&lt;&gt;"pvp",Inputs!$B$43&gt;0),IF(MAX(0,Inputs!$B$43-B1164)&lt;=0,0,(INT(MAX(0,Inputs!$B$43-B1164)/(IF(Inputs!$B$38="pvp",15,MAX(0.1,Skills!E4-IF(TRUE=TRUE,Inputs!$B$32,0)))*(1-IF(AND(ArtifactsInput!$M$27,Inputs!$B$4="Chapter Hunt"),CHOOSE(ArtifactsInput!$N$27+1,20,24,28,32,36,40),0)/100)))+1)),0)</f>
        <v>3</v>
      </c>
      <c r="S1130">
        <f>IF(C1130,(H1130*N1130*IF(AND(Inputs!$B$38&lt;&gt;"pvp",Inputs!$B$43&gt;0),((Skills!G4*((R1130-1)*IF(Skills!H4&gt;0,Skills!I4/Skills!H4,1)+IF(Skills!H4&gt;0,MIN(Skills!I4,MAX(0,MAX(0,Inputs!$B$43-B1164)-((R1130-1)*(IF(Inputs!$B$38="pvp",15,MAX(0.1,Skills!E4-IF(TRUE=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635351049282971.5</v>
      </c>
      <c r="T1130">
        <f>290*T1129/1000</f>
        <v>504.6</v>
      </c>
      <c r="U1130">
        <f>IF(C1130,(H1130*N1130*IF(AND(Inputs!$B$38&lt;&gt;"pvp",Inputs!$B$43&gt;0),((Skills!G4*((R1130-1)*IF(Skills!H4&gt;0,Skills!I4/Skills!H4,1)+IF(Skills!H4&gt;0,MIN(Skills!I4,MAX(0,MAX(0,Inputs!$B$43-B1164)-((R1130-1)*(IF(Inputs!$B$38="pvp",15,MAX(0.1,Skills!E4-IF(TRUE=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3619697145126330</v>
      </c>
    </row>
    <row r="1131" spans="1:26" x14ac:dyDescent="0.2">
      <c r="A1131" t="str">
        <f>Skills!A5</f>
        <v>ELEMENTAL_DRAIN</v>
      </c>
      <c r="B1131" t="str">
        <f>Skills!B5</f>
        <v>Elemental Drain</v>
      </c>
      <c r="C1131" t="b">
        <f>TRUE</f>
        <v>1</v>
      </c>
      <c r="D1131">
        <f>IF(Skills!C5=1,60+Inputs!$B$25+Inputs!$B$29,IF(Skills!C5=2,90+Inputs!$B$26+Inputs!$B$29,IF(Skills!C5=3,120+Inputs!$B$27+Inputs!$B$29,MAX(0,(Inputs!$B$3-100)*3)+Inputs!$B$28+Inputs!$B$29)))</f>
        <v>168</v>
      </c>
      <c r="E1131">
        <f>INDEX(FactorTable!$B$2:$Y$301, MATCH(ROUND(MIN(300,MAX(1,D1131)),0), FactorTable!$A$2:$A$301,0), Skills!M5+1)</f>
        <v>1672</v>
      </c>
      <c r="F1131">
        <f>IF(Skills!N5=TRUE,(Skills!L5/10)*(E1131/1000),Skills!L5/10)+Skills!O5</f>
        <v>20.064</v>
      </c>
      <c r="G1131">
        <f>Calc!G5</f>
        <v>5</v>
      </c>
      <c r="H1131">
        <f>Calc!H5</f>
        <v>1</v>
      </c>
      <c r="I1131">
        <f>IF(Skills!X5&lt;&gt;"",1+(Skills!X5/10)*(Z1129/1000)/100,1)</f>
        <v>12.475</v>
      </c>
      <c r="J1131">
        <f>((Inputs!$B$6*(1+Inputs!$B$7/100))+(((Inputs!$B$12*(1+Inputs!$B$13/100))-(Inputs!$B$12*(1+Inputs!$B$13/100)))+0.25*(Inputs!$B$14-Inputs!$B$14))*(1+Inputs!$B$7/100))*(F1131/100)</f>
        <v>72458030.371890247</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4556530834045.5732</v>
      </c>
      <c r="L1131">
        <f>K1131*(MIN(Inputs!$B$22+(F1148-Calc!F22),(Inputs!$B$23+(IF(ArtifactsInput!$M$15,CHOOSE(ArtifactsInput!$N$15+1,25,30,35,40,45,50)/100*(Inputs!$B$11-Inputs!$B$11),0))))/100+(Inputs!$B$23+(IF(ArtifactsInput!$M$15,CHOOSE(ArtifactsInput!$N$15+1,25,30,35,40,45,50)/100*(Inputs!$B$11-Inputs!$B$11),0)))/100)/2</f>
        <v>15150465023201.531</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71495044444488.016</v>
      </c>
      <c r="N1131">
        <f>L1131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71495044444488.016</v>
      </c>
      <c r="O1131">
        <f>(1-Summary!$B$11)*S1131+Summary!$B$11*U1131</f>
        <v>1049368514833972.8</v>
      </c>
      <c r="P1131">
        <f>IF(B1167=0,0,O1131/B1167)</f>
        <v>3.1610731902817713E-2</v>
      </c>
      <c r="Q1131">
        <f>IFERROR(1/(IF(Inputs!$B$38="pvp",15,MAX(0.1,Skills!E5-IF(FALSE=TRUE,Inputs!$B$32,0)))*(1-IF(AND(ArtifactsInput!$M$27,Inputs!$B$4="Chapter Hunt"),CHOOSE(ArtifactsInput!$N$27+1,20,24,28,32,36,40),0)/100)),0)</f>
        <v>1</v>
      </c>
      <c r="R1131">
        <f>IF(AND(Inputs!$B$38&lt;&gt;"pvp",Inputs!$B$43&gt;0),IF(MAX(0,Inputs!$B$43-B1164)&lt;=0,0,(INT(MAX(0,Inputs!$B$43-B1164)/(IF(Inputs!$B$38="pvp",15,MAX(0.1,Skills!E5-IF(FALSE=TRUE,Inputs!$B$32,0)))*(1-IF(AND(ArtifactsInput!$M$27,Inputs!$B$4="Chapter Hunt"),CHOOSE(ArtifactsInput!$N$27+1,20,24,28,32,36,40),0)/100)))+1)),0)</f>
        <v>38</v>
      </c>
      <c r="S1131">
        <f>IF(C1131,(H1131*N1131*IF(AND(Inputs!$B$38&lt;&gt;"pvp",Inputs!$B$43&gt;0),((Skills!G5*((R1131-1)*IF(Skills!H5&gt;0,Skills!I5/Skills!H5,1)+IF(Skills!H5&gt;0,MIN(Skills!I5,MAX(0,MAX(0,Inputs!$B$43-B1164)-((R1131-1)*(IF(Inputs!$B$38="pvp",15,MAX(0.1,Skills!E5-IF(FALSE=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1076536631722878.2</v>
      </c>
      <c r="U1131">
        <f>IF(C1131,(H1131*N1131*IF(AND(Inputs!$B$38&lt;&gt;"pvp",Inputs!$B$43&gt;0),((Skills!G5*((R1131-1)*IF(Skills!H5&gt;0,Skills!I5/Skills!H5,1)+IF(Skills!H5&gt;0,MIN(Skills!I5,MAX(0,MAX(0,Inputs!$B$43-B1164)-((R1131-1)*(IF(Inputs!$B$38="pvp",15,MAX(0.1,Skills!E5-IF(FALSE=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1022200397945067.2</v>
      </c>
    </row>
    <row r="1132" spans="1:26" x14ac:dyDescent="0.2">
      <c r="A1132" t="str">
        <f>Skills!A6</f>
        <v>MEDITATION</v>
      </c>
      <c r="B1132" t="str">
        <f>Skills!B6</f>
        <v>Meditation</v>
      </c>
      <c r="C1132" t="b">
        <f>TRUE</f>
        <v>1</v>
      </c>
      <c r="D1132">
        <f>IF(Skills!C6=1,60+Inputs!$B$25+Inputs!$B$29,IF(Skills!C6=2,90+Inputs!$B$26+Inputs!$B$29,IF(Skills!C6=3,120+Inputs!$B$27+Inputs!$B$29,MAX(0,(Inputs!$B$3-100)*3)+Inputs!$B$28+Inputs!$B$29)))</f>
        <v>168</v>
      </c>
      <c r="E1132">
        <f>INDEX(FactorTable!$B$2:$Y$301, MATCH(ROUND(MIN(300,MAX(1,D1132)),0), FactorTable!$A$2:$A$301,0), Skills!M6+1)</f>
        <v>1672</v>
      </c>
      <c r="F1132">
        <f>IF(Skills!N6=TRUE,(Skills!L6/10)*(E1132/1000),Skills!L6/10)+Skills!O6</f>
        <v>33.44</v>
      </c>
      <c r="G1132">
        <f>Calc!G6</f>
        <v>1</v>
      </c>
      <c r="H1132">
        <f>Calc!H6</f>
        <v>1</v>
      </c>
      <c r="I1132">
        <f>IF(Skills!X6&lt;&gt;"",1+(Skills!X6/10)*(Z1129/1000)/100,1)</f>
        <v>1</v>
      </c>
      <c r="O1132">
        <f>(1-Summary!$B$11)*S1132+Summary!$B$11*U1132</f>
        <v>0</v>
      </c>
      <c r="P1132">
        <f>IF(B1167=0,0,O1132/B1167)</f>
        <v>0</v>
      </c>
      <c r="Q1132">
        <f>IFERROR(1/(IF(Inputs!$B$38="pvp",15,MAX(0.1,Skills!E6-IF(TRUE=TRUE,Inputs!$B$32,0)))*(1-IF(AND(ArtifactsInput!$M$27,Inputs!$B$4="Chapter Hunt"),CHOOSE(ArtifactsInput!$N$27+1,20,24,28,32,36,40),0)/100)),0)</f>
        <v>3.3333333333333333E-2</v>
      </c>
      <c r="R1132">
        <f>IF(AND(Inputs!$B$38&lt;&gt;"pvp",Inputs!$B$43&gt;0),IF(Inputs!$B$43&lt;=0,0,(INT(Inputs!$B$43/(IF(Inputs!$B$38="pvp",15,MAX(0.1,Skills!E6-IF(TRUE=TRUE,Inputs!$B$32,0)))*(1-IF(AND(ArtifactsInput!$M$27,Inputs!$B$4="Chapter Hunt"),CHOOSE(ArtifactsInput!$N$27+1,20,24,28,32,36,40),0)/100)))+1)),0)</f>
        <v>2</v>
      </c>
      <c r="S1132">
        <v>0</v>
      </c>
      <c r="U1132">
        <v>0</v>
      </c>
    </row>
    <row r="1133" spans="1:26" x14ac:dyDescent="0.2">
      <c r="A1133" t="str">
        <f>Skills!A7</f>
        <v>POISON_MIST_BURST</v>
      </c>
      <c r="B1133" t="str">
        <f>Skills!B7</f>
        <v>Poison Mist (burst)</v>
      </c>
      <c r="C1133" t="b">
        <f>TRUE</f>
        <v>1</v>
      </c>
      <c r="D1133">
        <f>IF(Skills!C7=1,60+Inputs!$B$25+Inputs!$B$29,IF(Skills!C7=2,90+Inputs!$B$26+Inputs!$B$29,IF(Skills!C7=3,120+Inputs!$B$27+Inputs!$B$29,MAX(0,(Inputs!$B$3-100)*3)+Inputs!$B$28+Inputs!$B$29)))</f>
        <v>184</v>
      </c>
      <c r="E1133">
        <f>INDEX(FactorTable!$B$2:$Y$301, MATCH(ROUND(MIN(300,MAX(1,D1133)),0), FactorTable!$A$2:$A$301,0), Skills!M7+1)</f>
        <v>1920</v>
      </c>
      <c r="F1133">
        <f>IF(Skills!N7=TRUE,(Skills!L7/10)*(E1133/1000),Skills!L7/10)+Skills!O7</f>
        <v>357.2</v>
      </c>
      <c r="G1133">
        <f>Calc!G7</f>
        <v>3</v>
      </c>
      <c r="H1133">
        <f>Calc!H7</f>
        <v>1</v>
      </c>
      <c r="I1133">
        <f>IF(Skills!X7&lt;&gt;"",1+(Skills!X7/10)*(Z1129/1000)/100,1)</f>
        <v>1.7650000000000001</v>
      </c>
      <c r="J1133">
        <f>((Inputs!$B$6*(1+Inputs!$B$7/100))+(((Inputs!$B$12*(1+Inputs!$B$13/100))-(Inputs!$B$12*(1+Inputs!$B$13/100)))+0.25*(Inputs!$B$14-Inputs!$B$14))*(1+Inputs!$B$7/100))*(F1133/100)</f>
        <v>1289972510.4086521</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11477106192331.65</v>
      </c>
      <c r="L1133">
        <f>K1133*(MIN(Inputs!$B$22+(F1148-Calc!F22),(Inputs!$B$23+(IF(ArtifactsInput!$M$15,CHOOSE(ArtifactsInput!$N$15+1,25,30,35,40,45,50)/100*(Inputs!$B$11-Inputs!$B$11),0))))/100+(Inputs!$B$23+(IF(ArtifactsInput!$M$15,CHOOSE(ArtifactsInput!$N$15+1,25,30,35,40,45,50)/100*(Inputs!$B$11-Inputs!$B$11),0)))/100)/2</f>
        <v>38161378089502.742</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180083543204363.41</v>
      </c>
      <c r="N1133">
        <f>L1133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180083543204363.41</v>
      </c>
      <c r="O1133">
        <f>(1-Summary!$B$11)*S1133+Summary!$B$11*U1133</f>
        <v>449353461180687.75</v>
      </c>
      <c r="P1133">
        <f>IF(B1167=0,0,O1133/B1167)</f>
        <v>1.3536133007795926E-2</v>
      </c>
      <c r="Q1133">
        <f>IFERROR(1/(IF(Inputs!$B$38="pvp",15,MAX(0.1,Skills!E7-IF(TRUE=TRUE,Inputs!$B$32,0)))*(1-IF(AND(ArtifactsInput!$M$27,Inputs!$B$4="Chapter Hunt"),CHOOSE(ArtifactsInput!$N$27+1,20,24,28,32,36,40),0)/100)),0)</f>
        <v>4.0816326530612242E-2</v>
      </c>
      <c r="R1133">
        <f>IF(AND(Inputs!$B$38&lt;&gt;"pvp",Inputs!$B$43&gt;0),IF(MAX(0,Inputs!$B$43-B1164)&lt;=0,0,(INT(MAX(0,Inputs!$B$43-B1164)/(IF(Inputs!$B$38="pvp",15,MAX(0.1,Skills!E7-IF(TRUE=TRUE,Inputs!$B$32,0)))*(1-IF(AND(ArtifactsInput!$M$27,Inputs!$B$4="Chapter Hunt"),CHOOSE(ArtifactsInput!$N$27+1,20,24,28,32,36,40),0)/100)))+1)),0)</f>
        <v>2</v>
      </c>
      <c r="S1133">
        <f>IF(C1133,(H1133*N1133*IF(AND(Inputs!$B$38&lt;&gt;"pvp",Inputs!$B$43&gt;0),((Skills!G7*((R1133-1)*IF(Skills!H7&gt;0,Skills!I7/Skills!H7,1)+IF(Skills!H7&gt;0,MIN(Skills!I7,MAX(0,MAX(0,Inputs!$B$43-B1164)-((R1133-1)*(IF(Inputs!$B$38="pvp",15,MAX(0.1,Skills!E7-IF(TRUE=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85629724793674.797</v>
      </c>
      <c r="U1133">
        <f>IF(C1133,(H1133*N1133*IF(AND(Inputs!$B$38&lt;&gt;"pvp",Inputs!$B$43&gt;0),((Skills!G7*((R1133-1)*IF(Skills!H7&gt;0,Skills!I7/Skills!H7,1)+IF(Skills!H7&gt;0,MIN(Skills!I7,MAX(0,MAX(0,Inputs!$B$43-B1164)-((R1133-1)*(IF(Inputs!$B$38="pvp",15,MAX(0.1,Skills!E7-IF(TRUE=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813077197567700.75</v>
      </c>
    </row>
    <row r="1134" spans="1:26" x14ac:dyDescent="0.2">
      <c r="A1134" t="str">
        <f>Skills!A8</f>
        <v>POISON_MIST_DOT</v>
      </c>
      <c r="B1134" t="str">
        <f>Skills!B8</f>
        <v>Poison Mist (fog DoT)</v>
      </c>
      <c r="C1134" t="b">
        <f>TRUE</f>
        <v>1</v>
      </c>
      <c r="D1134">
        <f>IF(Skills!C8=1,60+Inputs!$B$25+Inputs!$B$29,IF(Skills!C8=2,90+Inputs!$B$26+Inputs!$B$29,IF(Skills!C8=3,120+Inputs!$B$27+Inputs!$B$29,MAX(0,(Inputs!$B$3-100)*3)+Inputs!$B$28+Inputs!$B$29)))</f>
        <v>184</v>
      </c>
      <c r="E1134">
        <f>INDEX(FactorTable!$B$2:$Y$301, MATCH(ROUND(MIN(300,MAX(1,D1134)),0), FactorTable!$A$2:$A$301,0), Skills!M8+1)</f>
        <v>1920</v>
      </c>
      <c r="F1134">
        <f>IF(Skills!N8=TRUE,(Skills!L8/10)*(E1134/1000),Skills!L8/10)+Skills!O8</f>
        <v>134.4</v>
      </c>
      <c r="G1134">
        <f>Calc!G8</f>
        <v>50</v>
      </c>
      <c r="H1134">
        <f>Calc!H8</f>
        <v>1</v>
      </c>
      <c r="I1134">
        <f>IF(Skills!X8&lt;&gt;"",1+(Skills!X8/10)*(Z1129/1000)/100,1)</f>
        <v>1.7650000000000001</v>
      </c>
      <c r="J1134">
        <f>((Inputs!$B$6*(1+Inputs!$B$7/100))+(((Inputs!$B$12*(1+Inputs!$B$13/100))-(Inputs!$B$12*(1+Inputs!$B$13/100)))+0.25*(Inputs!$B$14-Inputs!$B$14))*(1+Inputs!$B$7/100))*(F1134/100)</f>
        <v>485364796.74950409</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4318373662512.2446</v>
      </c>
      <c r="L1134">
        <f>K1134*(MIN(Inputs!$B$22+(F1148-Calc!F22),(Inputs!$B$23+(IF(ArtifactsInput!$M$15,CHOOSE(ArtifactsInput!$N$15+1,25,30,35,40,45,50)/100*(Inputs!$B$11-Inputs!$B$11),0))))/100+(Inputs!$B$23+(IF(ArtifactsInput!$M$15,CHOOSE(ArtifactsInput!$N$15+1,25,30,35,40,45,50)/100*(Inputs!$B$11-Inputs!$B$11),0)))/100)/2</f>
        <v>14358592427853.215</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67758197667039.312</v>
      </c>
      <c r="N1134">
        <f>L1134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67758197667039.312</v>
      </c>
      <c r="O1134">
        <f>(1-Summary!$B$11)*S1134+Summary!$B$11*U1134</f>
        <v>2334986861470284</v>
      </c>
      <c r="P1134">
        <f>IF(B1167=0,0,O1134/B1167)</f>
        <v>7.0338153500076148E-2</v>
      </c>
      <c r="Q1134">
        <f>IFERROR(1/(IF(Inputs!$B$38="pvp",15,MAX(0.1,Skills!E8-IF(TRUE=TRUE,Inputs!$B$32,0)))*(1-IF(AND(ArtifactsInput!$M$27,Inputs!$B$4="Chapter Hunt"),CHOOSE(ArtifactsInput!$N$27+1,20,24,28,32,36,40),0)/100)),0)</f>
        <v>4.0816326530612242E-2</v>
      </c>
      <c r="R1134">
        <f>IF(AND(Inputs!$B$38&lt;&gt;"pvp",Inputs!$B$43&gt;0),IF(MAX(0,Inputs!$B$43-B1164)&lt;=0,0,(INT(MAX(0,Inputs!$B$43-B1164)/(IF(Inputs!$B$38="pvp",15,MAX(0.1,Skills!E8-IF(TRUE=TRUE,Inputs!$B$32,0)))*(1-IF(AND(ArtifactsInput!$M$27,Inputs!$B$4="Chapter Hunt"),CHOOSE(ArtifactsInput!$N$27+1,20,24,28,32,36,40),0)/100)))+1)),0)</f>
        <v>2</v>
      </c>
      <c r="S1134">
        <f>IF(C1134,(H1134*N1134*IF(AND(Inputs!$B$38&lt;&gt;"pvp",Inputs!$B$43&gt;0),((Skills!G8*((R1134-1)*IF(Skills!H8&gt;0,Skills!I8/Skills!H8,1)+IF(Skills!H8&gt;0,MIN(Skills!I8,MAX(0,MAX(0,Inputs!$B$43-B1164)-((R1134-1)*(IF(Inputs!$B$38="pvp",15,MAX(0.1,Skills!E8-IF(TRUE=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444959924908975.06</v>
      </c>
      <c r="U1134">
        <f>IF(C1134,(H1134*N1134*IF(AND(Inputs!$B$38&lt;&gt;"pvp",Inputs!$B$43&gt;0),((Skills!G8*((R1134-1)*IF(Skills!H8&gt;0,Skills!I8/Skills!H8,1)+IF(Skills!H8&gt;0,MIN(Skills!I8,MAX(0,MAX(0,Inputs!$B$43-B1164)-((R1134-1)*(IF(Inputs!$B$38="pvp",15,MAX(0.1,Skills!E8-IF(TRUE=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4225013798031593</v>
      </c>
    </row>
    <row r="1135" spans="1:26" x14ac:dyDescent="0.2">
      <c r="A1135" t="str">
        <f>Skills!A9</f>
        <v>MIST_ERUPTION</v>
      </c>
      <c r="B1135" t="str">
        <f>Skills!B9</f>
        <v>Mist Eruption</v>
      </c>
      <c r="C1135" t="b">
        <f>Inputs!$B$3&gt;=103</f>
        <v>1</v>
      </c>
      <c r="D1135">
        <f>IF(Skills!C9=1,60+Inputs!$B$25+Inputs!$B$29,IF(Skills!C9=2,90+Inputs!$B$26+Inputs!$B$29,IF(Skills!C9=3,120+Inputs!$B$27+Inputs!$B$29,MAX(0,(Inputs!$B$3-100)*3)+Inputs!$B$28+Inputs!$B$29)))</f>
        <v>185</v>
      </c>
      <c r="E1135">
        <f>INDEX(FactorTable!$B$2:$Y$301, MATCH(ROUND(MIN(300,MAX(1,D1135)),0), FactorTable!$A$2:$A$301,0), Skills!M9+1)</f>
        <v>1925</v>
      </c>
      <c r="F1135">
        <f>IF(Skills!N9=TRUE,(Skills!L9/10)*(E1135/1000),Skills!L9/10)+Skills!O9</f>
        <v>5775</v>
      </c>
      <c r="G1135">
        <f>Calc!G9</f>
        <v>2.5</v>
      </c>
      <c r="H1135">
        <f>Calc!H9</f>
        <v>1</v>
      </c>
      <c r="I1135">
        <f>IF(Skills!X9&lt;&gt;"",1+(Skills!X9/10)*(Z1129/1000)/100,1)</f>
        <v>1</v>
      </c>
      <c r="J1135">
        <f>((Inputs!$B$6*(1+Inputs!$B$7/100))+(((Inputs!$B$12*(1+Inputs!$B$13/100))-(Inputs!$B$12*(1+Inputs!$B$13/100)))+0.25*(Inputs!$B$14-Inputs!$B$14))*(1+Inputs!$B$7/100))*(F1135/100)</f>
        <v>20855518610.330254</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105130378646500.28</v>
      </c>
      <c r="L1135">
        <f>K1135*(MIN(Inputs!$B$22+(F1148-Calc!F22),(Inputs!$B$23+(IF(ArtifactsInput!$M$15,CHOOSE(ArtifactsInput!$N$15+1,25,30,35,40,45,50)/100*(Inputs!$B$11-Inputs!$B$11),0))))/100+(Inputs!$B$23+(IF(ArtifactsInput!$M$15,CHOOSE(ArtifactsInput!$N$15+1,25,30,35,40,45,50)/100*(Inputs!$B$11-Inputs!$B$11),0)))/100)/2</f>
        <v>349558508999613.44</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1649566603969175.5</v>
      </c>
      <c r="N1135">
        <f>L1135*(1-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1649566603969175.5</v>
      </c>
      <c r="O1135">
        <f>(1-Summary!$B$11)*S1135+Summary!$B$11*U1135</f>
        <v>3430067557128404</v>
      </c>
      <c r="P1135">
        <f>IF(B1167=0,0,O1135/B1167)</f>
        <v>0.10332589974275508</v>
      </c>
      <c r="Q1135">
        <f>IFERROR(1/(IF(Inputs!$B$38="pvp",15,MAX(0.1,Skills!E9-IF(TRUE=TRUE,Inputs!$B$32,0)))*(1-IF(AND(ArtifactsInput!$M$27,Inputs!$B$4="Chapter Hunt"),CHOOSE(ArtifactsInput!$N$27+1,20,24,28,32,36,40),0)/100)),0)</f>
        <v>4.0816326530612242E-2</v>
      </c>
      <c r="R1135">
        <f>IF(AND(Inputs!$B$38&lt;&gt;"pvp",Inputs!$B$43&gt;0),IF(MAX(0,Inputs!$B$43-B1164)&lt;=0,0,(INT(MAX(0,Inputs!$B$43-B1164)/(IF(Inputs!$B$38="pvp",15,MAX(0.1,Skills!E9-IF(TRUE=TRUE,Inputs!$B$32,0)))*(1-IF(AND(ArtifactsInput!$M$27,Inputs!$B$4="Chapter Hunt"),CHOOSE(ArtifactsInput!$N$27+1,20,24,28,32,36,40),0)/100)))+1)),0)</f>
        <v>2</v>
      </c>
      <c r="S1135">
        <f>IF(C1135,(H1135*N1135*IF(AND(Inputs!$B$38&lt;&gt;"pvp",Inputs!$B$43&gt;0),((Skills!G9*((R1135-1)*IF(Skills!H9&gt;0,Skills!I9/Skills!H9,1)+IF(Skills!H9&gt;0,MIN(Skills!I9,MAX(0,MAX(0,Inputs!$B$43-B1164)-((R1135-1)*(IF(Inputs!$B$38="pvp",15,MAX(0.1,Skills!E9-IF(TRUE=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653640766822785.75</v>
      </c>
      <c r="U1135">
        <f>IF(C1135,(H1135*N1135*IF(AND(Inputs!$B$38&lt;&gt;"pvp",Inputs!$B$43&gt;0),((Skills!G9*((R1135-1)*IF(Skills!H9&gt;0,Skills!I9/Skills!H9,1)+IF(Skills!H9&gt;0,MIN(Skills!I9,MAX(0,MAX(0,Inputs!$B$43-B1164)-((R1135-1)*(IF(Inputs!$B$38="pvp",15,MAX(0.1,Skills!E9-IF(TRUE=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6206494347434022</v>
      </c>
    </row>
    <row r="1136" spans="1:26" x14ac:dyDescent="0.2">
      <c r="A1136" t="str">
        <f>Skills!A10</f>
        <v>CREEPING_TOXIN</v>
      </c>
      <c r="B1136" t="str">
        <f>Skills!B10</f>
        <v>Creeping Toxin</v>
      </c>
      <c r="C1136" t="b">
        <f>TRUE</f>
        <v>1</v>
      </c>
      <c r="D1136">
        <f>IF(Skills!C10=1,60+Inputs!$B$25+Inputs!$B$29,IF(Skills!C10=2,90+Inputs!$B$26+Inputs!$B$29,IF(Skills!C10=3,120+Inputs!$B$27+Inputs!$B$29,MAX(0,(Inputs!$B$3-100)*3)+Inputs!$B$28+Inputs!$B$29)))</f>
        <v>184</v>
      </c>
      <c r="E1136">
        <f>INDEX(FactorTable!$B$2:$Y$301, MATCH(ROUND(MIN(300,MAX(1,D1136)),0), FactorTable!$A$2:$A$301,0), Skills!M10+1)</f>
        <v>1920</v>
      </c>
      <c r="F1136">
        <f>IF(Skills!N10=TRUE,(Skills!L10/10)*(E1136/1000),Skills!L10/10)+Skills!O10</f>
        <v>280.39999999999998</v>
      </c>
      <c r="G1136">
        <f>Calc!G10</f>
        <v>15</v>
      </c>
      <c r="H1136">
        <f>Calc!H10</f>
        <v>1</v>
      </c>
      <c r="I1136">
        <f>IF(Skills!X10&lt;&gt;"",1+(Skills!X10/10)*(Z1129/1000)/100,1)</f>
        <v>1.7650000000000001</v>
      </c>
      <c r="J1136">
        <f>((Inputs!$B$6*(1+Inputs!$B$7/100))+(((Inputs!$B$12*(1+Inputs!$B$13/100))-(Inputs!$B$12*(1+Inputs!$B$13/100)))+0.25*(Inputs!$B$14-Inputs!$B$14))*(1+Inputs!$B$7/100))*(F1136/100)</f>
        <v>1012621197.9803641</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9009464099467.5098</v>
      </c>
      <c r="L1136">
        <f>K1136*(MIN(Inputs!$B$22+(F1148-Calc!F22),(Inputs!$B$23+(IF(ArtifactsInput!$M$15,CHOOSE(ArtifactsInput!$N$15+1,25,30,35,40,45,50)/100*(Inputs!$B$11-Inputs!$B$11),0))))/100+(Inputs!$B$23+(IF(ArtifactsInput!$M$15,CHOOSE(ArtifactsInput!$N$15+1,25,30,35,40,45,50)/100*(Inputs!$B$11-Inputs!$B$11),0)))/100)/2</f>
        <v>29956468130729.473</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141364573108912.38</v>
      </c>
      <c r="N1136">
        <f>L1136*(1-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141364573108912.38</v>
      </c>
      <c r="O1136">
        <f>(1-Summary!$B$11)*S1136+Summary!$B$11*U1136</f>
        <v>325371873718957.12</v>
      </c>
      <c r="P1136">
        <f>IF(B1167=0,0,O1136/B1167)</f>
        <v>9.8013642714206151E-3</v>
      </c>
      <c r="Q1136">
        <f>IFERROR(1/(IF(Inputs!$B$38="pvp",15,MAX(0.1,Skills!E10-IF(TRUE=TRUE,Inputs!$B$32,0)))*(1-IF(AND(ArtifactsInput!$M$27,Inputs!$B$4="Chapter Hunt"),CHOOSE(ArtifactsInput!$N$27+1,20,24,28,32,36,40),0)/100)),0)</f>
        <v>3.7037037037037035E-2</v>
      </c>
      <c r="R1136">
        <f>IF(AND(Inputs!$B$38&lt;&gt;"pvp",Inputs!$B$43&gt;0),IF(MAX(0,Inputs!$B$43-B1164)&lt;=0,0,(INT(MAX(0,Inputs!$B$43-B1164)/(IF(Inputs!$B$38="pvp",15,MAX(0.1,Skills!E10-IF(TRUE=TRUE,Inputs!$B$32,0)))*(1-IF(AND(ArtifactsInput!$M$27,Inputs!$B$4="Chapter Hunt"),CHOOSE(ArtifactsInput!$N$27+1,20,24,28,32,36,40),0)/100)))+1)),0)</f>
        <v>2</v>
      </c>
      <c r="S1136">
        <f>IF(C1136,(H1136*N1136*IF(AND(Inputs!$B$38&lt;&gt;"pvp",Inputs!$B$43&gt;0),((Skills!G10*((R1136-1)*IF(Skills!H10&gt;0,Skills!I10/Skills!H10,1)+IF(Skills!H10&gt;0,MIN(Skills!I10,MAX(0,MAX(0,Inputs!$B$43-B1164)-((R1136-1)*(IF(Inputs!$B$38="pvp",15,MAX(0.1,Skills!E10-IF(TRUE=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287306083478856.31</v>
      </c>
      <c r="U1136">
        <f>IF(C1136,(H1136*N1136*IF(AND(Inputs!$B$38&lt;&gt;"pvp",Inputs!$B$43&gt;0),((Skills!G10*((R1136-1)*IF(Skills!H10&gt;0,Skills!I10/Skills!H10,1)+IF(Skills!H10&gt;0,MIN(Skills!I10,MAX(0,MAX(0,Inputs!$B$43-B1164)-((R1136-1)*(IF(Inputs!$B$38="pvp",15,MAX(0.1,Skills!E10-IF(TRUE=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363437663959058</v>
      </c>
    </row>
    <row r="1137" spans="1:21" x14ac:dyDescent="0.2">
      <c r="A1137" t="str">
        <f>Skills!A11</f>
        <v>BURNING_MAGIC</v>
      </c>
      <c r="B1137" t="str">
        <f>Skills!B11</f>
        <v>Burning Magic</v>
      </c>
      <c r="C1137" t="b">
        <f>TRUE</f>
        <v>1</v>
      </c>
      <c r="D1137">
        <f>IF(Skills!C11=1,60+Inputs!$B$25+Inputs!$B$29,IF(Skills!C11=2,90+Inputs!$B$26+Inputs!$B$29,IF(Skills!C11=3,120+Inputs!$B$27+Inputs!$B$29,MAX(0,(Inputs!$B$3-100)*3)+Inputs!$B$28+Inputs!$B$29)))</f>
        <v>184</v>
      </c>
      <c r="E1137">
        <f>INDEX(FactorTable!$B$2:$Y$301, MATCH(ROUND(MIN(300,MAX(1,D1137)),0), FactorTable!$A$2:$A$301,0), Skills!M11+1)</f>
        <v>0</v>
      </c>
      <c r="F1137">
        <f>IF(Skills!N11=TRUE,(Skills!L11/10)*(E1137/1000),Skills!L11/10)+Skills!O11</f>
        <v>5</v>
      </c>
      <c r="G1137">
        <f>Calc!G11</f>
        <v>1</v>
      </c>
      <c r="H1137">
        <f>Calc!H11</f>
        <v>1</v>
      </c>
      <c r="I1137">
        <f>IF(Skills!X11&lt;&gt;"",1+(Skills!X11/10)*(Z1129/1000)/100,1)</f>
        <v>1</v>
      </c>
      <c r="O1137">
        <f>(1-Summary!$B$11)*S1137+Summary!$B$11*U1137</f>
        <v>0</v>
      </c>
      <c r="P1137">
        <f>IF(B1167=0,0,O1137/B1167)</f>
        <v>0</v>
      </c>
      <c r="Q1137">
        <f>IFERROR(1/(IF(Inputs!$B$38="pvp",15,MAX(0.1,Skills!E11-IF(TRUE=TRUE,Inputs!$B$32,0)))*(1-IF(AND(ArtifactsInput!$M$27,Inputs!$B$4="Chapter Hunt"),CHOOSE(ArtifactsInput!$N$27+1,20,24,28,32,36,40),0)/100)),0)</f>
        <v>10</v>
      </c>
      <c r="R1137">
        <v>0</v>
      </c>
      <c r="S1137">
        <v>0</v>
      </c>
      <c r="U1137">
        <v>0</v>
      </c>
    </row>
    <row r="1138" spans="1:21" x14ac:dyDescent="0.2">
      <c r="A1138" t="str">
        <f>Skills!A12</f>
        <v>ELEMENTAL_DECREASE</v>
      </c>
      <c r="B1138" t="str">
        <f>Skills!B12</f>
        <v>Elemental Decrease</v>
      </c>
      <c r="C1138" t="b">
        <f>TRUE</f>
        <v>1</v>
      </c>
      <c r="D1138">
        <f>IF(Skills!C12=1,60+Inputs!$B$25+Inputs!$B$29,IF(Skills!C12=2,90+Inputs!$B$26+Inputs!$B$29,IF(Skills!C12=3,120+Inputs!$B$27+Inputs!$B$29,MAX(0,(Inputs!$B$3-100)*3)+Inputs!$B$28+Inputs!$B$29)))</f>
        <v>184</v>
      </c>
      <c r="E1138">
        <f>INDEX(FactorTable!$B$2:$Y$301, MATCH(ROUND(MIN(300,MAX(1,D1138)),0), FactorTable!$A$2:$A$301,0), Skills!M12+1)</f>
        <v>1552</v>
      </c>
      <c r="F1138">
        <f>IF(Skills!N12=TRUE,(Skills!L12/10)*(E1138/1000),Skills!L12/10)+Skills!O12</f>
        <v>18.624000000000002</v>
      </c>
      <c r="G1138">
        <f>Calc!G12</f>
        <v>1</v>
      </c>
      <c r="H1138">
        <f>Calc!H12</f>
        <v>0.5</v>
      </c>
      <c r="I1138">
        <f>IF(Skills!X12&lt;&gt;"",1+(Skills!X12/10)*(Z1129/1000)/100,1)</f>
        <v>1</v>
      </c>
      <c r="O1138">
        <f>(1-Summary!$B$11)*S1138+Summary!$B$11*U1138</f>
        <v>0</v>
      </c>
      <c r="P1138">
        <f>IF(B1167=0,0,O1138/B1167)</f>
        <v>0</v>
      </c>
      <c r="Q1138">
        <f>IFERROR(1/(IF(Inputs!$B$38="pvp",15,MAX(0.1,Skills!E12-IF(TRUE=TRUE,Inputs!$B$32,0)))*(1-IF(AND(ArtifactsInput!$M$27,Inputs!$B$4="Chapter Hunt"),CHOOSE(ArtifactsInput!$N$27+1,20,24,28,32,36,40),0)/100)),0)</f>
        <v>10</v>
      </c>
      <c r="R1138">
        <v>0</v>
      </c>
      <c r="S1138">
        <v>0</v>
      </c>
      <c r="U1138">
        <v>0</v>
      </c>
    </row>
    <row r="1139" spans="1:21" x14ac:dyDescent="0.2">
      <c r="A1139" t="str">
        <f>Skills!A13</f>
        <v>METEOR_SHOWER_BURST</v>
      </c>
      <c r="B1139" t="str">
        <f>Skills!B13</f>
        <v>Meteor Shower (burst)</v>
      </c>
      <c r="C1139" t="b">
        <f>Inputs!$B$3&gt;=105</f>
        <v>1</v>
      </c>
      <c r="D1139">
        <f>IF(Skills!C13=1,60+Inputs!$B$25+Inputs!$B$29,IF(Skills!C13=2,90+Inputs!$B$26+Inputs!$B$29,IF(Skills!C13=3,120+Inputs!$B$27+Inputs!$B$29,MAX(0,(Inputs!$B$3-100)*3)+Inputs!$B$28+Inputs!$B$29)))</f>
        <v>185</v>
      </c>
      <c r="E1139">
        <f>INDEX(FactorTable!$B$2:$Y$301, MATCH(ROUND(MIN(300,MAX(1,D1139)),0), FactorTable!$A$2:$A$301,0), Skills!M13+1)</f>
        <v>1925</v>
      </c>
      <c r="F1139">
        <f>IF(Skills!N13=TRUE,(Skills!L13/10)*(E1139/1000),Skills!L13/10)+Skills!O13</f>
        <v>1155</v>
      </c>
      <c r="G1139">
        <f>Calc!G13</f>
        <v>9</v>
      </c>
      <c r="H1139">
        <f>Calc!H13</f>
        <v>1</v>
      </c>
      <c r="I1139">
        <f>IF(Skills!X13&lt;&gt;"",1+(Skills!X13/10)*(Z1129/1000)/100,1)</f>
        <v>1</v>
      </c>
      <c r="J1139">
        <f>((Inputs!$B$6*(1+Inputs!$B$7/100))+(((Inputs!$B$12*(1+Inputs!$B$13/100))-(Inputs!$B$12*(1+Inputs!$B$13/100)))+0.25*(Inputs!$B$14-Inputs!$B$14))*(1+Inputs!$B$7/100))*(F1139/100)</f>
        <v>4171103722.0660505</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21026075729300.059</v>
      </c>
      <c r="L1139">
        <f>K1139*(MIN(Inputs!$B$22+(F1148-Calc!F22),(Inputs!$B$23+(IF(ArtifactsInput!$M$15,CHOOSE(ArtifactsInput!$N$15+1,25,30,35,40,45,50)/100*(Inputs!$B$11-Inputs!$B$11),0))))/100+(Inputs!$B$23+(IF(ArtifactsInput!$M$15,CHOOSE(ArtifactsInput!$N$15+1,25,30,35,40,45,50)/100*(Inputs!$B$11-Inputs!$B$11),0)))/100)/2</f>
        <v>69911701799922.695</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329913320793835.19</v>
      </c>
      <c r="N1139">
        <f>L1139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329913320793835.19</v>
      </c>
      <c r="O1139">
        <f>(1-Summary!$B$11)*S1139+Summary!$B$11*U1139</f>
        <v>1799347251609577.2</v>
      </c>
      <c r="P1139">
        <f>IF(B1167=0,0,O1139/B1167)</f>
        <v>5.4202773159914536E-2</v>
      </c>
      <c r="Q1139">
        <f>IFERROR(1/(IF(Inputs!$B$38="pvp",15,MAX(0.1,Skills!E13-IF(TRUE=TRUE,Inputs!$B$32,0)))*(1-IF(AND(ArtifactsInput!$M$27,Inputs!$B$4="Chapter Hunt"),CHOOSE(ArtifactsInput!$N$27+1,20,24,28,32,36,40),0)/100)),0)</f>
        <v>3.0303030303030304E-2</v>
      </c>
      <c r="R1139">
        <f>IF(AND(Inputs!$B$38&lt;&gt;"pvp",Inputs!$B$43&gt;0),IF(MAX(0,Inputs!$B$43-B1164)&lt;=0,0,(INT(MAX(0,Inputs!$B$43-B1164)/(IF(Inputs!$B$38="pvp",15,MAX(0.1,Skills!E13-IF(TRUE=TRUE,Inputs!$B$32,0)))*(1-IF(AND(ArtifactsInput!$M$27,Inputs!$B$4="Chapter Hunt"),CHOOSE(ArtifactsInput!$N$27+1,20,24,28,32,36,40),0)/100)))+1)),0)</f>
        <v>2</v>
      </c>
      <c r="S1139">
        <f>IF(C1139,(H1139*N1139*IF(AND(Inputs!$B$38&lt;&gt;"pvp",Inputs!$B$43&gt;0),((Skills!G13*((R1139-1)*IF(Skills!H13&gt;0,Skills!I13/Skills!H13,1)+IF(Skills!H13&gt;0,MIN(Skills!I13,MAX(0,MAX(0,Inputs!$B$43-B1164)-((R1139-1)*(IF(Inputs!$B$38="pvp",15,MAX(0.1,Skills!E13-IF(TRUE=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470621352112405.94</v>
      </c>
      <c r="U1139">
        <f>IF(C1139,(H1139*N1139*IF(AND(Inputs!$B$38&lt;&gt;"pvp",Inputs!$B$43&gt;0),((Skills!G13*((R1139-1)*IF(Skills!H13&gt;0,Skills!I13/Skills!H13,1)+IF(Skills!H13&gt;0,MIN(Skills!I13,MAX(0,MAX(0,Inputs!$B$43-B1164)-((R1139-1)*(IF(Inputs!$B$38="pvp",15,MAX(0.1,Skills!E13-IF(TRUE=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3128073151106748.5</v>
      </c>
    </row>
    <row r="1140" spans="1:21" x14ac:dyDescent="0.2">
      <c r="A1140" t="str">
        <f>Skills!A14</f>
        <v>METEOR_PROC</v>
      </c>
      <c r="B1140" t="str">
        <f>Skills!B14</f>
        <v>Meteor Proc (30% on-hit, 1s ICD)</v>
      </c>
      <c r="C1140" t="b">
        <f>Inputs!$B$3&gt;=113</f>
        <v>1</v>
      </c>
      <c r="D1140">
        <f>IF(Skills!C14=1,60+Inputs!$B$25+Inputs!$B$29,IF(Skills!C14=2,90+Inputs!$B$26+Inputs!$B$29,IF(Skills!C14=3,120+Inputs!$B$27+Inputs!$B$29,MAX(0,(Inputs!$B$3-100)*3)+Inputs!$B$28+Inputs!$B$29)))</f>
        <v>185</v>
      </c>
      <c r="E1140">
        <f>INDEX(FactorTable!$B$2:$Y$301, MATCH(ROUND(MIN(300,MAX(1,D1140)),0), FactorTable!$A$2:$A$301,0), Skills!M14+1)</f>
        <v>1740</v>
      </c>
      <c r="F1140">
        <f>IF(Skills!N14=TRUE,(Skills!L14/10)*(E1140/1000),Skills!L14/10)+Skills!O14</f>
        <v>1653</v>
      </c>
      <c r="G1140">
        <f>Calc!G14</f>
        <v>0</v>
      </c>
      <c r="H1140">
        <f>Calc!H14</f>
        <v>0.30000000000000004</v>
      </c>
      <c r="I1140">
        <f>IF(Skills!X14&lt;&gt;"",1+(Skills!X14/10)*(Z1129/1000)/100,1)</f>
        <v>1</v>
      </c>
      <c r="J1140">
        <f>((Inputs!$B$6*(1+Inputs!$B$7/100))+(((Inputs!$B$12*(1+Inputs!$B$13/100))-(Inputs!$B$12*(1+Inputs!$B$13/100)))+0.25*(Inputs!$B$14-Inputs!$B$14))*(1+Inputs!$B$7/100))*(F1140/100)</f>
        <v>5969553638.5932312</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30091864225569.688</v>
      </c>
      <c r="L1140">
        <f>K1140*(MIN(Inputs!$B$22+(F1148-Calc!F22),(Inputs!$B$23+(IF(ArtifactsInput!$M$15,CHOOSE(ArtifactsInput!$N$15+1,25,30,35,40,45,50)/100*(Inputs!$B$11-Inputs!$B$11),0))))/100+(Inputs!$B$23+(IF(ArtifactsInput!$M$15,CHOOSE(ArtifactsInput!$N$15+1,25,30,35,40,45,50)/100*(Inputs!$B$11-Inputs!$B$11),0)))/100)/2</f>
        <v>100055448550019.22</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472161661707540.62</v>
      </c>
      <c r="N1140">
        <f>L1140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472161661707540.62</v>
      </c>
      <c r="O1140">
        <f>(1-Summary!$B$11)*S1140+Summary!$B$11*U1140</f>
        <v>462805540222059.5</v>
      </c>
      <c r="P1140">
        <f>IF(B1167=0,0,O1140/B1167)</f>
        <v>1.39413577292367E-2</v>
      </c>
      <c r="Q1140">
        <f>IFERROR(1/(IF(Inputs!$B$38="pvp",15,MAX(0.1,Skills!E14-IF(TRUE=TRUE,Inputs!$B$32,0)))*(1-IF(AND(ArtifactsInput!$M$27,Inputs!$B$4="Chapter Hunt"),CHOOSE(ArtifactsInput!$N$27+1,20,24,28,32,36,40),0)/100)),0)</f>
        <v>10</v>
      </c>
      <c r="R1140">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474787560680883.06</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450823519763235.94</v>
      </c>
    </row>
    <row r="1141" spans="1:21" x14ac:dyDescent="0.2">
      <c r="A1141" t="str">
        <f>Skills!A15</f>
        <v>FLAME_HAZE_BURST</v>
      </c>
      <c r="B1141" t="str">
        <f>Skills!B15</f>
        <v>Flame Haze (burst)</v>
      </c>
      <c r="C1141" t="b">
        <f>Inputs!$B$3&gt;=107</f>
        <v>1</v>
      </c>
      <c r="D1141">
        <f>IF(Skills!C15=1,60+Inputs!$B$25+Inputs!$B$29,IF(Skills!C15=2,90+Inputs!$B$26+Inputs!$B$29,IF(Skills!C15=3,120+Inputs!$B$27+Inputs!$B$29,MAX(0,(Inputs!$B$3-100)*3)+Inputs!$B$28+Inputs!$B$29)))</f>
        <v>185</v>
      </c>
      <c r="E1141">
        <f>INDEX(FactorTable!$B$2:$Y$301, MATCH(ROUND(MIN(300,MAX(1,D1141)),0), FactorTable!$A$2:$A$301,0), Skills!M15+1)</f>
        <v>1925</v>
      </c>
      <c r="F1141">
        <f>IF(Skills!N15=TRUE,(Skills!L15/10)*(E1141/1000),Skills!L15/10)+Skills!O15</f>
        <v>2310</v>
      </c>
      <c r="G1141">
        <f>Calc!G15</f>
        <v>3</v>
      </c>
      <c r="H1141">
        <f>Calc!H15</f>
        <v>1</v>
      </c>
      <c r="I1141">
        <f>IF(Skills!X15&lt;&gt;"",1+(Skills!X15/10)*(Z1129/1000)/100,1)</f>
        <v>1</v>
      </c>
      <c r="J1141">
        <f>((Inputs!$B$6*(1+Inputs!$B$7/100))+(((Inputs!$B$12*(1+Inputs!$B$13/100))-(Inputs!$B$12*(1+Inputs!$B$13/100)))+0.25*(Inputs!$B$14-Inputs!$B$14))*(1+Inputs!$B$7/100))*(F1141/100)</f>
        <v>8342207444.1321011</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42052151458600.117</v>
      </c>
      <c r="L1141">
        <f>K1141*(MIN(Inputs!$B$22+(F1148-Calc!F22),(Inputs!$B$23+(IF(ArtifactsInput!$M$15,CHOOSE(ArtifactsInput!$N$15+1,25,30,35,40,45,50)/100*(Inputs!$B$11-Inputs!$B$11),0))))/100+(Inputs!$B$23+(IF(ArtifactsInput!$M$15,CHOOSE(ArtifactsInput!$N$15+1,25,30,35,40,45,50)/100*(Inputs!$B$11-Inputs!$B$11),0)))/100)/2</f>
        <v>139823403599845.39</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659826641587670.38</v>
      </c>
      <c r="N1141">
        <f>L1141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659826641587670.38</v>
      </c>
      <c r="O1141">
        <f>(1-Summary!$B$11)*S1141+Summary!$B$11*U1141</f>
        <v>1646432427421634</v>
      </c>
      <c r="P1141">
        <f>IF(B1167=0,0,O1141/B1167)</f>
        <v>4.9596431876522441E-2</v>
      </c>
      <c r="Q1141">
        <f>IFERROR(1/(IF(Inputs!$B$38="pvp",15,MAX(0.1,Skills!E15-IF(TRUE=TRUE,Inputs!$B$32,0)))*(1-IF(AND(ArtifactsInput!$M$27,Inputs!$B$4="Chapter Hunt"),CHOOSE(ArtifactsInput!$N$27+1,20,24,28,32,36,40),0)/100)),0)</f>
        <v>0.04</v>
      </c>
      <c r="R1141">
        <f>IF(AND(Inputs!$B$38&lt;&gt;"pvp",Inputs!$B$43&gt;0),IF(MAX(0,Inputs!$B$43-B1164)&lt;=0,0,(INT(MAX(0,Inputs!$B$43-B1164)/(IF(Inputs!$B$38="pvp",15,MAX(0.1,Skills!E15-IF(TRUE=TRUE,Inputs!$B$32,0)))*(1-IF(AND(ArtifactsInput!$M$27,Inputs!$B$4="Chapter Hunt"),CHOOSE(ArtifactsInput!$N$27+1,20,24,28,32,36,40),0)/100)))+1)),0)</f>
        <v>2</v>
      </c>
      <c r="S1141">
        <f>IF(C1141,(H1141*N1141*IF(AND(Inputs!$B$38&lt;&gt;"pvp",Inputs!$B$43&gt;0),((Skills!G15*((R1141-1)*IF(Skills!H15&gt;0,Skills!I15/Skills!H15,1)+IF(Skills!H15&gt;0,MIN(Skills!I15,MAX(0,MAX(0,Inputs!$B$43-B1164)-((R1141-1)*(IF(Inputs!$B$38="pvp",15,MAX(0.1,Skills!E15-IF(TRUE=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313747568074937.25</v>
      </c>
      <c r="U1141">
        <f>IF(C1141,(H1141*N1141*IF(AND(Inputs!$B$38&lt;&gt;"pvp",Inputs!$B$43&gt;0),((Skills!G15*((R1141-1)*IF(Skills!H15&gt;0,Skills!I15/Skills!H15,1)+IF(Skills!H15&gt;0,MIN(Skills!I15,MAX(0,MAX(0,Inputs!$B$43-B1164)-((R1141-1)*(IF(Inputs!$B$38="pvp",15,MAX(0.1,Skills!E15-IF(TRUE=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2979117286768331</v>
      </c>
    </row>
    <row r="1142" spans="1:21" x14ac:dyDescent="0.2">
      <c r="A1142" t="str">
        <f>Skills!A16</f>
        <v>FLAME_HAZE_DOT</v>
      </c>
      <c r="B1142" t="str">
        <f>Skills!B16</f>
        <v>Flame Haze (burn DoT)</v>
      </c>
      <c r="C1142" t="b">
        <f>Inputs!$B$3&gt;=107</f>
        <v>1</v>
      </c>
      <c r="D1142">
        <f>IF(Skills!C16=1,60+Inputs!$B$25+Inputs!$B$29,IF(Skills!C16=2,90+Inputs!$B$26+Inputs!$B$29,IF(Skills!C16=3,120+Inputs!$B$27+Inputs!$B$29,MAX(0,(Inputs!$B$3-100)*3)+Inputs!$B$28+Inputs!$B$29)))</f>
        <v>185</v>
      </c>
      <c r="E1142">
        <f>INDEX(FactorTable!$B$2:$Y$301, MATCH(ROUND(MIN(300,MAX(1,D1142)),0), FactorTable!$A$2:$A$301,0), Skills!M16+1)</f>
        <v>1925</v>
      </c>
      <c r="F1142">
        <f>IF(Skills!N16=TRUE,(Skills!L16/10)*(E1142/1000),Skills!L16/10)+Skills!O16</f>
        <v>288.75</v>
      </c>
      <c r="G1142">
        <f>Calc!G16</f>
        <v>30</v>
      </c>
      <c r="H1142">
        <f>Calc!H16</f>
        <v>1</v>
      </c>
      <c r="I1142">
        <f>IF(Skills!X16&lt;&gt;"",1+(Skills!X16/10)*(Z1129/1000)/100,1)</f>
        <v>1</v>
      </c>
      <c r="J1142">
        <f>((Inputs!$B$6*(1+Inputs!$B$7/100))+(((Inputs!$B$12*(1+Inputs!$B$13/100))-(Inputs!$B$12*(1+Inputs!$B$13/100)))+0.25*(Inputs!$B$14-Inputs!$B$14))*(1+Inputs!$B$7/100))*(F1142/100)</f>
        <v>1042775930.5165126</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5256518932325.0146</v>
      </c>
      <c r="L1142">
        <f>K1142*(MIN(Inputs!$B$22+(F1148-Calc!F22),(Inputs!$B$23+(IF(ArtifactsInput!$M$15,CHOOSE(ArtifactsInput!$N$15+1,25,30,35,40,45,50)/100*(Inputs!$B$11-Inputs!$B$11),0))))/100+(Inputs!$B$23+(IF(ArtifactsInput!$M$15,CHOOSE(ArtifactsInput!$N$15+1,25,30,35,40,45,50)/100*(Inputs!$B$11-Inputs!$B$11),0)))/100)/2</f>
        <v>17477925449980.674</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82478330198458.797</v>
      </c>
      <c r="N1142">
        <f>L1142*(1-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82478330198458.797</v>
      </c>
      <c r="O1142">
        <f>(1-Summary!$B$11)*S1142+Summary!$B$11*U1142</f>
        <v>1896493513844516</v>
      </c>
      <c r="P1142">
        <f>IF(B1167=0,0,O1142/B1167)</f>
        <v>5.7129165945155796E-2</v>
      </c>
      <c r="Q1142">
        <f>IFERROR(1/(IF(Inputs!$B$38="pvp",15,MAX(0.1,Skills!E16-IF(TRUE=TRUE,Inputs!$B$32,0)))*(1-IF(AND(ArtifactsInput!$M$27,Inputs!$B$4="Chapter Hunt"),CHOOSE(ArtifactsInput!$N$27+1,20,24,28,32,36,40),0)/100)),0)</f>
        <v>0.04</v>
      </c>
      <c r="R1142">
        <f>IF(AND(Inputs!$B$38&lt;&gt;"pvp",Inputs!$B$43&gt;0),IF(MAX(0,Inputs!$B$43-B1164)&lt;=0,0,(INT(MAX(0,Inputs!$B$43-B1164)/(IF(Inputs!$B$38="pvp",15,MAX(0.1,Skills!E16-IF(TRUE=TRUE,Inputs!$B$32,0)))*(1-IF(AND(ArtifactsInput!$M$27,Inputs!$B$4="Chapter Hunt"),CHOOSE(ArtifactsInput!$N$27+1,20,24,28,32,36,40),0)/100)))+1)),0)</f>
        <v>2</v>
      </c>
      <c r="S1142">
        <f>IF(C1142,(H1142*N1142*IF(AND(Inputs!$B$38&lt;&gt;"pvp",Inputs!$B$43&gt;0),((Skills!G16*((R1142-1)*IF(Skills!H16&gt;0,Skills!I16/Skills!H16,1)+IF(Skills!H16&gt;0,MIN(Skills!I16,MAX(0,MAX(0,Inputs!$B$43-B1164)-((R1142-1)*(IF(Inputs!$B$38="pvp",15,MAX(0.1,Skills!E16-IF(TRUE=TRUE,Inputs!$B$32,0)))*(1-IF(AND(ArtifactsInput!$M$27,Inputs!$B$4="Chapter Hunt"),CHOOSE(ArtifactsInput!$N$27+1,20,24,28,32,36,40),0)/100)))))/Skills!H16,1)))/Inputs!$B$43),G1142*Q1142)*(1+IF(Inputs!$B$3&gt;=126,0.05*(B1162+Q1139+(H1140*B1163)/(1+Skills!H14*H1140*B1163)+Q1150),0)*(1/Q1141)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361399725812270.25</v>
      </c>
      <c r="U1142">
        <f>IF(C1142,(H1142*N1142*IF(AND(Inputs!$B$38&lt;&gt;"pvp",Inputs!$B$43&gt;0),((Skills!G16*((R1142-1)*IF(Skills!H16&gt;0,Skills!I16/Skills!H16,1)+IF(Skills!H16&gt;0,MIN(Skills!I16,MAX(0,MAX(0,Inputs!$B$43-B1164)-((R1142-1)*(IF(Inputs!$B$38="pvp",15,MAX(0.1,Skills!E16-IF(TRUE=TRUE,Inputs!$B$32,0)))*(1-IF(AND(ArtifactsInput!$M$27,Inputs!$B$4="Chapter Hunt"),CHOOSE(ArtifactsInput!$N$27+1,20,24,28,32,36,40),0)/100)))))/Skills!H16,1)))/Inputs!$B$43),G1142*Q1142)*(1+IF(Inputs!$B$3&gt;=126,0.05*(B1162+Q1139+(H1140*B1163)/(1+Skills!H14*H1140*B1163)+Q1150),0)*(1/Q1141)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3431587301876761.5</v>
      </c>
    </row>
    <row r="1143" spans="1:21" x14ac:dyDescent="0.2">
      <c r="A1143" t="str">
        <f>Skills!A17</f>
        <v>MAGIC_GUARD</v>
      </c>
      <c r="B1143" t="str">
        <f>Skills!B17</f>
        <v>Magic Guard</v>
      </c>
      <c r="C1143" t="b">
        <f>TRUE</f>
        <v>1</v>
      </c>
      <c r="D1143">
        <f>IF(Skills!C17=1,60+Inputs!$B$25+Inputs!$B$29,IF(Skills!C17=2,90+Inputs!$B$26+Inputs!$B$29,IF(Skills!C17=3,120+Inputs!$B$27+Inputs!$B$29,MAX(0,(Inputs!$B$3-100)*3)+Inputs!$B$28+Inputs!$B$29)))</f>
        <v>127</v>
      </c>
      <c r="E1143">
        <f>INDEX(FactorTable!$B$2:$Y$301, MATCH(ROUND(MIN(300,MAX(1,D1143)),0), FactorTable!$A$2:$A$301,0), Skills!M17+1)</f>
        <v>1508</v>
      </c>
      <c r="F1143">
        <f>IF(Skills!N17=TRUE,(Skills!L17/10)*(E1143/1000),Skills!L17/10)+Skills!O17</f>
        <v>18.096</v>
      </c>
      <c r="G1143">
        <f>Calc!G17</f>
        <v>1</v>
      </c>
      <c r="H1143">
        <f>Calc!H17</f>
        <v>1</v>
      </c>
      <c r="I1143">
        <f>IF(Skills!X17&lt;&gt;"",1+(Skills!X17/10)*(Z1129/1000)/100,1)</f>
        <v>1</v>
      </c>
      <c r="O1143">
        <f>(1-Summary!$B$11)*S1143+Summary!$B$11*U1143</f>
        <v>0</v>
      </c>
      <c r="P1143">
        <f>IF(B1167=0,0,O1143/B1167)</f>
        <v>0</v>
      </c>
      <c r="Q1143">
        <f>IFERROR(1/(IF(Inputs!$B$38="pvp",15,MAX(0.1,Skills!E17-IF(TRUE=TRUE,Inputs!$B$32,0)))*(1-IF(AND(ArtifactsInput!$M$27,Inputs!$B$4="Chapter Hunt"),CHOOSE(ArtifactsInput!$N$27+1,20,24,28,32,36,40),0)/100)),0)</f>
        <v>4.7619047619047616E-2</v>
      </c>
      <c r="R1143">
        <f>IF(AND(Inputs!$B$38&lt;&gt;"pvp",Inputs!$B$43&gt;0),IF(Inputs!$B$43&lt;=0,0,(INT(Inputs!$B$43/(IF(Inputs!$B$38="pvp",15,MAX(0.1,Skills!E17-IF(TRUE=TRUE,Inputs!$B$32,0)))*(1-IF(AND(ArtifactsInput!$M$27,Inputs!$B$4="Chapter Hunt"),CHOOSE(ArtifactsInput!$N$27+1,20,24,28,32,36,40),0)/100)))+1)),0)</f>
        <v>2</v>
      </c>
      <c r="S1143">
        <v>0</v>
      </c>
      <c r="U1143">
        <v>0</v>
      </c>
    </row>
    <row r="1144" spans="1:21" x14ac:dyDescent="0.2">
      <c r="A1144" t="str">
        <f>Skills!A18</f>
        <v>NIMBLE_FEET</v>
      </c>
      <c r="B1144" t="str">
        <f>Skills!B18</f>
        <v>Nimble Feet</v>
      </c>
      <c r="C1144" t="b">
        <f>TRUE</f>
        <v>1</v>
      </c>
      <c r="D1144">
        <f>IF(Skills!C18=1,60+Inputs!$B$25+Inputs!$B$29,IF(Skills!C18=2,90+Inputs!$B$26+Inputs!$B$29,IF(Skills!C18=3,120+Inputs!$B$27+Inputs!$B$29,MAX(0,(Inputs!$B$3-100)*3)+Inputs!$B$28+Inputs!$B$29)))</f>
        <v>127</v>
      </c>
      <c r="E1144">
        <f>INDEX(FactorTable!$B$2:$Y$301, MATCH(ROUND(MIN(300,MAX(1,D1144)),0), FactorTable!$A$2:$A$301,0), Skills!M18+1)</f>
        <v>0</v>
      </c>
      <c r="F1144">
        <f>IF(Skills!N18=TRUE,(Skills!L18/10)*(E1144/1000),Skills!L18/10)+Skills!O18</f>
        <v>15</v>
      </c>
      <c r="G1144">
        <f>Calc!G18</f>
        <v>1</v>
      </c>
      <c r="H1144">
        <f>Calc!H18</f>
        <v>1</v>
      </c>
      <c r="I1144">
        <f>IF(Skills!X18&lt;&gt;"",1+(Skills!X18/10)*(Z1129/1000)/100,1)</f>
        <v>1</v>
      </c>
      <c r="O1144">
        <f>(1-Summary!$B$11)*S1144+Summary!$B$11*U1144</f>
        <v>0</v>
      </c>
      <c r="P1144">
        <f>IF(B1167=0,0,O1144/B1167)</f>
        <v>0</v>
      </c>
      <c r="Q1144">
        <f>IFERROR(1/(IF(Inputs!$B$38="pvp",15,MAX(0.1,Skills!E18-IF(TRUE=TRUE,Inputs!$B$32,0)))*(1-IF(AND(ArtifactsInput!$M$27,Inputs!$B$4="Chapter Hunt"),CHOOSE(ArtifactsInput!$N$27+1,20,24,28,32,36,40),0)/100)),0)</f>
        <v>1.6666666666666666E-2</v>
      </c>
      <c r="R1144">
        <f>IF(AND(Inputs!$B$38&lt;&gt;"pvp",Inputs!$B$43&gt;0),IF(Inputs!$B$43&lt;=0,0,(INT(Inputs!$B$43/(IF(Inputs!$B$38="pvp",15,MAX(0.1,Skills!E18-IF(TRUE=TRUE,Inputs!$B$32,0)))*(1-IF(AND(ArtifactsInput!$M$27,Inputs!$B$4="Chapter Hunt"),CHOOSE(ArtifactsInput!$N$27+1,20,24,28,32,36,40),0)/100)))+1)),0)</f>
        <v>1</v>
      </c>
      <c r="S1144">
        <v>0</v>
      </c>
      <c r="U1144">
        <v>0</v>
      </c>
    </row>
    <row r="1145" spans="1:21" x14ac:dyDescent="0.2">
      <c r="A1145" t="str">
        <f>Skills!A19</f>
        <v>INFINITY</v>
      </c>
      <c r="B1145" t="str">
        <f>Skills!B19</f>
        <v>Infinity</v>
      </c>
      <c r="C1145" t="b">
        <f>Inputs!$B$3&gt;=110</f>
        <v>1</v>
      </c>
      <c r="D1145">
        <f>IF(Skills!C19=1,60+Inputs!$B$25+Inputs!$B$29,IF(Skills!C19=2,90+Inputs!$B$26+Inputs!$B$29,IF(Skills!C19=3,120+Inputs!$B$27+Inputs!$B$29,MAX(0,(Inputs!$B$3-100)*3)+Inputs!$B$28+Inputs!$B$29)))</f>
        <v>185</v>
      </c>
      <c r="E1145">
        <f>INDEX(FactorTable!$B$2:$Y$301, MATCH(ROUND(MIN(300,MAX(1,D1145)),0), FactorTable!$A$2:$A$301,0), Skills!M19+1)</f>
        <v>1740</v>
      </c>
      <c r="F1145">
        <f>IF(Skills!N19=TRUE,(Skills!L19/10)*(E1145/1000),Skills!L19/10)+Skills!O19</f>
        <v>37.700579999999995</v>
      </c>
      <c r="G1145">
        <f>Calc!G19</f>
        <v>1</v>
      </c>
      <c r="H1145">
        <f>Calc!H19</f>
        <v>1</v>
      </c>
      <c r="I1145">
        <f>IF(Skills!X19&lt;&gt;"",1+(Skills!X19/10)*(Z1129/1000)/100,1)</f>
        <v>1</v>
      </c>
      <c r="O1145">
        <f>(1-Summary!$B$11)*S1145+Summary!$B$11*U1145</f>
        <v>0</v>
      </c>
      <c r="P1145">
        <f>IF(B1167=0,0,O1145/B1167)</f>
        <v>0</v>
      </c>
      <c r="Q1145">
        <f>IFERROR(1/(IF(Inputs!$B$38="pvp",15,MAX(0.1,Skills!E19-IF(TRUE=TRUE,Inputs!$B$32,0)))*(1-IF(AND(ArtifactsInput!$M$27,Inputs!$B$4="Chapter Hunt"),CHOOSE(ArtifactsInput!$N$27+1,20,24,28,32,36,40),0)/100)),0)</f>
        <v>3.3333333333333333E-2</v>
      </c>
      <c r="R1145">
        <f>IF(AND(Inputs!$B$38&lt;&gt;"pvp",Inputs!$B$43&gt;0),IF(Inputs!$B$43&lt;=0,0,(INT(Inputs!$B$43/(IF(Inputs!$B$38="pvp",15,MAX(0.1,Skills!E19-IF(TRUE=TRUE,Inputs!$B$32,0)))*(1-IF(AND(ArtifactsInput!$M$27,Inputs!$B$4="Chapter Hunt"),CHOOSE(ArtifactsInput!$N$27+1,20,24,28,32,36,40),0)/100)))+1)),0)</f>
        <v>2</v>
      </c>
      <c r="S1145">
        <v>0</v>
      </c>
      <c r="U1145">
        <v>0</v>
      </c>
    </row>
    <row r="1146" spans="1:21" x14ac:dyDescent="0.2">
      <c r="A1146" t="str">
        <f>Skills!A20</f>
        <v>MAGIC_CRITICAL_RATE</v>
      </c>
      <c r="B1146" t="str">
        <f>Skills!B20</f>
        <v>Magic Critical (Crit Rate)</v>
      </c>
      <c r="C1146" t="b">
        <f>TRUE</f>
        <v>1</v>
      </c>
      <c r="D1146">
        <f>IF(Skills!C20=1,60+Inputs!$B$25+Inputs!$B$29,IF(Skills!C20=2,90+Inputs!$B$26+Inputs!$B$29,IF(Skills!C20=3,120+Inputs!$B$27+Inputs!$B$29,MAX(0,(Inputs!$B$3-100)*3)+Inputs!$B$28+Inputs!$B$29)))</f>
        <v>184</v>
      </c>
      <c r="E1146">
        <f>INDEX(FactorTable!$B$2:$Y$301, MATCH(ROUND(MIN(300,MAX(1,D1146)),0), FactorTable!$A$2:$A$301,0), Skills!M20+1)</f>
        <v>1552</v>
      </c>
      <c r="F1146">
        <f>IF(Skills!N20=TRUE,(Skills!L20/10)*(E1146/1000),Skills!L20/10)+Skills!O20</f>
        <v>12.416</v>
      </c>
      <c r="G1146">
        <f>Calc!G20</f>
        <v>1</v>
      </c>
      <c r="H1146">
        <f>Calc!H20</f>
        <v>1</v>
      </c>
      <c r="I1146">
        <f>IF(Skills!X20&lt;&gt;"",1+(Skills!X20/10)*(Z1129/1000)/100,1)</f>
        <v>1</v>
      </c>
      <c r="O1146">
        <f>(1-Summary!$B$11)*S1146+Summary!$B$11*U1146</f>
        <v>0</v>
      </c>
      <c r="P1146">
        <f>IF(B1167=0,0,O1146/B1167)</f>
        <v>0</v>
      </c>
      <c r="Q1146">
        <f>IFERROR(1/(IF(Inputs!$B$38="pvp",15,MAX(0.1,Skills!E20-IF(TRUE=TRUE,Inputs!$B$32,0)))*(1-IF(AND(ArtifactsInput!$M$27,Inputs!$B$4="Chapter Hunt"),CHOOSE(ArtifactsInput!$N$27+1,20,24,28,32,36,40),0)/100)),0)</f>
        <v>10</v>
      </c>
      <c r="R1146">
        <v>0</v>
      </c>
      <c r="S1146">
        <v>0</v>
      </c>
      <c r="U1146">
        <v>0</v>
      </c>
    </row>
    <row r="1147" spans="1:21" x14ac:dyDescent="0.2">
      <c r="A1147" t="str">
        <f>Skills!A21</f>
        <v>MAGIC_CRITICAL_DAMAGE</v>
      </c>
      <c r="B1147" t="str">
        <f>Skills!B21</f>
        <v>Magic Critical (Crit Damage)</v>
      </c>
      <c r="C1147" t="b">
        <f>TRUE</f>
        <v>1</v>
      </c>
      <c r="D1147">
        <f>IF(Skills!C21=1,60+Inputs!$B$25+Inputs!$B$29,IF(Skills!C21=2,90+Inputs!$B$26+Inputs!$B$29,IF(Skills!C21=3,120+Inputs!$B$27+Inputs!$B$29,MAX(0,(Inputs!$B$3-100)*3)+Inputs!$B$28+Inputs!$B$29)))</f>
        <v>184</v>
      </c>
      <c r="E1147">
        <f>INDEX(FactorTable!$B$2:$Y$301, MATCH(ROUND(MIN(300,MAX(1,D1147)),0), FactorTable!$A$2:$A$301,0), Skills!M21+1)</f>
        <v>1552</v>
      </c>
      <c r="F1147">
        <f>IF(Skills!N21=TRUE,(Skills!L21/10)*(E1147/1000),Skills!L21/10)+Skills!O21</f>
        <v>18.624000000000002</v>
      </c>
      <c r="G1147">
        <f>Calc!G21</f>
        <v>1</v>
      </c>
      <c r="H1147">
        <f>Calc!H21</f>
        <v>1</v>
      </c>
      <c r="I1147">
        <f>IF(Skills!X21&lt;&gt;"",1+(Skills!X21/10)*(Z1129/1000)/100,1)</f>
        <v>1</v>
      </c>
      <c r="O1147">
        <f>(1-Summary!$B$11)*S1147+Summary!$B$11*U1147</f>
        <v>0</v>
      </c>
      <c r="P1147">
        <f>IF(B1167=0,0,O1147/B1167)</f>
        <v>0</v>
      </c>
      <c r="Q1147">
        <f>IFERROR(1/(IF(Inputs!$B$38="pvp",15,MAX(0.1,Skills!E21-IF(TRUE=TRUE,Inputs!$B$32,0)))*(1-IF(AND(ArtifactsInput!$M$27,Inputs!$B$4="Chapter Hunt"),CHOOSE(ArtifactsInput!$N$27+1,20,24,28,32,36,40),0)/100)),0)</f>
        <v>10</v>
      </c>
      <c r="R1147">
        <v>0</v>
      </c>
      <c r="S1147">
        <v>0</v>
      </c>
      <c r="U1147">
        <v>0</v>
      </c>
    </row>
    <row r="1148" spans="1:21" x14ac:dyDescent="0.2">
      <c r="A1148" t="str">
        <f>Skills!A22</f>
        <v>SPELL_MASTERY</v>
      </c>
      <c r="B1148" t="str">
        <f>Skills!B22</f>
        <v>Spell Mastery</v>
      </c>
      <c r="C1148" t="b">
        <f>TRUE</f>
        <v>1</v>
      </c>
      <c r="D1148">
        <f>IF(Skills!C22=1,60+Inputs!$B$25+Inputs!$B$29,IF(Skills!C22=2,90+Inputs!$B$26+Inputs!$B$29,IF(Skills!C22=3,120+Inputs!$B$27+Inputs!$B$29,MAX(0,(Inputs!$B$3-100)*3)+Inputs!$B$28+Inputs!$B$29)))</f>
        <v>168</v>
      </c>
      <c r="E1148">
        <f>INDEX(FactorTable!$B$2:$Y$301, MATCH(ROUND(MIN(300,MAX(1,D1148)),0), FactorTable!$A$2:$A$301,0), Skills!M22+1)</f>
        <v>1504</v>
      </c>
      <c r="F1148">
        <f>IF(Skills!N22=TRUE,(Skills!L22/10)*(E1148/1000),Skills!L22/10)+Skills!O22</f>
        <v>22.56</v>
      </c>
      <c r="G1148">
        <f>Calc!G22</f>
        <v>1</v>
      </c>
      <c r="H1148">
        <f>Calc!H22</f>
        <v>1</v>
      </c>
      <c r="I1148">
        <f>IF(Skills!X22&lt;&gt;"",1+(Skills!X22/10)*(Z1129/1000)/100,1)</f>
        <v>1</v>
      </c>
      <c r="O1148">
        <f>(1-Summary!$B$11)*S1148+Summary!$B$11*U1148</f>
        <v>0</v>
      </c>
      <c r="P1148">
        <f>IF(B1167=0,0,O1148/B1167)</f>
        <v>0</v>
      </c>
      <c r="Q1148">
        <f>IFERROR(1/(IF(Inputs!$B$38="pvp",15,MAX(0.1,Skills!E22-IF(TRUE=TRUE,Inputs!$B$32,0)))*(1-IF(AND(ArtifactsInput!$M$27,Inputs!$B$4="Chapter Hunt"),CHOOSE(ArtifactsInput!$N$27+1,20,24,28,32,36,40),0)/100)),0)</f>
        <v>10</v>
      </c>
      <c r="R1148">
        <v>0</v>
      </c>
      <c r="S1148">
        <v>0</v>
      </c>
      <c r="U1148">
        <v>0</v>
      </c>
    </row>
    <row r="1149" spans="1:21" x14ac:dyDescent="0.2">
      <c r="A1149" t="str">
        <f>Skills!A23</f>
        <v>ELEMENT_AMPLIFICATION</v>
      </c>
      <c r="B1149" t="str">
        <f>Skills!B23</f>
        <v>Element Amplification</v>
      </c>
      <c r="C1149" t="b">
        <f>TRUE</f>
        <v>1</v>
      </c>
      <c r="D1149">
        <f>IF(Skills!C23=1,60+Inputs!$B$25+Inputs!$B$29,IF(Skills!C23=2,90+Inputs!$B$26+Inputs!$B$29,IF(Skills!C23=3,120+Inputs!$B$27+Inputs!$B$29,MAX(0,(Inputs!$B$3-100)*3)+Inputs!$B$28+Inputs!$B$29)))</f>
        <v>185</v>
      </c>
      <c r="E1149">
        <f>INDEX(FactorTable!$B$2:$Y$301, MATCH(ROUND(MIN(300,MAX(1,D1149)),0), FactorTable!$A$2:$A$301,0), Skills!M23+1)</f>
        <v>1555</v>
      </c>
      <c r="F1149">
        <f>IF(Skills!N23=TRUE,(Skills!L23/10)*(E1149/1000),Skills!L23/10)+Skills!O23</f>
        <v>23.324999999999999</v>
      </c>
      <c r="G1149">
        <f>Calc!G23</f>
        <v>1</v>
      </c>
      <c r="H1149">
        <f>Calc!H23</f>
        <v>1</v>
      </c>
      <c r="I1149">
        <f>IF(Skills!X23&lt;&gt;"",1+(Skills!X23/10)*(Z1129/1000)/100,1)</f>
        <v>1</v>
      </c>
      <c r="O1149">
        <f>(1-Summary!$B$11)*S1149+Summary!$B$11*U1149</f>
        <v>0</v>
      </c>
      <c r="P1149">
        <f>IF(B1167=0,0,O1149/B1167)</f>
        <v>0</v>
      </c>
      <c r="Q1149">
        <f>IFERROR(1/(IF(Inputs!$B$38="pvp",15,MAX(0.1,Skills!E23-IF(TRUE=TRUE,Inputs!$B$32,0)))*(1-IF(AND(ArtifactsInput!$M$27,Inputs!$B$4="Chapter Hunt"),CHOOSE(ArtifactsInput!$N$27+1,20,24,28,32,36,40),0)/100)),0)</f>
        <v>10</v>
      </c>
      <c r="R1149">
        <v>0</v>
      </c>
      <c r="S1149">
        <v>0</v>
      </c>
      <c r="U1149">
        <v>0</v>
      </c>
    </row>
    <row r="1150" spans="1:21" x14ac:dyDescent="0.2">
      <c r="A1150" t="str">
        <f>Skills!A24</f>
        <v>IFRIT</v>
      </c>
      <c r="B1150" t="str">
        <f>Skills!B24</f>
        <v>Ifrit</v>
      </c>
      <c r="C1150" t="b">
        <f>Inputs!$B$3&gt;=115</f>
        <v>1</v>
      </c>
      <c r="D1150">
        <f>IF(Skills!C24=1,60+Inputs!$B$25+Inputs!$B$29,IF(Skills!C24=2,90+Inputs!$B$26+Inputs!$B$29,IF(Skills!C24=3,120+Inputs!$B$27+Inputs!$B$29,MAX(0,(Inputs!$B$3-100)*3)+Inputs!$B$28+Inputs!$B$29)))</f>
        <v>185</v>
      </c>
      <c r="E1150">
        <f>INDEX(FactorTable!$B$2:$Y$301, MATCH(ROUND(MIN(300,MAX(1,D1150)),0), FactorTable!$A$2:$A$301,0), Skills!M24+1)</f>
        <v>1925</v>
      </c>
      <c r="F1150">
        <f>IF(Skills!N24=TRUE,(Skills!L24/10)*(E1150/1000),Skills!L24/10)+Skills!O24</f>
        <v>6737.5</v>
      </c>
      <c r="G1150">
        <f>Calc!G24</f>
        <v>7.5</v>
      </c>
      <c r="H1150">
        <f>Calc!H24</f>
        <v>1</v>
      </c>
      <c r="I1150">
        <f>IF(Skills!X24&lt;&gt;"",1+(Skills!X24/10)*(Z1129/1000)/100,1)</f>
        <v>1</v>
      </c>
      <c r="J1150">
        <f>((Inputs!$B$6*(1+Inputs!$B$7/100))+(((Inputs!$B$12*(1+Inputs!$B$13/100))-(Inputs!$B$12*(1+Inputs!$B$13/100)))+0.25*(Inputs!$B$14-Inputs!$B$14))*(1+Inputs!$B$7/100))*(F1150/100)</f>
        <v>24331438378.718628</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122652108420917</v>
      </c>
      <c r="L1150">
        <f>K1150*(MIN(Inputs!$B$22+(F1148-Calc!F22),(Inputs!$B$23+(IF(ArtifactsInput!$M$15,CHOOSE(ArtifactsInput!$N$15+1,25,30,35,40,45,50)/100*(Inputs!$B$11-Inputs!$B$11),0))))/100+(Inputs!$B$23+(IF(ArtifactsInput!$M$15,CHOOSE(ArtifactsInput!$N$15+1,25,30,35,40,45,50)/100*(Inputs!$B$11-Inputs!$B$11),0)))/100)/2</f>
        <v>407818260499549.06</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1924494371297371.8</v>
      </c>
      <c r="N1150">
        <f>L1150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1924494371297371.8</v>
      </c>
      <c r="O1150">
        <f>(1-Summary!$B$11)*S1150+Summary!$B$11*U1150</f>
        <v>2201140437171368.5</v>
      </c>
      <c r="P1150">
        <f>IF(B1167=0,0,O1150/B1167)</f>
        <v>6.6306220604382959E-2</v>
      </c>
      <c r="Q1150">
        <f>IFERROR(1/(IF(Inputs!$B$38="pvp",15,MAX(0.1,Skills!E24-IF(TRUE=TRUE,Inputs!$B$32,0)))*(1-IF(AND(ArtifactsInput!$M$27,Inputs!$B$4="Chapter Hunt"),CHOOSE(ArtifactsInput!$N$27+1,20,24,28,32,36,40),0)/100)),0)</f>
        <v>1.2500000000000001E-2</v>
      </c>
      <c r="R1150">
        <f>IF(AND(Inputs!$B$38&lt;&gt;"pvp",Inputs!$B$43&gt;0),IF(MAX(0,Inputs!$B$43-B1164)&lt;=0,0,(INT(MAX(0,Inputs!$B$43-B1164)/(IF(Inputs!$B$38="pvp",15,MAX(0.1,Skills!E24-IF(TRUE=TRUE,Inputs!$B$32,0)))*(1-IF(AND(ArtifactsInput!$M$27,Inputs!$B$4="Chapter Hunt"),CHOOSE(ArtifactsInput!$N$27+1,20,24,28,32,36,40),0)/100)))+1)),0)</f>
        <v>1</v>
      </c>
      <c r="S1150">
        <f>IF(C1150,(H1150*N1150*IF(AND(Inputs!$B$38&lt;&gt;"pvp",Inputs!$B$43&gt;0),((Skills!G24*((R1150-1)*IF(Skills!H24&gt;0,Skills!I24/Skills!H24,1)+IF(Skills!H24&gt;0,MIN(Skills!I24,MAX(0,MAX(0,Inputs!$B$43-B1164)-((R1150-1)*(IF(Inputs!$B$38="pvp",15,MAX(0.1,Skills!E24-IF(TRUE=TRUE,Inputs!$B$32,0)))*(1-IF(AND(ArtifactsInput!$M$27,Inputs!$B$4="Chapter Hunt"),CHOOSE(ArtifactsInput!$N$27+1,20,24,28,32,36,40),0)/100)))))/Skills!H24,1)))/Inputs!$B$43),G1150*Q1150)*(1+IF(Inputs!$B$3&gt;=130,0.2*(Skills!I16/(1/Q1141)+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1143871341939875.2</v>
      </c>
      <c r="U1150">
        <f>IF(C1150,(H1150*N1150*IF(AND(Inputs!$B$38&lt;&gt;"pvp",Inputs!$B$43&gt;0),((Skills!G24*((R1150-1)*IF(Skills!H24&gt;0,Skills!I24/Skills!H24,1)+IF(Skills!H24&gt;0,MIN(Skills!I24,MAX(0,MAX(0,Inputs!$B$43-B1164)-((R1150-1)*(IF(Inputs!$B$38="pvp",15,MAX(0.1,Skills!E24-IF(TRUE=TRUE,Inputs!$B$32,0)))*(1-IF(AND(ArtifactsInput!$M$27,Inputs!$B$4="Chapter Hunt"),CHOOSE(ArtifactsInput!$N$27+1,20,24,28,32,36,40),0)/100)))))/Skills!H24,1)))/Inputs!$B$43),G1150*Q1150)*(1+IF(Inputs!$B$3&gt;=130,0.2*(Skills!I16/(1/Q1141)+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3258409532402862</v>
      </c>
    </row>
    <row r="1151" spans="1:21" x14ac:dyDescent="0.2">
      <c r="A1151" t="str">
        <f>Skills!A25</f>
        <v>BUFF_MASTERY</v>
      </c>
      <c r="B1151" t="str">
        <f>Skills!B25</f>
        <v>Buff Mastery</v>
      </c>
      <c r="C1151" t="b">
        <f>Inputs!$B$3&gt;=117</f>
        <v>1</v>
      </c>
      <c r="D1151">
        <f>IF(Skills!C25=1,60+Inputs!$B$25+Inputs!$B$29,IF(Skills!C25=2,90+Inputs!$B$26+Inputs!$B$29,IF(Skills!C25=3,120+Inputs!$B$27+Inputs!$B$29,MAX(0,(Inputs!$B$3-100)*3)+Inputs!$B$28+Inputs!$B$29)))</f>
        <v>185</v>
      </c>
      <c r="E1151">
        <f>INDEX(FactorTable!$B$2:$Y$301, MATCH(ROUND(MIN(300,MAX(1,D1151)),0), FactorTable!$A$2:$A$301,0), Skills!M25+1)</f>
        <v>1555</v>
      </c>
      <c r="F1151">
        <f>IF(Skills!N25=TRUE,(Skills!L25/10)*(E1151/1000),Skills!L25/10)+Skills!O25</f>
        <v>15.549999999999999</v>
      </c>
      <c r="G1151">
        <f>Calc!G25</f>
        <v>1</v>
      </c>
      <c r="H1151">
        <f>Calc!H25</f>
        <v>1</v>
      </c>
      <c r="I1151">
        <f>IF(Skills!X25&lt;&gt;"",1+(Skills!X25/10)*(Z1129/1000)/100,1)</f>
        <v>1</v>
      </c>
      <c r="O1151">
        <f>(1-Summary!$B$11)*S1151+Summary!$B$11*U1151</f>
        <v>0</v>
      </c>
      <c r="P1151">
        <f>IF(B1167=0,0,O1151/B1167)</f>
        <v>0</v>
      </c>
      <c r="Q1151">
        <f>IFERROR(1/(IF(Inputs!$B$38="pvp",15,MAX(0.1,Skills!E25-IF(TRUE=TRUE,Inputs!$B$32,0)))*(1-IF(AND(ArtifactsInput!$M$27,Inputs!$B$4="Chapter Hunt"),CHOOSE(ArtifactsInput!$N$27+1,20,24,28,32,36,40),0)/100)),0)</f>
        <v>10</v>
      </c>
      <c r="R1151">
        <v>0</v>
      </c>
      <c r="S1151">
        <v>0</v>
      </c>
      <c r="U1151">
        <v>0</v>
      </c>
    </row>
    <row r="1152" spans="1:21" x14ac:dyDescent="0.2">
      <c r="A1152" t="str">
        <f>Skills!A26</f>
        <v>ARCANE_AIM</v>
      </c>
      <c r="B1152" t="str">
        <f>Skills!B26</f>
        <v>Arcane Aim</v>
      </c>
      <c r="C1152" t="b">
        <f>Inputs!$B$3&gt;=120</f>
        <v>0</v>
      </c>
      <c r="D1152">
        <f>IF(Skills!C26=1,60+Inputs!$B$25+Inputs!$B$29,IF(Skills!C26=2,90+Inputs!$B$26+Inputs!$B$29,IF(Skills!C26=3,120+Inputs!$B$27+Inputs!$B$29,MAX(0,(Inputs!$B$3-100)*3)+Inputs!$B$28+Inputs!$B$29)))</f>
        <v>185</v>
      </c>
      <c r="E1152">
        <f>INDEX(FactorTable!$B$2:$Y$301, MATCH(ROUND(MIN(300,MAX(1,D1152)),0), FactorTable!$A$2:$A$301,0), Skills!M26+1)</f>
        <v>1555</v>
      </c>
      <c r="F1152">
        <f>IF(Skills!N26=TRUE,(Skills!L26/10)*(E1152/1000),Skills!L26/10)+Skills!O26</f>
        <v>4.665</v>
      </c>
      <c r="G1152">
        <f>Calc!G26</f>
        <v>1</v>
      </c>
      <c r="H1152">
        <f>Calc!H26</f>
        <v>1</v>
      </c>
      <c r="I1152">
        <f>IF(Skills!X26&lt;&gt;"",1+(Skills!X26/10)*(Z1129/1000)/100,1)</f>
        <v>1</v>
      </c>
      <c r="O1152">
        <f>(1-Summary!$B$11)*S1152+Summary!$B$11*U1152</f>
        <v>0</v>
      </c>
      <c r="P1152">
        <f>IF(B1167=0,0,O1152/B1167)</f>
        <v>0</v>
      </c>
      <c r="Q1152">
        <f>IFERROR(1/(IF(Inputs!$B$38="pvp",15,MAX(0.1,Skills!E26-IF(TRUE=TRUE,Inputs!$B$32,0)))*(1-IF(AND(ArtifactsInput!$M$27,Inputs!$B$4="Chapter Hunt"),CHOOSE(ArtifactsInput!$N$27+1,20,24,28,32,36,40),0)/100)),0)</f>
        <v>10</v>
      </c>
      <c r="R1152">
        <v>0</v>
      </c>
      <c r="S1152">
        <v>0</v>
      </c>
      <c r="U1152">
        <v>0</v>
      </c>
    </row>
    <row r="1153" spans="1:21" x14ac:dyDescent="0.2">
      <c r="A1153" t="str">
        <f>Skills!A27</f>
        <v>FERVENT_DRAIN</v>
      </c>
      <c r="B1153" t="str">
        <f>Skills!B27</f>
        <v>Fervent Drain</v>
      </c>
      <c r="C1153" t="b">
        <f>Inputs!$B$3&gt;=125</f>
        <v>0</v>
      </c>
      <c r="D1153">
        <f>IF(Skills!C27=1,60+Inputs!$B$25+Inputs!$B$29,IF(Skills!C27=2,90+Inputs!$B$26+Inputs!$B$29,IF(Skills!C27=3,120+Inputs!$B$27+Inputs!$B$29,MAX(0,(Inputs!$B$3-100)*3)+Inputs!$B$28+Inputs!$B$29)))</f>
        <v>185</v>
      </c>
      <c r="E1153">
        <f>INDEX(FactorTable!$B$2:$Y$301, MATCH(ROUND(MIN(300,MAX(1,D1153)),0), FactorTable!$A$2:$A$301,0), Skills!M27+1)</f>
        <v>1555</v>
      </c>
      <c r="F1153">
        <f>IF(Skills!N27=TRUE,(Skills!L27/10)*(E1153/1000),Skills!L27/10)+Skills!O27</f>
        <v>6.22</v>
      </c>
      <c r="G1153">
        <f>Calc!G27</f>
        <v>1</v>
      </c>
      <c r="H1153">
        <f>Calc!H27</f>
        <v>1</v>
      </c>
      <c r="I1153">
        <f>IF(Skills!X27&lt;&gt;"",1+(Skills!X27/10)*(Z1129/1000)/100,1)</f>
        <v>1</v>
      </c>
      <c r="O1153">
        <f>(1-Summary!$B$11)*S1153+Summary!$B$11*U1153</f>
        <v>0</v>
      </c>
      <c r="P1153">
        <f>IF(B1167=0,0,O1153/B1167)</f>
        <v>0</v>
      </c>
      <c r="Q1153">
        <f>IFERROR(1/(IF(Inputs!$B$38="pvp",15,MAX(0.1,Skills!E27-IF(TRUE=TRUE,Inputs!$B$32,0)))*(1-IF(AND(ArtifactsInput!$M$27,Inputs!$B$4="Chapter Hunt"),CHOOSE(ArtifactsInput!$N$27+1,20,24,28,32,36,40),0)/100)),0)</f>
        <v>10</v>
      </c>
      <c r="R1153">
        <v>0</v>
      </c>
      <c r="S1153">
        <v>0</v>
      </c>
      <c r="U1153">
        <v>0</v>
      </c>
    </row>
    <row r="1154" spans="1:21" x14ac:dyDescent="0.2">
      <c r="A1154" t="str">
        <f>Skills!A28</f>
        <v>FLAME_HAZE_FOG</v>
      </c>
      <c r="B1154" t="str">
        <f>Skills!B28</f>
        <v>Flame Haze (poison fog DoT)</v>
      </c>
      <c r="C1154" t="b">
        <f>Inputs!$B$3&gt;=118</f>
        <v>0</v>
      </c>
      <c r="D1154">
        <f>IF(Skills!C28=1,60+Inputs!$B$25+Inputs!$B$29,IF(Skills!C28=2,90+Inputs!$B$26+Inputs!$B$29,IF(Skills!C28=3,120+Inputs!$B$27+Inputs!$B$29,MAX(0,(Inputs!$B$3-100)*3)+Inputs!$B$28+Inputs!$B$29)))</f>
        <v>185</v>
      </c>
      <c r="E1154">
        <f>INDEX(FactorTable!$B$2:$Y$301, MATCH(ROUND(MIN(300,MAX(1,D1154)),0), FactorTable!$A$2:$A$301,0), Skills!M28+1)</f>
        <v>1925</v>
      </c>
      <c r="F1154">
        <f>IF(Skills!N28=TRUE,(Skills!L28/10)*(E1154/1000),Skills!L28/10)+Skills!O28</f>
        <v>134.75</v>
      </c>
      <c r="G1154">
        <f>Calc!G28</f>
        <v>50</v>
      </c>
      <c r="H1154">
        <f>Calc!H28</f>
        <v>1</v>
      </c>
      <c r="I1154">
        <f>IF(Skills!X28&lt;&gt;"",1+(Skills!X28/10)*(Z1129/1000)/100,1)</f>
        <v>1</v>
      </c>
      <c r="J1154">
        <f>((Inputs!$B$6*(1+Inputs!$B$7/100))+(((Inputs!$B$12*(1+Inputs!$B$13/100))-(Inputs!$B$12*(1+Inputs!$B$13/100)))+0.25*(Inputs!$B$14-Inputs!$B$14))*(1+Inputs!$B$7/100))*(F1154/100)</f>
        <v>486628767.57437253</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2453042168418.3394</v>
      </c>
      <c r="L1154">
        <f>K1154*(MIN(Inputs!$B$22+(F1148-Calc!F22),(Inputs!$B$23+(IF(ArtifactsInput!$M$15,CHOOSE(ArtifactsInput!$N$15+1,25,30,35,40,45,50)/100*(Inputs!$B$11-Inputs!$B$11),0))))/100+(Inputs!$B$23+(IF(ArtifactsInput!$M$15,CHOOSE(ArtifactsInput!$N$15+1,25,30,35,40,45,50)/100*(Inputs!$B$11-Inputs!$B$11),0)))/100)/2</f>
        <v>8156365209990.9785</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38489887425947.422</v>
      </c>
      <c r="N1154">
        <f>L1154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38489887425947.422</v>
      </c>
      <c r="O1154">
        <f>(1-Summary!$B$11)*S1154+Summary!$B$11*U1154</f>
        <v>0</v>
      </c>
      <c r="P1154">
        <f>IF(B1167=0,0,O1154/B1167)</f>
        <v>0</v>
      </c>
      <c r="Q1154">
        <f>IFERROR(1/(IF(Inputs!$B$38="pvp",15,MAX(0.1,Skills!E28-IF(TRUE=TRUE,Inputs!$B$32,0)))*(1-IF(AND(ArtifactsInput!$M$27,Inputs!$B$4="Chapter Hunt"),CHOOSE(ArtifactsInput!$N$27+1,20,24,28,32,36,40),0)/100)),0)</f>
        <v>0.04</v>
      </c>
      <c r="R1154">
        <f>IF(AND(Inputs!$B$38&lt;&gt;"pvp",Inputs!$B$43&gt;0),IF(MAX(0,Inputs!$B$43-B1164)&lt;=0,0,(INT(MAX(0,Inputs!$B$43-B1164)/(IF(Inputs!$B$38="pvp",15,MAX(0.1,Skills!E28-IF(TRUE=TRUE,Inputs!$B$32,0)))*(1-IF(AND(ArtifactsInput!$M$27,Inputs!$B$4="Chapter Hunt"),CHOOSE(ArtifactsInput!$N$27+1,20,24,28,32,36,40),0)/100)))+1)),0)</f>
        <v>2</v>
      </c>
      <c r="S1154">
        <f>IF(C1154,(H1154*N1154*IF(AND(Inputs!$B$38&lt;&gt;"pvp",Inputs!$B$43&gt;0),((Skills!G28*((R1154-1)*IF(Skills!H28&gt;0,Skills!I28/Skills!H28,1)+IF(Skills!H28&gt;0,MIN(Skills!I28,MAX(0,MAX(0,Inputs!$B$43-B1164)-((R1154-1)*(IF(Inputs!$B$38="pvp",15,MAX(0.1,Skills!E28-IF(TRUE=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54">
        <f>IF(C1154,(H1154*N1154*IF(AND(Inputs!$B$38&lt;&gt;"pvp",Inputs!$B$43&gt;0),((Skills!G28*((R1154-1)*IF(Skills!H28&gt;0,Skills!I28/Skills!H28,1)+IF(Skills!H28&gt;0,MIN(Skills!I28,MAX(0,MAX(0,Inputs!$B$43-B1164)-((R1154-1)*(IF(Inputs!$B$38="pvp",15,MAX(0.1,Skills!E28-IF(TRUE=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156" spans="1:21" x14ac:dyDescent="0.2">
      <c r="A1156" t="s">
        <v>356</v>
      </c>
      <c r="B1156">
        <f>1+(F1137*Skills!Z11)/100</f>
        <v>1.25</v>
      </c>
    </row>
    <row r="1157" spans="1:21" x14ac:dyDescent="0.2">
      <c r="A1157" t="s">
        <v>435</v>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1.18624</v>
      </c>
    </row>
    <row r="1158" spans="1:21" x14ac:dyDescent="0.2">
      <c r="A1158" t="s">
        <v>358</v>
      </c>
      <c r="B1158">
        <f>(1+(F1132*IF(AND(Inputs!$B$38&lt;&gt;"pvp",Inputs!$B$43&gt;0),(((R1132-1)*MIN((Skills!T6*(1+(((Inputs!$B$34+1)+(ArtifactsInput!$M$7-ArtifactsInput!$M$7)*CHOOSE(ArtifactsInput!$N$7+1,6,7.2,8.4,9.6,10.8,12)))/100)),(1/Q1132))+MIN((Skills!T6*(1+(((Inputs!$B$34+1)+(ArtifactsInput!$M$7-ArtifactsInput!$M$7)*CHOOSE(ArtifactsInput!$N$7+1,6,7.2,8.4,9.6,10.8,12)))/100)),MAX(0,Inputs!$B$43-((R1132-1)*(1/Q1132)))))/Inputs!$B$43),IF(Inputs!$B$38="pvp",MIN((Skills!T6*(1+(((Inputs!$B$34+1)+(ArtifactsInput!$M$7-ArtifactsInput!$M$7)*CHOOSE(ArtifactsInput!$N$7+1,6,7.2,8.4,9.6,10.8,12)))/100)),15)/15,MIN(1,(Skills!T6*(1+(((Inputs!$B$34+1)+(ArtifactsInput!$M$7-ArtifactsInput!$M$7)*CHOOSE(ArtifactsInput!$N$7+1,6,7.2,8.4,9.6,10.8,12)))/100))/(1/Q1132))))+F1143*IF(AND(Inputs!$B$38&lt;&gt;"pvp",Inputs!$B$43&gt;0),(((R1143-1)*MIN((Skills!T17*(1+(((Inputs!$B$34+1)+(ArtifactsInput!$M$7-ArtifactsInput!$M$7)*CHOOSE(ArtifactsInput!$N$7+1,6,7.2,8.4,9.6,10.8,12)))/100)),(1/Q1143))+MIN((Skills!T17*(1+(((Inputs!$B$34+1)+(ArtifactsInput!$M$7-ArtifactsInput!$M$7)*CHOOSE(ArtifactsInput!$N$7+1,6,7.2,8.4,9.6,10.8,12)))/100)),MAX(0,Inputs!$B$43-((R1143-1)*(1/Q1143)))))/Inputs!$B$43),IF(Inputs!$B$38="pvp",MIN((Skills!T17*(1+(((Inputs!$B$34+1)+(ArtifactsInput!$M$7-ArtifactsInput!$M$7)*CHOOSE(ArtifactsInput!$N$7+1,6,7.2,8.4,9.6,10.8,12)))/100)),15)/15,MIN(1,(Skills!T17*(1+(((Inputs!$B$34+1)+(ArtifactsInput!$M$7-ArtifactsInput!$M$7)*CHOOSE(ArtifactsInput!$N$7+1,6,7.2,8.4,9.6,10.8,12)))/100))/(1/Q1143)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MIN((Skills!T19*(1+(((Inputs!$B$34+1)+(ArtifactsInput!$M$7-ArtifactsInput!$M$7)*CHOOSE(ArtifactsInput!$N$7+1,6,7.2,8.4,9.6,10.8,12)))/100)),(1/Q1145))+MIN((Skills!T19*(1+(((Inputs!$B$34+1)+(ArtifactsInput!$M$7-ArtifactsInput!$M$7)*CHOOSE(ArtifactsInput!$N$7+1,6,7.2,8.4,9.6,10.8,12)))/100)),MAX(0,Inputs!$B$43-((R1145-1)*(1/Q1145)))))/Inputs!$B$43),IF(Inputs!$B$38="pvp",MIN((Skills!T19*(1+(((Inputs!$B$34+1)+(ArtifactsInput!$M$7-ArtifactsInput!$M$7)*CHOOSE(ArtifactsInput!$N$7+1,6,7.2,8.4,9.6,10.8,12)))/100)),15)/15,MIN(1,(Skills!T19*(1+(((Inputs!$B$34+1)+(ArtifactsInput!$M$7-ArtifactsInput!$M$7)*CHOOSE(ArtifactsInput!$N$7+1,6,7.2,8.4,9.6,10.8,12)))/100))/(1/Q1145))))/100),1)</f>
        <v>1.8023616200485197</v>
      </c>
    </row>
    <row r="1159" spans="1:21" x14ac:dyDescent="0.2">
      <c r="A1159" t="s">
        <v>359</v>
      </c>
      <c r="B1159">
        <f>F1144*IF(AND(Inputs!$B$38&lt;&gt;"pvp",Inputs!$B$43&gt;0),(((R1144-1)*MIN((Skills!T18*(1+(((Inputs!$B$34+1)+(ArtifactsInput!$M$7-ArtifactsInput!$M$7)*CHOOSE(ArtifactsInput!$N$7+1,6,7.2,8.4,9.6,10.8,12)))/100)),(1/Q1144))+MIN((Skills!T18*(1+(((Inputs!$B$34+1)+(ArtifactsInput!$M$7-ArtifactsInput!$M$7)*CHOOSE(ArtifactsInput!$N$7+1,6,7.2,8.4,9.6,10.8,12)))/100)),MAX(0,Inputs!$B$43-((R1144-1)*(1/Q1144)))))/Inputs!$B$43),IF(Inputs!$B$38="pvp",MIN((Skills!T18*(1+(((Inputs!$B$34+1)+(ArtifactsInput!$M$7-ArtifactsInput!$M$7)*CHOOSE(ArtifactsInput!$N$7+1,6,7.2,8.4,9.6,10.8,12)))/100)),15)/15,MIN(1,(Skills!T18*(1+(((Inputs!$B$34+1)+(ArtifactsInput!$M$7-ArtifactsInput!$M$7)*CHOOSE(ArtifactsInput!$N$7+1,6,7.2,8.4,9.6,10.8,12)))/100))/(1/Q1144))))</f>
        <v>6.5531250000000005</v>
      </c>
    </row>
    <row r="1160" spans="1:21" x14ac:dyDescent="0.2">
      <c r="A1160" t="s">
        <v>436</v>
      </c>
      <c r="B1160">
        <f>1+MIN(150,150*(1-(1-(Inputs!$B$11+(ArtifactsInput!$M$15-ArtifactsInput!$M$15)*CHOOSE(ArtifactsInput!$N$15+1,8,9.6,11.2,12.8,14.4,16))/150)*(1-B1159/150)))/100</f>
        <v>1.6986101250000001</v>
      </c>
    </row>
    <row r="1161" spans="1:21" x14ac:dyDescent="0.2">
      <c r="A1161" t="s">
        <v>437</v>
      </c>
      <c r="B1161">
        <f>IF(AND(Inputs!$B$38&lt;&gt;"pvp",Inputs!$B$43&gt;0),SUMPRODUCT((Skills!F2:F28=TRUE)*(C1128:C1154=TRUE)*R1128:R1154)/Inputs!$B$43,SUMPRODUCT((Skills!F2:F28=TRUE)*(C1128:C1154=TRUE)*Q1128:Q1154))</f>
        <v>0.47499999999999998</v>
      </c>
    </row>
    <row r="1162" spans="1:21" x14ac:dyDescent="0.2">
      <c r="A1162" t="s">
        <v>362</v>
      </c>
      <c r="B1162">
        <f>MAX(0,B1160-B1161)</f>
        <v>1.223610125</v>
      </c>
    </row>
    <row r="1163" spans="1:21" x14ac:dyDescent="0.2">
      <c r="A1163" t="s">
        <v>438</v>
      </c>
      <c r="B1163">
        <f>IF(AND(Inputs!$B$38&lt;&gt;"pvp",Inputs!$B$43&gt;0),SUMPRODUCT((Skills!V2:V28=TRUE)*(C1128:C1154=TRUE)*R1128:R1154*Skills!W2:W28)/Inputs!$B$43,SUMPRODUCT((Skills!V2:V28=TRUE)*(C1128:C1154=TRUE)*Q1128:Q1154*Skills!W2:W28))+B1162</f>
        <v>1.5486101249999999</v>
      </c>
    </row>
    <row r="1164" spans="1:21" x14ac:dyDescent="0.2">
      <c r="A1164" t="s">
        <v>439</v>
      </c>
      <c r="B1164">
        <f>IF(AND(Inputs!$B$38&lt;&gt;"pvp",Inputs!$B$43&gt;0),SUMPRODUCT((Skills!T2:T28&gt;0)*(Skills!F2:F28=TRUE)*(C1128:C1154=TRUE))/B1160,0)</f>
        <v>2.3548664529478178</v>
      </c>
    </row>
    <row r="1165" spans="1:21" x14ac:dyDescent="0.2">
      <c r="A1165" t="s">
        <v>440</v>
      </c>
      <c r="B1165">
        <f>SUM(S1128:S1154)</f>
        <v>9548483616236600</v>
      </c>
    </row>
    <row r="1166" spans="1:21" x14ac:dyDescent="0.2">
      <c r="A1166" t="s">
        <v>441</v>
      </c>
      <c r="B1166">
        <f>SUM(U1128:U1154)</f>
        <v>5.6844696906131136E+16</v>
      </c>
    </row>
    <row r="1167" spans="1:21" x14ac:dyDescent="0.2">
      <c r="A1167" s="6" t="s">
        <v>348</v>
      </c>
      <c r="B1167" s="6">
        <f>SUM(O1128:O1154)</f>
        <v>3.3196590261183868E+16</v>
      </c>
    </row>
    <row r="1170" spans="1:26" x14ac:dyDescent="0.2">
      <c r="A1170" s="6" t="s">
        <v>466</v>
      </c>
    </row>
    <row r="1171" spans="1:26" x14ac:dyDescent="0.2">
      <c r="A1171" s="5" t="s">
        <v>136</v>
      </c>
      <c r="B1171" s="5" t="s">
        <v>137</v>
      </c>
      <c r="C1171" s="5" t="s">
        <v>328</v>
      </c>
      <c r="D1171" s="5" t="s">
        <v>329</v>
      </c>
      <c r="E1171" s="5" t="s">
        <v>330</v>
      </c>
      <c r="F1171" s="5" t="s">
        <v>331</v>
      </c>
      <c r="G1171" s="5" t="s">
        <v>332</v>
      </c>
      <c r="H1171" s="5" t="s">
        <v>333</v>
      </c>
      <c r="I1171" s="5" t="s">
        <v>334</v>
      </c>
      <c r="J1171" s="5" t="s">
        <v>335</v>
      </c>
      <c r="K1171" s="5" t="s">
        <v>336</v>
      </c>
      <c r="L1171" s="5" t="s">
        <v>337</v>
      </c>
      <c r="M1171" s="5" t="s">
        <v>338</v>
      </c>
      <c r="N1171" s="5" t="s">
        <v>339</v>
      </c>
      <c r="O1171" s="5" t="s">
        <v>340</v>
      </c>
      <c r="P1171" s="5" t="s">
        <v>341</v>
      </c>
      <c r="R1171" t="s">
        <v>434</v>
      </c>
    </row>
    <row r="1172" spans="1:26" x14ac:dyDescent="0.2">
      <c r="A1172" t="str">
        <f>Skills!A2</f>
        <v>BASIC_ATTACK</v>
      </c>
      <c r="B1172" t="str">
        <f>Skills!B2</f>
        <v>Basic Attack</v>
      </c>
      <c r="C1172" t="b">
        <f>TRUE</f>
        <v>1</v>
      </c>
      <c r="F1172">
        <f>T1174+Skills!O2</f>
        <v>537.6</v>
      </c>
      <c r="G1172">
        <f>Calc!G2</f>
        <v>5</v>
      </c>
      <c r="H1172">
        <f>Calc!H2</f>
        <v>1</v>
      </c>
      <c r="I1172">
        <f>IF(Skills!X2&lt;&gt;"",1+(Skills!X2/10)*(Z1173/1000)/100,1)</f>
        <v>1</v>
      </c>
      <c r="J1172">
        <f>((Inputs!$B$6*(1+Inputs!$B$7/100))+(((Inputs!$B$12*(1+Inputs!$B$13/100))-(Inputs!$B$12*(1+Inputs!$B$13/100)))+0.25*(Inputs!$B$14-Inputs!$B$14))*(1+Inputs!$B$7/100))*(F1172/100)</f>
        <v>1941459186.9980164</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6967838148110.0527</v>
      </c>
      <c r="L1172">
        <f>K1172*(MIN(Inputs!$B$22+(F1192-Calc!F22),(Inputs!$B$23+(IF(ArtifactsInput!$M$15,CHOOSE(ArtifactsInput!$N$15+1,25,30,35,40,45,50)/100*(Inputs!$B$11-Inputs!$B$11),0))))/100+(Inputs!$B$23+(IF(ArtifactsInput!$M$15,CHOOSE(ArtifactsInput!$N$15+1,25,30,35,40,45,50)/100*(Inputs!$B$11-Inputs!$B$11),0)))/100)/2</f>
        <v>23168061842465.926</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109330083834596.69</v>
      </c>
      <c r="N1172">
        <f>L1172*(1-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109330083834596.69</v>
      </c>
      <c r="O1172">
        <f>(1-Summary!$B$11)*S1172+Summary!$B$11*U1172</f>
        <v>1.3170345919960024E+16</v>
      </c>
      <c r="P1172">
        <f>IF(B1211=0,0,O1172/B1211)</f>
        <v>0.37819938885449511</v>
      </c>
      <c r="Q1172">
        <f>IFERROR(1/(IF(Inputs!$B$38="pvp",15,MAX(0.1,Skills!E2-IF(TRUE=TRUE,Inputs!$B$32,0)))*(1-IF(AND(ArtifactsInput!$M$27,Inputs!$B$4="Chapter Hunt"),CHOOSE(ArtifactsInput!$N$27+1,20,24,28,32,36,40),0)/100)),0)</f>
        <v>10</v>
      </c>
      <c r="R1172">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2186698713291154</v>
      </c>
      <c r="T1172">
        <f>MAX(0,(Inputs!$B$3-100)*3)+Inputs!$B$28+Inputs!$B$29</f>
        <v>185</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2.4153993126628892E+16</v>
      </c>
      <c r="Z1172">
        <f>MAX(0,(Inputs!$B$3-100)*3)+Inputs!$B$28+Inputs!$B$29</f>
        <v>185</v>
      </c>
    </row>
    <row r="1173" spans="1:26" x14ac:dyDescent="0.2">
      <c r="A1173" t="str">
        <f>Skills!A3</f>
        <v>IGNITE</v>
      </c>
      <c r="B1173" t="str">
        <f>Skills!B3</f>
        <v>Ignite</v>
      </c>
      <c r="C1173" t="b">
        <f>TRUE</f>
        <v>1</v>
      </c>
      <c r="D1173">
        <f>IF(Skills!C3=1,60+Inputs!$B$25+Inputs!$B$29,IF(Skills!C3=2,90+Inputs!$B$26+Inputs!$B$29,IF(Skills!C3=3,120+Inputs!$B$27+Inputs!$B$29,MAX(0,(Inputs!$B$3-100)*3)+Inputs!$B$28+Inputs!$B$29)))</f>
        <v>168</v>
      </c>
      <c r="E1173">
        <f>INDEX(FactorTable!$B$2:$Y$301, MATCH(ROUND(MIN(300,MAX(1,D1173)),0), FactorTable!$A$2:$A$301,0), Skills!M3+1)</f>
        <v>1672</v>
      </c>
      <c r="F1173">
        <f>IF(Skills!N3=TRUE,(Skills!L3/10)*(E1173/1000),Skills!L3/10)+Skills!O3</f>
        <v>121.736</v>
      </c>
      <c r="G1173">
        <f>Calc!G3</f>
        <v>3</v>
      </c>
      <c r="H1173">
        <f>Calc!H3</f>
        <v>1</v>
      </c>
      <c r="I1173">
        <f>IF(Skills!X3&lt;&gt;"",1+(Skills!X3/10)*(Z1173/1000)/100,1)</f>
        <v>4.8250000000000002</v>
      </c>
      <c r="J1173">
        <f>((Inputs!$B$6*(1+Inputs!$B$7/100))+(((Inputs!$B$12*(1+Inputs!$B$13/100))-(Inputs!$B$12*(1+Inputs!$B$13/100)))+0.25*(Inputs!$B$14-Inputs!$B$14))*(1+Inputs!$B$7/100))*(F1173/100)</f>
        <v>439630720.9605478</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11218100035541.611</v>
      </c>
      <c r="L1173">
        <f>K1173*(MIN(Inputs!$B$22+(F1192-Calc!F22),(Inputs!$B$23+(IF(ArtifactsInput!$M$15,CHOOSE(ArtifactsInput!$N$15+1,25,30,35,40,45,50)/100*(Inputs!$B$11-Inputs!$B$11),0))))/100+(Inputs!$B$23+(IF(ArtifactsInput!$M$15,CHOOSE(ArtifactsInput!$N$15+1,25,30,35,40,45,50)/100*(Inputs!$B$11-Inputs!$B$11),0)))/100)/2</f>
        <v>37300182618175.859</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176019561775171.84</v>
      </c>
      <c r="N1173">
        <f>L1173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176019561775171.84</v>
      </c>
      <c r="O1173">
        <f>(1-Summary!$B$11)*S1173+Summary!$B$11*U1173</f>
        <v>3060100081461362.5</v>
      </c>
      <c r="P1173">
        <f>IF(B1211=0,0,O1173/B1211)</f>
        <v>8.7873772463965077E-2</v>
      </c>
      <c r="Q1173">
        <f>IFERROR(1/(IF(Inputs!$B$38="pvp",15,MAX(0.1,Skills!E3-IF(FALSE=TRUE,Inputs!$B$32,0)))*(1-IF(AND(ArtifactsInput!$M$27,Inputs!$B$4="Chapter Hunt"),CHOOSE(ArtifactsInput!$N$27+1,20,24,28,32,36,40),0)/100)),0)</f>
        <v>1</v>
      </c>
      <c r="R1173">
        <f>IF(AND(Inputs!$B$38&lt;&gt;"pvp",Inputs!$B$43&gt;0),IF(MAX(0,Inputs!$B$43-B1208)&lt;=0,0,(INT(MAX(0,Inputs!$B$43-B1208)/(IF(Inputs!$B$38="pvp",15,MAX(0.1,Skills!E3-IF(FALSE=TRUE,Inputs!$B$32,0)))*(1-IF(AND(ArtifactsInput!$M$27,Inputs!$B$4="Chapter Hunt"),CHOOSE(ArtifactsInput!$N$27+1,20,24,28,32,36,40),0)/100)))+1)),0)</f>
        <v>38</v>
      </c>
      <c r="S1173">
        <f>IF(C1173,(H1173*N1173*IF(AND(Inputs!$B$38&lt;&gt;"pvp",Inputs!$B$43&gt;0),((Skills!G3*((R1173-1)*IF(Skills!H3&gt;0,Skills!I3/Skills!H3,1)+IF(Skills!H3&gt;0,MIN(Skills!I3,MAX(0,MAX(0,Inputs!$B$43-B1208)-((R1173-1)*(IF(Inputs!$B$38="pvp",15,MAX(0.1,Skills!E3-IF(FALSE=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1590248730857790</v>
      </c>
      <c r="T1173">
        <f>INDEX(FactorTable!$B$2:$Y$301, MATCH(ROUND(MIN(300,MAX(1,T1172)),0), FactorTable!$A$2:$A$301,0), 22)</f>
        <v>1740</v>
      </c>
      <c r="U1173">
        <f>IF(C1173,(H1173*N1173*IF(AND(Inputs!$B$38&lt;&gt;"pvp",Inputs!$B$43&gt;0),((Skills!G3*((R1173-1)*IF(Skills!H3&gt;0,Skills!I3/Skills!H3,1)+IF(Skills!H3&gt;0,MIN(Skills!I3,MAX(0,MAX(0,Inputs!$B$43-B1208)-((R1173-1)*(IF(Inputs!$B$38="pvp",15,MAX(0.1,Skills!E3-IF(FALSE=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4529951432064935</v>
      </c>
      <c r="Z1173">
        <f>INDEX(FactorTable!$B$2:$Y$301, MATCH(ROUND(MIN(300,MAX(1,Z1172)),0), FactorTable!$A$2:$A$301,0), 24)</f>
        <v>7650</v>
      </c>
    </row>
    <row r="1174" spans="1:26" x14ac:dyDescent="0.2">
      <c r="A1174" t="str">
        <f>Skills!A4</f>
        <v>POISON_BREATH</v>
      </c>
      <c r="B1174" t="str">
        <f>Skills!B4</f>
        <v>Poison Breath</v>
      </c>
      <c r="C1174" t="b">
        <f>TRUE</f>
        <v>1</v>
      </c>
      <c r="D1174">
        <f>IF(Skills!C4=1,60+Inputs!$B$25+Inputs!$B$29,IF(Skills!C4=2,90+Inputs!$B$26+Inputs!$B$29,IF(Skills!C4=3,120+Inputs!$B$27+Inputs!$B$29,MAX(0,(Inputs!$B$3-100)*3)+Inputs!$B$28+Inputs!$B$29)))</f>
        <v>168</v>
      </c>
      <c r="E1174">
        <f>INDEX(FactorTable!$B$2:$Y$301, MATCH(ROUND(MIN(300,MAX(1,D1174)),0), FactorTable!$A$2:$A$301,0), Skills!M4+1)</f>
        <v>1840</v>
      </c>
      <c r="F1174">
        <f>IF(Skills!N4=TRUE,(Skills!L4/10)*(E1174/1000),Skills!L4/10)+Skills!O4</f>
        <v>438</v>
      </c>
      <c r="G1174">
        <f>Calc!G4</f>
        <v>3</v>
      </c>
      <c r="H1174">
        <f>Calc!H4</f>
        <v>1</v>
      </c>
      <c r="I1174">
        <f>IF(Skills!X4&lt;&gt;"",1+(Skills!X4/10)*(Z1173/1000)/100,1)</f>
        <v>7.12</v>
      </c>
      <c r="J1174">
        <f>((Inputs!$B$6*(1+Inputs!$B$7/100))+(((Inputs!$B$12*(1+Inputs!$B$13/100))-(Inputs!$B$12*(1+Inputs!$B$13/100)))+0.25*(Inputs!$B$14-Inputs!$B$14))*(1+Inputs!$B$7/100))*(F1174/100)</f>
        <v>1581769203.69258</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59560326153559.93</v>
      </c>
      <c r="L1174">
        <f>K1174*(MIN(Inputs!$B$22+(F1192-Calc!F22),(Inputs!$B$23+(IF(ArtifactsInput!$M$15,CHOOSE(ArtifactsInput!$N$15+1,25,30,35,40,45,50)/100*(Inputs!$B$11-Inputs!$B$11),0))))/100+(Inputs!$B$23+(IF(ArtifactsInput!$M$15,CHOOSE(ArtifactsInput!$N$15+1,25,30,35,40,45,50)/100*(Inputs!$B$11-Inputs!$B$11),0)))/100)/2</f>
        <v>198038084460586.78</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934541720569508.88</v>
      </c>
      <c r="N1174">
        <f>L1174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934541720569508.88</v>
      </c>
      <c r="O1174">
        <f>(1-Summary!$B$11)*S1174+Summary!$B$11*U1174</f>
        <v>2232036081865200.5</v>
      </c>
      <c r="P1174">
        <f>IF(B1211=0,0,O1174/B1211)</f>
        <v>6.4095103286790731E-2</v>
      </c>
      <c r="Q1174">
        <f>IFERROR(1/(IF(Inputs!$B$38="pvp",15,MAX(0.1,Skills!E4-IF(TRUE=TRUE,Inputs!$B$32,0)))*(1-IF(AND(ArtifactsInput!$M$27,Inputs!$B$4="Chapter Hunt"),CHOOSE(ArtifactsInput!$N$27+1,20,24,28,32,36,40),0)/100)),0)</f>
        <v>5.5555555555555552E-2</v>
      </c>
      <c r="R1174">
        <f>IF(AND(Inputs!$B$38&lt;&gt;"pvp",Inputs!$B$43&gt;0),IF(MAX(0,Inputs!$B$43-B1208)&lt;=0,0,(INT(MAX(0,Inputs!$B$43-B1208)/(IF(Inputs!$B$38="pvp",15,MAX(0.1,Skills!E4-IF(TRUE=TRUE,Inputs!$B$32,0)))*(1-IF(AND(ArtifactsInput!$M$27,Inputs!$B$4="Chapter Hunt"),CHOOSE(ArtifactsInput!$N$27+1,20,24,28,32,36,40),0)/100)))+1)),0)</f>
        <v>3</v>
      </c>
      <c r="S1174">
        <f>IF(C1174,(H1174*N1174*IF(AND(Inputs!$B$38&lt;&gt;"pvp",Inputs!$B$43&gt;0),((Skills!G4*((R1174-1)*IF(Skills!H4&gt;0,Skills!I4/Skills!H4,1)+IF(Skills!H4&gt;0,MIN(Skills!I4,MAX(0,MAX(0,Inputs!$B$43-B1208)-((R1174-1)*(IF(Inputs!$B$38="pvp",15,MAX(0.1,Skills!E4-IF(TRUE=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666561882196202.25</v>
      </c>
      <c r="T1174">
        <f>290*T1173/1000</f>
        <v>504.6</v>
      </c>
      <c r="U1174">
        <f>IF(C1174,(H1174*N1174*IF(AND(Inputs!$B$38&lt;&gt;"pvp",Inputs!$B$43&gt;0),((Skills!G4*((R1174-1)*IF(Skills!H4&gt;0,Skills!I4/Skills!H4,1)+IF(Skills!H4&gt;0,MIN(Skills!I4,MAX(0,MAX(0,Inputs!$B$43-B1208)-((R1174-1)*(IF(Inputs!$B$38="pvp",15,MAX(0.1,Skills!E4-IF(TRUE=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3797510281534199</v>
      </c>
    </row>
    <row r="1175" spans="1:26" x14ac:dyDescent="0.2">
      <c r="A1175" t="str">
        <f>Skills!A5</f>
        <v>ELEMENTAL_DRAIN</v>
      </c>
      <c r="B1175" t="str">
        <f>Skills!B5</f>
        <v>Elemental Drain</v>
      </c>
      <c r="C1175" t="b">
        <f>TRUE</f>
        <v>1</v>
      </c>
      <c r="D1175">
        <f>IF(Skills!C5=1,60+Inputs!$B$25+Inputs!$B$29,IF(Skills!C5=2,90+Inputs!$B$26+Inputs!$B$29,IF(Skills!C5=3,120+Inputs!$B$27+Inputs!$B$29,MAX(0,(Inputs!$B$3-100)*3)+Inputs!$B$28+Inputs!$B$29)))</f>
        <v>168</v>
      </c>
      <c r="E1175">
        <f>INDEX(FactorTable!$B$2:$Y$301, MATCH(ROUND(MIN(300,MAX(1,D1175)),0), FactorTable!$A$2:$A$301,0), Skills!M5+1)</f>
        <v>1672</v>
      </c>
      <c r="F1175">
        <f>IF(Skills!N5=TRUE,(Skills!L5/10)*(E1175/1000),Skills!L5/10)+Skills!O5</f>
        <v>20.064</v>
      </c>
      <c r="G1175">
        <f>Calc!G5</f>
        <v>5</v>
      </c>
      <c r="H1175">
        <f>Calc!H5</f>
        <v>1</v>
      </c>
      <c r="I1175">
        <f>IF(Skills!X5&lt;&gt;"",1+(Skills!X5/10)*(Z1173/1000)/100,1)</f>
        <v>12.475</v>
      </c>
      <c r="J1175">
        <f>((Inputs!$B$6*(1+Inputs!$B$7/100))+(((Inputs!$B$12*(1+Inputs!$B$13/100))-(Inputs!$B$12*(1+Inputs!$B$13/100)))+0.25*(Inputs!$B$14-Inputs!$B$14))*(1+Inputs!$B$7/100))*(F1175/100)</f>
        <v>72458030.371890247</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4780364764415.0518</v>
      </c>
      <c r="L1175">
        <f>K1175*(MIN(Inputs!$B$22+(F1192-Calc!F22),(Inputs!$B$23+(IF(ArtifactsInput!$M$15,CHOOSE(ArtifactsInput!$N$15+1,25,30,35,40,45,50)/100*(Inputs!$B$11-Inputs!$B$11),0))))/100+(Inputs!$B$23+(IF(ArtifactsInput!$M$15,CHOOSE(ArtifactsInput!$N$15+1,25,30,35,40,45,50)/100*(Inputs!$B$11-Inputs!$B$11),0)))/100)/2</f>
        <v>15894712841680.049</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75007149899888.141</v>
      </c>
      <c r="N1175">
        <f>L1175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75007149899888.141</v>
      </c>
      <c r="O1175">
        <f>(1-Summary!$B$11)*S1175+Summary!$B$11*U1175</f>
        <v>1100917442655608.2</v>
      </c>
      <c r="P1175">
        <f>IF(B1211=0,0,O1175/B1211)</f>
        <v>3.1613923166633764E-2</v>
      </c>
      <c r="Q1175">
        <f>IFERROR(1/(IF(Inputs!$B$38="pvp",15,MAX(0.1,Skills!E5-IF(FALSE=TRUE,Inputs!$B$32,0)))*(1-IF(AND(ArtifactsInput!$M$27,Inputs!$B$4="Chapter Hunt"),CHOOSE(ArtifactsInput!$N$27+1,20,24,28,32,36,40),0)/100)),0)</f>
        <v>1</v>
      </c>
      <c r="R1175">
        <f>IF(AND(Inputs!$B$38&lt;&gt;"pvp",Inputs!$B$43&gt;0),IF(MAX(0,Inputs!$B$43-B1208)&lt;=0,0,(INT(MAX(0,Inputs!$B$43-B1208)/(IF(Inputs!$B$38="pvp",15,MAX(0.1,Skills!E5-IF(FALSE=TRUE,Inputs!$B$32,0)))*(1-IF(AND(ArtifactsInput!$M$27,Inputs!$B$4="Chapter Hunt"),CHOOSE(ArtifactsInput!$N$27+1,20,24,28,32,36,40),0)/100)))+1)),0)</f>
        <v>38</v>
      </c>
      <c r="S1175">
        <f>IF(C1175,(H1175*N1175*IF(AND(Inputs!$B$38&lt;&gt;"pvp",Inputs!$B$43&gt;0),((Skills!G5*((R1175-1)*IF(Skills!H5&gt;0,Skills!I5/Skills!H5,1)+IF(Skills!H5&gt;0,MIN(Skills!I5,MAX(0,MAX(0,Inputs!$B$43-B1208)-((R1175-1)*(IF(Inputs!$B$38="pvp",15,MAX(0.1,Skills!E5-IF(FALSE=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1129420159617565.8</v>
      </c>
      <c r="U1175">
        <f>IF(C1175,(H1175*N1175*IF(AND(Inputs!$B$38&lt;&gt;"pvp",Inputs!$B$43&gt;0),((Skills!G5*((R1175-1)*IF(Skills!H5&gt;0,Skills!I5/Skills!H5,1)+IF(Skills!H5&gt;0,MIN(Skills!I5,MAX(0,MAX(0,Inputs!$B$43-B1208)-((R1175-1)*(IF(Inputs!$B$38="pvp",15,MAX(0.1,Skills!E5-IF(FALSE=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1072414725693650.6</v>
      </c>
    </row>
    <row r="1176" spans="1:26" x14ac:dyDescent="0.2">
      <c r="A1176" t="str">
        <f>Skills!A6</f>
        <v>MEDITATION</v>
      </c>
      <c r="B1176" t="str">
        <f>Skills!B6</f>
        <v>Meditation</v>
      </c>
      <c r="C1176" t="b">
        <f>TRUE</f>
        <v>1</v>
      </c>
      <c r="D1176">
        <f>IF(Skills!C6=1,60+Inputs!$B$25+Inputs!$B$29,IF(Skills!C6=2,90+Inputs!$B$26+Inputs!$B$29,IF(Skills!C6=3,120+Inputs!$B$27+Inputs!$B$29,MAX(0,(Inputs!$B$3-100)*3)+Inputs!$B$28+Inputs!$B$29)))</f>
        <v>168</v>
      </c>
      <c r="E1176">
        <f>INDEX(FactorTable!$B$2:$Y$301, MATCH(ROUND(MIN(300,MAX(1,D1176)),0), FactorTable!$A$2:$A$301,0), Skills!M6+1)</f>
        <v>1672</v>
      </c>
      <c r="F1176">
        <f>IF(Skills!N6=TRUE,(Skills!L6/10)*(E1176/1000),Skills!L6/10)+Skills!O6</f>
        <v>33.44</v>
      </c>
      <c r="G1176">
        <f>Calc!G6</f>
        <v>1</v>
      </c>
      <c r="H1176">
        <f>Calc!H6</f>
        <v>1</v>
      </c>
      <c r="I1176">
        <f>IF(Skills!X6&lt;&gt;"",1+(Skills!X6/10)*(Z1173/1000)/100,1)</f>
        <v>1</v>
      </c>
      <c r="O1176">
        <f>(1-Summary!$B$11)*S1176+Summary!$B$11*U1176</f>
        <v>0</v>
      </c>
      <c r="P1176">
        <f>IF(B1211=0,0,O1176/B1211)</f>
        <v>0</v>
      </c>
      <c r="Q1176">
        <f>IFERROR(1/(IF(Inputs!$B$38="pvp",15,MAX(0.1,Skills!E6-IF(TRUE=TRUE,Inputs!$B$32,0)))*(1-IF(AND(ArtifactsInput!$M$27,Inputs!$B$4="Chapter Hunt"),CHOOSE(ArtifactsInput!$N$27+1,20,24,28,32,36,40),0)/100)),0)</f>
        <v>3.3333333333333333E-2</v>
      </c>
      <c r="R1176">
        <f>IF(AND(Inputs!$B$38&lt;&gt;"pvp",Inputs!$B$43&gt;0),IF(Inputs!$B$43&lt;=0,0,(INT(Inputs!$B$43/(IF(Inputs!$B$38="pvp",15,MAX(0.1,Skills!E6-IF(TRUE=TRUE,Inputs!$B$32,0)))*(1-IF(AND(ArtifactsInput!$M$27,Inputs!$B$4="Chapter Hunt"),CHOOSE(ArtifactsInput!$N$27+1,20,24,28,32,36,40),0)/100)))+1)),0)</f>
        <v>2</v>
      </c>
      <c r="S1176">
        <v>0</v>
      </c>
      <c r="U1176">
        <v>0</v>
      </c>
    </row>
    <row r="1177" spans="1:26" x14ac:dyDescent="0.2">
      <c r="A1177" t="str">
        <f>Skills!A7</f>
        <v>POISON_MIST_BURST</v>
      </c>
      <c r="B1177" t="str">
        <f>Skills!B7</f>
        <v>Poison Mist (burst)</v>
      </c>
      <c r="C1177" t="b">
        <f>TRUE</f>
        <v>1</v>
      </c>
      <c r="D1177">
        <f>IF(Skills!C7=1,60+Inputs!$B$25+Inputs!$B$29,IF(Skills!C7=2,90+Inputs!$B$26+Inputs!$B$29,IF(Skills!C7=3,120+Inputs!$B$27+Inputs!$B$29,MAX(0,(Inputs!$B$3-100)*3)+Inputs!$B$28+Inputs!$B$29)))</f>
        <v>184</v>
      </c>
      <c r="E1177">
        <f>INDEX(FactorTable!$B$2:$Y$301, MATCH(ROUND(MIN(300,MAX(1,D1177)),0), FactorTable!$A$2:$A$301,0), Skills!M7+1)</f>
        <v>1920</v>
      </c>
      <c r="F1177">
        <f>IF(Skills!N7=TRUE,(Skills!L7/10)*(E1177/1000),Skills!L7/10)+Skills!O7</f>
        <v>357.2</v>
      </c>
      <c r="G1177">
        <f>Calc!G7</f>
        <v>3</v>
      </c>
      <c r="H1177">
        <f>Calc!H7</f>
        <v>1</v>
      </c>
      <c r="I1177">
        <f>IF(Skills!X7&lt;&gt;"",1+(Skills!X7/10)*(Z1173/1000)/100,1)</f>
        <v>1.7650000000000001</v>
      </c>
      <c r="J1177">
        <f>((Inputs!$B$6*(1+Inputs!$B$7/100))+(((Inputs!$B$12*(1+Inputs!$B$13/100))-(Inputs!$B$12*(1+Inputs!$B$13/100)))+0.25*(Inputs!$B$14-Inputs!$B$14))*(1+Inputs!$B$7/100))*(F1177/100)</f>
        <v>1289972510.4086521</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12040904810592.422</v>
      </c>
      <c r="L1177">
        <f>K1177*(MIN(Inputs!$B$22+(F1192-Calc!F22),(Inputs!$B$23+(IF(ArtifactsInput!$M$15,CHOOSE(ArtifactsInput!$N$15+1,25,30,35,40,45,50)/100*(Inputs!$B$11-Inputs!$B$11),0))))/100+(Inputs!$B$23+(IF(ArtifactsInput!$M$15,CHOOSE(ArtifactsInput!$N$15+1,25,30,35,40,45,50)/100*(Inputs!$B$11-Inputs!$B$11),0)))/100)/2</f>
        <v>40036008495219.805</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188929924088942.25</v>
      </c>
      <c r="N1177">
        <f>L1177*(1-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188929924088942.25</v>
      </c>
      <c r="O1177">
        <f>(1-Summary!$B$11)*S1177+Summary!$B$11*U1177</f>
        <v>471427393082933.06</v>
      </c>
      <c r="P1177">
        <f>IF(B1211=0,0,O1177/B1211)</f>
        <v>1.3537499549121508E-2</v>
      </c>
      <c r="Q1177">
        <f>IFERROR(1/(IF(Inputs!$B$38="pvp",15,MAX(0.1,Skills!E7-IF(TRUE=TRUE,Inputs!$B$32,0)))*(1-IF(AND(ArtifactsInput!$M$27,Inputs!$B$4="Chapter Hunt"),CHOOSE(ArtifactsInput!$N$27+1,20,24,28,32,36,40),0)/100)),0)</f>
        <v>4.0816326530612242E-2</v>
      </c>
      <c r="R1177">
        <f>IF(AND(Inputs!$B$38&lt;&gt;"pvp",Inputs!$B$43&gt;0),IF(MAX(0,Inputs!$B$43-B1208)&lt;=0,0,(INT(MAX(0,Inputs!$B$43-B1208)/(IF(Inputs!$B$38="pvp",15,MAX(0.1,Skills!E7-IF(TRUE=TRUE,Inputs!$B$32,0)))*(1-IF(AND(ArtifactsInput!$M$27,Inputs!$B$4="Chapter Hunt"),CHOOSE(ArtifactsInput!$N$27+1,20,24,28,32,36,40),0)/100)))+1)),0)</f>
        <v>2</v>
      </c>
      <c r="S1177">
        <f>IF(C1177,(H1177*N1177*IF(AND(Inputs!$B$38&lt;&gt;"pvp",Inputs!$B$43&gt;0),((Skills!G7*((R1177-1)*IF(Skills!H7&gt;0,Skills!I7/Skills!H7,1)+IF(Skills!H7&gt;0,MIN(Skills!I7,MAX(0,MAX(0,Inputs!$B$43-B1208)-((R1177-1)*(IF(Inputs!$B$38="pvp",15,MAX(0.1,Skills!E7-IF(TRUE=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89836178904292.031</v>
      </c>
      <c r="U1177">
        <f>IF(C1177,(H1177*N1177*IF(AND(Inputs!$B$38&lt;&gt;"pvp",Inputs!$B$43&gt;0),((Skills!G7*((R1177-1)*IF(Skills!H7&gt;0,Skills!I7/Skills!H7,1)+IF(Skills!H7&gt;0,MIN(Skills!I7,MAX(0,MAX(0,Inputs!$B$43-B1208)-((R1177-1)*(IF(Inputs!$B$38="pvp",15,MAX(0.1,Skills!E7-IF(TRUE=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853018607261574.12</v>
      </c>
    </row>
    <row r="1178" spans="1:26" x14ac:dyDescent="0.2">
      <c r="A1178" t="str">
        <f>Skills!A8</f>
        <v>POISON_MIST_DOT</v>
      </c>
      <c r="B1178" t="str">
        <f>Skills!B8</f>
        <v>Poison Mist (fog DoT)</v>
      </c>
      <c r="C1178" t="b">
        <f>TRUE</f>
        <v>1</v>
      </c>
      <c r="D1178">
        <f>IF(Skills!C8=1,60+Inputs!$B$25+Inputs!$B$29,IF(Skills!C8=2,90+Inputs!$B$26+Inputs!$B$29,IF(Skills!C8=3,120+Inputs!$B$27+Inputs!$B$29,MAX(0,(Inputs!$B$3-100)*3)+Inputs!$B$28+Inputs!$B$29)))</f>
        <v>184</v>
      </c>
      <c r="E1178">
        <f>INDEX(FactorTable!$B$2:$Y$301, MATCH(ROUND(MIN(300,MAX(1,D1178)),0), FactorTable!$A$2:$A$301,0), Skills!M8+1)</f>
        <v>1920</v>
      </c>
      <c r="F1178">
        <f>IF(Skills!N8=TRUE,(Skills!L8/10)*(E1178/1000),Skills!L8/10)+Skills!O8</f>
        <v>134.4</v>
      </c>
      <c r="G1178">
        <f>Calc!G8</f>
        <v>50</v>
      </c>
      <c r="H1178">
        <f>Calc!H8</f>
        <v>1</v>
      </c>
      <c r="I1178">
        <f>IF(Skills!X8&lt;&gt;"",1+(Skills!X8/10)*(Z1173/1000)/100,1)</f>
        <v>1.7650000000000001</v>
      </c>
      <c r="J1178">
        <f>((Inputs!$B$6*(1+Inputs!$B$7/100))+(((Inputs!$B$12*(1+Inputs!$B$13/100))-(Inputs!$B$12*(1+Inputs!$B$13/100)))+0.25*(Inputs!$B$14-Inputs!$B$14))*(1+Inputs!$B$7/100))*(F1178/100)</f>
        <v>485364796.74950409</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4530508416975.4238</v>
      </c>
      <c r="L1178">
        <f>K1178*(MIN(Inputs!$B$22+(F1192-Calc!F22),(Inputs!$B$23+(IF(ArtifactsInput!$M$15,CHOOSE(ArtifactsInput!$N$15+1,25,30,35,40,45,50)/100*(Inputs!$B$11-Inputs!$B$11),0))))/100+(Inputs!$B$23+(IF(ArtifactsInput!$M$15,CHOOSE(ArtifactsInput!$N$15+1,25,30,35,40,45,50)/100*(Inputs!$B$11-Inputs!$B$11),0)))/100)/2</f>
        <v>15063940486443.285</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71086735155525.859</v>
      </c>
      <c r="N1178">
        <f>L1178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71086735155525.859</v>
      </c>
      <c r="O1178">
        <f>(1-Summary!$B$11)*S1178+Summary!$B$11*U1178</f>
        <v>2449657992593530</v>
      </c>
      <c r="P1178">
        <f>IF(B1211=0,0,O1178/B1211)</f>
        <v>7.0344329703392827E-2</v>
      </c>
      <c r="Q1178">
        <f>IFERROR(1/(IF(Inputs!$B$38="pvp",15,MAX(0.1,Skills!E8-IF(TRUE=TRUE,Inputs!$B$32,0)))*(1-IF(AND(ArtifactsInput!$M$27,Inputs!$B$4="Chapter Hunt"),CHOOSE(ArtifactsInput!$N$27+1,20,24,28,32,36,40),0)/100)),0)</f>
        <v>4.0816326530612242E-2</v>
      </c>
      <c r="R1178">
        <f>IF(AND(Inputs!$B$38&lt;&gt;"pvp",Inputs!$B$43&gt;0),IF(MAX(0,Inputs!$B$43-B1208)&lt;=0,0,(INT(MAX(0,Inputs!$B$43-B1208)/(IF(Inputs!$B$38="pvp",15,MAX(0.1,Skills!E8-IF(TRUE=TRUE,Inputs!$B$32,0)))*(1-IF(AND(ArtifactsInput!$M$27,Inputs!$B$4="Chapter Hunt"),CHOOSE(ArtifactsInput!$N$27+1,20,24,28,32,36,40),0)/100)))+1)),0)</f>
        <v>2</v>
      </c>
      <c r="S1178">
        <f>IF(C1178,(H1178*N1178*IF(AND(Inputs!$B$38&lt;&gt;"pvp",Inputs!$B$43&gt;0),((Skills!G8*((R1178-1)*IF(Skills!H8&gt;0,Skills!I8/Skills!H8,1)+IF(Skills!H8&gt;0,MIN(Skills!I8,MAX(0,MAX(0,Inputs!$B$43-B1208)-((R1178-1)*(IF(Inputs!$B$38="pvp",15,MAX(0.1,Skills!E8-IF(TRUE=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466811892787585.88</v>
      </c>
      <c r="U1178">
        <f>IF(C1178,(H1178*N1178*IF(AND(Inputs!$B$38&lt;&gt;"pvp",Inputs!$B$43&gt;0),((Skills!G8*((R1178-1)*IF(Skills!H8&gt;0,Skills!I8/Skills!H8,1)+IF(Skills!H8&gt;0,MIN(Skills!I8,MAX(0,MAX(0,Inputs!$B$43-B1208)-((R1178-1)*(IF(Inputs!$B$38="pvp",15,MAX(0.1,Skills!E8-IF(TRUE=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4432504092399474.5</v>
      </c>
    </row>
    <row r="1179" spans="1:26" x14ac:dyDescent="0.2">
      <c r="A1179" t="str">
        <f>Skills!A9</f>
        <v>MIST_ERUPTION</v>
      </c>
      <c r="B1179" t="str">
        <f>Skills!B9</f>
        <v>Mist Eruption</v>
      </c>
      <c r="C1179" t="b">
        <f>Inputs!$B$3&gt;=103</f>
        <v>1</v>
      </c>
      <c r="D1179">
        <f>IF(Skills!C9=1,60+Inputs!$B$25+Inputs!$B$29,IF(Skills!C9=2,90+Inputs!$B$26+Inputs!$B$29,IF(Skills!C9=3,120+Inputs!$B$27+Inputs!$B$29,MAX(0,(Inputs!$B$3-100)*3)+Inputs!$B$28+Inputs!$B$29)))</f>
        <v>185</v>
      </c>
      <c r="E1179">
        <f>INDEX(FactorTable!$B$2:$Y$301, MATCH(ROUND(MIN(300,MAX(1,D1179)),0), FactorTable!$A$2:$A$301,0), Skills!M9+1)</f>
        <v>1925</v>
      </c>
      <c r="F1179">
        <f>IF(Skills!N9=TRUE,(Skills!L9/10)*(E1179/1000),Skills!L9/10)+Skills!O9</f>
        <v>5775</v>
      </c>
      <c r="G1179">
        <f>Calc!G9</f>
        <v>2.5</v>
      </c>
      <c r="H1179">
        <f>Calc!H9</f>
        <v>1</v>
      </c>
      <c r="I1179">
        <f>IF(Skills!X9&lt;&gt;"",1+(Skills!X9/10)*(Z1173/1000)/100,1)</f>
        <v>1</v>
      </c>
      <c r="J1179">
        <f>((Inputs!$B$6*(1+Inputs!$B$7/100))+(((Inputs!$B$12*(1+Inputs!$B$13/100))-(Inputs!$B$12*(1+Inputs!$B$13/100)))+0.25*(Inputs!$B$14-Inputs!$B$14))*(1+Inputs!$B$7/100))*(F1179/100)</f>
        <v>20855518610.330254</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110294778210715.41</v>
      </c>
      <c r="L1179">
        <f>K1179*(MIN(Inputs!$B$22+(F1192-Calc!F22),(Inputs!$B$23+(IF(ArtifactsInput!$M$15,CHOOSE(ArtifactsInput!$N$15+1,25,30,35,40,45,50)/100*(Inputs!$B$11-Inputs!$B$11),0))))/100+(Inputs!$B$23+(IF(ArtifactsInput!$M$15,CHOOSE(ArtifactsInput!$N$15+1,25,30,35,40,45,50)/100*(Inputs!$B$11-Inputs!$B$11),0)))/100)/2</f>
        <v>366730137550628.75</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1730599519101416.8</v>
      </c>
      <c r="N1179">
        <f>L1179*(1-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1730599519101416.8</v>
      </c>
      <c r="O1179">
        <f>(1-Summary!$B$11)*S1179+Summary!$B$11*U1179</f>
        <v>3598565375031508</v>
      </c>
      <c r="P1179">
        <f>IF(B1211=0,0,O1179/B1211)</f>
        <v>0.10333633101673265</v>
      </c>
      <c r="Q1179">
        <f>IFERROR(1/(IF(Inputs!$B$38="pvp",15,MAX(0.1,Skills!E9-IF(TRUE=TRUE,Inputs!$B$32,0)))*(1-IF(AND(ArtifactsInput!$M$27,Inputs!$B$4="Chapter Hunt"),CHOOSE(ArtifactsInput!$N$27+1,20,24,28,32,36,40),0)/100)),0)</f>
        <v>4.0816326530612242E-2</v>
      </c>
      <c r="R1179">
        <f>IF(AND(Inputs!$B$38&lt;&gt;"pvp",Inputs!$B$43&gt;0),IF(MAX(0,Inputs!$B$43-B1208)&lt;=0,0,(INT(MAX(0,Inputs!$B$43-B1208)/(IF(Inputs!$B$38="pvp",15,MAX(0.1,Skills!E9-IF(TRUE=TRUE,Inputs!$B$32,0)))*(1-IF(AND(ArtifactsInput!$M$27,Inputs!$B$4="Chapter Hunt"),CHOOSE(ArtifactsInput!$N$27+1,20,24,28,32,36,40),0)/100)))+1)),0)</f>
        <v>2</v>
      </c>
      <c r="S1179">
        <f>IF(C1179,(H1179*N1179*IF(AND(Inputs!$B$38&lt;&gt;"pvp",Inputs!$B$43&gt;0),((Skills!G9*((R1179-1)*IF(Skills!H9&gt;0,Skills!I9/Skills!H9,1)+IF(Skills!H9&gt;0,MIN(Skills!I9,MAX(0,MAX(0,Inputs!$B$43-B1208)-((R1179-1)*(IF(Inputs!$B$38="pvp",15,MAX(0.1,Skills!E9-IF(TRUE=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685750059443936.38</v>
      </c>
      <c r="U1179">
        <f>IF(C1179,(H1179*N1179*IF(AND(Inputs!$B$38&lt;&gt;"pvp",Inputs!$B$43&gt;0),((Skills!G9*((R1179-1)*IF(Skills!H9&gt;0,Skills!I9/Skills!H9,1)+IF(Skills!H9&gt;0,MIN(Skills!I9,MAX(0,MAX(0,Inputs!$B$43-B1208)-((R1179-1)*(IF(Inputs!$B$38="pvp",15,MAX(0.1,Skills!E9-IF(TRUE=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6511380690619080</v>
      </c>
    </row>
    <row r="1180" spans="1:26" x14ac:dyDescent="0.2">
      <c r="A1180" t="str">
        <f>Skills!A10</f>
        <v>CREEPING_TOXIN</v>
      </c>
      <c r="B1180" t="str">
        <f>Skills!B10</f>
        <v>Creeping Toxin</v>
      </c>
      <c r="C1180" t="b">
        <f>TRUE</f>
        <v>1</v>
      </c>
      <c r="D1180">
        <f>IF(Skills!C10=1,60+Inputs!$B$25+Inputs!$B$29,IF(Skills!C10=2,90+Inputs!$B$26+Inputs!$B$29,IF(Skills!C10=3,120+Inputs!$B$27+Inputs!$B$29,MAX(0,(Inputs!$B$3-100)*3)+Inputs!$B$28+Inputs!$B$29)))</f>
        <v>184</v>
      </c>
      <c r="E1180">
        <f>INDEX(FactorTable!$B$2:$Y$301, MATCH(ROUND(MIN(300,MAX(1,D1180)),0), FactorTable!$A$2:$A$301,0), Skills!M10+1)</f>
        <v>1920</v>
      </c>
      <c r="F1180">
        <f>IF(Skills!N10=TRUE,(Skills!L10/10)*(E1180/1000),Skills!L10/10)+Skills!O10</f>
        <v>280.39999999999998</v>
      </c>
      <c r="G1180">
        <f>Calc!G10</f>
        <v>15</v>
      </c>
      <c r="H1180">
        <f>Calc!H10</f>
        <v>1</v>
      </c>
      <c r="I1180">
        <f>IF(Skills!X10&lt;&gt;"",1+(Skills!X10/10)*(Z1173/1000)/100,1)</f>
        <v>1.7650000000000001</v>
      </c>
      <c r="J1180">
        <f>((Inputs!$B$6*(1+Inputs!$B$7/100))+(((Inputs!$B$12*(1+Inputs!$B$13/100))-(Inputs!$B$12*(1+Inputs!$B$13/100)))+0.25*(Inputs!$B$14-Inputs!$B$14))*(1+Inputs!$B$7/100))*(F1180/100)</f>
        <v>1012621197.9803641</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9452042858035.0352</v>
      </c>
      <c r="L1180">
        <f>K1180*(MIN(Inputs!$B$22+(F1192-Calc!F22),(Inputs!$B$23+(IF(ArtifactsInput!$M$15,CHOOSE(ArtifactsInput!$N$15+1,25,30,35,40,45,50)/100*(Inputs!$B$11-Inputs!$B$11),0))))/100+(Inputs!$B$23+(IF(ArtifactsInput!$M$15,CHOOSE(ArtifactsInput!$N$15+1,25,30,35,40,45,50)/100*(Inputs!$B$11-Inputs!$B$11),0)))/100)/2</f>
        <v>31428042502966.492</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148308932571498.84</v>
      </c>
      <c r="N1180">
        <f>L1180*(1-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148308932571498.84</v>
      </c>
      <c r="O1180">
        <f>(1-Summary!$B$11)*S1180+Summary!$B$11*U1180</f>
        <v>341349563759471.38</v>
      </c>
      <c r="P1180">
        <f>IF(B1211=0,0,O1180/B1211)</f>
        <v>9.8021872154419806E-3</v>
      </c>
      <c r="Q1180">
        <f>IFERROR(1/(IF(Inputs!$B$38="pvp",15,MAX(0.1,Skills!E10-IF(TRUE=TRUE,Inputs!$B$32,0)))*(1-IF(AND(ArtifactsInput!$M$27,Inputs!$B$4="Chapter Hunt"),CHOOSE(ArtifactsInput!$N$27+1,20,24,28,32,36,40),0)/100)),0)</f>
        <v>3.7037037037037035E-2</v>
      </c>
      <c r="R1180">
        <f>IF(AND(Inputs!$B$38&lt;&gt;"pvp",Inputs!$B$43&gt;0),IF(MAX(0,Inputs!$B$43-B1208)&lt;=0,0,(INT(MAX(0,Inputs!$B$43-B1208)/(IF(Inputs!$B$38="pvp",15,MAX(0.1,Skills!E10-IF(TRUE=TRUE,Inputs!$B$32,0)))*(1-IF(AND(ArtifactsInput!$M$27,Inputs!$B$4="Chapter Hunt"),CHOOSE(ArtifactsInput!$N$27+1,20,24,28,32,36,40),0)/100)))+1)),0)</f>
        <v>2</v>
      </c>
      <c r="S1180">
        <f>IF(C1180,(H1180*N1180*IF(AND(Inputs!$B$38&lt;&gt;"pvp",Inputs!$B$43&gt;0),((Skills!G10*((R1180-1)*IF(Skills!H10&gt;0,Skills!I10/Skills!H10,1)+IF(Skills!H10&gt;0,MIN(Skills!I10,MAX(0,MAX(0,Inputs!$B$43-B1208)-((R1180-1)*(IF(Inputs!$B$38="pvp",15,MAX(0.1,Skills!E10-IF(TRUE=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301414517302931.56</v>
      </c>
      <c r="U1180">
        <f>IF(C1180,(H1180*N1180*IF(AND(Inputs!$B$38&lt;&gt;"pvp",Inputs!$B$43&gt;0),((Skills!G10*((R1180-1)*IF(Skills!H10&gt;0,Skills!I10/Skills!H10,1)+IF(Skills!H10&gt;0,MIN(Skills!I10,MAX(0,MAX(0,Inputs!$B$43-B1208)-((R1180-1)*(IF(Inputs!$B$38="pvp",15,MAX(0.1,Skills!E10-IF(TRUE=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381284610216011.19</v>
      </c>
    </row>
    <row r="1181" spans="1:26" x14ac:dyDescent="0.2">
      <c r="A1181" t="str">
        <f>Skills!A11</f>
        <v>BURNING_MAGIC</v>
      </c>
      <c r="B1181" t="str">
        <f>Skills!B11</f>
        <v>Burning Magic</v>
      </c>
      <c r="C1181" t="b">
        <f>TRUE</f>
        <v>1</v>
      </c>
      <c r="D1181">
        <f>IF(Skills!C11=1,60+Inputs!$B$25+Inputs!$B$29,IF(Skills!C11=2,90+Inputs!$B$26+Inputs!$B$29,IF(Skills!C11=3,120+Inputs!$B$27+Inputs!$B$29,MAX(0,(Inputs!$B$3-100)*3)+Inputs!$B$28+Inputs!$B$29)))</f>
        <v>184</v>
      </c>
      <c r="E1181">
        <f>INDEX(FactorTable!$B$2:$Y$301, MATCH(ROUND(MIN(300,MAX(1,D1181)),0), FactorTable!$A$2:$A$301,0), Skills!M11+1)</f>
        <v>0</v>
      </c>
      <c r="F1181">
        <f>IF(Skills!N11=TRUE,(Skills!L11/10)*(E1181/1000),Skills!L11/10)+Skills!O11</f>
        <v>5</v>
      </c>
      <c r="G1181">
        <f>Calc!G11</f>
        <v>1</v>
      </c>
      <c r="H1181">
        <f>Calc!H11</f>
        <v>1</v>
      </c>
      <c r="I1181">
        <f>IF(Skills!X11&lt;&gt;"",1+(Skills!X11/10)*(Z1173/1000)/100,1)</f>
        <v>1</v>
      </c>
      <c r="O1181">
        <f>(1-Summary!$B$11)*S1181+Summary!$B$11*U1181</f>
        <v>0</v>
      </c>
      <c r="P1181">
        <f>IF(B1211=0,0,O1181/B1211)</f>
        <v>0</v>
      </c>
      <c r="Q1181">
        <f>IFERROR(1/(IF(Inputs!$B$38="pvp",15,MAX(0.1,Skills!E11-IF(TRUE=TRUE,Inputs!$B$32,0)))*(1-IF(AND(ArtifactsInput!$M$27,Inputs!$B$4="Chapter Hunt"),CHOOSE(ArtifactsInput!$N$27+1,20,24,28,32,36,40),0)/100)),0)</f>
        <v>10</v>
      </c>
      <c r="R1181">
        <v>0</v>
      </c>
      <c r="S1181">
        <v>0</v>
      </c>
      <c r="U1181">
        <v>0</v>
      </c>
    </row>
    <row r="1182" spans="1:26" x14ac:dyDescent="0.2">
      <c r="A1182" t="str">
        <f>Skills!A12</f>
        <v>ELEMENTAL_DECREASE</v>
      </c>
      <c r="B1182" t="str">
        <f>Skills!B12</f>
        <v>Elemental Decrease</v>
      </c>
      <c r="C1182" t="b">
        <f>TRUE</f>
        <v>1</v>
      </c>
      <c r="D1182">
        <f>IF(Skills!C12=1,60+Inputs!$B$25+Inputs!$B$29,IF(Skills!C12=2,90+Inputs!$B$26+Inputs!$B$29,IF(Skills!C12=3,120+Inputs!$B$27+Inputs!$B$29,MAX(0,(Inputs!$B$3-100)*3)+Inputs!$B$28+Inputs!$B$29)))</f>
        <v>184</v>
      </c>
      <c r="E1182">
        <f>INDEX(FactorTable!$B$2:$Y$301, MATCH(ROUND(MIN(300,MAX(1,D1182)),0), FactorTable!$A$2:$A$301,0), Skills!M12+1)</f>
        <v>1552</v>
      </c>
      <c r="F1182">
        <f>IF(Skills!N12=TRUE,(Skills!L12/10)*(E1182/1000),Skills!L12/10)+Skills!O12</f>
        <v>18.624000000000002</v>
      </c>
      <c r="G1182">
        <f>Calc!G12</f>
        <v>1</v>
      </c>
      <c r="H1182">
        <f>Calc!H12</f>
        <v>0.5</v>
      </c>
      <c r="I1182">
        <f>IF(Skills!X12&lt;&gt;"",1+(Skills!X12/10)*(Z1173/1000)/100,1)</f>
        <v>1</v>
      </c>
      <c r="O1182">
        <f>(1-Summary!$B$11)*S1182+Summary!$B$11*U1182</f>
        <v>0</v>
      </c>
      <c r="P1182">
        <f>IF(B1211=0,0,O1182/B1211)</f>
        <v>0</v>
      </c>
      <c r="Q1182">
        <f>IFERROR(1/(IF(Inputs!$B$38="pvp",15,MAX(0.1,Skills!E12-IF(TRUE=TRUE,Inputs!$B$32,0)))*(1-IF(AND(ArtifactsInput!$M$27,Inputs!$B$4="Chapter Hunt"),CHOOSE(ArtifactsInput!$N$27+1,20,24,28,32,36,40),0)/100)),0)</f>
        <v>10</v>
      </c>
      <c r="R1182">
        <v>0</v>
      </c>
      <c r="S1182">
        <v>0</v>
      </c>
      <c r="U1182">
        <v>0</v>
      </c>
    </row>
    <row r="1183" spans="1:26" x14ac:dyDescent="0.2">
      <c r="A1183" t="str">
        <f>Skills!A13</f>
        <v>METEOR_SHOWER_BURST</v>
      </c>
      <c r="B1183" t="str">
        <f>Skills!B13</f>
        <v>Meteor Shower (burst)</v>
      </c>
      <c r="C1183" t="b">
        <f>Inputs!$B$3&gt;=105</f>
        <v>1</v>
      </c>
      <c r="D1183">
        <f>IF(Skills!C13=1,60+Inputs!$B$25+Inputs!$B$29,IF(Skills!C13=2,90+Inputs!$B$26+Inputs!$B$29,IF(Skills!C13=3,120+Inputs!$B$27+Inputs!$B$29,MAX(0,(Inputs!$B$3-100)*3)+Inputs!$B$28+Inputs!$B$29)))</f>
        <v>185</v>
      </c>
      <c r="E1183">
        <f>INDEX(FactorTable!$B$2:$Y$301, MATCH(ROUND(MIN(300,MAX(1,D1183)),0), FactorTable!$A$2:$A$301,0), Skills!M13+1)</f>
        <v>1925</v>
      </c>
      <c r="F1183">
        <f>IF(Skills!N13=TRUE,(Skills!L13/10)*(E1183/1000),Skills!L13/10)+Skills!O13</f>
        <v>1155</v>
      </c>
      <c r="G1183">
        <f>Calc!G13</f>
        <v>9</v>
      </c>
      <c r="H1183">
        <f>Calc!H13</f>
        <v>1</v>
      </c>
      <c r="I1183">
        <f>IF(Skills!X13&lt;&gt;"",1+(Skills!X13/10)*(Z1173/1000)/100,1)</f>
        <v>1</v>
      </c>
      <c r="J1183">
        <f>((Inputs!$B$6*(1+Inputs!$B$7/100))+(((Inputs!$B$12*(1+Inputs!$B$13/100))-(Inputs!$B$12*(1+Inputs!$B$13/100)))+0.25*(Inputs!$B$14-Inputs!$B$14))*(1+Inputs!$B$7/100))*(F1183/100)</f>
        <v>4171103722.0660505</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22058955642143.082</v>
      </c>
      <c r="L1183">
        <f>K1183*(MIN(Inputs!$B$22+(F1192-Calc!F22),(Inputs!$B$23+(IF(ArtifactsInput!$M$15,CHOOSE(ArtifactsInput!$N$15+1,25,30,35,40,45,50)/100*(Inputs!$B$11-Inputs!$B$11),0))))/100+(Inputs!$B$23+(IF(ArtifactsInput!$M$15,CHOOSE(ArtifactsInput!$N$15+1,25,30,35,40,45,50)/100*(Inputs!$B$11-Inputs!$B$11),0)))/100)/2</f>
        <v>73346027510125.75</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346119903820283.38</v>
      </c>
      <c r="N1183">
        <f>L1183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346119903820283.38</v>
      </c>
      <c r="O1183">
        <f>(1-Summary!$B$11)*S1183+Summary!$B$11*U1183</f>
        <v>1887737955435825.5</v>
      </c>
      <c r="P1183">
        <f>IF(B1211=0,0,O1183/B1211)</f>
        <v>5.4208245204954368E-2</v>
      </c>
      <c r="Q1183">
        <f>IFERROR(1/(IF(Inputs!$B$38="pvp",15,MAX(0.1,Skills!E13-IF(TRUE=TRUE,Inputs!$B$32,0)))*(1-IF(AND(ArtifactsInput!$M$27,Inputs!$B$4="Chapter Hunt"),CHOOSE(ArtifactsInput!$N$27+1,20,24,28,32,36,40),0)/100)),0)</f>
        <v>3.0303030303030304E-2</v>
      </c>
      <c r="R1183">
        <f>IF(AND(Inputs!$B$38&lt;&gt;"pvp",Inputs!$B$43&gt;0),IF(MAX(0,Inputs!$B$43-B1208)&lt;=0,0,(INT(MAX(0,Inputs!$B$43-B1208)/(IF(Inputs!$B$38="pvp",15,MAX(0.1,Skills!E13-IF(TRUE=TRUE,Inputs!$B$32,0)))*(1-IF(AND(ArtifactsInput!$M$27,Inputs!$B$4="Chapter Hunt"),CHOOSE(ArtifactsInput!$N$27+1,20,24,28,32,36,40),0)/100)))+1)),0)</f>
        <v>2</v>
      </c>
      <c r="S1183">
        <f>IF(C1183,(H1183*N1183*IF(AND(Inputs!$B$38&lt;&gt;"pvp",Inputs!$B$43&gt;0),((Skills!G13*((R1183-1)*IF(Skills!H13&gt;0,Skills!I13/Skills!H13,1)+IF(Skills!H13&gt;0,MIN(Skills!I13,MAX(0,MAX(0,Inputs!$B$43-B1208)-((R1183-1)*(IF(Inputs!$B$38="pvp",15,MAX(0.1,Skills!E13-IF(TRUE=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493740042799634.25</v>
      </c>
      <c r="U1183">
        <f>IF(C1183,(H1183*N1183*IF(AND(Inputs!$B$38&lt;&gt;"pvp",Inputs!$B$43&gt;0),((Skills!G13*((R1183-1)*IF(Skills!H13&gt;0,Skills!I13/Skills!H13,1)+IF(Skills!H13&gt;0,MIN(Skills!I13,MAX(0,MAX(0,Inputs!$B$43-B1208)-((R1183-1)*(IF(Inputs!$B$38="pvp",15,MAX(0.1,Skills!E13-IF(TRUE=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3281735868072017</v>
      </c>
    </row>
    <row r="1184" spans="1:26" x14ac:dyDescent="0.2">
      <c r="A1184" t="str">
        <f>Skills!A14</f>
        <v>METEOR_PROC</v>
      </c>
      <c r="B1184" t="str">
        <f>Skills!B14</f>
        <v>Meteor Proc (30% on-hit, 1s ICD)</v>
      </c>
      <c r="C1184" t="b">
        <f>Inputs!$B$3&gt;=113</f>
        <v>1</v>
      </c>
      <c r="D1184">
        <f>IF(Skills!C14=1,60+Inputs!$B$25+Inputs!$B$29,IF(Skills!C14=2,90+Inputs!$B$26+Inputs!$B$29,IF(Skills!C14=3,120+Inputs!$B$27+Inputs!$B$29,MAX(0,(Inputs!$B$3-100)*3)+Inputs!$B$28+Inputs!$B$29)))</f>
        <v>185</v>
      </c>
      <c r="E1184">
        <f>INDEX(FactorTable!$B$2:$Y$301, MATCH(ROUND(MIN(300,MAX(1,D1184)),0), FactorTable!$A$2:$A$301,0), Skills!M14+1)</f>
        <v>1740</v>
      </c>
      <c r="F1184">
        <f>IF(Skills!N14=TRUE,(Skills!L14/10)*(E1184/1000),Skills!L14/10)+Skills!O14</f>
        <v>1653</v>
      </c>
      <c r="G1184">
        <f>Calc!G14</f>
        <v>0</v>
      </c>
      <c r="H1184">
        <f>Calc!H14</f>
        <v>0.30000000000000004</v>
      </c>
      <c r="I1184">
        <f>IF(Skills!X14&lt;&gt;"",1+(Skills!X14/10)*(Z1173/1000)/100,1)</f>
        <v>1</v>
      </c>
      <c r="J1184">
        <f>((Inputs!$B$6*(1+Inputs!$B$7/100))+(((Inputs!$B$12*(1+Inputs!$B$13/100))-(Inputs!$B$12*(1+Inputs!$B$13/100)))+0.25*(Inputs!$B$14-Inputs!$B$14))*(1+Inputs!$B$7/100))*(F1184/100)</f>
        <v>5969553638.5932312</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31570089763171</v>
      </c>
      <c r="L1184">
        <f>K1184*(MIN(Inputs!$B$22+(F1192-Calc!F22),(Inputs!$B$23+(IF(ArtifactsInput!$M$15,CHOOSE(ArtifactsInput!$N$15+1,25,30,35,40,45,50)/100*(Inputs!$B$11-Inputs!$B$11),0))))/100+(Inputs!$B$23+(IF(ArtifactsInput!$M$15,CHOOSE(ArtifactsInput!$N$15+1,25,30,35,40,45,50)/100*(Inputs!$B$11-Inputs!$B$11),0)))/100)/2</f>
        <v>104970548462543.58</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495356018194743.06</v>
      </c>
      <c r="N1184">
        <f>L1184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495356018194743.06</v>
      </c>
      <c r="O1184">
        <f>(1-Summary!$B$11)*S1184+Summary!$B$11*U1184</f>
        <v>485473010937186.5</v>
      </c>
      <c r="P1184">
        <f>IF(B1211=0,0,O1184/B1211)</f>
        <v>1.3940833229257569E-2</v>
      </c>
      <c r="Q1184">
        <f>IFERROR(1/(IF(Inputs!$B$38="pvp",15,MAX(0.1,Skills!E14-IF(TRUE=TRUE,Inputs!$B$32,0)))*(1-IF(AND(ArtifactsInput!$M$27,Inputs!$B$4="Chapter Hunt"),CHOOSE(ArtifactsInput!$N$27+1,20,24,28,32,36,40),0)/100)),0)</f>
        <v>10</v>
      </c>
      <c r="R1184">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498041891479249.62</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472904130395123.44</v>
      </c>
    </row>
    <row r="1185" spans="1:21" x14ac:dyDescent="0.2">
      <c r="A1185" t="str">
        <f>Skills!A15</f>
        <v>FLAME_HAZE_BURST</v>
      </c>
      <c r="B1185" t="str">
        <f>Skills!B15</f>
        <v>Flame Haze (burst)</v>
      </c>
      <c r="C1185" t="b">
        <f>Inputs!$B$3&gt;=107</f>
        <v>1</v>
      </c>
      <c r="D1185">
        <f>IF(Skills!C15=1,60+Inputs!$B$25+Inputs!$B$29,IF(Skills!C15=2,90+Inputs!$B$26+Inputs!$B$29,IF(Skills!C15=3,120+Inputs!$B$27+Inputs!$B$29,MAX(0,(Inputs!$B$3-100)*3)+Inputs!$B$28+Inputs!$B$29)))</f>
        <v>185</v>
      </c>
      <c r="E1185">
        <f>INDEX(FactorTable!$B$2:$Y$301, MATCH(ROUND(MIN(300,MAX(1,D1185)),0), FactorTable!$A$2:$A$301,0), Skills!M15+1)</f>
        <v>1925</v>
      </c>
      <c r="F1185">
        <f>IF(Skills!N15=TRUE,(Skills!L15/10)*(E1185/1000),Skills!L15/10)+Skills!O15</f>
        <v>2310</v>
      </c>
      <c r="G1185">
        <f>Calc!G15</f>
        <v>3</v>
      </c>
      <c r="H1185">
        <f>Calc!H15</f>
        <v>1</v>
      </c>
      <c r="I1185">
        <f>IF(Skills!X15&lt;&gt;"",1+(Skills!X15/10)*(Z1173/1000)/100,1)</f>
        <v>1</v>
      </c>
      <c r="J1185">
        <f>((Inputs!$B$6*(1+Inputs!$B$7/100))+(((Inputs!$B$12*(1+Inputs!$B$13/100))-(Inputs!$B$12*(1+Inputs!$B$13/100)))+0.25*(Inputs!$B$14-Inputs!$B$14))*(1+Inputs!$B$7/100))*(F1185/100)</f>
        <v>8342207444.1321011</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44117911284286.164</v>
      </c>
      <c r="L1185">
        <f>K1185*(MIN(Inputs!$B$22+(F1192-Calc!F22),(Inputs!$B$23+(IF(ArtifactsInput!$M$15,CHOOSE(ArtifactsInput!$N$15+1,25,30,35,40,45,50)/100*(Inputs!$B$11-Inputs!$B$11),0))))/100+(Inputs!$B$23+(IF(ArtifactsInput!$M$15,CHOOSE(ArtifactsInput!$N$15+1,25,30,35,40,45,50)/100*(Inputs!$B$11-Inputs!$B$11),0)))/100)/2</f>
        <v>146692055020251.5</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692239807640566.75</v>
      </c>
      <c r="N1185">
        <f>L1185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692239807640566.75</v>
      </c>
      <c r="O1185">
        <f>(1-Summary!$B$11)*S1185+Summary!$B$11*U1185</f>
        <v>1727311380015124</v>
      </c>
      <c r="P1185">
        <f>IF(B1211=0,0,O1185/B1211)</f>
        <v>4.9601438888031674E-2</v>
      </c>
      <c r="Q1185">
        <f>IFERROR(1/(IF(Inputs!$B$38="pvp",15,MAX(0.1,Skills!E15-IF(TRUE=TRUE,Inputs!$B$32,0)))*(1-IF(AND(ArtifactsInput!$M$27,Inputs!$B$4="Chapter Hunt"),CHOOSE(ArtifactsInput!$N$27+1,20,24,28,32,36,40),0)/100)),0)</f>
        <v>0.04</v>
      </c>
      <c r="R1185">
        <f>IF(AND(Inputs!$B$38&lt;&gt;"pvp",Inputs!$B$43&gt;0),IF(MAX(0,Inputs!$B$43-B1208)&lt;=0,0,(INT(MAX(0,Inputs!$B$43-B1208)/(IF(Inputs!$B$38="pvp",15,MAX(0.1,Skills!E15-IF(TRUE=TRUE,Inputs!$B$32,0)))*(1-IF(AND(ArtifactsInput!$M$27,Inputs!$B$4="Chapter Hunt"),CHOOSE(ArtifactsInput!$N$27+1,20,24,28,32,36,40),0)/100)))+1)),0)</f>
        <v>2</v>
      </c>
      <c r="S1185">
        <f>IF(C1185,(H1185*N1185*IF(AND(Inputs!$B$38&lt;&gt;"pvp",Inputs!$B$43&gt;0),((Skills!G15*((R1185-1)*IF(Skills!H15&gt;0,Skills!I15/Skills!H15,1)+IF(Skills!H15&gt;0,MIN(Skills!I15,MAX(0,MAX(0,Inputs!$B$43-B1208)-((R1185-1)*(IF(Inputs!$B$38="pvp",15,MAX(0.1,Skills!E15-IF(TRUE=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329160028533089.5</v>
      </c>
      <c r="U1185">
        <f>IF(C1185,(H1185*N1185*IF(AND(Inputs!$B$38&lt;&gt;"pvp",Inputs!$B$43&gt;0),((Skills!G15*((R1185-1)*IF(Skills!H15&gt;0,Skills!I15/Skills!H15,1)+IF(Skills!H15&gt;0,MIN(Skills!I15,MAX(0,MAX(0,Inputs!$B$43-B1208)-((R1185-1)*(IF(Inputs!$B$38="pvp",15,MAX(0.1,Skills!E15-IF(TRUE=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3125462731497158.5</v>
      </c>
    </row>
    <row r="1186" spans="1:21" x14ac:dyDescent="0.2">
      <c r="A1186" t="str">
        <f>Skills!A16</f>
        <v>FLAME_HAZE_DOT</v>
      </c>
      <c r="B1186" t="str">
        <f>Skills!B16</f>
        <v>Flame Haze (burn DoT)</v>
      </c>
      <c r="C1186" t="b">
        <f>Inputs!$B$3&gt;=107</f>
        <v>1</v>
      </c>
      <c r="D1186">
        <f>IF(Skills!C16=1,60+Inputs!$B$25+Inputs!$B$29,IF(Skills!C16=2,90+Inputs!$B$26+Inputs!$B$29,IF(Skills!C16=3,120+Inputs!$B$27+Inputs!$B$29,MAX(0,(Inputs!$B$3-100)*3)+Inputs!$B$28+Inputs!$B$29)))</f>
        <v>185</v>
      </c>
      <c r="E1186">
        <f>INDEX(FactorTable!$B$2:$Y$301, MATCH(ROUND(MIN(300,MAX(1,D1186)),0), FactorTable!$A$2:$A$301,0), Skills!M16+1)</f>
        <v>1925</v>
      </c>
      <c r="F1186">
        <f>IF(Skills!N16=TRUE,(Skills!L16/10)*(E1186/1000),Skills!L16/10)+Skills!O16</f>
        <v>288.75</v>
      </c>
      <c r="G1186">
        <f>Calc!G16</f>
        <v>30</v>
      </c>
      <c r="H1186">
        <f>Calc!H16</f>
        <v>1</v>
      </c>
      <c r="I1186">
        <f>IF(Skills!X16&lt;&gt;"",1+(Skills!X16/10)*(Z1173/1000)/100,1)</f>
        <v>1</v>
      </c>
      <c r="J1186">
        <f>((Inputs!$B$6*(1+Inputs!$B$7/100))+(((Inputs!$B$12*(1+Inputs!$B$13/100))-(Inputs!$B$12*(1+Inputs!$B$13/100)))+0.25*(Inputs!$B$14-Inputs!$B$14))*(1+Inputs!$B$7/100))*(F1186/100)</f>
        <v>1042775930.5165126</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5514738910535.7705</v>
      </c>
      <c r="L1186">
        <f>K1186*(MIN(Inputs!$B$22+(F1192-Calc!F22),(Inputs!$B$23+(IF(ArtifactsInput!$M$15,CHOOSE(ArtifactsInput!$N$15+1,25,30,35,40,45,50)/100*(Inputs!$B$11-Inputs!$B$11),0))))/100+(Inputs!$B$23+(IF(ArtifactsInput!$M$15,CHOOSE(ArtifactsInput!$N$15+1,25,30,35,40,45,50)/100*(Inputs!$B$11-Inputs!$B$11),0)))/100)/2</f>
        <v>18336506877531.438</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86529975955070.844</v>
      </c>
      <c r="N1186">
        <f>L1186*(1-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86529975955070.844</v>
      </c>
      <c r="O1186">
        <f>(1-Summary!$B$11)*S1186+Summary!$B$11*U1186</f>
        <v>1989625046576635.5</v>
      </c>
      <c r="P1186">
        <f>IF(B1211=0,0,O1186/B1211)</f>
        <v>5.7134032867313167E-2</v>
      </c>
      <c r="Q1186">
        <f>IFERROR(1/(IF(Inputs!$B$38="pvp",15,MAX(0.1,Skills!E16-IF(TRUE=TRUE,Inputs!$B$32,0)))*(1-IF(AND(ArtifactsInput!$M$27,Inputs!$B$4="Chapter Hunt"),CHOOSE(ArtifactsInput!$N$27+1,20,24,28,32,36,40),0)/100)),0)</f>
        <v>0.04</v>
      </c>
      <c r="R1186">
        <f>IF(AND(Inputs!$B$38&lt;&gt;"pvp",Inputs!$B$43&gt;0),IF(MAX(0,Inputs!$B$43-B1208)&lt;=0,0,(INT(MAX(0,Inputs!$B$43-B1208)/(IF(Inputs!$B$38="pvp",15,MAX(0.1,Skills!E16-IF(TRUE=TRUE,Inputs!$B$32,0)))*(1-IF(AND(ArtifactsInput!$M$27,Inputs!$B$4="Chapter Hunt"),CHOOSE(ArtifactsInput!$N$27+1,20,24,28,32,36,40),0)/100)))+1)),0)</f>
        <v>2</v>
      </c>
      <c r="S1186">
        <f>IF(C1186,(H1186*N1186*IF(AND(Inputs!$B$38&lt;&gt;"pvp",Inputs!$B$43&gt;0),((Skills!G16*((R1186-1)*IF(Skills!H16&gt;0,Skills!I16/Skills!H16,1)+IF(Skills!H16&gt;0,MIN(Skills!I16,MAX(0,MAX(0,Inputs!$B$43-B1208)-((R1186-1)*(IF(Inputs!$B$38="pvp",15,MAX(0.1,Skills!E16-IF(TRUE=TRUE,Inputs!$B$32,0)))*(1-IF(AND(ArtifactsInput!$M$27,Inputs!$B$4="Chapter Hunt"),CHOOSE(ArtifactsInput!$N$27+1,20,24,28,32,36,40),0)/100)))))/Skills!H16,1)))/Inputs!$B$43),G1186*Q1186)*(1+IF(Inputs!$B$3&gt;=126,0.05*(B1206+Q1183+(H1184*B1207)/(1+Skills!H14*H1184*B1207)+Q1194),0)*(1/Q1185)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379147063279106.38</v>
      </c>
      <c r="U1186">
        <f>IF(C1186,(H1186*N1186*IF(AND(Inputs!$B$38&lt;&gt;"pvp",Inputs!$B$43&gt;0),((Skills!G16*((R1186-1)*IF(Skills!H16&gt;0,Skills!I16/Skills!H16,1)+IF(Skills!H16&gt;0,MIN(Skills!I16,MAX(0,MAX(0,Inputs!$B$43-B1208)-((R1186-1)*(IF(Inputs!$B$38="pvp",15,MAX(0.1,Skills!E16-IF(TRUE=TRUE,Inputs!$B$32,0)))*(1-IF(AND(ArtifactsInput!$M$27,Inputs!$B$4="Chapter Hunt"),CHOOSE(ArtifactsInput!$N$27+1,20,24,28,32,36,40),0)/100)))))/Skills!H16,1)))/Inputs!$B$43),G1186*Q1186)*(1+IF(Inputs!$B$3&gt;=126,0.05*(B1206+Q1183+(H1184*B1207)/(1+Skills!H14*H1184*B1207)+Q1194),0)*(1/Q1185)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3600103029874164.5</v>
      </c>
    </row>
    <row r="1187" spans="1:21" x14ac:dyDescent="0.2">
      <c r="A1187" t="str">
        <f>Skills!A17</f>
        <v>MAGIC_GUARD</v>
      </c>
      <c r="B1187" t="str">
        <f>Skills!B17</f>
        <v>Magic Guard</v>
      </c>
      <c r="C1187" t="b">
        <f>TRUE</f>
        <v>1</v>
      </c>
      <c r="D1187">
        <f>IF(Skills!C17=1,60+Inputs!$B$25+Inputs!$B$29,IF(Skills!C17=2,90+Inputs!$B$26+Inputs!$B$29,IF(Skills!C17=3,120+Inputs!$B$27+Inputs!$B$29,MAX(0,(Inputs!$B$3-100)*3)+Inputs!$B$28+Inputs!$B$29)))</f>
        <v>127</v>
      </c>
      <c r="E1187">
        <f>INDEX(FactorTable!$B$2:$Y$301, MATCH(ROUND(MIN(300,MAX(1,D1187)),0), FactorTable!$A$2:$A$301,0), Skills!M17+1)</f>
        <v>1508</v>
      </c>
      <c r="F1187">
        <f>IF(Skills!N17=TRUE,(Skills!L17/10)*(E1187/1000),Skills!L17/10)+Skills!O17</f>
        <v>18.096</v>
      </c>
      <c r="G1187">
        <f>Calc!G17</f>
        <v>1</v>
      </c>
      <c r="H1187">
        <f>Calc!H17</f>
        <v>1</v>
      </c>
      <c r="I1187">
        <f>IF(Skills!X17&lt;&gt;"",1+(Skills!X17/10)*(Z1173/1000)/100,1)</f>
        <v>1</v>
      </c>
      <c r="O1187">
        <f>(1-Summary!$B$11)*S1187+Summary!$B$11*U1187</f>
        <v>0</v>
      </c>
      <c r="P1187">
        <f>IF(B1211=0,0,O1187/B1211)</f>
        <v>0</v>
      </c>
      <c r="Q1187">
        <f>IFERROR(1/(IF(Inputs!$B$38="pvp",15,MAX(0.1,Skills!E17-IF(TRUE=TRUE,Inputs!$B$32,0)))*(1-IF(AND(ArtifactsInput!$M$27,Inputs!$B$4="Chapter Hunt"),CHOOSE(ArtifactsInput!$N$27+1,20,24,28,32,36,40),0)/100)),0)</f>
        <v>4.7619047619047616E-2</v>
      </c>
      <c r="R1187">
        <f>IF(AND(Inputs!$B$38&lt;&gt;"pvp",Inputs!$B$43&gt;0),IF(Inputs!$B$43&lt;=0,0,(INT(Inputs!$B$43/(IF(Inputs!$B$38="pvp",15,MAX(0.1,Skills!E17-IF(TRUE=TRUE,Inputs!$B$32,0)))*(1-IF(AND(ArtifactsInput!$M$27,Inputs!$B$4="Chapter Hunt"),CHOOSE(ArtifactsInput!$N$27+1,20,24,28,32,36,40),0)/100)))+1)),0)</f>
        <v>2</v>
      </c>
      <c r="S1187">
        <v>0</v>
      </c>
      <c r="U1187">
        <v>0</v>
      </c>
    </row>
    <row r="1188" spans="1:21" x14ac:dyDescent="0.2">
      <c r="A1188" t="str">
        <f>Skills!A18</f>
        <v>NIMBLE_FEET</v>
      </c>
      <c r="B1188" t="str">
        <f>Skills!B18</f>
        <v>Nimble Feet</v>
      </c>
      <c r="C1188" t="b">
        <f>TRUE</f>
        <v>1</v>
      </c>
      <c r="D1188">
        <f>IF(Skills!C18=1,60+Inputs!$B$25+Inputs!$B$29,IF(Skills!C18=2,90+Inputs!$B$26+Inputs!$B$29,IF(Skills!C18=3,120+Inputs!$B$27+Inputs!$B$29,MAX(0,(Inputs!$B$3-100)*3)+Inputs!$B$28+Inputs!$B$29)))</f>
        <v>127</v>
      </c>
      <c r="E1188">
        <f>INDEX(FactorTable!$B$2:$Y$301, MATCH(ROUND(MIN(300,MAX(1,D1188)),0), FactorTable!$A$2:$A$301,0), Skills!M18+1)</f>
        <v>0</v>
      </c>
      <c r="F1188">
        <f>IF(Skills!N18=TRUE,(Skills!L18/10)*(E1188/1000),Skills!L18/10)+Skills!O18</f>
        <v>15</v>
      </c>
      <c r="G1188">
        <f>Calc!G18</f>
        <v>1</v>
      </c>
      <c r="H1188">
        <f>Calc!H18</f>
        <v>1</v>
      </c>
      <c r="I1188">
        <f>IF(Skills!X18&lt;&gt;"",1+(Skills!X18/10)*(Z1173/1000)/100,1)</f>
        <v>1</v>
      </c>
      <c r="O1188">
        <f>(1-Summary!$B$11)*S1188+Summary!$B$11*U1188</f>
        <v>0</v>
      </c>
      <c r="P1188">
        <f>IF(B1211=0,0,O1188/B1211)</f>
        <v>0</v>
      </c>
      <c r="Q1188">
        <f>IFERROR(1/(IF(Inputs!$B$38="pvp",15,MAX(0.1,Skills!E18-IF(TRUE=TRUE,Inputs!$B$32,0)))*(1-IF(AND(ArtifactsInput!$M$27,Inputs!$B$4="Chapter Hunt"),CHOOSE(ArtifactsInput!$N$27+1,20,24,28,32,36,40),0)/100)),0)</f>
        <v>1.6666666666666666E-2</v>
      </c>
      <c r="R1188">
        <f>IF(AND(Inputs!$B$38&lt;&gt;"pvp",Inputs!$B$43&gt;0),IF(Inputs!$B$43&lt;=0,0,(INT(Inputs!$B$43/(IF(Inputs!$B$38="pvp",15,MAX(0.1,Skills!E18-IF(TRUE=TRUE,Inputs!$B$32,0)))*(1-IF(AND(ArtifactsInput!$M$27,Inputs!$B$4="Chapter Hunt"),CHOOSE(ArtifactsInput!$N$27+1,20,24,28,32,36,40),0)/100)))+1)),0)</f>
        <v>1</v>
      </c>
      <c r="S1188">
        <v>0</v>
      </c>
      <c r="U1188">
        <v>0</v>
      </c>
    </row>
    <row r="1189" spans="1:21" x14ac:dyDescent="0.2">
      <c r="A1189" t="str">
        <f>Skills!A19</f>
        <v>INFINITY</v>
      </c>
      <c r="B1189" t="str">
        <f>Skills!B19</f>
        <v>Infinity</v>
      </c>
      <c r="C1189" t="b">
        <f>Inputs!$B$3&gt;=110</f>
        <v>1</v>
      </c>
      <c r="D1189">
        <f>IF(Skills!C19=1,60+Inputs!$B$25+Inputs!$B$29,IF(Skills!C19=2,90+Inputs!$B$26+Inputs!$B$29,IF(Skills!C19=3,120+Inputs!$B$27+Inputs!$B$29,MAX(0,(Inputs!$B$3-100)*3)+Inputs!$B$28+Inputs!$B$29)))</f>
        <v>185</v>
      </c>
      <c r="E1189">
        <f>INDEX(FactorTable!$B$2:$Y$301, MATCH(ROUND(MIN(300,MAX(1,D1189)),0), FactorTable!$A$2:$A$301,0), Skills!M19+1)</f>
        <v>1740</v>
      </c>
      <c r="F1189">
        <f>IF(Skills!N19=TRUE,(Skills!L19/10)*(E1189/1000),Skills!L19/10)+Skills!O19</f>
        <v>37.700579999999995</v>
      </c>
      <c r="G1189">
        <f>Calc!G19</f>
        <v>1</v>
      </c>
      <c r="H1189">
        <f>Calc!H19</f>
        <v>1</v>
      </c>
      <c r="I1189">
        <f>IF(Skills!X19&lt;&gt;"",1+(Skills!X19/10)*(Z1173/1000)/100,1)</f>
        <v>1</v>
      </c>
      <c r="O1189">
        <f>(1-Summary!$B$11)*S1189+Summary!$B$11*U1189</f>
        <v>0</v>
      </c>
      <c r="P1189">
        <f>IF(B1211=0,0,O1189/B1211)</f>
        <v>0</v>
      </c>
      <c r="Q1189">
        <f>IFERROR(1/(IF(Inputs!$B$38="pvp",15,MAX(0.1,Skills!E19-IF(TRUE=TRUE,Inputs!$B$32,0)))*(1-IF(AND(ArtifactsInput!$M$27,Inputs!$B$4="Chapter Hunt"),CHOOSE(ArtifactsInput!$N$27+1,20,24,28,32,36,40),0)/100)),0)</f>
        <v>3.3333333333333333E-2</v>
      </c>
      <c r="R1189">
        <f>IF(AND(Inputs!$B$38&lt;&gt;"pvp",Inputs!$B$43&gt;0),IF(Inputs!$B$43&lt;=0,0,(INT(Inputs!$B$43/(IF(Inputs!$B$38="pvp",15,MAX(0.1,Skills!E19-IF(TRUE=TRUE,Inputs!$B$32,0)))*(1-IF(AND(ArtifactsInput!$M$27,Inputs!$B$4="Chapter Hunt"),CHOOSE(ArtifactsInput!$N$27+1,20,24,28,32,36,40),0)/100)))+1)),0)</f>
        <v>2</v>
      </c>
      <c r="S1189">
        <v>0</v>
      </c>
      <c r="U1189">
        <v>0</v>
      </c>
    </row>
    <row r="1190" spans="1:21" x14ac:dyDescent="0.2">
      <c r="A1190" t="str">
        <f>Skills!A20</f>
        <v>MAGIC_CRITICAL_RATE</v>
      </c>
      <c r="B1190" t="str">
        <f>Skills!B20</f>
        <v>Magic Critical (Crit Rate)</v>
      </c>
      <c r="C1190" t="b">
        <f>TRUE</f>
        <v>1</v>
      </c>
      <c r="D1190">
        <f>IF(Skills!C20=1,60+Inputs!$B$25+Inputs!$B$29,IF(Skills!C20=2,90+Inputs!$B$26+Inputs!$B$29,IF(Skills!C20=3,120+Inputs!$B$27+Inputs!$B$29,MAX(0,(Inputs!$B$3-100)*3)+Inputs!$B$28+Inputs!$B$29)))</f>
        <v>184</v>
      </c>
      <c r="E1190">
        <f>INDEX(FactorTable!$B$2:$Y$301, MATCH(ROUND(MIN(300,MAX(1,D1190)),0), FactorTable!$A$2:$A$301,0), Skills!M20+1)</f>
        <v>1552</v>
      </c>
      <c r="F1190">
        <f>IF(Skills!N20=TRUE,(Skills!L20/10)*(E1190/1000),Skills!L20/10)+Skills!O20</f>
        <v>12.416</v>
      </c>
      <c r="G1190">
        <f>Calc!G20</f>
        <v>1</v>
      </c>
      <c r="H1190">
        <f>Calc!H20</f>
        <v>1</v>
      </c>
      <c r="I1190">
        <f>IF(Skills!X20&lt;&gt;"",1+(Skills!X20/10)*(Z1173/1000)/100,1)</f>
        <v>1</v>
      </c>
      <c r="O1190">
        <f>(1-Summary!$B$11)*S1190+Summary!$B$11*U1190</f>
        <v>0</v>
      </c>
      <c r="P1190">
        <f>IF(B1211=0,0,O1190/B1211)</f>
        <v>0</v>
      </c>
      <c r="Q1190">
        <f>IFERROR(1/(IF(Inputs!$B$38="pvp",15,MAX(0.1,Skills!E20-IF(TRUE=TRUE,Inputs!$B$32,0)))*(1-IF(AND(ArtifactsInput!$M$27,Inputs!$B$4="Chapter Hunt"),CHOOSE(ArtifactsInput!$N$27+1,20,24,28,32,36,40),0)/100)),0)</f>
        <v>10</v>
      </c>
      <c r="R1190">
        <v>0</v>
      </c>
      <c r="S1190">
        <v>0</v>
      </c>
      <c r="U1190">
        <v>0</v>
      </c>
    </row>
    <row r="1191" spans="1:21" x14ac:dyDescent="0.2">
      <c r="A1191" t="str">
        <f>Skills!A21</f>
        <v>MAGIC_CRITICAL_DAMAGE</v>
      </c>
      <c r="B1191" t="str">
        <f>Skills!B21</f>
        <v>Magic Critical (Crit Damage)</v>
      </c>
      <c r="C1191" t="b">
        <f>TRUE</f>
        <v>1</v>
      </c>
      <c r="D1191">
        <f>IF(Skills!C21=1,60+Inputs!$B$25+Inputs!$B$29,IF(Skills!C21=2,90+Inputs!$B$26+Inputs!$B$29,IF(Skills!C21=3,120+Inputs!$B$27+Inputs!$B$29,MAX(0,(Inputs!$B$3-100)*3)+Inputs!$B$28+Inputs!$B$29)))</f>
        <v>184</v>
      </c>
      <c r="E1191">
        <f>INDEX(FactorTable!$B$2:$Y$301, MATCH(ROUND(MIN(300,MAX(1,D1191)),0), FactorTable!$A$2:$A$301,0), Skills!M21+1)</f>
        <v>1552</v>
      </c>
      <c r="F1191">
        <f>IF(Skills!N21=TRUE,(Skills!L21/10)*(E1191/1000),Skills!L21/10)+Skills!O21</f>
        <v>18.624000000000002</v>
      </c>
      <c r="G1191">
        <f>Calc!G21</f>
        <v>1</v>
      </c>
      <c r="H1191">
        <f>Calc!H21</f>
        <v>1</v>
      </c>
      <c r="I1191">
        <f>IF(Skills!X21&lt;&gt;"",1+(Skills!X21/10)*(Z1173/1000)/100,1)</f>
        <v>1</v>
      </c>
      <c r="O1191">
        <f>(1-Summary!$B$11)*S1191+Summary!$B$11*U1191</f>
        <v>0</v>
      </c>
      <c r="P1191">
        <f>IF(B1211=0,0,O1191/B1211)</f>
        <v>0</v>
      </c>
      <c r="Q1191">
        <f>IFERROR(1/(IF(Inputs!$B$38="pvp",15,MAX(0.1,Skills!E21-IF(TRUE=TRUE,Inputs!$B$32,0)))*(1-IF(AND(ArtifactsInput!$M$27,Inputs!$B$4="Chapter Hunt"),CHOOSE(ArtifactsInput!$N$27+1,20,24,28,32,36,40),0)/100)),0)</f>
        <v>10</v>
      </c>
      <c r="R1191">
        <v>0</v>
      </c>
      <c r="S1191">
        <v>0</v>
      </c>
      <c r="U1191">
        <v>0</v>
      </c>
    </row>
    <row r="1192" spans="1:21" x14ac:dyDescent="0.2">
      <c r="A1192" t="str">
        <f>Skills!A22</f>
        <v>SPELL_MASTERY</v>
      </c>
      <c r="B1192" t="str">
        <f>Skills!B22</f>
        <v>Spell Mastery</v>
      </c>
      <c r="C1192" t="b">
        <f>TRUE</f>
        <v>1</v>
      </c>
      <c r="D1192">
        <f>IF(Skills!C22=1,60+Inputs!$B$25+Inputs!$B$29,IF(Skills!C22=2,90+Inputs!$B$26+Inputs!$B$29,IF(Skills!C22=3,120+Inputs!$B$27+Inputs!$B$29,MAX(0,(Inputs!$B$3-100)*3)+Inputs!$B$28+Inputs!$B$29)))</f>
        <v>168</v>
      </c>
      <c r="E1192">
        <f>INDEX(FactorTable!$B$2:$Y$301, MATCH(ROUND(MIN(300,MAX(1,D1192)),0), FactorTable!$A$2:$A$301,0), Skills!M22+1)</f>
        <v>1504</v>
      </c>
      <c r="F1192">
        <f>IF(Skills!N22=TRUE,(Skills!L22/10)*(E1192/1000),Skills!L22/10)+Skills!O22</f>
        <v>22.56</v>
      </c>
      <c r="G1192">
        <f>Calc!G22</f>
        <v>1</v>
      </c>
      <c r="H1192">
        <f>Calc!H22</f>
        <v>1</v>
      </c>
      <c r="I1192">
        <f>IF(Skills!X22&lt;&gt;"",1+(Skills!X22/10)*(Z1173/1000)/100,1)</f>
        <v>1</v>
      </c>
      <c r="O1192">
        <f>(1-Summary!$B$11)*S1192+Summary!$B$11*U1192</f>
        <v>0</v>
      </c>
      <c r="P1192">
        <f>IF(B1211=0,0,O1192/B1211)</f>
        <v>0</v>
      </c>
      <c r="Q1192">
        <f>IFERROR(1/(IF(Inputs!$B$38="pvp",15,MAX(0.1,Skills!E22-IF(TRUE=TRUE,Inputs!$B$32,0)))*(1-IF(AND(ArtifactsInput!$M$27,Inputs!$B$4="Chapter Hunt"),CHOOSE(ArtifactsInput!$N$27+1,20,24,28,32,36,40),0)/100)),0)</f>
        <v>10</v>
      </c>
      <c r="R1192">
        <v>0</v>
      </c>
      <c r="S1192">
        <v>0</v>
      </c>
      <c r="U1192">
        <v>0</v>
      </c>
    </row>
    <row r="1193" spans="1:21" x14ac:dyDescent="0.2">
      <c r="A1193" t="str">
        <f>Skills!A23</f>
        <v>ELEMENT_AMPLIFICATION</v>
      </c>
      <c r="B1193" t="str">
        <f>Skills!B23</f>
        <v>Element Amplification</v>
      </c>
      <c r="C1193" t="b">
        <f>TRUE</f>
        <v>1</v>
      </c>
      <c r="D1193">
        <f>IF(Skills!C23=1,60+Inputs!$B$25+Inputs!$B$29,IF(Skills!C23=2,90+Inputs!$B$26+Inputs!$B$29,IF(Skills!C23=3,120+Inputs!$B$27+Inputs!$B$29,MAX(0,(Inputs!$B$3-100)*3)+Inputs!$B$28+Inputs!$B$29)))</f>
        <v>185</v>
      </c>
      <c r="E1193">
        <f>INDEX(FactorTable!$B$2:$Y$301, MATCH(ROUND(MIN(300,MAX(1,D1193)),0), FactorTable!$A$2:$A$301,0), Skills!M23+1)</f>
        <v>1555</v>
      </c>
      <c r="F1193">
        <f>IF(Skills!N23=TRUE,(Skills!L23/10)*(E1193/1000),Skills!L23/10)+Skills!O23</f>
        <v>23.324999999999999</v>
      </c>
      <c r="G1193">
        <f>Calc!G23</f>
        <v>1</v>
      </c>
      <c r="H1193">
        <f>Calc!H23</f>
        <v>1</v>
      </c>
      <c r="I1193">
        <f>IF(Skills!X23&lt;&gt;"",1+(Skills!X23/10)*(Z1173/1000)/100,1)</f>
        <v>1</v>
      </c>
      <c r="O1193">
        <f>(1-Summary!$B$11)*S1193+Summary!$B$11*U1193</f>
        <v>0</v>
      </c>
      <c r="P1193">
        <f>IF(B1211=0,0,O1193/B1211)</f>
        <v>0</v>
      </c>
      <c r="Q1193">
        <f>IFERROR(1/(IF(Inputs!$B$38="pvp",15,MAX(0.1,Skills!E23-IF(TRUE=TRUE,Inputs!$B$32,0)))*(1-IF(AND(ArtifactsInput!$M$27,Inputs!$B$4="Chapter Hunt"),CHOOSE(ArtifactsInput!$N$27+1,20,24,28,32,36,40),0)/100)),0)</f>
        <v>10</v>
      </c>
      <c r="R1193">
        <v>0</v>
      </c>
      <c r="S1193">
        <v>0</v>
      </c>
      <c r="U1193">
        <v>0</v>
      </c>
    </row>
    <row r="1194" spans="1:21" x14ac:dyDescent="0.2">
      <c r="A1194" t="str">
        <f>Skills!A24</f>
        <v>IFRIT</v>
      </c>
      <c r="B1194" t="str">
        <f>Skills!B24</f>
        <v>Ifrit</v>
      </c>
      <c r="C1194" t="b">
        <f>Inputs!$B$3&gt;=115</f>
        <v>1</v>
      </c>
      <c r="D1194">
        <f>IF(Skills!C24=1,60+Inputs!$B$25+Inputs!$B$29,IF(Skills!C24=2,90+Inputs!$B$26+Inputs!$B$29,IF(Skills!C24=3,120+Inputs!$B$27+Inputs!$B$29,MAX(0,(Inputs!$B$3-100)*3)+Inputs!$B$28+Inputs!$B$29)))</f>
        <v>185</v>
      </c>
      <c r="E1194">
        <f>INDEX(FactorTable!$B$2:$Y$301, MATCH(ROUND(MIN(300,MAX(1,D1194)),0), FactorTable!$A$2:$A$301,0), Skills!M24+1)</f>
        <v>1925</v>
      </c>
      <c r="F1194">
        <f>IF(Skills!N24=TRUE,(Skills!L24/10)*(E1194/1000),Skills!L24/10)+Skills!O24</f>
        <v>6737.5</v>
      </c>
      <c r="G1194">
        <f>Calc!G24</f>
        <v>7.5</v>
      </c>
      <c r="H1194">
        <f>Calc!H24</f>
        <v>1</v>
      </c>
      <c r="I1194">
        <f>IF(Skills!X24&lt;&gt;"",1+(Skills!X24/10)*(Z1173/1000)/100,1)</f>
        <v>1</v>
      </c>
      <c r="J1194">
        <f>((Inputs!$B$6*(1+Inputs!$B$7/100))+(((Inputs!$B$12*(1+Inputs!$B$13/100))-(Inputs!$B$12*(1+Inputs!$B$13/100)))+0.25*(Inputs!$B$14-Inputs!$B$14))*(1+Inputs!$B$7/100))*(F1194/100)</f>
        <v>24331438378.718628</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128677241245834.66</v>
      </c>
      <c r="L1194">
        <f>K1194*(MIN(Inputs!$B$22+(F1192-Calc!F22),(Inputs!$B$23+(IF(ArtifactsInput!$M$15,CHOOSE(ArtifactsInput!$N$15+1,25,30,35,40,45,50)/100*(Inputs!$B$11-Inputs!$B$11),0))))/100+(Inputs!$B$23+(IF(ArtifactsInput!$M$15,CHOOSE(ArtifactsInput!$N$15+1,25,30,35,40,45,50)/100*(Inputs!$B$11-Inputs!$B$11),0)))/100)/2</f>
        <v>427851827142400.25</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2019032772284986.5</v>
      </c>
      <c r="N1194">
        <f>L1194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2019032772284986.5</v>
      </c>
      <c r="O1194">
        <f>(1-Summary!$B$11)*S1194+Summary!$B$11*U1194</f>
        <v>2309268733300953.5</v>
      </c>
      <c r="P1194">
        <f>IF(B1211=0,0,O1194/B1211)</f>
        <v>6.6312914553869631E-2</v>
      </c>
      <c r="Q1194">
        <f>IFERROR(1/(IF(Inputs!$B$38="pvp",15,MAX(0.1,Skills!E24-IF(TRUE=TRUE,Inputs!$B$32,0)))*(1-IF(AND(ArtifactsInput!$M$27,Inputs!$B$4="Chapter Hunt"),CHOOSE(ArtifactsInput!$N$27+1,20,24,28,32,36,40),0)/100)),0)</f>
        <v>1.2500000000000001E-2</v>
      </c>
      <c r="R1194">
        <f>IF(AND(Inputs!$B$38&lt;&gt;"pvp",Inputs!$B$43&gt;0),IF(MAX(0,Inputs!$B$43-B1208)&lt;=0,0,(INT(MAX(0,Inputs!$B$43-B1208)/(IF(Inputs!$B$38="pvp",15,MAX(0.1,Skills!E24-IF(TRUE=TRUE,Inputs!$B$32,0)))*(1-IF(AND(ArtifactsInput!$M$27,Inputs!$B$4="Chapter Hunt"),CHOOSE(ArtifactsInput!$N$27+1,20,24,28,32,36,40),0)/100)))+1)),0)</f>
        <v>1</v>
      </c>
      <c r="S1194">
        <f>IF(C1194,(H1194*N1194*IF(AND(Inputs!$B$38&lt;&gt;"pvp",Inputs!$B$43&gt;0),((Skills!G24*((R1194-1)*IF(Skills!H24&gt;0,Skills!I24/Skills!H24,1)+IF(Skills!H24&gt;0,MIN(Skills!I24,MAX(0,MAX(0,Inputs!$B$43-B1208)-((R1194-1)*(IF(Inputs!$B$38="pvp",15,MAX(0.1,Skills!E24-IF(TRUE=TRUE,Inputs!$B$32,0)))*(1-IF(AND(ArtifactsInput!$M$27,Inputs!$B$4="Chapter Hunt"),CHOOSE(ArtifactsInput!$N$27+1,20,24,28,32,36,40),0)/100)))))/Skills!H24,1)))/Inputs!$B$43),G1194*Q1194)*(1+IF(Inputs!$B$3&gt;=130,0.2*(Skills!I16/(1/Q1185)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1200062604026889</v>
      </c>
      <c r="U1194">
        <f>IF(C1194,(H1194*N1194*IF(AND(Inputs!$B$38&lt;&gt;"pvp",Inputs!$B$43&gt;0),((Skills!G24*((R1194-1)*IF(Skills!H24&gt;0,Skills!I24/Skills!H24,1)+IF(Skills!H24&gt;0,MIN(Skills!I24,MAX(0,MAX(0,Inputs!$B$43-B1208)-((R1194-1)*(IF(Inputs!$B$38="pvp",15,MAX(0.1,Skills!E24-IF(TRUE=TRUE,Inputs!$B$32,0)))*(1-IF(AND(ArtifactsInput!$M$27,Inputs!$B$4="Chapter Hunt"),CHOOSE(ArtifactsInput!$N$27+1,20,24,28,32,36,40),0)/100)))))/Skills!H24,1)))/Inputs!$B$43),G1194*Q1194)*(1+IF(Inputs!$B$3&gt;=130,0.2*(Skills!I16/(1/Q1185)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3418474862575018</v>
      </c>
    </row>
    <row r="1195" spans="1:21" x14ac:dyDescent="0.2">
      <c r="A1195" t="str">
        <f>Skills!A25</f>
        <v>BUFF_MASTERY</v>
      </c>
      <c r="B1195" t="str">
        <f>Skills!B25</f>
        <v>Buff Mastery</v>
      </c>
      <c r="C1195" t="b">
        <f>Inputs!$B$3&gt;=117</f>
        <v>1</v>
      </c>
      <c r="D1195">
        <f>IF(Skills!C25=1,60+Inputs!$B$25+Inputs!$B$29,IF(Skills!C25=2,90+Inputs!$B$26+Inputs!$B$29,IF(Skills!C25=3,120+Inputs!$B$27+Inputs!$B$29,MAX(0,(Inputs!$B$3-100)*3)+Inputs!$B$28+Inputs!$B$29)))</f>
        <v>185</v>
      </c>
      <c r="E1195">
        <f>INDEX(FactorTable!$B$2:$Y$301, MATCH(ROUND(MIN(300,MAX(1,D1195)),0), FactorTable!$A$2:$A$301,0), Skills!M25+1)</f>
        <v>1555</v>
      </c>
      <c r="F1195">
        <f>IF(Skills!N25=TRUE,(Skills!L25/10)*(E1195/1000),Skills!L25/10)+Skills!O25</f>
        <v>15.549999999999999</v>
      </c>
      <c r="G1195">
        <f>Calc!G25</f>
        <v>1</v>
      </c>
      <c r="H1195">
        <f>Calc!H25</f>
        <v>1</v>
      </c>
      <c r="I1195">
        <f>IF(Skills!X25&lt;&gt;"",1+(Skills!X25/10)*(Z1173/1000)/100,1)</f>
        <v>1</v>
      </c>
      <c r="O1195">
        <f>(1-Summary!$B$11)*S1195+Summary!$B$11*U1195</f>
        <v>0</v>
      </c>
      <c r="P1195">
        <f>IF(B1211=0,0,O1195/B1211)</f>
        <v>0</v>
      </c>
      <c r="Q1195">
        <f>IFERROR(1/(IF(Inputs!$B$38="pvp",15,MAX(0.1,Skills!E25-IF(TRUE=TRUE,Inputs!$B$32,0)))*(1-IF(AND(ArtifactsInput!$M$27,Inputs!$B$4="Chapter Hunt"),CHOOSE(ArtifactsInput!$N$27+1,20,24,28,32,36,40),0)/100)),0)</f>
        <v>10</v>
      </c>
      <c r="R1195">
        <v>0</v>
      </c>
      <c r="S1195">
        <v>0</v>
      </c>
      <c r="U1195">
        <v>0</v>
      </c>
    </row>
    <row r="1196" spans="1:21" x14ac:dyDescent="0.2">
      <c r="A1196" t="str">
        <f>Skills!A26</f>
        <v>ARCANE_AIM</v>
      </c>
      <c r="B1196" t="str">
        <f>Skills!B26</f>
        <v>Arcane Aim</v>
      </c>
      <c r="C1196" t="b">
        <f>Inputs!$B$3&gt;=120</f>
        <v>0</v>
      </c>
      <c r="D1196">
        <f>IF(Skills!C26=1,60+Inputs!$B$25+Inputs!$B$29,IF(Skills!C26=2,90+Inputs!$B$26+Inputs!$B$29,IF(Skills!C26=3,120+Inputs!$B$27+Inputs!$B$29,MAX(0,(Inputs!$B$3-100)*3)+Inputs!$B$28+Inputs!$B$29)))</f>
        <v>185</v>
      </c>
      <c r="E1196">
        <f>INDEX(FactorTable!$B$2:$Y$301, MATCH(ROUND(MIN(300,MAX(1,D1196)),0), FactorTable!$A$2:$A$301,0), Skills!M26+1)</f>
        <v>1555</v>
      </c>
      <c r="F1196">
        <f>IF(Skills!N26=TRUE,(Skills!L26/10)*(E1196/1000),Skills!L26/10)+Skills!O26</f>
        <v>4.665</v>
      </c>
      <c r="G1196">
        <f>Calc!G26</f>
        <v>1</v>
      </c>
      <c r="H1196">
        <f>Calc!H26</f>
        <v>1</v>
      </c>
      <c r="I1196">
        <f>IF(Skills!X26&lt;&gt;"",1+(Skills!X26/10)*(Z1173/1000)/100,1)</f>
        <v>1</v>
      </c>
      <c r="O1196">
        <f>(1-Summary!$B$11)*S1196+Summary!$B$11*U1196</f>
        <v>0</v>
      </c>
      <c r="P1196">
        <f>IF(B1211=0,0,O1196/B1211)</f>
        <v>0</v>
      </c>
      <c r="Q1196">
        <f>IFERROR(1/(IF(Inputs!$B$38="pvp",15,MAX(0.1,Skills!E26-IF(TRUE=TRUE,Inputs!$B$32,0)))*(1-IF(AND(ArtifactsInput!$M$27,Inputs!$B$4="Chapter Hunt"),CHOOSE(ArtifactsInput!$N$27+1,20,24,28,32,36,40),0)/100)),0)</f>
        <v>10</v>
      </c>
      <c r="R1196">
        <v>0</v>
      </c>
      <c r="S1196">
        <v>0</v>
      </c>
      <c r="U1196">
        <v>0</v>
      </c>
    </row>
    <row r="1197" spans="1:21" x14ac:dyDescent="0.2">
      <c r="A1197" t="str">
        <f>Skills!A27</f>
        <v>FERVENT_DRAIN</v>
      </c>
      <c r="B1197" t="str">
        <f>Skills!B27</f>
        <v>Fervent Drain</v>
      </c>
      <c r="C1197" t="b">
        <f>Inputs!$B$3&gt;=125</f>
        <v>0</v>
      </c>
      <c r="D1197">
        <f>IF(Skills!C27=1,60+Inputs!$B$25+Inputs!$B$29,IF(Skills!C27=2,90+Inputs!$B$26+Inputs!$B$29,IF(Skills!C27=3,120+Inputs!$B$27+Inputs!$B$29,MAX(0,(Inputs!$B$3-100)*3)+Inputs!$B$28+Inputs!$B$29)))</f>
        <v>185</v>
      </c>
      <c r="E1197">
        <f>INDEX(FactorTable!$B$2:$Y$301, MATCH(ROUND(MIN(300,MAX(1,D1197)),0), FactorTable!$A$2:$A$301,0), Skills!M27+1)</f>
        <v>1555</v>
      </c>
      <c r="F1197">
        <f>IF(Skills!N27=TRUE,(Skills!L27/10)*(E1197/1000),Skills!L27/10)+Skills!O27</f>
        <v>6.22</v>
      </c>
      <c r="G1197">
        <f>Calc!G27</f>
        <v>1</v>
      </c>
      <c r="H1197">
        <f>Calc!H27</f>
        <v>1</v>
      </c>
      <c r="I1197">
        <f>IF(Skills!X27&lt;&gt;"",1+(Skills!X27/10)*(Z1173/1000)/100,1)</f>
        <v>1</v>
      </c>
      <c r="O1197">
        <f>(1-Summary!$B$11)*S1197+Summary!$B$11*U1197</f>
        <v>0</v>
      </c>
      <c r="P1197">
        <f>IF(B1211=0,0,O1197/B1211)</f>
        <v>0</v>
      </c>
      <c r="Q1197">
        <f>IFERROR(1/(IF(Inputs!$B$38="pvp",15,MAX(0.1,Skills!E27-IF(TRUE=TRUE,Inputs!$B$32,0)))*(1-IF(AND(ArtifactsInput!$M$27,Inputs!$B$4="Chapter Hunt"),CHOOSE(ArtifactsInput!$N$27+1,20,24,28,32,36,40),0)/100)),0)</f>
        <v>10</v>
      </c>
      <c r="R1197">
        <v>0</v>
      </c>
      <c r="S1197">
        <v>0</v>
      </c>
      <c r="U1197">
        <v>0</v>
      </c>
    </row>
    <row r="1198" spans="1:21" x14ac:dyDescent="0.2">
      <c r="A1198" t="str">
        <f>Skills!A28</f>
        <v>FLAME_HAZE_FOG</v>
      </c>
      <c r="B1198" t="str">
        <f>Skills!B28</f>
        <v>Flame Haze (poison fog DoT)</v>
      </c>
      <c r="C1198" t="b">
        <f>Inputs!$B$3&gt;=118</f>
        <v>0</v>
      </c>
      <c r="D1198">
        <f>IF(Skills!C28=1,60+Inputs!$B$25+Inputs!$B$29,IF(Skills!C28=2,90+Inputs!$B$26+Inputs!$B$29,IF(Skills!C28=3,120+Inputs!$B$27+Inputs!$B$29,MAX(0,(Inputs!$B$3-100)*3)+Inputs!$B$28+Inputs!$B$29)))</f>
        <v>185</v>
      </c>
      <c r="E1198">
        <f>INDEX(FactorTable!$B$2:$Y$301, MATCH(ROUND(MIN(300,MAX(1,D1198)),0), FactorTable!$A$2:$A$301,0), Skills!M28+1)</f>
        <v>1925</v>
      </c>
      <c r="F1198">
        <f>IF(Skills!N28=TRUE,(Skills!L28/10)*(E1198/1000),Skills!L28/10)+Skills!O28</f>
        <v>134.75</v>
      </c>
      <c r="G1198">
        <f>Calc!G28</f>
        <v>50</v>
      </c>
      <c r="H1198">
        <f>Calc!H28</f>
        <v>1</v>
      </c>
      <c r="I1198">
        <f>IF(Skills!X28&lt;&gt;"",1+(Skills!X28/10)*(Z1173/1000)/100,1)</f>
        <v>1</v>
      </c>
      <c r="J1198">
        <f>((Inputs!$B$6*(1+Inputs!$B$7/100))+(((Inputs!$B$12*(1+Inputs!$B$13/100))-(Inputs!$B$12*(1+Inputs!$B$13/100)))+0.25*(Inputs!$B$14-Inputs!$B$14))*(1+Inputs!$B$7/100))*(F1198/100)</f>
        <v>486628767.57437253</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2573544824916.6924</v>
      </c>
      <c r="L1198">
        <f>K1198*(MIN(Inputs!$B$22+(F1192-Calc!F22),(Inputs!$B$23+(IF(ArtifactsInput!$M$15,CHOOSE(ArtifactsInput!$N$15+1,25,30,35,40,45,50)/100*(Inputs!$B$11-Inputs!$B$11),0))))/100+(Inputs!$B$23+(IF(ArtifactsInput!$M$15,CHOOSE(ArtifactsInput!$N$15+1,25,30,35,40,45,50)/100*(Inputs!$B$11-Inputs!$B$11),0)))/100)/2</f>
        <v>8557036542848.0029</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40380655445699.719</v>
      </c>
      <c r="N1198">
        <f>L1198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40380655445699.719</v>
      </c>
      <c r="O1198">
        <f>(1-Summary!$B$11)*S1198+Summary!$B$11*U1198</f>
        <v>0</v>
      </c>
      <c r="P1198">
        <f>IF(B1211=0,0,O1198/B1211)</f>
        <v>0</v>
      </c>
      <c r="Q1198">
        <f>IFERROR(1/(IF(Inputs!$B$38="pvp",15,MAX(0.1,Skills!E28-IF(TRUE=TRUE,Inputs!$B$32,0)))*(1-IF(AND(ArtifactsInput!$M$27,Inputs!$B$4="Chapter Hunt"),CHOOSE(ArtifactsInput!$N$27+1,20,24,28,32,36,40),0)/100)),0)</f>
        <v>0.04</v>
      </c>
      <c r="R1198">
        <f>IF(AND(Inputs!$B$38&lt;&gt;"pvp",Inputs!$B$43&gt;0),IF(MAX(0,Inputs!$B$43-B1208)&lt;=0,0,(INT(MAX(0,Inputs!$B$43-B1208)/(IF(Inputs!$B$38="pvp",15,MAX(0.1,Skills!E28-IF(TRUE=TRUE,Inputs!$B$32,0)))*(1-IF(AND(ArtifactsInput!$M$27,Inputs!$B$4="Chapter Hunt"),CHOOSE(ArtifactsInput!$N$27+1,20,24,28,32,36,40),0)/100)))+1)),0)</f>
        <v>2</v>
      </c>
      <c r="S1198">
        <f>IF(C1198,(H1198*N1198*IF(AND(Inputs!$B$38&lt;&gt;"pvp",Inputs!$B$43&gt;0),((Skills!G28*((R1198-1)*IF(Skills!H28&gt;0,Skills!I28/Skills!H28,1)+IF(Skills!H28&gt;0,MIN(Skills!I28,MAX(0,MAX(0,Inputs!$B$43-B1208)-((R1198-1)*(IF(Inputs!$B$38="pvp",15,MAX(0.1,Skills!E28-IF(TRUE=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98">
        <f>IF(C1198,(H1198*N1198*IF(AND(Inputs!$B$38&lt;&gt;"pvp",Inputs!$B$43&gt;0),((Skills!G28*((R1198-1)*IF(Skills!H28&gt;0,Skills!I28/Skills!H28,1)+IF(Skills!H28&gt;0,MIN(Skills!I28,MAX(0,MAX(0,Inputs!$B$43-B1208)-((R1198-1)*(IF(Inputs!$B$38="pvp",15,MAX(0.1,Skills!E28-IF(TRUE=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00" spans="1:21" x14ac:dyDescent="0.2">
      <c r="A1200" t="s">
        <v>356</v>
      </c>
      <c r="B1200">
        <f>1+(F1181*Skills!Z11)/100</f>
        <v>1.25</v>
      </c>
    </row>
    <row r="1201" spans="1:26" x14ac:dyDescent="0.2">
      <c r="A1201" t="s">
        <v>435</v>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1.18624</v>
      </c>
    </row>
    <row r="1202" spans="1:26" x14ac:dyDescent="0.2">
      <c r="A1202" t="s">
        <v>358</v>
      </c>
      <c r="B1202">
        <f>(1+(F1176*IF(AND(Inputs!$B$38&lt;&gt;"pvp",Inputs!$B$43&gt;0),(((R1176-1)*MIN((Skills!T6*(1+((Inputs!$B$34+(ArtifactsInput!$M$7-ArtifactsInput!$M$7)*CHOOSE(ArtifactsInput!$N$7+1,6,7.2,8.4,9.6,10.8,12)))/100)),(1/Q1176))+MIN((Skills!T6*(1+((Inputs!$B$34+(ArtifactsInput!$M$7-ArtifactsInput!$M$7)*CHOOSE(ArtifactsInput!$N$7+1,6,7.2,8.4,9.6,10.8,12)))/100)),MAX(0,Inputs!$B$43-((R1176-1)*(1/Q1176)))))/Inputs!$B$43),IF(Inputs!$B$38="pvp",MIN((Skills!T6*(1+((Inputs!$B$34+(ArtifactsInput!$M$7-ArtifactsInput!$M$7)*CHOOSE(ArtifactsInput!$N$7+1,6,7.2,8.4,9.6,10.8,12)))/100)),15)/15,MIN(1,(Skills!T6*(1+((Inputs!$B$34+(ArtifactsInput!$M$7-ArtifactsInput!$M$7)*CHOOSE(ArtifactsInput!$N$7+1,6,7.2,8.4,9.6,10.8,12)))/100))/(1/Q1176))))+F1187*IF(AND(Inputs!$B$38&lt;&gt;"pvp",Inputs!$B$43&gt;0),(((R1187-1)*MIN((Skills!T17*(1+((Inputs!$B$34+(ArtifactsInput!$M$7-ArtifactsInput!$M$7)*CHOOSE(ArtifactsInput!$N$7+1,6,7.2,8.4,9.6,10.8,12)))/100)),(1/Q1187))+MIN((Skills!T17*(1+((Inputs!$B$34+(ArtifactsInput!$M$7-ArtifactsInput!$M$7)*CHOOSE(ArtifactsInput!$N$7+1,6,7.2,8.4,9.6,10.8,12)))/100)),MAX(0,Inputs!$B$43-((R1187-1)*(1/Q1187)))))/Inputs!$B$43),IF(Inputs!$B$38="pvp",MIN((Skills!T17*(1+((Inputs!$B$34+(ArtifactsInput!$M$7-ArtifactsInput!$M$7)*CHOOSE(ArtifactsInput!$N$7+1,6,7.2,8.4,9.6,10.8,12)))/100)),15)/15,MIN(1,(Skills!T17*(1+((Inputs!$B$34+(ArtifactsInput!$M$7-ArtifactsInput!$M$7)*CHOOSE(ArtifactsInput!$N$7+1,6,7.2,8.4,9.6,10.8,12)))/100))/(1/Q1187)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MIN((Skills!T19*(1+((Inputs!$B$34+(ArtifactsInput!$M$7-ArtifactsInput!$M$7)*CHOOSE(ArtifactsInput!$N$7+1,6,7.2,8.4,9.6,10.8,12)))/100)),(1/Q1189))+MIN((Skills!T19*(1+((Inputs!$B$34+(ArtifactsInput!$M$7-ArtifactsInput!$M$7)*CHOOSE(ArtifactsInput!$N$7+1,6,7.2,8.4,9.6,10.8,12)))/100)),MAX(0,Inputs!$B$43-((R1189-1)*(1/Q1189)))))/Inputs!$B$43),IF(Inputs!$B$38="pvp",MIN((Skills!T19*(1+((Inputs!$B$34+(ArtifactsInput!$M$7-ArtifactsInput!$M$7)*CHOOSE(ArtifactsInput!$N$7+1,6,7.2,8.4,9.6,10.8,12)))/100)),15)/15,MIN(1,(Skills!T19*(1+((Inputs!$B$34+(ArtifactsInput!$M$7-ArtifactsInput!$M$7)*CHOOSE(ArtifactsInput!$N$7+1,6,7.2,8.4,9.6,10.8,12)))/100))/(1/Q1189))))/100),1)</f>
        <v>1.8908964943324444</v>
      </c>
    </row>
    <row r="1203" spans="1:26" x14ac:dyDescent="0.2">
      <c r="A1203" t="s">
        <v>359</v>
      </c>
      <c r="B1203">
        <f>F1188*IF(AND(Inputs!$B$38&lt;&gt;"pvp",Inputs!$B$43&gt;0),(((R1188-1)*MIN((Skills!T18*(1+((Inputs!$B$34+(ArtifactsInput!$M$7-ArtifactsInput!$M$7)*CHOOSE(ArtifactsInput!$N$7+1,6,7.2,8.4,9.6,10.8,12)))/100)),(1/Q1188))+MIN((Skills!T18*(1+((Inputs!$B$34+(ArtifactsInput!$M$7-ArtifactsInput!$M$7)*CHOOSE(ArtifactsInput!$N$7+1,6,7.2,8.4,9.6,10.8,12)))/100)),MAX(0,Inputs!$B$43-((R1188-1)*(1/Q1188)))))/Inputs!$B$43),IF(Inputs!$B$38="pvp",MIN((Skills!T18*(1+((Inputs!$B$34+(ArtifactsInput!$M$7-ArtifactsInput!$M$7)*CHOOSE(ArtifactsInput!$N$7+1,6,7.2,8.4,9.6,10.8,12)))/100)),15)/15,MIN(1,(Skills!T18*(1+((Inputs!$B$34+(ArtifactsInput!$M$7-ArtifactsInput!$M$7)*CHOOSE(ArtifactsInput!$N$7+1,6,7.2,8.4,9.6,10.8,12)))/100))/(1/Q1188))))</f>
        <v>6.4968749999999993</v>
      </c>
    </row>
    <row r="1204" spans="1:26" x14ac:dyDescent="0.2">
      <c r="A1204" t="s">
        <v>436</v>
      </c>
      <c r="B1204">
        <f>1+MIN(150,150*(1-(1-(Inputs!$B$11+(ArtifactsInput!$M$15-ArtifactsInput!$M$15)*CHOOSE(ArtifactsInput!$N$15+1,8,9.6,11.2,12.8,14.4,16))/150)*(1-B1203/150)))/100</f>
        <v>1.6982958749999999</v>
      </c>
    </row>
    <row r="1205" spans="1:26" x14ac:dyDescent="0.2">
      <c r="A1205" t="s">
        <v>437</v>
      </c>
      <c r="B1205">
        <f>IF(AND(Inputs!$B$38&lt;&gt;"pvp",Inputs!$B$43&gt;0),SUMPRODUCT((Skills!F2:F28=TRUE)*(C1172:C1198=TRUE)*R1172:R1198)/Inputs!$B$43,SUMPRODUCT((Skills!F2:F28=TRUE)*(C1172:C1198=TRUE)*Q1172:Q1198))</f>
        <v>0.47499999999999998</v>
      </c>
    </row>
    <row r="1206" spans="1:26" x14ac:dyDescent="0.2">
      <c r="A1206" t="s">
        <v>362</v>
      </c>
      <c r="B1206">
        <f>MAX(0,B1204-B1205)</f>
        <v>1.2232958749999998</v>
      </c>
    </row>
    <row r="1207" spans="1:26" x14ac:dyDescent="0.2">
      <c r="A1207" t="s">
        <v>438</v>
      </c>
      <c r="B1207">
        <f>IF(AND(Inputs!$B$38&lt;&gt;"pvp",Inputs!$B$43&gt;0),SUMPRODUCT((Skills!V2:V28=TRUE)*(C1172:C1198=TRUE)*R1172:R1198*Skills!W2:W28)/Inputs!$B$43,SUMPRODUCT((Skills!V2:V28=TRUE)*(C1172:C1198=TRUE)*Q1172:Q1198*Skills!W2:W28))+B1206</f>
        <v>1.5482958749999998</v>
      </c>
    </row>
    <row r="1208" spans="1:26" x14ac:dyDescent="0.2">
      <c r="A1208" t="s">
        <v>439</v>
      </c>
      <c r="B1208">
        <f>IF(AND(Inputs!$B$38&lt;&gt;"pvp",Inputs!$B$43&gt;0),SUMPRODUCT((Skills!T2:T28&gt;0)*(Skills!F2:F28=TRUE)*(C1172:C1198=TRUE))/B1204,0)</f>
        <v>2.3553021937358238</v>
      </c>
    </row>
    <row r="1209" spans="1:26" x14ac:dyDescent="0.2">
      <c r="A1209" t="s">
        <v>440</v>
      </c>
      <c r="B1209">
        <f>SUM(S1172:S1198)</f>
        <v>1.0016893764519428E+16</v>
      </c>
    </row>
    <row r="1210" spans="1:26" x14ac:dyDescent="0.2">
      <c r="A1210" t="s">
        <v>441</v>
      </c>
      <c r="B1210">
        <f>SUM(U1172:U1198)</f>
        <v>5.9630738188831296E+16</v>
      </c>
    </row>
    <row r="1211" spans="1:26" x14ac:dyDescent="0.2">
      <c r="A1211" s="6" t="s">
        <v>348</v>
      </c>
      <c r="B1211" s="6">
        <f>SUM(O1172:O1198)</f>
        <v>3.482381597667536E+16</v>
      </c>
    </row>
    <row r="1214" spans="1:26" x14ac:dyDescent="0.2">
      <c r="A1214" s="6" t="s">
        <v>467</v>
      </c>
    </row>
    <row r="1215" spans="1:26" x14ac:dyDescent="0.2">
      <c r="A1215" s="5" t="s">
        <v>136</v>
      </c>
      <c r="B1215" s="5" t="s">
        <v>137</v>
      </c>
      <c r="C1215" s="5" t="s">
        <v>328</v>
      </c>
      <c r="D1215" s="5" t="s">
        <v>329</v>
      </c>
      <c r="E1215" s="5" t="s">
        <v>330</v>
      </c>
      <c r="F1215" s="5" t="s">
        <v>331</v>
      </c>
      <c r="G1215" s="5" t="s">
        <v>332</v>
      </c>
      <c r="H1215" s="5" t="s">
        <v>333</v>
      </c>
      <c r="I1215" s="5" t="s">
        <v>334</v>
      </c>
      <c r="J1215" s="5" t="s">
        <v>335</v>
      </c>
      <c r="K1215" s="5" t="s">
        <v>336</v>
      </c>
      <c r="L1215" s="5" t="s">
        <v>337</v>
      </c>
      <c r="M1215" s="5" t="s">
        <v>338</v>
      </c>
      <c r="N1215" s="5" t="s">
        <v>339</v>
      </c>
      <c r="O1215" s="5" t="s">
        <v>340</v>
      </c>
      <c r="P1215" s="5" t="s">
        <v>341</v>
      </c>
      <c r="R1215" t="s">
        <v>434</v>
      </c>
    </row>
    <row r="1216" spans="1:26" x14ac:dyDescent="0.2">
      <c r="A1216" t="str">
        <f>Skills!A2</f>
        <v>BASIC_ATTACK</v>
      </c>
      <c r="B1216" t="str">
        <f>Skills!B2</f>
        <v>Basic Attack</v>
      </c>
      <c r="C1216" t="b">
        <f>TRUE</f>
        <v>1</v>
      </c>
      <c r="F1216">
        <f>T1218+Skills!O2</f>
        <v>537.6</v>
      </c>
      <c r="G1216">
        <f>Calc!G2</f>
        <v>5</v>
      </c>
      <c r="H1216">
        <f>Calc!H2</f>
        <v>1</v>
      </c>
      <c r="I1216">
        <f>IF(Skills!X2&lt;&gt;"",1+(Skills!X2/10)*(Z1217/1000)/100,1)</f>
        <v>1</v>
      </c>
      <c r="J1216">
        <f>((Inputs!$B$6*(1+Inputs!$B$7/100))+(((Inputs!$B$12*(1+Inputs!$B$13/100))-(Inputs!$B$12*(1+Inputs!$B$13/100)))+0.25*(Inputs!$B$14-Inputs!$B$14))*(1+Inputs!$B$7/100))*(F1216/100)</f>
        <v>1941459186.9980164</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6620290711466.1074</v>
      </c>
      <c r="L1216">
        <f>K1216*(MIN(Inputs!$B$22+(F1236-Calc!F22),(Inputs!$B$23+(IF(ArtifactsInput!$M$15,CHOOSE(ArtifactsInput!$N$15+1,25,30,35,40,45,50)/100*(Inputs!$B$11-Inputs!$B$11),0))))/100+(Inputs!$B$23+(IF(ArtifactsInput!$M$15,CHOOSE(ArtifactsInput!$N$15+1,25,30,35,40,45,50)/100*(Inputs!$B$11-Inputs!$B$11),0)))/100)/2</f>
        <v>22012466615624.809</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216">
        <f>L1216*(1-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216">
        <f>(1-Summary!$B$11)*S1216+Summary!$B$11*U1216</f>
        <v>1.251342481087288E+16</v>
      </c>
      <c r="P1216">
        <f>IF(B1255=0,0,O1216/B1255)</f>
        <v>0.378199388854495</v>
      </c>
      <c r="Q1216">
        <f>IFERROR(1/(IF(Inputs!$B$38="pvp",15,MAX(0.1,Skills!E2-IF(TRUE=TRUE,Inputs!$B$32,0)))*(1-IF(AND(ArtifactsInput!$M$27,Inputs!$B$4="Chapter Hunt"),CHOOSE(ArtifactsInput!$N$27+1,20,24,28,32,36,40),0)/100)),0)</f>
        <v>10</v>
      </c>
      <c r="R1216">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216">
        <f>MAX(0,(Inputs!$B$3-100)*3)+Inputs!$B$28+Inputs!$B$29</f>
        <v>185</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216">
        <f>MAX(0,(Inputs!$B$3-100)*3)+Inputs!$B$28+Inputs!$B$29</f>
        <v>185</v>
      </c>
    </row>
    <row r="1217" spans="1:26" x14ac:dyDescent="0.2">
      <c r="A1217" t="str">
        <f>Skills!A3</f>
        <v>IGNITE</v>
      </c>
      <c r="B1217" t="str">
        <f>Skills!B3</f>
        <v>Ignite</v>
      </c>
      <c r="C1217" t="b">
        <f>TRUE</f>
        <v>1</v>
      </c>
      <c r="D1217">
        <f>IF(Skills!C3=1,60+Inputs!$B$25+Inputs!$B$29,IF(Skills!C3=2,90+Inputs!$B$26+Inputs!$B$29,IF(Skills!C3=3,120+Inputs!$B$27+Inputs!$B$29,MAX(0,(Inputs!$B$3-100)*3)+Inputs!$B$28+Inputs!$B$29)))</f>
        <v>168</v>
      </c>
      <c r="E1217">
        <f>INDEX(FactorTable!$B$2:$Y$301, MATCH(ROUND(MIN(300,MAX(1,D1217)),0), FactorTable!$A$2:$A$301,0), Skills!M3+1)</f>
        <v>1672</v>
      </c>
      <c r="F1217">
        <f>IF(Skills!N3=TRUE,(Skills!L3/10)*(E1217/1000),Skills!L3/10)+Skills!O3</f>
        <v>121.736</v>
      </c>
      <c r="G1217">
        <f>Calc!G3</f>
        <v>3</v>
      </c>
      <c r="H1217">
        <f>Calc!H3</f>
        <v>1</v>
      </c>
      <c r="I1217">
        <f>IF(Skills!X3&lt;&gt;"",1+(Skills!X3/10)*(Z1217/1000)/100,1)</f>
        <v>4.8250000000000002</v>
      </c>
      <c r="J1217">
        <f>((Inputs!$B$6*(1+Inputs!$B$7/100))+(((Inputs!$B$12*(1+Inputs!$B$13/100))-(Inputs!$B$12*(1+Inputs!$B$13/100)))+0.25*(Inputs!$B$14-Inputs!$B$14))*(1+Inputs!$B$7/100))*(F1217/100)</f>
        <v>439630720.9605478</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10658554617221.965</v>
      </c>
      <c r="L1217">
        <f>K1217*(MIN(Inputs!$B$22+(F1236-Calc!F22),(Inputs!$B$23+(IF(ArtifactsInput!$M$15,CHOOSE(ArtifactsInput!$N$15+1,25,30,35,40,45,50)/100*(Inputs!$B$11-Inputs!$B$11),0))))/100+(Inputs!$B$23+(IF(ArtifactsInput!$M$15,CHOOSE(ArtifactsInput!$N$15+1,25,30,35,40,45,50)/100*(Inputs!$B$11-Inputs!$B$11),0)))/100)/2</f>
        <v>35439694102263.031</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217">
        <f>L1217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217">
        <f>(1-Summary!$B$11)*S1217+Summary!$B$11*U1217</f>
        <v>2907465947806250</v>
      </c>
      <c r="P1217">
        <f>IF(B1255=0,0,O1217/B1255)</f>
        <v>8.7873772463965091E-2</v>
      </c>
      <c r="Q1217">
        <f>IFERROR(1/(IF(Inputs!$B$38="pvp",15,MAX(0.1,Skills!E3-IF(FALSE=TRUE,Inputs!$B$32,0)))*(1-IF(AND(ArtifactsInput!$M$27,Inputs!$B$4="Chapter Hunt"),CHOOSE(ArtifactsInput!$N$27+1,20,24,28,32,36,40),0)/100)),0)</f>
        <v>1</v>
      </c>
      <c r="R1217">
        <f>IF(AND(Inputs!$B$38&lt;&gt;"pvp",Inputs!$B$43&gt;0),IF(MAX(0,Inputs!$B$43-B1252)&lt;=0,0,(INT(MAX(0,Inputs!$B$43-B1252)/(IF(Inputs!$B$38="pvp",15,MAX(0.1,Skills!E3-IF(FALSE=TRUE,Inputs!$B$32,0)))*(1-IF(AND(ArtifactsInput!$M$27,Inputs!$B$4="Chapter Hunt"),CHOOSE(ArtifactsInput!$N$27+1,20,24,28,32,36,40),0)/100)))+1)),0)</f>
        <v>38</v>
      </c>
      <c r="S1217">
        <f>IF(C1217,(H1217*N1217*IF(AND(Inputs!$B$38&lt;&gt;"pvp",Inputs!$B$43&gt;0),((Skills!G3*((R1217-1)*IF(Skills!H3&gt;0,Skills!I3/Skills!H3,1)+IF(Skills!H3&gt;0,MIN(Skills!I3,MAX(0,MAX(0,Inputs!$B$43-B1252)-((R1217-1)*(IF(Inputs!$B$38="pvp",15,MAX(0.1,Skills!E3-IF(FALSE=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217">
        <f>INDEX(FactorTable!$B$2:$Y$301, MATCH(ROUND(MIN(300,MAX(1,T1216)),0), FactorTable!$A$2:$A$301,0), 22)</f>
        <v>1740</v>
      </c>
      <c r="U1217">
        <f>IF(C1217,(H1217*N1217*IF(AND(Inputs!$B$38&lt;&gt;"pvp",Inputs!$B$43&gt;0),((Skills!G3*((R1217-1)*IF(Skills!H3&gt;0,Skills!I3/Skills!H3,1)+IF(Skills!H3&gt;0,MIN(Skills!I3,MAX(0,MAX(0,Inputs!$B$43-B1252)-((R1217-1)*(IF(Inputs!$B$38="pvp",15,MAX(0.1,Skills!E3-IF(FALSE=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217">
        <f>INDEX(FactorTable!$B$2:$Y$301, MATCH(ROUND(MIN(300,MAX(1,Z1216)),0), FactorTable!$A$2:$A$301,0), 24)</f>
        <v>7650</v>
      </c>
    </row>
    <row r="1218" spans="1:26" x14ac:dyDescent="0.2">
      <c r="A1218" t="str">
        <f>Skills!A4</f>
        <v>POISON_BREATH</v>
      </c>
      <c r="B1218" t="str">
        <f>Skills!B4</f>
        <v>Poison Breath</v>
      </c>
      <c r="C1218" t="b">
        <f>TRUE</f>
        <v>1</v>
      </c>
      <c r="D1218">
        <f>IF(Skills!C4=1,60+Inputs!$B$25+Inputs!$B$29,IF(Skills!C4=2,90+Inputs!$B$26+Inputs!$B$29,IF(Skills!C4=3,120+Inputs!$B$27+Inputs!$B$29,MAX(0,(Inputs!$B$3-100)*3)+Inputs!$B$28+Inputs!$B$29)))</f>
        <v>168</v>
      </c>
      <c r="E1218">
        <f>INDEX(FactorTable!$B$2:$Y$301, MATCH(ROUND(MIN(300,MAX(1,D1218)),0), FactorTable!$A$2:$A$301,0), Skills!M4+1)</f>
        <v>1840</v>
      </c>
      <c r="F1218">
        <f>IF(Skills!N4=TRUE,(Skills!L4/10)*(E1218/1000),Skills!L4/10)+Skills!O4</f>
        <v>438</v>
      </c>
      <c r="G1218">
        <f>Calc!G4</f>
        <v>3</v>
      </c>
      <c r="H1218">
        <f>Calc!H4</f>
        <v>1</v>
      </c>
      <c r="I1218">
        <f>IF(Skills!X4&lt;&gt;"",1+(Skills!X4/10)*(Z1217/1000)/100,1)</f>
        <v>7.12</v>
      </c>
      <c r="J1218">
        <f>((Inputs!$B$6*(1+Inputs!$B$7/100))+(((Inputs!$B$12*(1+Inputs!$B$13/100))-(Inputs!$B$12*(1+Inputs!$B$13/100)))+0.25*(Inputs!$B$14-Inputs!$B$14))*(1+Inputs!$B$7/100))*(F1218/100)</f>
        <v>1581769203.69258</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56589528290529.523</v>
      </c>
      <c r="L1218">
        <f>K1218*(MIN(Inputs!$B$22+(F1236-Calc!F22),(Inputs!$B$23+(IF(ArtifactsInput!$M$15,CHOOSE(ArtifactsInput!$N$15+1,25,30,35,40,45,50)/100*(Inputs!$B$11-Inputs!$B$11),0))))/100+(Inputs!$B$23+(IF(ArtifactsInput!$M$15,CHOOSE(ArtifactsInput!$N$15+1,25,30,35,40,45,50)/100*(Inputs!$B$11-Inputs!$B$11),0)))/100)/2</f>
        <v>188160181566010.69</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218">
        <f>L1218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218">
        <f>(1-Summary!$B$11)*S1218+Summary!$B$11*U1218</f>
        <v>2120704790543594.2</v>
      </c>
      <c r="P1218">
        <f>IF(B1255=0,0,O1218/B1255)</f>
        <v>6.4095103286790744E-2</v>
      </c>
      <c r="Q1218">
        <f>IFERROR(1/(IF(Inputs!$B$38="pvp",15,MAX(0.1,Skills!E4-IF(TRUE=TRUE,Inputs!$B$32,0)))*(1-IF(AND(ArtifactsInput!$M$27,Inputs!$B$4="Chapter Hunt"),CHOOSE(ArtifactsInput!$N$27+1,20,24,28,32,36,40),0)/100)),0)</f>
        <v>5.5555555555555552E-2</v>
      </c>
      <c r="R1218">
        <f>IF(AND(Inputs!$B$38&lt;&gt;"pvp",Inputs!$B$43&gt;0),IF(MAX(0,Inputs!$B$43-B1252)&lt;=0,0,(INT(MAX(0,Inputs!$B$43-B1252)/(IF(Inputs!$B$38="pvp",15,MAX(0.1,Skills!E4-IF(TRUE=TRUE,Inputs!$B$32,0)))*(1-IF(AND(ArtifactsInput!$M$27,Inputs!$B$4="Chapter Hunt"),CHOOSE(ArtifactsInput!$N$27+1,20,24,28,32,36,40),0)/100)))+1)),0)</f>
        <v>3</v>
      </c>
      <c r="S1218">
        <f>IF(C1218,(H1218*N1218*IF(AND(Inputs!$B$38&lt;&gt;"pvp",Inputs!$B$43&gt;0),((Skills!G4*((R1218-1)*IF(Skills!H4&gt;0,Skills!I4/Skills!H4,1)+IF(Skills!H4&gt;0,MIN(Skills!I4,MAX(0,MAX(0,Inputs!$B$43-B1252)-((R1218-1)*(IF(Inputs!$B$38="pvp",15,MAX(0.1,Skills!E4-IF(TRUE=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218">
        <f>290*T1217/1000</f>
        <v>504.6</v>
      </c>
      <c r="U1218">
        <f>IF(C1218,(H1218*N1218*IF(AND(Inputs!$B$38&lt;&gt;"pvp",Inputs!$B$43&gt;0),((Skills!G4*((R1218-1)*IF(Skills!H4&gt;0,Skills!I4/Skills!H4,1)+IF(Skills!H4&gt;0,MIN(Skills!I4,MAX(0,MAX(0,Inputs!$B$43-B1252)-((R1218-1)*(IF(Inputs!$B$38="pvp",15,MAX(0.1,Skills!E4-IF(TRUE=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219" spans="1:26" x14ac:dyDescent="0.2">
      <c r="A1219" t="str">
        <f>Skills!A5</f>
        <v>ELEMENTAL_DRAIN</v>
      </c>
      <c r="B1219" t="str">
        <f>Skills!B5</f>
        <v>Elemental Drain</v>
      </c>
      <c r="C1219" t="b">
        <f>TRUE</f>
        <v>1</v>
      </c>
      <c r="D1219">
        <f>IF(Skills!C5=1,60+Inputs!$B$25+Inputs!$B$29,IF(Skills!C5=2,90+Inputs!$B$26+Inputs!$B$29,IF(Skills!C5=3,120+Inputs!$B$27+Inputs!$B$29,MAX(0,(Inputs!$B$3-100)*3)+Inputs!$B$28+Inputs!$B$29)))</f>
        <v>168</v>
      </c>
      <c r="E1219">
        <f>INDEX(FactorTable!$B$2:$Y$301, MATCH(ROUND(MIN(300,MAX(1,D1219)),0), FactorTable!$A$2:$A$301,0), Skills!M5+1)</f>
        <v>1672</v>
      </c>
      <c r="F1219">
        <f>IF(Skills!N5=TRUE,(Skills!L5/10)*(E1219/1000),Skills!L5/10)+Skills!O5</f>
        <v>20.064</v>
      </c>
      <c r="G1219">
        <f>Calc!G5</f>
        <v>5</v>
      </c>
      <c r="H1219">
        <f>Calc!H5</f>
        <v>1</v>
      </c>
      <c r="I1219">
        <f>IF(Skills!X5&lt;&gt;"",1+(Skills!X5/10)*(Z1217/1000)/100,1)</f>
        <v>12.475</v>
      </c>
      <c r="J1219">
        <f>((Inputs!$B$6*(1+Inputs!$B$7/100))+(((Inputs!$B$12*(1+Inputs!$B$13/100))-(Inputs!$B$12*(1+Inputs!$B$13/100)))+0.25*(Inputs!$B$14-Inputs!$B$14))*(1+Inputs!$B$7/100))*(F1219/100)</f>
        <v>72458030.371890247</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4541925884983.542</v>
      </c>
      <c r="L1219">
        <f>K1219*(MIN(Inputs!$B$22+(F1236-Calc!F22),(Inputs!$B$23+(IF(ArtifactsInput!$M$15,CHOOSE(ArtifactsInput!$N$15+1,25,30,35,40,45,50)/100*(Inputs!$B$11-Inputs!$B$11),0))))/100+(Inputs!$B$23+(IF(ArtifactsInput!$M$15,CHOOSE(ArtifactsInput!$N$15+1,25,30,35,40,45,50)/100*(Inputs!$B$11-Inputs!$B$11),0)))/100)/2</f>
        <v>15101903567570.277</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219">
        <f>L1219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219">
        <f>(1-Summary!$B$11)*S1219+Summary!$B$11*U1219</f>
        <v>1046004996783807</v>
      </c>
      <c r="P1219">
        <f>IF(B1255=0,0,O1219/B1255)</f>
        <v>3.1613923166633758E-2</v>
      </c>
      <c r="Q1219">
        <f>IFERROR(1/(IF(Inputs!$B$38="pvp",15,MAX(0.1,Skills!E5-IF(FALSE=TRUE,Inputs!$B$32,0)))*(1-IF(AND(ArtifactsInput!$M$27,Inputs!$B$4="Chapter Hunt"),CHOOSE(ArtifactsInput!$N$27+1,20,24,28,32,36,40),0)/100)),0)</f>
        <v>1</v>
      </c>
      <c r="R1219">
        <f>IF(AND(Inputs!$B$38&lt;&gt;"pvp",Inputs!$B$43&gt;0),IF(MAX(0,Inputs!$B$43-B1252)&lt;=0,0,(INT(MAX(0,Inputs!$B$43-B1252)/(IF(Inputs!$B$38="pvp",15,MAX(0.1,Skills!E5-IF(FALSE=TRUE,Inputs!$B$32,0)))*(1-IF(AND(ArtifactsInput!$M$27,Inputs!$B$4="Chapter Hunt"),CHOOSE(ArtifactsInput!$N$27+1,20,24,28,32,36,40),0)/100)))+1)),0)</f>
        <v>38</v>
      </c>
      <c r="S1219">
        <f>IF(C1219,(H1219*N1219*IF(AND(Inputs!$B$38&lt;&gt;"pvp",Inputs!$B$43&gt;0),((Skills!G5*((R1219-1)*IF(Skills!H5&gt;0,Skills!I5/Skills!H5,1)+IF(Skills!H5&gt;0,MIN(Skills!I5,MAX(0,MAX(0,Inputs!$B$43-B1252)-((R1219-1)*(IF(Inputs!$B$38="pvp",15,MAX(0.1,Skills!E5-IF(FALSE=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219">
        <f>IF(C1219,(H1219*N1219*IF(AND(Inputs!$B$38&lt;&gt;"pvp",Inputs!$B$43&gt;0),((Skills!G5*((R1219-1)*IF(Skills!H5&gt;0,Skills!I5/Skills!H5,1)+IF(Skills!H5&gt;0,MIN(Skills!I5,MAX(0,MAX(0,Inputs!$B$43-B1252)-((R1219-1)*(IF(Inputs!$B$38="pvp",15,MAX(0.1,Skills!E5-IF(FALSE=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220" spans="1:26" x14ac:dyDescent="0.2">
      <c r="A1220" t="str">
        <f>Skills!A6</f>
        <v>MEDITATION</v>
      </c>
      <c r="B1220" t="str">
        <f>Skills!B6</f>
        <v>Meditation</v>
      </c>
      <c r="C1220" t="b">
        <f>TRUE</f>
        <v>1</v>
      </c>
      <c r="D1220">
        <f>IF(Skills!C6=1,60+Inputs!$B$25+Inputs!$B$29,IF(Skills!C6=2,90+Inputs!$B$26+Inputs!$B$29,IF(Skills!C6=3,120+Inputs!$B$27+Inputs!$B$29,MAX(0,(Inputs!$B$3-100)*3)+Inputs!$B$28+Inputs!$B$29)))</f>
        <v>168</v>
      </c>
      <c r="E1220">
        <f>INDEX(FactorTable!$B$2:$Y$301, MATCH(ROUND(MIN(300,MAX(1,D1220)),0), FactorTable!$A$2:$A$301,0), Skills!M6+1)</f>
        <v>1672</v>
      </c>
      <c r="F1220">
        <f>IF(Skills!N6=TRUE,(Skills!L6/10)*(E1220/1000),Skills!L6/10)+Skills!O6</f>
        <v>33.44</v>
      </c>
      <c r="G1220">
        <f>Calc!G6</f>
        <v>1</v>
      </c>
      <c r="H1220">
        <f>Calc!H6</f>
        <v>1</v>
      </c>
      <c r="I1220">
        <f>IF(Skills!X6&lt;&gt;"",1+(Skills!X6/10)*(Z1217/1000)/100,1)</f>
        <v>1</v>
      </c>
      <c r="O1220">
        <f>(1-Summary!$B$11)*S1220+Summary!$B$11*U1220</f>
        <v>0</v>
      </c>
      <c r="P1220">
        <f>IF(B1255=0,0,O1220/B1255)</f>
        <v>0</v>
      </c>
      <c r="Q1220">
        <f>IFERROR(1/(IF(Inputs!$B$38="pvp",15,MAX(0.1,Skills!E6-IF(TRUE=TRUE,Inputs!$B$32,0)))*(1-IF(AND(ArtifactsInput!$M$27,Inputs!$B$4="Chapter Hunt"),CHOOSE(ArtifactsInput!$N$27+1,20,24,28,32,36,40),0)/100)),0)</f>
        <v>3.3333333333333333E-2</v>
      </c>
      <c r="R1220">
        <f>IF(AND(Inputs!$B$38&lt;&gt;"pvp",Inputs!$B$43&gt;0),IF(Inputs!$B$43&lt;=0,0,(INT(Inputs!$B$43/(IF(Inputs!$B$38="pvp",15,MAX(0.1,Skills!E6-IF(TRUE=TRUE,Inputs!$B$32,0)))*(1-IF(AND(ArtifactsInput!$M$27,Inputs!$B$4="Chapter Hunt"),CHOOSE(ArtifactsInput!$N$27+1,20,24,28,32,36,40),0)/100)))+1)),0)</f>
        <v>2</v>
      </c>
      <c r="S1220">
        <v>0</v>
      </c>
      <c r="U1220">
        <v>0</v>
      </c>
    </row>
    <row r="1221" spans="1:26" x14ac:dyDescent="0.2">
      <c r="A1221" t="str">
        <f>Skills!A7</f>
        <v>POISON_MIST_BURST</v>
      </c>
      <c r="B1221" t="str">
        <f>Skills!B7</f>
        <v>Poison Mist (burst)</v>
      </c>
      <c r="C1221" t="b">
        <f>TRUE</f>
        <v>1</v>
      </c>
      <c r="D1221">
        <f>IF(Skills!C7=1,60+Inputs!$B$25+Inputs!$B$29,IF(Skills!C7=2,90+Inputs!$B$26+Inputs!$B$29,IF(Skills!C7=3,120+Inputs!$B$27+Inputs!$B$29,MAX(0,(Inputs!$B$3-100)*3)+Inputs!$B$28+Inputs!$B$29)))</f>
        <v>184</v>
      </c>
      <c r="E1221">
        <f>INDEX(FactorTable!$B$2:$Y$301, MATCH(ROUND(MIN(300,MAX(1,D1221)),0), FactorTable!$A$2:$A$301,0), Skills!M7+1)</f>
        <v>1920</v>
      </c>
      <c r="F1221">
        <f>IF(Skills!N7=TRUE,(Skills!L7/10)*(E1221/1000),Skills!L7/10)+Skills!O7</f>
        <v>357.2</v>
      </c>
      <c r="G1221">
        <f>Calc!G7</f>
        <v>3</v>
      </c>
      <c r="H1221">
        <f>Calc!H7</f>
        <v>1</v>
      </c>
      <c r="I1221">
        <f>IF(Skills!X7&lt;&gt;"",1+(Skills!X7/10)*(Z1217/1000)/100,1)</f>
        <v>1.7650000000000001</v>
      </c>
      <c r="J1221">
        <f>((Inputs!$B$6*(1+Inputs!$B$7/100))+(((Inputs!$B$12*(1+Inputs!$B$13/100))-(Inputs!$B$12*(1+Inputs!$B$13/100)))+0.25*(Inputs!$B$14-Inputs!$B$14))*(1+Inputs!$B$7/100))*(F1221/100)</f>
        <v>1289972510.4086521</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11440318873772.086</v>
      </c>
      <c r="L1221">
        <f>K1221*(MIN(Inputs!$B$22+(F1236-Calc!F22),(Inputs!$B$23+(IF(ArtifactsInput!$M$15,CHOOSE(ArtifactsInput!$N$15+1,25,30,35,40,45,50)/100*(Inputs!$B$11-Inputs!$B$11),0))))/100+(Inputs!$B$23+(IF(ArtifactsInput!$M$15,CHOOSE(ArtifactsInput!$N$15+1,25,30,35,40,45,50)/100*(Inputs!$B$11-Inputs!$B$11),0)))/100)/2</f>
        <v>38039060255292.188</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221">
        <f>L1221*(1-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221">
        <f>(1-Summary!$B$11)*S1221+Summary!$B$11*U1221</f>
        <v>447913158316422</v>
      </c>
      <c r="P1221">
        <f>IF(B1255=0,0,O1221/B1255)</f>
        <v>1.3537499549121505E-2</v>
      </c>
      <c r="Q1221">
        <f>IFERROR(1/(IF(Inputs!$B$38="pvp",15,MAX(0.1,Skills!E7-IF(TRUE=TRUE,Inputs!$B$32,0)))*(1-IF(AND(ArtifactsInput!$M$27,Inputs!$B$4="Chapter Hunt"),CHOOSE(ArtifactsInput!$N$27+1,20,24,28,32,36,40),0)/100)),0)</f>
        <v>4.0816326530612242E-2</v>
      </c>
      <c r="R1221">
        <f>IF(AND(Inputs!$B$38&lt;&gt;"pvp",Inputs!$B$43&gt;0),IF(MAX(0,Inputs!$B$43-B1252)&lt;=0,0,(INT(MAX(0,Inputs!$B$43-B1252)/(IF(Inputs!$B$38="pvp",15,MAX(0.1,Skills!E7-IF(TRUE=TRUE,Inputs!$B$32,0)))*(1-IF(AND(ArtifactsInput!$M$27,Inputs!$B$4="Chapter Hunt"),CHOOSE(ArtifactsInput!$N$27+1,20,24,28,32,36,40),0)/100)))+1)),0)</f>
        <v>2</v>
      </c>
      <c r="S1221">
        <f>IF(C1221,(H1221*N1221*IF(AND(Inputs!$B$38&lt;&gt;"pvp",Inputs!$B$43&gt;0),((Skills!G7*((R1221-1)*IF(Skills!H7&gt;0,Skills!I7/Skills!H7,1)+IF(Skills!H7&gt;0,MIN(Skills!I7,MAX(0,MAX(0,Inputs!$B$43-B1252)-((R1221-1)*(IF(Inputs!$B$38="pvp",15,MAX(0.1,Skills!E7-IF(TRUE=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221">
        <f>IF(C1221,(H1221*N1221*IF(AND(Inputs!$B$38&lt;&gt;"pvp",Inputs!$B$43&gt;0),((Skills!G7*((R1221-1)*IF(Skills!H7&gt;0,Skills!I7/Skills!H7,1)+IF(Skills!H7&gt;0,MIN(Skills!I7,MAX(0,MAX(0,Inputs!$B$43-B1252)-((R1221-1)*(IF(Inputs!$B$38="pvp",15,MAX(0.1,Skills!E7-IF(TRUE=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222" spans="1:26" x14ac:dyDescent="0.2">
      <c r="A1222" t="str">
        <f>Skills!A8</f>
        <v>POISON_MIST_DOT</v>
      </c>
      <c r="B1222" t="str">
        <f>Skills!B8</f>
        <v>Poison Mist (fog DoT)</v>
      </c>
      <c r="C1222" t="b">
        <f>TRUE</f>
        <v>1</v>
      </c>
      <c r="D1222">
        <f>IF(Skills!C8=1,60+Inputs!$B$25+Inputs!$B$29,IF(Skills!C8=2,90+Inputs!$B$26+Inputs!$B$29,IF(Skills!C8=3,120+Inputs!$B$27+Inputs!$B$29,MAX(0,(Inputs!$B$3-100)*3)+Inputs!$B$28+Inputs!$B$29)))</f>
        <v>184</v>
      </c>
      <c r="E1222">
        <f>INDEX(FactorTable!$B$2:$Y$301, MATCH(ROUND(MIN(300,MAX(1,D1222)),0), FactorTable!$A$2:$A$301,0), Skills!M8+1)</f>
        <v>1920</v>
      </c>
      <c r="F1222">
        <f>IF(Skills!N8=TRUE,(Skills!L8/10)*(E1222/1000),Skills!L8/10)+Skills!O8</f>
        <v>134.4</v>
      </c>
      <c r="G1222">
        <f>Calc!G8</f>
        <v>50</v>
      </c>
      <c r="H1222">
        <f>Calc!H8</f>
        <v>1</v>
      </c>
      <c r="I1222">
        <f>IF(Skills!X8&lt;&gt;"",1+(Skills!X8/10)*(Z1217/1000)/100,1)</f>
        <v>1.7650000000000001</v>
      </c>
      <c r="J1222">
        <f>((Inputs!$B$6*(1+Inputs!$B$7/100))+(((Inputs!$B$12*(1+Inputs!$B$13/100))-(Inputs!$B$12*(1+Inputs!$B$13/100)))+0.25*(Inputs!$B$14-Inputs!$B$14))*(1+Inputs!$B$7/100))*(F1222/100)</f>
        <v>485364796.74950409</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4304532073446.1597</v>
      </c>
      <c r="L1222">
        <f>K1222*(MIN(Inputs!$B$22+(F1236-Calc!F22),(Inputs!$B$23+(IF(ArtifactsInput!$M$15,CHOOSE(ArtifactsInput!$N$15+1,25,30,35,40,45,50)/100*(Inputs!$B$11-Inputs!$B$11),0))))/100+(Inputs!$B$23+(IF(ArtifactsInput!$M$15,CHOOSE(ArtifactsInput!$N$15+1,25,30,35,40,45,50)/100*(Inputs!$B$11-Inputs!$B$11),0)))/100)/2</f>
        <v>14312569144208.482</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222">
        <f>L1222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222">
        <f>(1-Summary!$B$11)*S1222+Summary!$B$11*U1222</f>
        <v>2327471980535951</v>
      </c>
      <c r="P1222">
        <f>IF(B1255=0,0,O1222/B1255)</f>
        <v>7.0344329703392813E-2</v>
      </c>
      <c r="Q1222">
        <f>IFERROR(1/(IF(Inputs!$B$38="pvp",15,MAX(0.1,Skills!E8-IF(TRUE=TRUE,Inputs!$B$32,0)))*(1-IF(AND(ArtifactsInput!$M$27,Inputs!$B$4="Chapter Hunt"),CHOOSE(ArtifactsInput!$N$27+1,20,24,28,32,36,40),0)/100)),0)</f>
        <v>4.0816326530612242E-2</v>
      </c>
      <c r="R1222">
        <f>IF(AND(Inputs!$B$38&lt;&gt;"pvp",Inputs!$B$43&gt;0),IF(MAX(0,Inputs!$B$43-B1252)&lt;=0,0,(INT(MAX(0,Inputs!$B$43-B1252)/(IF(Inputs!$B$38="pvp",15,MAX(0.1,Skills!E8-IF(TRUE=TRUE,Inputs!$B$32,0)))*(1-IF(AND(ArtifactsInput!$M$27,Inputs!$B$4="Chapter Hunt"),CHOOSE(ArtifactsInput!$N$27+1,20,24,28,32,36,40),0)/100)))+1)),0)</f>
        <v>2</v>
      </c>
      <c r="S1222">
        <f>IF(C1222,(H1222*N1222*IF(AND(Inputs!$B$38&lt;&gt;"pvp",Inputs!$B$43&gt;0),((Skills!G8*((R1222-1)*IF(Skills!H8&gt;0,Skills!I8/Skills!H8,1)+IF(Skills!H8&gt;0,MIN(Skills!I8,MAX(0,MAX(0,Inputs!$B$43-B1252)-((R1222-1)*(IF(Inputs!$B$38="pvp",15,MAX(0.1,Skills!E8-IF(TRUE=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222">
        <f>IF(C1222,(H1222*N1222*IF(AND(Inputs!$B$38&lt;&gt;"pvp",Inputs!$B$43&gt;0),((Skills!G8*((R1222-1)*IF(Skills!H8&gt;0,Skills!I8/Skills!H8,1)+IF(Skills!H8&gt;0,MIN(Skills!I8,MAX(0,MAX(0,Inputs!$B$43-B1252)-((R1222-1)*(IF(Inputs!$B$38="pvp",15,MAX(0.1,Skills!E8-IF(TRUE=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223" spans="1:26" x14ac:dyDescent="0.2">
      <c r="A1223" t="str">
        <f>Skills!A9</f>
        <v>MIST_ERUPTION</v>
      </c>
      <c r="B1223" t="str">
        <f>Skills!B9</f>
        <v>Mist Eruption</v>
      </c>
      <c r="C1223" t="b">
        <f>Inputs!$B$3&gt;=103</f>
        <v>1</v>
      </c>
      <c r="D1223">
        <f>IF(Skills!C9=1,60+Inputs!$B$25+Inputs!$B$29,IF(Skills!C9=2,90+Inputs!$B$26+Inputs!$B$29,IF(Skills!C9=3,120+Inputs!$B$27+Inputs!$B$29,MAX(0,(Inputs!$B$3-100)*3)+Inputs!$B$28+Inputs!$B$29)))</f>
        <v>185</v>
      </c>
      <c r="E1223">
        <f>INDEX(FactorTable!$B$2:$Y$301, MATCH(ROUND(MIN(300,MAX(1,D1223)),0), FactorTable!$A$2:$A$301,0), Skills!M9+1)</f>
        <v>1925</v>
      </c>
      <c r="F1223">
        <f>IF(Skills!N9=TRUE,(Skills!L9/10)*(E1223/1000),Skills!L9/10)+Skills!O9</f>
        <v>5775</v>
      </c>
      <c r="G1223">
        <f>Calc!G9</f>
        <v>2.5</v>
      </c>
      <c r="H1223">
        <f>Calc!H9</f>
        <v>1</v>
      </c>
      <c r="I1223">
        <f>IF(Skills!X9&lt;&gt;"",1+(Skills!X9/10)*(Z1217/1000)/100,1)</f>
        <v>1</v>
      </c>
      <c r="J1223">
        <f>((Inputs!$B$6*(1+Inputs!$B$7/100))+(((Inputs!$B$12*(1+Inputs!$B$13/100))-(Inputs!$B$12*(1+Inputs!$B$13/100)))+0.25*(Inputs!$B$14-Inputs!$B$14))*(1+Inputs!$B$7/100))*(F1223/100)</f>
        <v>20855518610.330254</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104793406533081.95</v>
      </c>
      <c r="L1223">
        <f>K1223*(MIN(Inputs!$B$22+(F1236-Calc!F22),(Inputs!$B$23+(IF(ArtifactsInput!$M$15,CHOOSE(ArtifactsInput!$N$15+1,25,30,35,40,45,50)/100*(Inputs!$B$11-Inputs!$B$11),0))))/100+(Inputs!$B$23+(IF(ArtifactsInput!$M$15,CHOOSE(ArtifactsInput!$N$15+1,25,30,35,40,45,50)/100*(Inputs!$B$11-Inputs!$B$11),0)))/100)/2</f>
        <v>348438076722497.5</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223">
        <f>L1223*(1-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223">
        <f>(1-Summary!$B$11)*S1223+Summary!$B$11*U1223</f>
        <v>3419073236278675</v>
      </c>
      <c r="P1223">
        <f>IF(B1255=0,0,O1223/B1255)</f>
        <v>0.10333633101673266</v>
      </c>
      <c r="Q1223">
        <f>IFERROR(1/(IF(Inputs!$B$38="pvp",15,MAX(0.1,Skills!E9-IF(TRUE=TRUE,Inputs!$B$32,0)))*(1-IF(AND(ArtifactsInput!$M$27,Inputs!$B$4="Chapter Hunt"),CHOOSE(ArtifactsInput!$N$27+1,20,24,28,32,36,40),0)/100)),0)</f>
        <v>4.0816326530612242E-2</v>
      </c>
      <c r="R1223">
        <f>IF(AND(Inputs!$B$38&lt;&gt;"pvp",Inputs!$B$43&gt;0),IF(MAX(0,Inputs!$B$43-B1252)&lt;=0,0,(INT(MAX(0,Inputs!$B$43-B1252)/(IF(Inputs!$B$38="pvp",15,MAX(0.1,Skills!E9-IF(TRUE=TRUE,Inputs!$B$32,0)))*(1-IF(AND(ArtifactsInput!$M$27,Inputs!$B$4="Chapter Hunt"),CHOOSE(ArtifactsInput!$N$27+1,20,24,28,32,36,40),0)/100)))+1)),0)</f>
        <v>2</v>
      </c>
      <c r="S1223">
        <f>IF(C1223,(H1223*N1223*IF(AND(Inputs!$B$38&lt;&gt;"pvp",Inputs!$B$43&gt;0),((Skills!G9*((R1223-1)*IF(Skills!H9&gt;0,Skills!I9/Skills!H9,1)+IF(Skills!H9&gt;0,MIN(Skills!I9,MAX(0,MAX(0,Inputs!$B$43-B1252)-((R1223-1)*(IF(Inputs!$B$38="pvp",15,MAX(0.1,Skills!E9-IF(TRUE=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223">
        <f>IF(C1223,(H1223*N1223*IF(AND(Inputs!$B$38&lt;&gt;"pvp",Inputs!$B$43&gt;0),((Skills!G9*((R1223-1)*IF(Skills!H9&gt;0,Skills!I9/Skills!H9,1)+IF(Skills!H9&gt;0,MIN(Skills!I9,MAX(0,MAX(0,Inputs!$B$43-B1252)-((R1223-1)*(IF(Inputs!$B$38="pvp",15,MAX(0.1,Skills!E9-IF(TRUE=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224" spans="1:26" x14ac:dyDescent="0.2">
      <c r="A1224" t="str">
        <f>Skills!A10</f>
        <v>CREEPING_TOXIN</v>
      </c>
      <c r="B1224" t="str">
        <f>Skills!B10</f>
        <v>Creeping Toxin</v>
      </c>
      <c r="C1224" t="b">
        <f>TRUE</f>
        <v>1</v>
      </c>
      <c r="D1224">
        <f>IF(Skills!C10=1,60+Inputs!$B$25+Inputs!$B$29,IF(Skills!C10=2,90+Inputs!$B$26+Inputs!$B$29,IF(Skills!C10=3,120+Inputs!$B$27+Inputs!$B$29,MAX(0,(Inputs!$B$3-100)*3)+Inputs!$B$28+Inputs!$B$29)))</f>
        <v>184</v>
      </c>
      <c r="E1224">
        <f>INDEX(FactorTable!$B$2:$Y$301, MATCH(ROUND(MIN(300,MAX(1,D1224)),0), FactorTable!$A$2:$A$301,0), Skills!M10+1)</f>
        <v>1920</v>
      </c>
      <c r="F1224">
        <f>IF(Skills!N10=TRUE,(Skills!L10/10)*(E1224/1000),Skills!L10/10)+Skills!O10</f>
        <v>280.39999999999998</v>
      </c>
      <c r="G1224">
        <f>Calc!G10</f>
        <v>15</v>
      </c>
      <c r="H1224">
        <f>Calc!H10</f>
        <v>1</v>
      </c>
      <c r="I1224">
        <f>IF(Skills!X10&lt;&gt;"",1+(Skills!X10/10)*(Z1217/1000)/100,1)</f>
        <v>1.7650000000000001</v>
      </c>
      <c r="J1224">
        <f>((Inputs!$B$6*(1+Inputs!$B$7/100))+(((Inputs!$B$12*(1+Inputs!$B$13/100))-(Inputs!$B$12*(1+Inputs!$B$13/100)))+0.25*(Inputs!$B$14-Inputs!$B$14))*(1+Inputs!$B$7/100))*(F1224/100)</f>
        <v>1012621197.9803641</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8980586260374.2793</v>
      </c>
      <c r="L1224">
        <f>K1224*(MIN(Inputs!$B$22+(F1236-Calc!F22),(Inputs!$B$23+(IF(ArtifactsInput!$M$15,CHOOSE(ArtifactsInput!$N$15+1,25,30,35,40,45,50)/100*(Inputs!$B$11-Inputs!$B$11),0))))/100+(Inputs!$B$23+(IF(ArtifactsInput!$M$15,CHOOSE(ArtifactsInput!$N$15+1,25,30,35,40,45,50)/100*(Inputs!$B$11-Inputs!$B$11),0)))/100)/2</f>
        <v>29860449315744.48</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224">
        <f>L1224*(1-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224">
        <f>(1-Summary!$B$11)*S1224+Summary!$B$11*U1224</f>
        <v>324323455609081.62</v>
      </c>
      <c r="P1224">
        <f>IF(B1255=0,0,O1224/B1255)</f>
        <v>9.8021872154419789E-3</v>
      </c>
      <c r="Q1224">
        <f>IFERROR(1/(IF(Inputs!$B$38="pvp",15,MAX(0.1,Skills!E10-IF(TRUE=TRUE,Inputs!$B$32,0)))*(1-IF(AND(ArtifactsInput!$M$27,Inputs!$B$4="Chapter Hunt"),CHOOSE(ArtifactsInput!$N$27+1,20,24,28,32,36,40),0)/100)),0)</f>
        <v>3.7037037037037035E-2</v>
      </c>
      <c r="R1224">
        <f>IF(AND(Inputs!$B$38&lt;&gt;"pvp",Inputs!$B$43&gt;0),IF(MAX(0,Inputs!$B$43-B1252)&lt;=0,0,(INT(MAX(0,Inputs!$B$43-B1252)/(IF(Inputs!$B$38="pvp",15,MAX(0.1,Skills!E10-IF(TRUE=TRUE,Inputs!$B$32,0)))*(1-IF(AND(ArtifactsInput!$M$27,Inputs!$B$4="Chapter Hunt"),CHOOSE(ArtifactsInput!$N$27+1,20,24,28,32,36,40),0)/100)))+1)),0)</f>
        <v>2</v>
      </c>
      <c r="S1224">
        <f>IF(C1224,(H1224*N1224*IF(AND(Inputs!$B$38&lt;&gt;"pvp",Inputs!$B$43&gt;0),((Skills!G10*((R1224-1)*IF(Skills!H10&gt;0,Skills!I10/Skills!H10,1)+IF(Skills!H10&gt;0,MIN(Skills!I10,MAX(0,MAX(0,Inputs!$B$43-B1252)-((R1224-1)*(IF(Inputs!$B$38="pvp",15,MAX(0.1,Skills!E10-IF(TRUE=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224">
        <f>IF(C1224,(H1224*N1224*IF(AND(Inputs!$B$38&lt;&gt;"pvp",Inputs!$B$43&gt;0),((Skills!G10*((R1224-1)*IF(Skills!H10&gt;0,Skills!I10/Skills!H10,1)+IF(Skills!H10&gt;0,MIN(Skills!I10,MAX(0,MAX(0,Inputs!$B$43-B1252)-((R1224-1)*(IF(Inputs!$B$38="pvp",15,MAX(0.1,Skills!E10-IF(TRUE=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225" spans="1:26" x14ac:dyDescent="0.2">
      <c r="A1225" t="str">
        <f>Skills!A11</f>
        <v>BURNING_MAGIC</v>
      </c>
      <c r="B1225" t="str">
        <f>Skills!B11</f>
        <v>Burning Magic</v>
      </c>
      <c r="C1225" t="b">
        <f>TRUE</f>
        <v>1</v>
      </c>
      <c r="D1225">
        <f>IF(Skills!C11=1,60+Inputs!$B$25+Inputs!$B$29,IF(Skills!C11=2,90+Inputs!$B$26+Inputs!$B$29,IF(Skills!C11=3,120+Inputs!$B$27+Inputs!$B$29,MAX(0,(Inputs!$B$3-100)*3)+Inputs!$B$28+Inputs!$B$29)))</f>
        <v>184</v>
      </c>
      <c r="E1225">
        <f>INDEX(FactorTable!$B$2:$Y$301, MATCH(ROUND(MIN(300,MAX(1,D1225)),0), FactorTable!$A$2:$A$301,0), Skills!M11+1)</f>
        <v>0</v>
      </c>
      <c r="F1225">
        <f>IF(Skills!N11=TRUE,(Skills!L11/10)*(E1225/1000),Skills!L11/10)+Skills!O11</f>
        <v>5</v>
      </c>
      <c r="G1225">
        <f>Calc!G11</f>
        <v>1</v>
      </c>
      <c r="H1225">
        <f>Calc!H11</f>
        <v>1</v>
      </c>
      <c r="I1225">
        <f>IF(Skills!X11&lt;&gt;"",1+(Skills!X11/10)*(Z1217/1000)/100,1)</f>
        <v>1</v>
      </c>
      <c r="O1225">
        <f>(1-Summary!$B$11)*S1225+Summary!$B$11*U1225</f>
        <v>0</v>
      </c>
      <c r="P1225">
        <f>IF(B1255=0,0,O1225/B1255)</f>
        <v>0</v>
      </c>
      <c r="Q1225">
        <f>IFERROR(1/(IF(Inputs!$B$38="pvp",15,MAX(0.1,Skills!E11-IF(TRUE=TRUE,Inputs!$B$32,0)))*(1-IF(AND(ArtifactsInput!$M$27,Inputs!$B$4="Chapter Hunt"),CHOOSE(ArtifactsInput!$N$27+1,20,24,28,32,36,40),0)/100)),0)</f>
        <v>10</v>
      </c>
      <c r="R1225">
        <v>0</v>
      </c>
      <c r="S1225">
        <v>0</v>
      </c>
      <c r="U1225">
        <v>0</v>
      </c>
    </row>
    <row r="1226" spans="1:26" x14ac:dyDescent="0.2">
      <c r="A1226" t="str">
        <f>Skills!A12</f>
        <v>ELEMENTAL_DECREASE</v>
      </c>
      <c r="B1226" t="str">
        <f>Skills!B12</f>
        <v>Elemental Decrease</v>
      </c>
      <c r="C1226" t="b">
        <f>TRUE</f>
        <v>1</v>
      </c>
      <c r="D1226">
        <f>IF(Skills!C12=1,60+Inputs!$B$25+Inputs!$B$29,IF(Skills!C12=2,90+Inputs!$B$26+Inputs!$B$29,IF(Skills!C12=3,120+Inputs!$B$27+Inputs!$B$29,MAX(0,(Inputs!$B$3-100)*3)+Inputs!$B$28+Inputs!$B$29)))</f>
        <v>184</v>
      </c>
      <c r="E1226">
        <f>INDEX(FactorTable!$B$2:$Y$301, MATCH(ROUND(MIN(300,MAX(1,D1226)),0), FactorTable!$A$2:$A$301,0), Skills!M12+1)</f>
        <v>1552</v>
      </c>
      <c r="F1226">
        <f>IF(Skills!N12=TRUE,(Skills!L12/10)*(E1226/1000),Skills!L12/10)+Skills!O12</f>
        <v>18.624000000000002</v>
      </c>
      <c r="G1226">
        <f>Calc!G12</f>
        <v>1</v>
      </c>
      <c r="H1226">
        <f>Calc!H12</f>
        <v>0.5</v>
      </c>
      <c r="I1226">
        <f>IF(Skills!X12&lt;&gt;"",1+(Skills!X12/10)*(Z1217/1000)/100,1)</f>
        <v>1</v>
      </c>
      <c r="O1226">
        <f>(1-Summary!$B$11)*S1226+Summary!$B$11*U1226</f>
        <v>0</v>
      </c>
      <c r="P1226">
        <f>IF(B1255=0,0,O1226/B1255)</f>
        <v>0</v>
      </c>
      <c r="Q1226">
        <f>IFERROR(1/(IF(Inputs!$B$38="pvp",15,MAX(0.1,Skills!E12-IF(TRUE=TRUE,Inputs!$B$32,0)))*(1-IF(AND(ArtifactsInput!$M$27,Inputs!$B$4="Chapter Hunt"),CHOOSE(ArtifactsInput!$N$27+1,20,24,28,32,36,40),0)/100)),0)</f>
        <v>10</v>
      </c>
      <c r="R1226">
        <v>0</v>
      </c>
      <c r="S1226">
        <v>0</v>
      </c>
      <c r="U1226">
        <v>0</v>
      </c>
    </row>
    <row r="1227" spans="1:26" x14ac:dyDescent="0.2">
      <c r="A1227" t="str">
        <f>Skills!A13</f>
        <v>METEOR_SHOWER_BURST</v>
      </c>
      <c r="B1227" t="str">
        <f>Skills!B13</f>
        <v>Meteor Shower (burst)</v>
      </c>
      <c r="C1227" t="b">
        <f>Inputs!$B$3&gt;=105</f>
        <v>1</v>
      </c>
      <c r="D1227">
        <f>IF(Skills!C13=1,60+Inputs!$B$25+Inputs!$B$29,IF(Skills!C13=2,90+Inputs!$B$26+Inputs!$B$29,IF(Skills!C13=3,120+Inputs!$B$27+Inputs!$B$29,MAX(0,(Inputs!$B$3-100)*3)+Inputs!$B$28+Inputs!$B$29)))</f>
        <v>185</v>
      </c>
      <c r="E1227">
        <f>INDEX(FactorTable!$B$2:$Y$301, MATCH(ROUND(MIN(300,MAX(1,D1227)),0), FactorTable!$A$2:$A$301,0), Skills!M13+1)</f>
        <v>1925</v>
      </c>
      <c r="F1227">
        <f>IF(Skills!N13=TRUE,(Skills!L13/10)*(E1227/1000),Skills!L13/10)+Skills!O13</f>
        <v>1155</v>
      </c>
      <c r="G1227">
        <f>Calc!G13</f>
        <v>9</v>
      </c>
      <c r="H1227">
        <f>Calc!H13</f>
        <v>1</v>
      </c>
      <c r="I1227">
        <f>IF(Skills!X13&lt;&gt;"",1+(Skills!X13/10)*(Z1217/1000)/100,1)</f>
        <v>1</v>
      </c>
      <c r="J1227">
        <f>((Inputs!$B$6*(1+Inputs!$B$7/100))+(((Inputs!$B$12*(1+Inputs!$B$13/100))-(Inputs!$B$12*(1+Inputs!$B$13/100)))+0.25*(Inputs!$B$14-Inputs!$B$14))*(1+Inputs!$B$7/100))*(F1227/100)</f>
        <v>4171103722.0660505</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20958681306616.391</v>
      </c>
      <c r="L1227">
        <f>K1227*(MIN(Inputs!$B$22+(F1236-Calc!F22),(Inputs!$B$23+(IF(ArtifactsInput!$M$15,CHOOSE(ArtifactsInput!$N$15+1,25,30,35,40,45,50)/100*(Inputs!$B$11-Inputs!$B$11),0))))/100+(Inputs!$B$23+(IF(ArtifactsInput!$M$15,CHOOSE(ArtifactsInput!$N$15+1,25,30,35,40,45,50)/100*(Inputs!$B$11-Inputs!$B$11),0)))/100)/2</f>
        <v>69687615344499.5</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227">
        <f>L1227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227">
        <f>(1-Summary!$B$11)*S1227+Summary!$B$11*U1227</f>
        <v>1793579843045520.5</v>
      </c>
      <c r="P1227">
        <f>IF(B1255=0,0,O1227/B1255)</f>
        <v>5.4208245204954375E-2</v>
      </c>
      <c r="Q1227">
        <f>IFERROR(1/(IF(Inputs!$B$38="pvp",15,MAX(0.1,Skills!E13-IF(TRUE=TRUE,Inputs!$B$32,0)))*(1-IF(AND(ArtifactsInput!$M$27,Inputs!$B$4="Chapter Hunt"),CHOOSE(ArtifactsInput!$N$27+1,20,24,28,32,36,40),0)/100)),0)</f>
        <v>3.0303030303030304E-2</v>
      </c>
      <c r="R1227">
        <f>IF(AND(Inputs!$B$38&lt;&gt;"pvp",Inputs!$B$43&gt;0),IF(MAX(0,Inputs!$B$43-B1252)&lt;=0,0,(INT(MAX(0,Inputs!$B$43-B1252)/(IF(Inputs!$B$38="pvp",15,MAX(0.1,Skills!E13-IF(TRUE=TRUE,Inputs!$B$32,0)))*(1-IF(AND(ArtifactsInput!$M$27,Inputs!$B$4="Chapter Hunt"),CHOOSE(ArtifactsInput!$N$27+1,20,24,28,32,36,40),0)/100)))+1)),0)</f>
        <v>2</v>
      </c>
      <c r="S1227">
        <f>IF(C1227,(H1227*N1227*IF(AND(Inputs!$B$38&lt;&gt;"pvp",Inputs!$B$43&gt;0),((Skills!G13*((R1227-1)*IF(Skills!H13&gt;0,Skills!I13/Skills!H13,1)+IF(Skills!H13&gt;0,MIN(Skills!I13,MAX(0,MAX(0,Inputs!$B$43-B1252)-((R1227-1)*(IF(Inputs!$B$38="pvp",15,MAX(0.1,Skills!E13-IF(TRUE=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227">
        <f>IF(C1227,(H1227*N1227*IF(AND(Inputs!$B$38&lt;&gt;"pvp",Inputs!$B$43&gt;0),((Skills!G13*((R1227-1)*IF(Skills!H13&gt;0,Skills!I13/Skills!H13,1)+IF(Skills!H13&gt;0,MIN(Skills!I13,MAX(0,MAX(0,Inputs!$B$43-B1252)-((R1227-1)*(IF(Inputs!$B$38="pvp",15,MAX(0.1,Skills!E13-IF(TRUE=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228" spans="1:26" x14ac:dyDescent="0.2">
      <c r="A1228" t="str">
        <f>Skills!A14</f>
        <v>METEOR_PROC</v>
      </c>
      <c r="B1228" t="str">
        <f>Skills!B14</f>
        <v>Meteor Proc (30% on-hit, 1s ICD)</v>
      </c>
      <c r="C1228" t="b">
        <f>Inputs!$B$3&gt;=113</f>
        <v>1</v>
      </c>
      <c r="D1228">
        <f>IF(Skills!C14=1,60+Inputs!$B$25+Inputs!$B$29,IF(Skills!C14=2,90+Inputs!$B$26+Inputs!$B$29,IF(Skills!C14=3,120+Inputs!$B$27+Inputs!$B$29,MAX(0,(Inputs!$B$3-100)*3)+Inputs!$B$28+Inputs!$B$29)))</f>
        <v>185</v>
      </c>
      <c r="E1228">
        <f>INDEX(FactorTable!$B$2:$Y$301, MATCH(ROUND(MIN(300,MAX(1,D1228)),0), FactorTable!$A$2:$A$301,0), Skills!M14+1)</f>
        <v>1740</v>
      </c>
      <c r="F1228">
        <f>IF(Skills!N14=TRUE,(Skills!L14/10)*(E1228/1000),Skills!L14/10)+Skills!O14</f>
        <v>1653</v>
      </c>
      <c r="G1228">
        <f>Calc!G14</f>
        <v>0</v>
      </c>
      <c r="H1228">
        <f>Calc!H14</f>
        <v>0.30000000000000004</v>
      </c>
      <c r="I1228">
        <f>IF(Skills!X14&lt;&gt;"",1+(Skills!X14/10)*(Z1217/1000)/100,1)</f>
        <v>1</v>
      </c>
      <c r="J1228">
        <f>((Inputs!$B$6*(1+Inputs!$B$7/100))+(((Inputs!$B$12*(1+Inputs!$B$13/100))-(Inputs!$B$12*(1+Inputs!$B$13/100)))+0.25*(Inputs!$B$14-Inputs!$B$14))*(1+Inputs!$B$7/100))*(F1228/100)</f>
        <v>5969553638.5932312</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29995411428430.203</v>
      </c>
      <c r="L1228">
        <f>K1228*(MIN(Inputs!$B$22+(F1236-Calc!F22),(Inputs!$B$23+(IF(ArtifactsInput!$M$15,CHOOSE(ArtifactsInput!$N$15+1,25,30,35,40,45,50)/100*(Inputs!$B$11-Inputs!$B$11),0))))/100+(Inputs!$B$23+(IF(ArtifactsInput!$M$15,CHOOSE(ArtifactsInput!$N$15+1,25,30,35,40,45,50)/100*(Inputs!$B$11-Inputs!$B$11),0)))/100)/2</f>
        <v>99734742999530.438</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228">
        <f>L1228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228">
        <f>(1-Summary!$B$11)*S1228+Summary!$B$11*U1228</f>
        <v>461258197543910.38</v>
      </c>
      <c r="P1228">
        <f>IF(B1255=0,0,O1228/B1255)</f>
        <v>1.3940833229257574E-2</v>
      </c>
      <c r="Q1228">
        <f>IFERROR(1/(IF(Inputs!$B$38="pvp",15,MAX(0.1,Skills!E14-IF(TRUE=TRUE,Inputs!$B$32,0)))*(1-IF(AND(ArtifactsInput!$M$27,Inputs!$B$4="Chapter Hunt"),CHOOSE(ArtifactsInput!$N$27+1,20,24,28,32,36,40),0)/100)),0)</f>
        <v>10</v>
      </c>
      <c r="R1228">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229" spans="1:26" x14ac:dyDescent="0.2">
      <c r="A1229" t="str">
        <f>Skills!A15</f>
        <v>FLAME_HAZE_BURST</v>
      </c>
      <c r="B1229" t="str">
        <f>Skills!B15</f>
        <v>Flame Haze (burst)</v>
      </c>
      <c r="C1229" t="b">
        <f>Inputs!$B$3&gt;=107</f>
        <v>1</v>
      </c>
      <c r="D1229">
        <f>IF(Skills!C15=1,60+Inputs!$B$25+Inputs!$B$29,IF(Skills!C15=2,90+Inputs!$B$26+Inputs!$B$29,IF(Skills!C15=3,120+Inputs!$B$27+Inputs!$B$29,MAX(0,(Inputs!$B$3-100)*3)+Inputs!$B$28+Inputs!$B$29)))</f>
        <v>185</v>
      </c>
      <c r="E1229">
        <f>INDEX(FactorTable!$B$2:$Y$301, MATCH(ROUND(MIN(300,MAX(1,D1229)),0), FactorTable!$A$2:$A$301,0), Skills!M15+1)</f>
        <v>1925</v>
      </c>
      <c r="F1229">
        <f>IF(Skills!N15=TRUE,(Skills!L15/10)*(E1229/1000),Skills!L15/10)+Skills!O15</f>
        <v>2310</v>
      </c>
      <c r="G1229">
        <f>Calc!G15</f>
        <v>3</v>
      </c>
      <c r="H1229">
        <f>Calc!H15</f>
        <v>1</v>
      </c>
      <c r="I1229">
        <f>IF(Skills!X15&lt;&gt;"",1+(Skills!X15/10)*(Z1217/1000)/100,1)</f>
        <v>1</v>
      </c>
      <c r="J1229">
        <f>((Inputs!$B$6*(1+Inputs!$B$7/100))+(((Inputs!$B$12*(1+Inputs!$B$13/100))-(Inputs!$B$12*(1+Inputs!$B$13/100)))+0.25*(Inputs!$B$14-Inputs!$B$14))*(1+Inputs!$B$7/100))*(F1229/100)</f>
        <v>8342207444.1321011</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41917362613232.781</v>
      </c>
      <c r="L1229">
        <f>K1229*(MIN(Inputs!$B$22+(F1236-Calc!F22),(Inputs!$B$23+(IF(ArtifactsInput!$M$15,CHOOSE(ArtifactsInput!$N$15+1,25,30,35,40,45,50)/100*(Inputs!$B$11-Inputs!$B$11),0))))/100+(Inputs!$B$23+(IF(ArtifactsInput!$M$15,CHOOSE(ArtifactsInput!$N$15+1,25,30,35,40,45,50)/100*(Inputs!$B$11-Inputs!$B$11),0)))/100)/2</f>
        <v>139375230688999</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229">
        <f>L1229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229">
        <f>(1-Summary!$B$11)*S1229+Summary!$B$11*U1229</f>
        <v>1641155153413763.8</v>
      </c>
      <c r="P1229">
        <f>IF(B1255=0,0,O1229/B1255)</f>
        <v>4.9601438888031674E-2</v>
      </c>
      <c r="Q1229">
        <f>IFERROR(1/(IF(Inputs!$B$38="pvp",15,MAX(0.1,Skills!E15-IF(TRUE=TRUE,Inputs!$B$32,0)))*(1-IF(AND(ArtifactsInput!$M$27,Inputs!$B$4="Chapter Hunt"),CHOOSE(ArtifactsInput!$N$27+1,20,24,28,32,36,40),0)/100)),0)</f>
        <v>0.04</v>
      </c>
      <c r="R1229">
        <f>IF(AND(Inputs!$B$38&lt;&gt;"pvp",Inputs!$B$43&gt;0),IF(MAX(0,Inputs!$B$43-B1252)&lt;=0,0,(INT(MAX(0,Inputs!$B$43-B1252)/(IF(Inputs!$B$38="pvp",15,MAX(0.1,Skills!E15-IF(TRUE=TRUE,Inputs!$B$32,0)))*(1-IF(AND(ArtifactsInput!$M$27,Inputs!$B$4="Chapter Hunt"),CHOOSE(ArtifactsInput!$N$27+1,20,24,28,32,36,40),0)/100)))+1)),0)</f>
        <v>2</v>
      </c>
      <c r="S1229">
        <f>IF(C1229,(H1229*N1229*IF(AND(Inputs!$B$38&lt;&gt;"pvp",Inputs!$B$43&gt;0),((Skills!G15*((R1229-1)*IF(Skills!H15&gt;0,Skills!I15/Skills!H15,1)+IF(Skills!H15&gt;0,MIN(Skills!I15,MAX(0,MAX(0,Inputs!$B$43-B1252)-((R1229-1)*(IF(Inputs!$B$38="pvp",15,MAX(0.1,Skills!E15-IF(TRUE=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229">
        <f>IF(C1229,(H1229*N1229*IF(AND(Inputs!$B$38&lt;&gt;"pvp",Inputs!$B$43&gt;0),((Skills!G15*((R1229-1)*IF(Skills!H15&gt;0,Skills!I15/Skills!H15,1)+IF(Skills!H15&gt;0,MIN(Skills!I15,MAX(0,MAX(0,Inputs!$B$43-B1252)-((R1229-1)*(IF(Inputs!$B$38="pvp",15,MAX(0.1,Skills!E15-IF(TRUE=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230" spans="1:26" x14ac:dyDescent="0.2">
      <c r="A1230" t="str">
        <f>Skills!A16</f>
        <v>FLAME_HAZE_DOT</v>
      </c>
      <c r="B1230" t="str">
        <f>Skills!B16</f>
        <v>Flame Haze (burn DoT)</v>
      </c>
      <c r="C1230" t="b">
        <f>Inputs!$B$3&gt;=107</f>
        <v>1</v>
      </c>
      <c r="D1230">
        <f>IF(Skills!C16=1,60+Inputs!$B$25+Inputs!$B$29,IF(Skills!C16=2,90+Inputs!$B$26+Inputs!$B$29,IF(Skills!C16=3,120+Inputs!$B$27+Inputs!$B$29,MAX(0,(Inputs!$B$3-100)*3)+Inputs!$B$28+Inputs!$B$29)))</f>
        <v>185</v>
      </c>
      <c r="E1230">
        <f>INDEX(FactorTable!$B$2:$Y$301, MATCH(ROUND(MIN(300,MAX(1,D1230)),0), FactorTable!$A$2:$A$301,0), Skills!M16+1)</f>
        <v>1925</v>
      </c>
      <c r="F1230">
        <f>IF(Skills!N16=TRUE,(Skills!L16/10)*(E1230/1000),Skills!L16/10)+Skills!O16</f>
        <v>288.75</v>
      </c>
      <c r="G1230">
        <f>Calc!G16</f>
        <v>30</v>
      </c>
      <c r="H1230">
        <f>Calc!H16</f>
        <v>1</v>
      </c>
      <c r="I1230">
        <f>IF(Skills!X16&lt;&gt;"",1+(Skills!X16/10)*(Z1217/1000)/100,1)</f>
        <v>1</v>
      </c>
      <c r="J1230">
        <f>((Inputs!$B$6*(1+Inputs!$B$7/100))+(((Inputs!$B$12*(1+Inputs!$B$13/100))-(Inputs!$B$12*(1+Inputs!$B$13/100)))+0.25*(Inputs!$B$14-Inputs!$B$14))*(1+Inputs!$B$7/100))*(F1230/100)</f>
        <v>1042775930.5165126</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5239670326654.0977</v>
      </c>
      <c r="L1230">
        <f>K1230*(MIN(Inputs!$B$22+(F1236-Calc!F22),(Inputs!$B$23+(IF(ArtifactsInput!$M$15,CHOOSE(ArtifactsInput!$N$15+1,25,30,35,40,45,50)/100*(Inputs!$B$11-Inputs!$B$11),0))))/100+(Inputs!$B$23+(IF(ArtifactsInput!$M$15,CHOOSE(ArtifactsInput!$N$15+1,25,30,35,40,45,50)/100*(Inputs!$B$11-Inputs!$B$11),0)))/100)/2</f>
        <v>17421903836124.875</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230">
        <f>L1230*(1-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230">
        <f>(1-Summary!$B$11)*S1230+Summary!$B$11*U1230</f>
        <v>1890384927888193</v>
      </c>
      <c r="P1230">
        <f>IF(B1255=0,0,O1230/B1255)</f>
        <v>5.7134032867313167E-2</v>
      </c>
      <c r="Q1230">
        <f>IFERROR(1/(IF(Inputs!$B$38="pvp",15,MAX(0.1,Skills!E16-IF(TRUE=TRUE,Inputs!$B$32,0)))*(1-IF(AND(ArtifactsInput!$M$27,Inputs!$B$4="Chapter Hunt"),CHOOSE(ArtifactsInput!$N$27+1,20,24,28,32,36,40),0)/100)),0)</f>
        <v>0.04</v>
      </c>
      <c r="R1230">
        <f>IF(AND(Inputs!$B$38&lt;&gt;"pvp",Inputs!$B$43&gt;0),IF(MAX(0,Inputs!$B$43-B1252)&lt;=0,0,(INT(MAX(0,Inputs!$B$43-B1252)/(IF(Inputs!$B$38="pvp",15,MAX(0.1,Skills!E16-IF(TRUE=TRUE,Inputs!$B$32,0)))*(1-IF(AND(ArtifactsInput!$M$27,Inputs!$B$4="Chapter Hunt"),CHOOSE(ArtifactsInput!$N$27+1,20,24,28,32,36,40),0)/100)))+1)),0)</f>
        <v>2</v>
      </c>
      <c r="S1230">
        <f>IF(C1230,(H1230*N1230*IF(AND(Inputs!$B$38&lt;&gt;"pvp",Inputs!$B$43&gt;0),((Skills!G16*((R1230-1)*IF(Skills!H16&gt;0,Skills!I16/Skills!H16,1)+IF(Skills!H16&gt;0,MIN(Skills!I16,MAX(0,MAX(0,Inputs!$B$43-B1252)-((R1230-1)*(IF(Inputs!$B$38="pvp",15,MAX(0.1,Skills!E16-IF(TRUE=TRUE,Inputs!$B$32,0)))*(1-IF(AND(ArtifactsInput!$M$27,Inputs!$B$4="Chapter Hunt"),CHOOSE(ArtifactsInput!$N$27+1,20,24,28,32,36,40),0)/100)))))/Skills!H16,1)))/Inputs!$B$43),G1230*Q1230)*(1+IF(Inputs!$B$3&gt;=126,0.05*(B1250+Q1227+(H1228*B1251)/(1+Skills!H14*H1228*B1251)+Q1238),0)*(1/Q1229)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230">
        <f>IF(C1230,(H1230*N1230*IF(AND(Inputs!$B$38&lt;&gt;"pvp",Inputs!$B$43&gt;0),((Skills!G16*((R1230-1)*IF(Skills!H16&gt;0,Skills!I16/Skills!H16,1)+IF(Skills!H16&gt;0,MIN(Skills!I16,MAX(0,MAX(0,Inputs!$B$43-B1252)-((R1230-1)*(IF(Inputs!$B$38="pvp",15,MAX(0.1,Skills!E16-IF(TRUE=TRUE,Inputs!$B$32,0)))*(1-IF(AND(ArtifactsInput!$M$27,Inputs!$B$4="Chapter Hunt"),CHOOSE(ArtifactsInput!$N$27+1,20,24,28,32,36,40),0)/100)))))/Skills!H16,1)))/Inputs!$B$43),G1230*Q1230)*(1+IF(Inputs!$B$3&gt;=126,0.05*(B1250+Q1227+(H1228*B1251)/(1+Skills!H14*H1228*B1251)+Q1238),0)*(1/Q1229)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231" spans="1:26" x14ac:dyDescent="0.2">
      <c r="A1231" t="str">
        <f>Skills!A17</f>
        <v>MAGIC_GUARD</v>
      </c>
      <c r="B1231" t="str">
        <f>Skills!B17</f>
        <v>Magic Guard</v>
      </c>
      <c r="C1231" t="b">
        <f>TRUE</f>
        <v>1</v>
      </c>
      <c r="D1231">
        <f>IF(Skills!C17=1,60+Inputs!$B$25+Inputs!$B$29,IF(Skills!C17=2,90+Inputs!$B$26+Inputs!$B$29,IF(Skills!C17=3,120+Inputs!$B$27+Inputs!$B$29,MAX(0,(Inputs!$B$3-100)*3)+Inputs!$B$28+Inputs!$B$29)))</f>
        <v>127</v>
      </c>
      <c r="E1231">
        <f>INDEX(FactorTable!$B$2:$Y$301, MATCH(ROUND(MIN(300,MAX(1,D1231)),0), FactorTable!$A$2:$A$301,0), Skills!M17+1)</f>
        <v>1508</v>
      </c>
      <c r="F1231">
        <f>IF(Skills!N17=TRUE,(Skills!L17/10)*(E1231/1000),Skills!L17/10)+Skills!O17</f>
        <v>18.096</v>
      </c>
      <c r="G1231">
        <f>Calc!G17</f>
        <v>1</v>
      </c>
      <c r="H1231">
        <f>Calc!H17</f>
        <v>1</v>
      </c>
      <c r="I1231">
        <f>IF(Skills!X17&lt;&gt;"",1+(Skills!X17/10)*(Z1217/1000)/100,1)</f>
        <v>1</v>
      </c>
      <c r="O1231">
        <f>(1-Summary!$B$11)*S1231+Summary!$B$11*U1231</f>
        <v>0</v>
      </c>
      <c r="P1231">
        <f>IF(B1255=0,0,O1231/B1255)</f>
        <v>0</v>
      </c>
      <c r="Q1231">
        <f>IFERROR(1/(IF(Inputs!$B$38="pvp",15,MAX(0.1,Skills!E17-IF(TRUE=TRUE,Inputs!$B$32,0)))*(1-IF(AND(ArtifactsInput!$M$27,Inputs!$B$4="Chapter Hunt"),CHOOSE(ArtifactsInput!$N$27+1,20,24,28,32,36,40),0)/100)),0)</f>
        <v>4.7619047619047616E-2</v>
      </c>
      <c r="R1231">
        <f>IF(AND(Inputs!$B$38&lt;&gt;"pvp",Inputs!$B$43&gt;0),IF(Inputs!$B$43&lt;=0,0,(INT(Inputs!$B$43/(IF(Inputs!$B$38="pvp",15,MAX(0.1,Skills!E17-IF(TRUE=TRUE,Inputs!$B$32,0)))*(1-IF(AND(ArtifactsInput!$M$27,Inputs!$B$4="Chapter Hunt"),CHOOSE(ArtifactsInput!$N$27+1,20,24,28,32,36,40),0)/100)))+1)),0)</f>
        <v>2</v>
      </c>
      <c r="S1231">
        <v>0</v>
      </c>
      <c r="U1231">
        <v>0</v>
      </c>
    </row>
    <row r="1232" spans="1:26" x14ac:dyDescent="0.2">
      <c r="A1232" t="str">
        <f>Skills!A18</f>
        <v>NIMBLE_FEET</v>
      </c>
      <c r="B1232" t="str">
        <f>Skills!B18</f>
        <v>Nimble Feet</v>
      </c>
      <c r="C1232" t="b">
        <f>TRUE</f>
        <v>1</v>
      </c>
      <c r="D1232">
        <f>IF(Skills!C18=1,60+Inputs!$B$25+Inputs!$B$29,IF(Skills!C18=2,90+Inputs!$B$26+Inputs!$B$29,IF(Skills!C18=3,120+Inputs!$B$27+Inputs!$B$29,MAX(0,(Inputs!$B$3-100)*3)+Inputs!$B$28+Inputs!$B$29)))</f>
        <v>127</v>
      </c>
      <c r="E1232">
        <f>INDEX(FactorTable!$B$2:$Y$301, MATCH(ROUND(MIN(300,MAX(1,D1232)),0), FactorTable!$A$2:$A$301,0), Skills!M18+1)</f>
        <v>0</v>
      </c>
      <c r="F1232">
        <f>IF(Skills!N18=TRUE,(Skills!L18/10)*(E1232/1000),Skills!L18/10)+Skills!O18</f>
        <v>15</v>
      </c>
      <c r="G1232">
        <f>Calc!G18</f>
        <v>1</v>
      </c>
      <c r="H1232">
        <f>Calc!H18</f>
        <v>1</v>
      </c>
      <c r="I1232">
        <f>IF(Skills!X18&lt;&gt;"",1+(Skills!X18/10)*(Z1217/1000)/100,1)</f>
        <v>1</v>
      </c>
      <c r="O1232">
        <f>(1-Summary!$B$11)*S1232+Summary!$B$11*U1232</f>
        <v>0</v>
      </c>
      <c r="P1232">
        <f>IF(B1255=0,0,O1232/B1255)</f>
        <v>0</v>
      </c>
      <c r="Q1232">
        <f>IFERROR(1/(IF(Inputs!$B$38="pvp",15,MAX(0.1,Skills!E18-IF(TRUE=TRUE,Inputs!$B$32,0)))*(1-IF(AND(ArtifactsInput!$M$27,Inputs!$B$4="Chapter Hunt"),CHOOSE(ArtifactsInput!$N$27+1,20,24,28,32,36,40),0)/100)),0)</f>
        <v>1.6666666666666666E-2</v>
      </c>
      <c r="R1232">
        <f>IF(AND(Inputs!$B$38&lt;&gt;"pvp",Inputs!$B$43&gt;0),IF(Inputs!$B$43&lt;=0,0,(INT(Inputs!$B$43/(IF(Inputs!$B$38="pvp",15,MAX(0.1,Skills!E18-IF(TRUE=TRUE,Inputs!$B$32,0)))*(1-IF(AND(ArtifactsInput!$M$27,Inputs!$B$4="Chapter Hunt"),CHOOSE(ArtifactsInput!$N$27+1,20,24,28,32,36,40),0)/100)))+1)),0)</f>
        <v>1</v>
      </c>
      <c r="S1232">
        <v>0</v>
      </c>
      <c r="U1232">
        <v>0</v>
      </c>
    </row>
    <row r="1233" spans="1:21" x14ac:dyDescent="0.2">
      <c r="A1233" t="str">
        <f>Skills!A19</f>
        <v>INFINITY</v>
      </c>
      <c r="B1233" t="str">
        <f>Skills!B19</f>
        <v>Infinity</v>
      </c>
      <c r="C1233" t="b">
        <f>Inputs!$B$3&gt;=110</f>
        <v>1</v>
      </c>
      <c r="D1233">
        <f>IF(Skills!C19=1,60+Inputs!$B$25+Inputs!$B$29,IF(Skills!C19=2,90+Inputs!$B$26+Inputs!$B$29,IF(Skills!C19=3,120+Inputs!$B$27+Inputs!$B$29,MAX(0,(Inputs!$B$3-100)*3)+Inputs!$B$28+Inputs!$B$29)))</f>
        <v>185</v>
      </c>
      <c r="E1233">
        <f>INDEX(FactorTable!$B$2:$Y$301, MATCH(ROUND(MIN(300,MAX(1,D1233)),0), FactorTable!$A$2:$A$301,0), Skills!M19+1)</f>
        <v>1740</v>
      </c>
      <c r="F1233">
        <f>IF(Skills!N19=TRUE,(Skills!L19/10)*(E1233/1000),Skills!L19/10)+Skills!O19</f>
        <v>37.700579999999995</v>
      </c>
      <c r="G1233">
        <f>Calc!G19</f>
        <v>1</v>
      </c>
      <c r="H1233">
        <f>Calc!H19</f>
        <v>1</v>
      </c>
      <c r="I1233">
        <f>IF(Skills!X19&lt;&gt;"",1+(Skills!X19/10)*(Z1217/1000)/100,1)</f>
        <v>1</v>
      </c>
      <c r="O1233">
        <f>(1-Summary!$B$11)*S1233+Summary!$B$11*U1233</f>
        <v>0</v>
      </c>
      <c r="P1233">
        <f>IF(B1255=0,0,O1233/B1255)</f>
        <v>0</v>
      </c>
      <c r="Q1233">
        <f>IFERROR(1/(IF(Inputs!$B$38="pvp",15,MAX(0.1,Skills!E19-IF(TRUE=TRUE,Inputs!$B$32,0)))*(1-IF(AND(ArtifactsInput!$M$27,Inputs!$B$4="Chapter Hunt"),CHOOSE(ArtifactsInput!$N$27+1,20,24,28,32,36,40),0)/100)),0)</f>
        <v>3.3333333333333333E-2</v>
      </c>
      <c r="R1233">
        <f>IF(AND(Inputs!$B$38&lt;&gt;"pvp",Inputs!$B$43&gt;0),IF(Inputs!$B$43&lt;=0,0,(INT(Inputs!$B$43/(IF(Inputs!$B$38="pvp",15,MAX(0.1,Skills!E19-IF(TRUE=TRUE,Inputs!$B$32,0)))*(1-IF(AND(ArtifactsInput!$M$27,Inputs!$B$4="Chapter Hunt"),CHOOSE(ArtifactsInput!$N$27+1,20,24,28,32,36,40),0)/100)))+1)),0)</f>
        <v>2</v>
      </c>
      <c r="S1233">
        <v>0</v>
      </c>
      <c r="U1233">
        <v>0</v>
      </c>
    </row>
    <row r="1234" spans="1:21" x14ac:dyDescent="0.2">
      <c r="A1234" t="str">
        <f>Skills!A20</f>
        <v>MAGIC_CRITICAL_RATE</v>
      </c>
      <c r="B1234" t="str">
        <f>Skills!B20</f>
        <v>Magic Critical (Crit Rate)</v>
      </c>
      <c r="C1234" t="b">
        <f>TRUE</f>
        <v>1</v>
      </c>
      <c r="D1234">
        <f>IF(Skills!C20=1,60+Inputs!$B$25+Inputs!$B$29,IF(Skills!C20=2,90+Inputs!$B$26+Inputs!$B$29,IF(Skills!C20=3,120+Inputs!$B$27+Inputs!$B$29,MAX(0,(Inputs!$B$3-100)*3)+Inputs!$B$28+Inputs!$B$29)))</f>
        <v>184</v>
      </c>
      <c r="E1234">
        <f>INDEX(FactorTable!$B$2:$Y$301, MATCH(ROUND(MIN(300,MAX(1,D1234)),0), FactorTable!$A$2:$A$301,0), Skills!M20+1)</f>
        <v>1552</v>
      </c>
      <c r="F1234">
        <f>IF(Skills!N20=TRUE,(Skills!L20/10)*(E1234/1000),Skills!L20/10)+Skills!O20</f>
        <v>12.416</v>
      </c>
      <c r="G1234">
        <f>Calc!G20</f>
        <v>1</v>
      </c>
      <c r="H1234">
        <f>Calc!H20</f>
        <v>1</v>
      </c>
      <c r="I1234">
        <f>IF(Skills!X20&lt;&gt;"",1+(Skills!X20/10)*(Z1217/1000)/100,1)</f>
        <v>1</v>
      </c>
      <c r="O1234">
        <f>(1-Summary!$B$11)*S1234+Summary!$B$11*U1234</f>
        <v>0</v>
      </c>
      <c r="P1234">
        <f>IF(B1255=0,0,O1234/B1255)</f>
        <v>0</v>
      </c>
      <c r="Q1234">
        <f>IFERROR(1/(IF(Inputs!$B$38="pvp",15,MAX(0.1,Skills!E20-IF(TRUE=TRUE,Inputs!$B$32,0)))*(1-IF(AND(ArtifactsInput!$M$27,Inputs!$B$4="Chapter Hunt"),CHOOSE(ArtifactsInput!$N$27+1,20,24,28,32,36,40),0)/100)),0)</f>
        <v>10</v>
      </c>
      <c r="R1234">
        <v>0</v>
      </c>
      <c r="S1234">
        <v>0</v>
      </c>
      <c r="U1234">
        <v>0</v>
      </c>
    </row>
    <row r="1235" spans="1:21" x14ac:dyDescent="0.2">
      <c r="A1235" t="str">
        <f>Skills!A21</f>
        <v>MAGIC_CRITICAL_DAMAGE</v>
      </c>
      <c r="B1235" t="str">
        <f>Skills!B21</f>
        <v>Magic Critical (Crit Damage)</v>
      </c>
      <c r="C1235" t="b">
        <f>TRUE</f>
        <v>1</v>
      </c>
      <c r="D1235">
        <f>IF(Skills!C21=1,60+Inputs!$B$25+Inputs!$B$29,IF(Skills!C21=2,90+Inputs!$B$26+Inputs!$B$29,IF(Skills!C21=3,120+Inputs!$B$27+Inputs!$B$29,MAX(0,(Inputs!$B$3-100)*3)+Inputs!$B$28+Inputs!$B$29)))</f>
        <v>184</v>
      </c>
      <c r="E1235">
        <f>INDEX(FactorTable!$B$2:$Y$301, MATCH(ROUND(MIN(300,MAX(1,D1235)),0), FactorTable!$A$2:$A$301,0), Skills!M21+1)</f>
        <v>1552</v>
      </c>
      <c r="F1235">
        <f>IF(Skills!N21=TRUE,(Skills!L21/10)*(E1235/1000),Skills!L21/10)+Skills!O21</f>
        <v>18.624000000000002</v>
      </c>
      <c r="G1235">
        <f>Calc!G21</f>
        <v>1</v>
      </c>
      <c r="H1235">
        <f>Calc!H21</f>
        <v>1</v>
      </c>
      <c r="I1235">
        <f>IF(Skills!X21&lt;&gt;"",1+(Skills!X21/10)*(Z1217/1000)/100,1)</f>
        <v>1</v>
      </c>
      <c r="O1235">
        <f>(1-Summary!$B$11)*S1235+Summary!$B$11*U1235</f>
        <v>0</v>
      </c>
      <c r="P1235">
        <f>IF(B1255=0,0,O1235/B1255)</f>
        <v>0</v>
      </c>
      <c r="Q1235">
        <f>IFERROR(1/(IF(Inputs!$B$38="pvp",15,MAX(0.1,Skills!E21-IF(TRUE=TRUE,Inputs!$B$32,0)))*(1-IF(AND(ArtifactsInput!$M$27,Inputs!$B$4="Chapter Hunt"),CHOOSE(ArtifactsInput!$N$27+1,20,24,28,32,36,40),0)/100)),0)</f>
        <v>10</v>
      </c>
      <c r="R1235">
        <v>0</v>
      </c>
      <c r="S1235">
        <v>0</v>
      </c>
      <c r="U1235">
        <v>0</v>
      </c>
    </row>
    <row r="1236" spans="1:21" x14ac:dyDescent="0.2">
      <c r="A1236" t="str">
        <f>Skills!A22</f>
        <v>SPELL_MASTERY</v>
      </c>
      <c r="B1236" t="str">
        <f>Skills!B22</f>
        <v>Spell Mastery</v>
      </c>
      <c r="C1236" t="b">
        <f>TRUE</f>
        <v>1</v>
      </c>
      <c r="D1236">
        <f>IF(Skills!C22=1,60+Inputs!$B$25+Inputs!$B$29,IF(Skills!C22=2,90+Inputs!$B$26+Inputs!$B$29,IF(Skills!C22=3,120+Inputs!$B$27+Inputs!$B$29,MAX(0,(Inputs!$B$3-100)*3)+Inputs!$B$28+Inputs!$B$29)))</f>
        <v>168</v>
      </c>
      <c r="E1236">
        <f>INDEX(FactorTable!$B$2:$Y$301, MATCH(ROUND(MIN(300,MAX(1,D1236)),0), FactorTable!$A$2:$A$301,0), Skills!M22+1)</f>
        <v>1504</v>
      </c>
      <c r="F1236">
        <f>IF(Skills!N22=TRUE,(Skills!L22/10)*(E1236/1000),Skills!L22/10)+Skills!O22</f>
        <v>22.56</v>
      </c>
      <c r="G1236">
        <f>Calc!G22</f>
        <v>1</v>
      </c>
      <c r="H1236">
        <f>Calc!H22</f>
        <v>1</v>
      </c>
      <c r="I1236">
        <f>IF(Skills!X22&lt;&gt;"",1+(Skills!X22/10)*(Z1217/1000)/100,1)</f>
        <v>1</v>
      </c>
      <c r="O1236">
        <f>(1-Summary!$B$11)*S1236+Summary!$B$11*U1236</f>
        <v>0</v>
      </c>
      <c r="P1236">
        <f>IF(B1255=0,0,O1236/B1255)</f>
        <v>0</v>
      </c>
      <c r="Q1236">
        <f>IFERROR(1/(IF(Inputs!$B$38="pvp",15,MAX(0.1,Skills!E22-IF(TRUE=TRUE,Inputs!$B$32,0)))*(1-IF(AND(ArtifactsInput!$M$27,Inputs!$B$4="Chapter Hunt"),CHOOSE(ArtifactsInput!$N$27+1,20,24,28,32,36,40),0)/100)),0)</f>
        <v>10</v>
      </c>
      <c r="R1236">
        <v>0</v>
      </c>
      <c r="S1236">
        <v>0</v>
      </c>
      <c r="U1236">
        <v>0</v>
      </c>
    </row>
    <row r="1237" spans="1:21" x14ac:dyDescent="0.2">
      <c r="A1237" t="str">
        <f>Skills!A23</f>
        <v>ELEMENT_AMPLIFICATION</v>
      </c>
      <c r="B1237" t="str">
        <f>Skills!B23</f>
        <v>Element Amplification</v>
      </c>
      <c r="C1237" t="b">
        <f>TRUE</f>
        <v>1</v>
      </c>
      <c r="D1237">
        <f>IF(Skills!C23=1,60+Inputs!$B$25+Inputs!$B$29,IF(Skills!C23=2,90+Inputs!$B$26+Inputs!$B$29,IF(Skills!C23=3,120+Inputs!$B$27+Inputs!$B$29,MAX(0,(Inputs!$B$3-100)*3)+Inputs!$B$28+Inputs!$B$29)))</f>
        <v>185</v>
      </c>
      <c r="E1237">
        <f>INDEX(FactorTable!$B$2:$Y$301, MATCH(ROUND(MIN(300,MAX(1,D1237)),0), FactorTable!$A$2:$A$301,0), Skills!M23+1)</f>
        <v>1555</v>
      </c>
      <c r="F1237">
        <f>IF(Skills!N23=TRUE,(Skills!L23/10)*(E1237/1000),Skills!L23/10)+Skills!O23</f>
        <v>23.324999999999999</v>
      </c>
      <c r="G1237">
        <f>Calc!G23</f>
        <v>1</v>
      </c>
      <c r="H1237">
        <f>Calc!H23</f>
        <v>1</v>
      </c>
      <c r="I1237">
        <f>IF(Skills!X23&lt;&gt;"",1+(Skills!X23/10)*(Z1217/1000)/100,1)</f>
        <v>1</v>
      </c>
      <c r="O1237">
        <f>(1-Summary!$B$11)*S1237+Summary!$B$11*U1237</f>
        <v>0</v>
      </c>
      <c r="P1237">
        <f>IF(B1255=0,0,O1237/B1255)</f>
        <v>0</v>
      </c>
      <c r="Q1237">
        <f>IFERROR(1/(IF(Inputs!$B$38="pvp",15,MAX(0.1,Skills!E23-IF(TRUE=TRUE,Inputs!$B$32,0)))*(1-IF(AND(ArtifactsInput!$M$27,Inputs!$B$4="Chapter Hunt"),CHOOSE(ArtifactsInput!$N$27+1,20,24,28,32,36,40),0)/100)),0)</f>
        <v>10</v>
      </c>
      <c r="R1237">
        <v>0</v>
      </c>
      <c r="S1237">
        <v>0</v>
      </c>
      <c r="U1237">
        <v>0</v>
      </c>
    </row>
    <row r="1238" spans="1:21" x14ac:dyDescent="0.2">
      <c r="A1238" t="str">
        <f>Skills!A24</f>
        <v>IFRIT</v>
      </c>
      <c r="B1238" t="str">
        <f>Skills!B24</f>
        <v>Ifrit</v>
      </c>
      <c r="C1238" t="b">
        <f>Inputs!$B$3&gt;=115</f>
        <v>1</v>
      </c>
      <c r="D1238">
        <f>IF(Skills!C24=1,60+Inputs!$B$25+Inputs!$B$29,IF(Skills!C24=2,90+Inputs!$B$26+Inputs!$B$29,IF(Skills!C24=3,120+Inputs!$B$27+Inputs!$B$29,MAX(0,(Inputs!$B$3-100)*3)+Inputs!$B$28+Inputs!$B$29)))</f>
        <v>185</v>
      </c>
      <c r="E1238">
        <f>INDEX(FactorTable!$B$2:$Y$301, MATCH(ROUND(MIN(300,MAX(1,D1238)),0), FactorTable!$A$2:$A$301,0), Skills!M24+1)</f>
        <v>1925</v>
      </c>
      <c r="F1238">
        <f>IF(Skills!N24=TRUE,(Skills!L24/10)*(E1238/1000),Skills!L24/10)+Skills!O24</f>
        <v>6737.5</v>
      </c>
      <c r="G1238">
        <f>Calc!G24</f>
        <v>7.5</v>
      </c>
      <c r="H1238">
        <f>Calc!H24</f>
        <v>1</v>
      </c>
      <c r="I1238">
        <f>IF(Skills!X24&lt;&gt;"",1+(Skills!X24/10)*(Z1217/1000)/100,1)</f>
        <v>1</v>
      </c>
      <c r="J1238">
        <f>((Inputs!$B$6*(1+Inputs!$B$7/100))+(((Inputs!$B$12*(1+Inputs!$B$13/100))-(Inputs!$B$12*(1+Inputs!$B$13/100)))+0.25*(Inputs!$B$14-Inputs!$B$14))*(1+Inputs!$B$7/100))*(F1238/100)</f>
        <v>24331438378.718628</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122258974288595.61</v>
      </c>
      <c r="L1238">
        <f>K1238*(MIN(Inputs!$B$22+(F1236-Calc!F22),(Inputs!$B$23+(IF(ArtifactsInput!$M$15,CHOOSE(ArtifactsInput!$N$15+1,25,30,35,40,45,50)/100*(Inputs!$B$11-Inputs!$B$11),0))))/100+(Inputs!$B$23+(IF(ArtifactsInput!$M$15,CHOOSE(ArtifactsInput!$N$15+1,25,30,35,40,45,50)/100*(Inputs!$B$11-Inputs!$B$11),0)))/100)/2</f>
        <v>406511089509580.44</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238">
        <f>L1238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238">
        <f>(1-Summary!$B$11)*S1238+Summary!$B$11*U1238</f>
        <v>2194085169658842.8</v>
      </c>
      <c r="P1238">
        <f>IF(B1255=0,0,O1238/B1255)</f>
        <v>6.6312914553869617E-2</v>
      </c>
      <c r="Q1238">
        <f>IFERROR(1/(IF(Inputs!$B$38="pvp",15,MAX(0.1,Skills!E24-IF(TRUE=TRUE,Inputs!$B$32,0)))*(1-IF(AND(ArtifactsInput!$M$27,Inputs!$B$4="Chapter Hunt"),CHOOSE(ArtifactsInput!$N$27+1,20,24,28,32,36,40),0)/100)),0)</f>
        <v>1.2500000000000001E-2</v>
      </c>
      <c r="R1238">
        <f>IF(AND(Inputs!$B$38&lt;&gt;"pvp",Inputs!$B$43&gt;0),IF(MAX(0,Inputs!$B$43-B1252)&lt;=0,0,(INT(MAX(0,Inputs!$B$43-B1252)/(IF(Inputs!$B$38="pvp",15,MAX(0.1,Skills!E24-IF(TRUE=TRUE,Inputs!$B$32,0)))*(1-IF(AND(ArtifactsInput!$M$27,Inputs!$B$4="Chapter Hunt"),CHOOSE(ArtifactsInput!$N$27+1,20,24,28,32,36,40),0)/100)))+1)),0)</f>
        <v>1</v>
      </c>
      <c r="S1238">
        <f>IF(C1238,(H1238*N1238*IF(AND(Inputs!$B$38&lt;&gt;"pvp",Inputs!$B$43&gt;0),((Skills!G24*((R1238-1)*IF(Skills!H24&gt;0,Skills!I24/Skills!H24,1)+IF(Skills!H24&gt;0,MIN(Skills!I24,MAX(0,MAX(0,Inputs!$B$43-B1252)-((R1238-1)*(IF(Inputs!$B$38="pvp",15,MAX(0.1,Skills!E24-IF(TRUE=TRUE,Inputs!$B$32,0)))*(1-IF(AND(ArtifactsInput!$M$27,Inputs!$B$4="Chapter Hunt"),CHOOSE(ArtifactsInput!$N$27+1,20,24,28,32,36,40),0)/100)))))/Skills!H24,1)))/Inputs!$B$43),G1238*Q1238)*(1+IF(Inputs!$B$3&gt;=130,0.2*(Skills!I16/(1/Q1229)+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238">
        <f>IF(C1238,(H1238*N1238*IF(AND(Inputs!$B$38&lt;&gt;"pvp",Inputs!$B$43&gt;0),((Skills!G24*((R1238-1)*IF(Skills!H24&gt;0,Skills!I24/Skills!H24,1)+IF(Skills!H24&gt;0,MIN(Skills!I24,MAX(0,MAX(0,Inputs!$B$43-B1252)-((R1238-1)*(IF(Inputs!$B$38="pvp",15,MAX(0.1,Skills!E24-IF(TRUE=TRUE,Inputs!$B$32,0)))*(1-IF(AND(ArtifactsInput!$M$27,Inputs!$B$4="Chapter Hunt"),CHOOSE(ArtifactsInput!$N$27+1,20,24,28,32,36,40),0)/100)))))/Skills!H24,1)))/Inputs!$B$43),G1238*Q1238)*(1+IF(Inputs!$B$3&gt;=130,0.2*(Skills!I16/(1/Q1229)+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239" spans="1:21" x14ac:dyDescent="0.2">
      <c r="A1239" t="str">
        <f>Skills!A25</f>
        <v>BUFF_MASTERY</v>
      </c>
      <c r="B1239" t="str">
        <f>Skills!B25</f>
        <v>Buff Mastery</v>
      </c>
      <c r="C1239" t="b">
        <f>Inputs!$B$3&gt;=117</f>
        <v>1</v>
      </c>
      <c r="D1239">
        <f>IF(Skills!C25=1,60+Inputs!$B$25+Inputs!$B$29,IF(Skills!C25=2,90+Inputs!$B$26+Inputs!$B$29,IF(Skills!C25=3,120+Inputs!$B$27+Inputs!$B$29,MAX(0,(Inputs!$B$3-100)*3)+Inputs!$B$28+Inputs!$B$29)))</f>
        <v>185</v>
      </c>
      <c r="E1239">
        <f>INDEX(FactorTable!$B$2:$Y$301, MATCH(ROUND(MIN(300,MAX(1,D1239)),0), FactorTable!$A$2:$A$301,0), Skills!M25+1)</f>
        <v>1555</v>
      </c>
      <c r="F1239">
        <f>IF(Skills!N25=TRUE,(Skills!L25/10)*(E1239/1000),Skills!L25/10)+Skills!O25</f>
        <v>15.549999999999999</v>
      </c>
      <c r="G1239">
        <f>Calc!G25</f>
        <v>1</v>
      </c>
      <c r="H1239">
        <f>Calc!H25</f>
        <v>1</v>
      </c>
      <c r="I1239">
        <f>IF(Skills!X25&lt;&gt;"",1+(Skills!X25/10)*(Z1217/1000)/100,1)</f>
        <v>1</v>
      </c>
      <c r="O1239">
        <f>(1-Summary!$B$11)*S1239+Summary!$B$11*U1239</f>
        <v>0</v>
      </c>
      <c r="P1239">
        <f>IF(B1255=0,0,O1239/B1255)</f>
        <v>0</v>
      </c>
      <c r="Q1239">
        <f>IFERROR(1/(IF(Inputs!$B$38="pvp",15,MAX(0.1,Skills!E25-IF(TRUE=TRUE,Inputs!$B$32,0)))*(1-IF(AND(ArtifactsInput!$M$27,Inputs!$B$4="Chapter Hunt"),CHOOSE(ArtifactsInput!$N$27+1,20,24,28,32,36,40),0)/100)),0)</f>
        <v>10</v>
      </c>
      <c r="R1239">
        <v>0</v>
      </c>
      <c r="S1239">
        <v>0</v>
      </c>
      <c r="U1239">
        <v>0</v>
      </c>
    </row>
    <row r="1240" spans="1:21" x14ac:dyDescent="0.2">
      <c r="A1240" t="str">
        <f>Skills!A26</f>
        <v>ARCANE_AIM</v>
      </c>
      <c r="B1240" t="str">
        <f>Skills!B26</f>
        <v>Arcane Aim</v>
      </c>
      <c r="C1240" t="b">
        <f>Inputs!$B$3&gt;=120</f>
        <v>0</v>
      </c>
      <c r="D1240">
        <f>IF(Skills!C26=1,60+Inputs!$B$25+Inputs!$B$29,IF(Skills!C26=2,90+Inputs!$B$26+Inputs!$B$29,IF(Skills!C26=3,120+Inputs!$B$27+Inputs!$B$29,MAX(0,(Inputs!$B$3-100)*3)+Inputs!$B$28+Inputs!$B$29)))</f>
        <v>185</v>
      </c>
      <c r="E1240">
        <f>INDEX(FactorTable!$B$2:$Y$301, MATCH(ROUND(MIN(300,MAX(1,D1240)),0), FactorTable!$A$2:$A$301,0), Skills!M26+1)</f>
        <v>1555</v>
      </c>
      <c r="F1240">
        <f>IF(Skills!N26=TRUE,(Skills!L26/10)*(E1240/1000),Skills!L26/10)+Skills!O26</f>
        <v>4.665</v>
      </c>
      <c r="G1240">
        <f>Calc!G26</f>
        <v>1</v>
      </c>
      <c r="H1240">
        <f>Calc!H26</f>
        <v>1</v>
      </c>
      <c r="I1240">
        <f>IF(Skills!X26&lt;&gt;"",1+(Skills!X26/10)*(Z1217/1000)/100,1)</f>
        <v>1</v>
      </c>
      <c r="O1240">
        <f>(1-Summary!$B$11)*S1240+Summary!$B$11*U1240</f>
        <v>0</v>
      </c>
      <c r="P1240">
        <f>IF(B1255=0,0,O1240/B1255)</f>
        <v>0</v>
      </c>
      <c r="Q1240">
        <f>IFERROR(1/(IF(Inputs!$B$38="pvp",15,MAX(0.1,Skills!E26-IF(TRUE=TRUE,Inputs!$B$32,0)))*(1-IF(AND(ArtifactsInput!$M$27,Inputs!$B$4="Chapter Hunt"),CHOOSE(ArtifactsInput!$N$27+1,20,24,28,32,36,40),0)/100)),0)</f>
        <v>10</v>
      </c>
      <c r="R1240">
        <v>0</v>
      </c>
      <c r="S1240">
        <v>0</v>
      </c>
      <c r="U1240">
        <v>0</v>
      </c>
    </row>
    <row r="1241" spans="1:21" x14ac:dyDescent="0.2">
      <c r="A1241" t="str">
        <f>Skills!A27</f>
        <v>FERVENT_DRAIN</v>
      </c>
      <c r="B1241" t="str">
        <f>Skills!B27</f>
        <v>Fervent Drain</v>
      </c>
      <c r="C1241" t="b">
        <f>Inputs!$B$3&gt;=125</f>
        <v>0</v>
      </c>
      <c r="D1241">
        <f>IF(Skills!C27=1,60+Inputs!$B$25+Inputs!$B$29,IF(Skills!C27=2,90+Inputs!$B$26+Inputs!$B$29,IF(Skills!C27=3,120+Inputs!$B$27+Inputs!$B$29,MAX(0,(Inputs!$B$3-100)*3)+Inputs!$B$28+Inputs!$B$29)))</f>
        <v>185</v>
      </c>
      <c r="E1241">
        <f>INDEX(FactorTable!$B$2:$Y$301, MATCH(ROUND(MIN(300,MAX(1,D1241)),0), FactorTable!$A$2:$A$301,0), Skills!M27+1)</f>
        <v>1555</v>
      </c>
      <c r="F1241">
        <f>IF(Skills!N27=TRUE,(Skills!L27/10)*(E1241/1000),Skills!L27/10)+Skills!O27</f>
        <v>6.22</v>
      </c>
      <c r="G1241">
        <f>Calc!G27</f>
        <v>1</v>
      </c>
      <c r="H1241">
        <f>Calc!H27</f>
        <v>1</v>
      </c>
      <c r="I1241">
        <f>IF(Skills!X27&lt;&gt;"",1+(Skills!X27/10)*(Z1217/1000)/100,1)</f>
        <v>1</v>
      </c>
      <c r="O1241">
        <f>(1-Summary!$B$11)*S1241+Summary!$B$11*U1241</f>
        <v>0</v>
      </c>
      <c r="P1241">
        <f>IF(B1255=0,0,O1241/B1255)</f>
        <v>0</v>
      </c>
      <c r="Q1241">
        <f>IFERROR(1/(IF(Inputs!$B$38="pvp",15,MAX(0.1,Skills!E27-IF(TRUE=TRUE,Inputs!$B$32,0)))*(1-IF(AND(ArtifactsInput!$M$27,Inputs!$B$4="Chapter Hunt"),CHOOSE(ArtifactsInput!$N$27+1,20,24,28,32,36,40),0)/100)),0)</f>
        <v>10</v>
      </c>
      <c r="R1241">
        <v>0</v>
      </c>
      <c r="S1241">
        <v>0</v>
      </c>
      <c r="U1241">
        <v>0</v>
      </c>
    </row>
    <row r="1242" spans="1:21" x14ac:dyDescent="0.2">
      <c r="A1242" t="str">
        <f>Skills!A28</f>
        <v>FLAME_HAZE_FOG</v>
      </c>
      <c r="B1242" t="str">
        <f>Skills!B28</f>
        <v>Flame Haze (poison fog DoT)</v>
      </c>
      <c r="C1242" t="b">
        <f>Inputs!$B$3&gt;=118</f>
        <v>0</v>
      </c>
      <c r="D1242">
        <f>IF(Skills!C28=1,60+Inputs!$B$25+Inputs!$B$29,IF(Skills!C28=2,90+Inputs!$B$26+Inputs!$B$29,IF(Skills!C28=3,120+Inputs!$B$27+Inputs!$B$29,MAX(0,(Inputs!$B$3-100)*3)+Inputs!$B$28+Inputs!$B$29)))</f>
        <v>185</v>
      </c>
      <c r="E1242">
        <f>INDEX(FactorTable!$B$2:$Y$301, MATCH(ROUND(MIN(300,MAX(1,D1242)),0), FactorTable!$A$2:$A$301,0), Skills!M28+1)</f>
        <v>1925</v>
      </c>
      <c r="F1242">
        <f>IF(Skills!N28=TRUE,(Skills!L28/10)*(E1242/1000),Skills!L28/10)+Skills!O28</f>
        <v>134.75</v>
      </c>
      <c r="G1242">
        <f>Calc!G28</f>
        <v>50</v>
      </c>
      <c r="H1242">
        <f>Calc!H28</f>
        <v>1</v>
      </c>
      <c r="I1242">
        <f>IF(Skills!X28&lt;&gt;"",1+(Skills!X28/10)*(Z1217/1000)/100,1)</f>
        <v>1</v>
      </c>
      <c r="J1242">
        <f>((Inputs!$B$6*(1+Inputs!$B$7/100))+(((Inputs!$B$12*(1+Inputs!$B$13/100))-(Inputs!$B$12*(1+Inputs!$B$13/100)))+0.25*(Inputs!$B$14-Inputs!$B$14))*(1+Inputs!$B$7/100))*(F1242/100)</f>
        <v>486628767.57437253</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2445179485771.9116</v>
      </c>
      <c r="L1242">
        <f>K1242*(MIN(Inputs!$B$22+(F1236-Calc!F22),(Inputs!$B$23+(IF(ArtifactsInput!$M$15,CHOOSE(ArtifactsInput!$N$15+1,25,30,35,40,45,50)/100*(Inputs!$B$11-Inputs!$B$11),0))))/100+(Inputs!$B$23+(IF(ArtifactsInput!$M$15,CHOOSE(ArtifactsInput!$N$15+1,25,30,35,40,45,50)/100*(Inputs!$B$11-Inputs!$B$11),0)))/100)/2</f>
        <v>8130221790191.6064</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242">
        <f>L1242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242">
        <f>(1-Summary!$B$11)*S1242+Summary!$B$11*U1242</f>
        <v>0</v>
      </c>
      <c r="P1242">
        <f>IF(B1255=0,0,O1242/B1255)</f>
        <v>0</v>
      </c>
      <c r="Q1242">
        <f>IFERROR(1/(IF(Inputs!$B$38="pvp",15,MAX(0.1,Skills!E28-IF(TRUE=TRUE,Inputs!$B$32,0)))*(1-IF(AND(ArtifactsInput!$M$27,Inputs!$B$4="Chapter Hunt"),CHOOSE(ArtifactsInput!$N$27+1,20,24,28,32,36,40),0)/100)),0)</f>
        <v>0.04</v>
      </c>
      <c r="R1242">
        <f>IF(AND(Inputs!$B$38&lt;&gt;"pvp",Inputs!$B$43&gt;0),IF(MAX(0,Inputs!$B$43-B1252)&lt;=0,0,(INT(MAX(0,Inputs!$B$43-B1252)/(IF(Inputs!$B$38="pvp",15,MAX(0.1,Skills!E28-IF(TRUE=TRUE,Inputs!$B$32,0)))*(1-IF(AND(ArtifactsInput!$M$27,Inputs!$B$4="Chapter Hunt"),CHOOSE(ArtifactsInput!$N$27+1,20,24,28,32,36,40),0)/100)))+1)),0)</f>
        <v>2</v>
      </c>
      <c r="S1242">
        <f>IF(C1242,(H1242*N1242*IF(AND(Inputs!$B$38&lt;&gt;"pvp",Inputs!$B$43&gt;0),((Skills!G28*((R1242-1)*IF(Skills!H28&gt;0,Skills!I28/Skills!H28,1)+IF(Skills!H28&gt;0,MIN(Skills!I28,MAX(0,MAX(0,Inputs!$B$43-B1252)-((R1242-1)*(IF(Inputs!$B$38="pvp",15,MAX(0.1,Skills!E28-IF(TRUE=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242">
        <f>IF(C1242,(H1242*N1242*IF(AND(Inputs!$B$38&lt;&gt;"pvp",Inputs!$B$43&gt;0),((Skills!G28*((R1242-1)*IF(Skills!H28&gt;0,Skills!I28/Skills!H28,1)+IF(Skills!H28&gt;0,MIN(Skills!I28,MAX(0,MAX(0,Inputs!$B$43-B1252)-((R1242-1)*(IF(Inputs!$B$38="pvp",15,MAX(0.1,Skills!E28-IF(TRUE=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44" spans="1:21" x14ac:dyDescent="0.2">
      <c r="A1244" t="s">
        <v>356</v>
      </c>
      <c r="B1244">
        <f>1+(F1225*Skills!Z11)/100</f>
        <v>1.25</v>
      </c>
    </row>
    <row r="1245" spans="1:21" x14ac:dyDescent="0.2">
      <c r="A1245" t="s">
        <v>435</v>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1.18624</v>
      </c>
    </row>
    <row r="1246" spans="1:21" x14ac:dyDescent="0.2">
      <c r="A1246" t="s">
        <v>358</v>
      </c>
      <c r="B1246">
        <f>(1+(F1220*IF(AND(Inputs!$B$38&lt;&gt;"pvp",Inputs!$B$43&gt;0),(((R1220-1)*MIN((Skills!T6*(1+((Inputs!$B$34+(ArtifactsInput!$M$7-ArtifactsInput!$M$7)*CHOOSE(ArtifactsInput!$N$7+1,6,7.2,8.4,9.6,10.8,12)))/100)),(1/Q1220))+MIN((Skills!T6*(1+((Inputs!$B$34+(ArtifactsInput!$M$7-ArtifactsInput!$M$7)*CHOOSE(ArtifactsInput!$N$7+1,6,7.2,8.4,9.6,10.8,12)))/100)),MAX(0,Inputs!$B$43-((R1220-1)*(1/Q1220)))))/Inputs!$B$43),IF(Inputs!$B$38="pvp",MIN((Skills!T6*(1+((Inputs!$B$34+(ArtifactsInput!$M$7-ArtifactsInput!$M$7)*CHOOSE(ArtifactsInput!$N$7+1,6,7.2,8.4,9.6,10.8,12)))/100)),15)/15,MIN(1,(Skills!T6*(1+((Inputs!$B$34+(ArtifactsInput!$M$7-ArtifactsInput!$M$7)*CHOOSE(ArtifactsInput!$N$7+1,6,7.2,8.4,9.6,10.8,12)))/100))/(1/Q1220))))+F1231*IF(AND(Inputs!$B$38&lt;&gt;"pvp",Inputs!$B$43&gt;0),(((R1231-1)*MIN((Skills!T17*(1+((Inputs!$B$34+(ArtifactsInput!$M$7-ArtifactsInput!$M$7)*CHOOSE(ArtifactsInput!$N$7+1,6,7.2,8.4,9.6,10.8,12)))/100)),(1/Q1231))+MIN((Skills!T17*(1+((Inputs!$B$34+(ArtifactsInput!$M$7-ArtifactsInput!$M$7)*CHOOSE(ArtifactsInput!$N$7+1,6,7.2,8.4,9.6,10.8,12)))/100)),MAX(0,Inputs!$B$43-((R1231-1)*(1/Q1231)))))/Inputs!$B$43),IF(Inputs!$B$38="pvp",MIN((Skills!T17*(1+((Inputs!$B$34+(ArtifactsInput!$M$7-ArtifactsInput!$M$7)*CHOOSE(ArtifactsInput!$N$7+1,6,7.2,8.4,9.6,10.8,12)))/100)),15)/15,MIN(1,(Skills!T17*(1+((Inputs!$B$34+(ArtifactsInput!$M$7-ArtifactsInput!$M$7)*CHOOSE(ArtifactsInput!$N$7+1,6,7.2,8.4,9.6,10.8,12)))/100))/(1/Q1231)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MIN((Skills!T19*(1+((Inputs!$B$34+(ArtifactsInput!$M$7-ArtifactsInput!$M$7)*CHOOSE(ArtifactsInput!$N$7+1,6,7.2,8.4,9.6,10.8,12)))/100)),(1/Q1233))+MIN((Skills!T19*(1+((Inputs!$B$34+(ArtifactsInput!$M$7-ArtifactsInput!$M$7)*CHOOSE(ArtifactsInput!$N$7+1,6,7.2,8.4,9.6,10.8,12)))/100)),MAX(0,Inputs!$B$43-((R1233-1)*(1/Q1233)))))/Inputs!$B$43),IF(Inputs!$B$38="pvp",MIN((Skills!T19*(1+((Inputs!$B$34+(ArtifactsInput!$M$7-ArtifactsInput!$M$7)*CHOOSE(ArtifactsInput!$N$7+1,6,7.2,8.4,9.6,10.8,12)))/100)),15)/15,MIN(1,(Skills!T19*(1+((Inputs!$B$34+(ArtifactsInput!$M$7-ArtifactsInput!$M$7)*CHOOSE(ArtifactsInput!$N$7+1,6,7.2,8.4,9.6,10.8,12)))/100))/(1/Q1233))))/100),1)</f>
        <v>1.7965808377980694</v>
      </c>
    </row>
    <row r="1247" spans="1:21" x14ac:dyDescent="0.2">
      <c r="A1247" t="s">
        <v>359</v>
      </c>
      <c r="B1247">
        <f>F1232*IF(AND(Inputs!$B$38&lt;&gt;"pvp",Inputs!$B$43&gt;0),(((R1232-1)*MIN((Skills!T18*(1+((Inputs!$B$34+(ArtifactsInput!$M$7-ArtifactsInput!$M$7)*CHOOSE(ArtifactsInput!$N$7+1,6,7.2,8.4,9.6,10.8,12)))/100)),(1/Q1232))+MIN((Skills!T18*(1+((Inputs!$B$34+(ArtifactsInput!$M$7-ArtifactsInput!$M$7)*CHOOSE(ArtifactsInput!$N$7+1,6,7.2,8.4,9.6,10.8,12)))/100)),MAX(0,Inputs!$B$43-((R1232-1)*(1/Q1232)))))/Inputs!$B$43),IF(Inputs!$B$38="pvp",MIN((Skills!T18*(1+((Inputs!$B$34+(ArtifactsInput!$M$7-ArtifactsInput!$M$7)*CHOOSE(ArtifactsInput!$N$7+1,6,7.2,8.4,9.6,10.8,12)))/100)),15)/15,MIN(1,(Skills!T18*(1+((Inputs!$B$34+(ArtifactsInput!$M$7-ArtifactsInput!$M$7)*CHOOSE(ArtifactsInput!$N$7+1,6,7.2,8.4,9.6,10.8,12)))/100))/(1/Q1232))))</f>
        <v>6.4968749999999993</v>
      </c>
    </row>
    <row r="1248" spans="1:21" x14ac:dyDescent="0.2">
      <c r="A1248" t="s">
        <v>436</v>
      </c>
      <c r="B1248">
        <f>1+MIN(150,150*(1-(1-(Inputs!$B$11+(ArtifactsInput!$M$15-ArtifactsInput!$M$15)*CHOOSE(ArtifactsInput!$N$15+1,8,9.6,11.2,12.8,14.4,16))/150)*(1-B1247/150)))/100</f>
        <v>1.6982958749999999</v>
      </c>
    </row>
    <row r="1249" spans="1:26" x14ac:dyDescent="0.2">
      <c r="A1249" t="s">
        <v>437</v>
      </c>
      <c r="B1249">
        <f>IF(AND(Inputs!$B$38&lt;&gt;"pvp",Inputs!$B$43&gt;0),SUMPRODUCT((Skills!F2:F28=TRUE)*(C1216:C1242=TRUE)*R1216:R1242)/Inputs!$B$43,SUMPRODUCT((Skills!F2:F28=TRUE)*(C1216:C1242=TRUE)*Q1216:Q1242))</f>
        <v>0.47499999999999998</v>
      </c>
    </row>
    <row r="1250" spans="1:26" x14ac:dyDescent="0.2">
      <c r="A1250" t="s">
        <v>362</v>
      </c>
      <c r="B1250">
        <f>MAX(0,B1248-B1249)</f>
        <v>1.2232958749999998</v>
      </c>
    </row>
    <row r="1251" spans="1:26" x14ac:dyDescent="0.2">
      <c r="A1251" t="s">
        <v>438</v>
      </c>
      <c r="B1251">
        <f>IF(AND(Inputs!$B$38&lt;&gt;"pvp",Inputs!$B$43&gt;0),SUMPRODUCT((Skills!V2:V28=TRUE)*(C1216:C1242=TRUE)*R1216:R1242*Skills!W2:W28)/Inputs!$B$43,SUMPRODUCT((Skills!V2:V28=TRUE)*(C1216:C1242=TRUE)*Q1216:Q1242*Skills!W2:W28))+B1250</f>
        <v>1.5482958749999998</v>
      </c>
    </row>
    <row r="1252" spans="1:26" x14ac:dyDescent="0.2">
      <c r="A1252" t="s">
        <v>439</v>
      </c>
      <c r="B1252">
        <f>IF(AND(Inputs!$B$38&lt;&gt;"pvp",Inputs!$B$43&gt;0),SUMPRODUCT((Skills!T2:T28&gt;0)*(Skills!F2:F28=TRUE)*(C1216:C1242=TRUE))/B1248,0)</f>
        <v>2.3553021937358238</v>
      </c>
    </row>
    <row r="1253" spans="1:26" x14ac:dyDescent="0.2">
      <c r="A1253" t="s">
        <v>440</v>
      </c>
      <c r="B1253">
        <f>SUM(S1216:S1242)</f>
        <v>9517263078933292</v>
      </c>
    </row>
    <row r="1254" spans="1:26" x14ac:dyDescent="0.2">
      <c r="A1254" t="s">
        <v>441</v>
      </c>
      <c r="B1254">
        <f>SUM(U1216:U1242)</f>
        <v>5.6656428257660488E+16</v>
      </c>
    </row>
    <row r="1255" spans="1:26" x14ac:dyDescent="0.2">
      <c r="A1255" s="6" t="s">
        <v>348</v>
      </c>
      <c r="B1255" s="6">
        <f>SUM(O1216:O1242)</f>
        <v>3.3086845668296892E+16</v>
      </c>
    </row>
    <row r="1258" spans="1:26" x14ac:dyDescent="0.2">
      <c r="A1258" s="6" t="s">
        <v>468</v>
      </c>
    </row>
    <row r="1259" spans="1:26" x14ac:dyDescent="0.2">
      <c r="A1259" s="5" t="s">
        <v>136</v>
      </c>
      <c r="B1259" s="5" t="s">
        <v>137</v>
      </c>
      <c r="C1259" s="5" t="s">
        <v>328</v>
      </c>
      <c r="D1259" s="5" t="s">
        <v>329</v>
      </c>
      <c r="E1259" s="5" t="s">
        <v>330</v>
      </c>
      <c r="F1259" s="5" t="s">
        <v>331</v>
      </c>
      <c r="G1259" s="5" t="s">
        <v>332</v>
      </c>
      <c r="H1259" s="5" t="s">
        <v>333</v>
      </c>
      <c r="I1259" s="5" t="s">
        <v>334</v>
      </c>
      <c r="J1259" s="5" t="s">
        <v>335</v>
      </c>
      <c r="K1259" s="5" t="s">
        <v>336</v>
      </c>
      <c r="L1259" s="5" t="s">
        <v>337</v>
      </c>
      <c r="M1259" s="5" t="s">
        <v>338</v>
      </c>
      <c r="N1259" s="5" t="s">
        <v>339</v>
      </c>
      <c r="O1259" s="5" t="s">
        <v>340</v>
      </c>
      <c r="P1259" s="5" t="s">
        <v>341</v>
      </c>
      <c r="R1259" t="s">
        <v>434</v>
      </c>
    </row>
    <row r="1260" spans="1:26" x14ac:dyDescent="0.2">
      <c r="A1260" t="str">
        <f>Skills!A2</f>
        <v>BASIC_ATTACK</v>
      </c>
      <c r="B1260" t="str">
        <f>Skills!B2</f>
        <v>Basic Attack</v>
      </c>
      <c r="C1260" t="b">
        <f>TRUE</f>
        <v>1</v>
      </c>
      <c r="F1260">
        <f>T1262+Skills!O2</f>
        <v>537.6</v>
      </c>
      <c r="G1260">
        <f>Calc!G2</f>
        <v>5</v>
      </c>
      <c r="H1260">
        <f>Calc!H2</f>
        <v>1</v>
      </c>
      <c r="I1260">
        <f>IF(Skills!X2&lt;&gt;"",1+(Skills!X2/10)*(Z1261/1000)/100,1)</f>
        <v>1</v>
      </c>
      <c r="J1260">
        <f>((Inputs!$B$6*(1+Inputs!$B$7/100))+(((Inputs!$B$12*(1+Inputs!$B$13/100))-(Inputs!$B$12*(1+Inputs!$B$13/100)))+0.25*(Inputs!$B$14-Inputs!$B$14))*(1+Inputs!$B$7/100))*(F1260/100)</f>
        <v>1941459186.9980164</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6875114172400.8721</v>
      </c>
      <c r="L1260">
        <f>K1260*(MIN(Inputs!$B$22+(F1280-Calc!F22),(Inputs!$B$23+(IF(ArtifactsInput!$M$15,CHOOSE(ArtifactsInput!$N$15+1,25,30,35,40,45,50)/100*(Inputs!$B$11-Inputs!$B$11),0))))/100+(Inputs!$B$23+(IF(ArtifactsInput!$M$15,CHOOSE(ArtifactsInput!$N$15+1,25,30,35,40,45,50)/100*(Inputs!$B$11-Inputs!$B$11),0)))/100)/2</f>
        <v>22859754623232.902</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107875182067036.05</v>
      </c>
      <c r="N1260">
        <f>L1260*(1-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107875182067036.05</v>
      </c>
      <c r="O1260">
        <f>(1-Summary!$B$11)*S1260+Summary!$B$11*U1260</f>
        <v>1.3035141909518086E+16</v>
      </c>
      <c r="P1260">
        <f>IF(B1299=0,0,O1260/B1299)</f>
        <v>0.37890475921516281</v>
      </c>
      <c r="Q1260">
        <f>IFERROR(1/(IF(Inputs!$B$38="pvp",15,MAX(0.1,Skills!E2-IF(TRUE=TRUE,Inputs!$B$32,0)))*(1-IF(AND(ArtifactsInput!$M$27,Inputs!$B$4="Chapter Hunt"),CHOOSE(ArtifactsInput!$N$27+1,20,24,28,32,36,40),0)/100)),0)</f>
        <v>10</v>
      </c>
      <c r="R1260">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2164250522677032</v>
      </c>
      <c r="T1260">
        <f>MAX(0,(Inputs!$B$3-100)*3)+Inputs!$B$28+Inputs!$B$29</f>
        <v>185</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2.390603329635914E+16</v>
      </c>
      <c r="Z1260">
        <f>MAX(0,(Inputs!$B$3-100)*3)+Inputs!$B$28+Inputs!$B$29</f>
        <v>185</v>
      </c>
    </row>
    <row r="1261" spans="1:26" x14ac:dyDescent="0.2">
      <c r="A1261" t="str">
        <f>Skills!A3</f>
        <v>IGNITE</v>
      </c>
      <c r="B1261" t="str">
        <f>Skills!B3</f>
        <v>Ignite</v>
      </c>
      <c r="C1261" t="b">
        <f>TRUE</f>
        <v>1</v>
      </c>
      <c r="D1261">
        <f>IF(Skills!C3=1,60+Inputs!$B$25+Inputs!$B$29,IF(Skills!C3=2,90+Inputs!$B$26+Inputs!$B$29,IF(Skills!C3=3,120+Inputs!$B$27+Inputs!$B$29,MAX(0,(Inputs!$B$3-100)*3)+Inputs!$B$28+Inputs!$B$29)))</f>
        <v>168</v>
      </c>
      <c r="E1261">
        <f>INDEX(FactorTable!$B$2:$Y$301, MATCH(ROUND(MIN(300,MAX(1,D1261)),0), FactorTable!$A$2:$A$301,0), Skills!M3+1)</f>
        <v>1672</v>
      </c>
      <c r="F1261">
        <f>IF(Skills!N3=TRUE,(Skills!L3/10)*(E1261/1000),Skills!L3/10)+Skills!O3</f>
        <v>121.736</v>
      </c>
      <c r="G1261">
        <f>Calc!G3</f>
        <v>3</v>
      </c>
      <c r="H1261">
        <f>Calc!H3</f>
        <v>1</v>
      </c>
      <c r="I1261">
        <f>IF(Skills!X3&lt;&gt;"",1+(Skills!X3/10)*(Z1261/1000)/100,1)</f>
        <v>4.8250000000000002</v>
      </c>
      <c r="J1261">
        <f>((Inputs!$B$6*(1+Inputs!$B$7/100))+(((Inputs!$B$12*(1+Inputs!$B$13/100))-(Inputs!$B$12*(1+Inputs!$B$13/100)))+0.25*(Inputs!$B$14-Inputs!$B$14))*(1+Inputs!$B$7/100))*(F1261/100)</f>
        <v>439630720.9605478</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11068859346764.744</v>
      </c>
      <c r="L1261">
        <f>K1261*(MIN(Inputs!$B$22+(F1280-Calc!F22),(Inputs!$B$23+(IF(ArtifactsInput!$M$15,CHOOSE(ArtifactsInput!$N$15+1,25,30,35,40,45,50)/100*(Inputs!$B$11-Inputs!$B$11),0))))/100+(Inputs!$B$23+(IF(ArtifactsInput!$M$15,CHOOSE(ArtifactsInput!$N$15+1,25,30,35,40,45,50)/100*(Inputs!$B$11-Inputs!$B$11),0)))/100)/2</f>
        <v>36803957327992.773</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173677874630797.88</v>
      </c>
      <c r="N1261">
        <f>L1261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173677874630797.88</v>
      </c>
      <c r="O1261">
        <f>(1-Summary!$B$11)*S1261+Summary!$B$11*U1261</f>
        <v>3019389850456421</v>
      </c>
      <c r="P1261">
        <f>IF(B1299=0,0,O1261/B1299)</f>
        <v>8.776745141750382E-2</v>
      </c>
      <c r="Q1261">
        <f>IFERROR(1/(IF(Inputs!$B$38="pvp",15,MAX(0.1,Skills!E3-IF(FALSE=TRUE,Inputs!$B$32,0)))*(1-IF(AND(ArtifactsInput!$M$27,Inputs!$B$4="Chapter Hunt"),CHOOSE(ArtifactsInput!$N$27+1,20,24,28,32,36,40),0)/100)),0)</f>
        <v>1</v>
      </c>
      <c r="R1261">
        <f>IF(AND(Inputs!$B$38&lt;&gt;"pvp",Inputs!$B$43&gt;0),IF(MAX(0,Inputs!$B$43-B1296)&lt;=0,0,(INT(MAX(0,Inputs!$B$43-B1296)/(IF(Inputs!$B$38="pvp",15,MAX(0.1,Skills!E3-IF(FALSE=TRUE,Inputs!$B$32,0)))*(1-IF(AND(ArtifactsInput!$M$27,Inputs!$B$4="Chapter Hunt"),CHOOSE(ArtifactsInput!$N$27+1,20,24,28,32,36,40),0)/100)))+1)),0)</f>
        <v>38</v>
      </c>
      <c r="S1261">
        <f>IF(C1261,(H1261*N1261*IF(AND(Inputs!$B$38&lt;&gt;"pvp",Inputs!$B$43&gt;0),((Skills!G3*((R1261-1)*IF(Skills!H3&gt;0,Skills!I3/Skills!H3,1)+IF(Skills!H3&gt;0,MIN(Skills!I3,MAX(0,MAX(0,Inputs!$B$43-B1296)-((R1261-1)*(IF(Inputs!$B$38="pvp",15,MAX(0.1,Skills!E3-IF(FALSE=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1569092758351943.2</v>
      </c>
      <c r="T1261">
        <f>INDEX(FactorTable!$B$2:$Y$301, MATCH(ROUND(MIN(300,MAX(1,T1260)),0), FactorTable!$A$2:$A$301,0), 22)</f>
        <v>1740</v>
      </c>
      <c r="U1261">
        <f>IF(C1261,(H1261*N1261*IF(AND(Inputs!$B$38&lt;&gt;"pvp",Inputs!$B$43&gt;0),((Skills!G3*((R1261-1)*IF(Skills!H3&gt;0,Skills!I3/Skills!H3,1)+IF(Skills!H3&gt;0,MIN(Skills!I3,MAX(0,MAX(0,Inputs!$B$43-B1296)-((R1261-1)*(IF(Inputs!$B$38="pvp",15,MAX(0.1,Skills!E3-IF(FALSE=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4469686942560898.5</v>
      </c>
      <c r="Z1261">
        <f>INDEX(FactorTable!$B$2:$Y$301, MATCH(ROUND(MIN(300,MAX(1,Z1260)),0), FactorTable!$A$2:$A$301,0), 24)</f>
        <v>7650</v>
      </c>
    </row>
    <row r="1262" spans="1:26" x14ac:dyDescent="0.2">
      <c r="A1262" t="str">
        <f>Skills!A4</f>
        <v>POISON_BREATH</v>
      </c>
      <c r="B1262" t="str">
        <f>Skills!B4</f>
        <v>Poison Breath</v>
      </c>
      <c r="C1262" t="b">
        <f>TRUE</f>
        <v>1</v>
      </c>
      <c r="D1262">
        <f>IF(Skills!C4=1,60+Inputs!$B$25+Inputs!$B$29,IF(Skills!C4=2,90+Inputs!$B$26+Inputs!$B$29,IF(Skills!C4=3,120+Inputs!$B$27+Inputs!$B$29,MAX(0,(Inputs!$B$3-100)*3)+Inputs!$B$28+Inputs!$B$29)))</f>
        <v>168</v>
      </c>
      <c r="E1262">
        <f>INDEX(FactorTable!$B$2:$Y$301, MATCH(ROUND(MIN(300,MAX(1,D1262)),0), FactorTable!$A$2:$A$301,0), Skills!M4+1)</f>
        <v>1840</v>
      </c>
      <c r="F1262">
        <f>IF(Skills!N4=TRUE,(Skills!L4/10)*(E1262/1000),Skills!L4/10)+Skills!O4</f>
        <v>438</v>
      </c>
      <c r="G1262">
        <f>Calc!G4</f>
        <v>3</v>
      </c>
      <c r="H1262">
        <f>Calc!H4</f>
        <v>1</v>
      </c>
      <c r="I1262">
        <f>IF(Skills!X4&lt;&gt;"",1+(Skills!X4/10)*(Z1261/1000)/100,1)</f>
        <v>7.12</v>
      </c>
      <c r="J1262">
        <f>((Inputs!$B$6*(1+Inputs!$B$7/100))+(((Inputs!$B$12*(1+Inputs!$B$13/100))-(Inputs!$B$12*(1+Inputs!$B$13/100)))+0.25*(Inputs!$B$14-Inputs!$B$14))*(1+Inputs!$B$7/100))*(F1262/100)</f>
        <v>1581769203.69258</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58767961664852.359</v>
      </c>
      <c r="L1262">
        <f>K1262*(MIN(Inputs!$B$22+(F1280-Calc!F22),(Inputs!$B$23+(IF(ArtifactsInput!$M$15,CHOOSE(ArtifactsInput!$N$15+1,25,30,35,40,45,50)/100*(Inputs!$B$11-Inputs!$B$11),0))))/100+(Inputs!$B$23+(IF(ArtifactsInput!$M$15,CHOOSE(ArtifactsInput!$N$15+1,25,30,35,40,45,50)/100*(Inputs!$B$11-Inputs!$B$11),0)))/100)/2</f>
        <v>195403472535634.09</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922108986895657.12</v>
      </c>
      <c r="N1262">
        <f>L1262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922108986895657.12</v>
      </c>
      <c r="O1262">
        <f>(1-Summary!$B$11)*S1262+Summary!$B$11*U1262</f>
        <v>2202342051576915</v>
      </c>
      <c r="P1262">
        <f>IF(B1299=0,0,O1262/B1299)</f>
        <v>6.4017552747381606E-2</v>
      </c>
      <c r="Q1262">
        <f>IFERROR(1/(IF(Inputs!$B$38="pvp",15,MAX(0.1,Skills!E4-IF(TRUE=TRUE,Inputs!$B$32,0)))*(1-IF(AND(ArtifactsInput!$M$27,Inputs!$B$4="Chapter Hunt"),CHOOSE(ArtifactsInput!$N$27+1,20,24,28,32,36,40),0)/100)),0)</f>
        <v>5.5555555555555552E-2</v>
      </c>
      <c r="R1262">
        <f>IF(AND(Inputs!$B$38&lt;&gt;"pvp",Inputs!$B$43&gt;0),IF(MAX(0,Inputs!$B$43-B1296)&lt;=0,0,(INT(MAX(0,Inputs!$B$43-B1296)/(IF(Inputs!$B$38="pvp",15,MAX(0.1,Skills!E4-IF(TRUE=TRUE,Inputs!$B$32,0)))*(1-IF(AND(ArtifactsInput!$M$27,Inputs!$B$4="Chapter Hunt"),CHOOSE(ArtifactsInput!$N$27+1,20,24,28,32,36,40),0)/100)))+1)),0)</f>
        <v>3</v>
      </c>
      <c r="S1262">
        <f>IF(C1262,(H1262*N1262*IF(AND(Inputs!$B$38&lt;&gt;"pvp",Inputs!$B$43&gt;0),((Skills!G4*((R1262-1)*IF(Skills!H4&gt;0,Skills!I4/Skills!H4,1)+IF(Skills!H4&gt;0,MIN(Skills!I4,MAX(0,MAX(0,Inputs!$B$43-B1296)-((R1262-1)*(IF(Inputs!$B$38="pvp",15,MAX(0.1,Skills!E4-IF(TRUE=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657694234903327.38</v>
      </c>
      <c r="T1262">
        <f>290*T1261/1000</f>
        <v>504.6</v>
      </c>
      <c r="U1262">
        <f>IF(C1262,(H1262*N1262*IF(AND(Inputs!$B$38&lt;&gt;"pvp",Inputs!$B$43&gt;0),((Skills!G4*((R1262-1)*IF(Skills!H4&gt;0,Skills!I4/Skills!H4,1)+IF(Skills!H4&gt;0,MIN(Skills!I4,MAX(0,MAX(0,Inputs!$B$43-B1296)-((R1262-1)*(IF(Inputs!$B$38="pvp",15,MAX(0.1,Skills!E4-IF(TRUE=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3746989868250502.5</v>
      </c>
    </row>
    <row r="1263" spans="1:26" x14ac:dyDescent="0.2">
      <c r="A1263" t="str">
        <f>Skills!A5</f>
        <v>ELEMENTAL_DRAIN</v>
      </c>
      <c r="B1263" t="str">
        <f>Skills!B5</f>
        <v>Elemental Drain</v>
      </c>
      <c r="C1263" t="b">
        <f>TRUE</f>
        <v>1</v>
      </c>
      <c r="D1263">
        <f>IF(Skills!C5=1,60+Inputs!$B$25+Inputs!$B$29,IF(Skills!C5=2,90+Inputs!$B$26+Inputs!$B$29,IF(Skills!C5=3,120+Inputs!$B$27+Inputs!$B$29,MAX(0,(Inputs!$B$3-100)*3)+Inputs!$B$28+Inputs!$B$29)))</f>
        <v>168</v>
      </c>
      <c r="E1263">
        <f>INDEX(FactorTable!$B$2:$Y$301, MATCH(ROUND(MIN(300,MAX(1,D1263)),0), FactorTable!$A$2:$A$301,0), Skills!M5+1)</f>
        <v>1672</v>
      </c>
      <c r="F1263">
        <f>IF(Skills!N5=TRUE,(Skills!L5/10)*(E1263/1000),Skills!L5/10)+Skills!O5</f>
        <v>20.064</v>
      </c>
      <c r="G1263">
        <f>Calc!G5</f>
        <v>5</v>
      </c>
      <c r="H1263">
        <f>Calc!H5</f>
        <v>1</v>
      </c>
      <c r="I1263">
        <f>IF(Skills!X5&lt;&gt;"",1+(Skills!X5/10)*(Z1261/1000)/100,1)</f>
        <v>12.475</v>
      </c>
      <c r="J1263">
        <f>((Inputs!$B$6*(1+Inputs!$B$7/100))+(((Inputs!$B$12*(1+Inputs!$B$13/100))-(Inputs!$B$12*(1+Inputs!$B$13/100)))+0.25*(Inputs!$B$14-Inputs!$B$14))*(1+Inputs!$B$7/100))*(F1263/100)</f>
        <v>72458030.371890247</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4716768885631.1514</v>
      </c>
      <c r="L1263">
        <f>K1263*(MIN(Inputs!$B$22+(F1280-Calc!F22),(Inputs!$B$23+(IF(ArtifactsInput!$M$15,CHOOSE(ArtifactsInput!$N$15+1,25,30,35,40,45,50)/100*(Inputs!$B$11-Inputs!$B$11),0))))/100+(Inputs!$B$23+(IF(ArtifactsInput!$M$15,CHOOSE(ArtifactsInput!$N$15+1,25,30,35,40,45,50)/100*(Inputs!$B$11-Inputs!$B$11),0)))/100)/2</f>
        <v>15683256544723.58</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74009287634550.562</v>
      </c>
      <c r="N1263">
        <f>L1263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74009287634550.562</v>
      </c>
      <c r="O1263">
        <f>(1-Summary!$B$11)*S1263+Summary!$B$11*U1263</f>
        <v>1086271319256115.9</v>
      </c>
      <c r="P1263">
        <f>IF(B1299=0,0,O1263/B1299)</f>
        <v>3.1575672556701191E-2</v>
      </c>
      <c r="Q1263">
        <f>IFERROR(1/(IF(Inputs!$B$38="pvp",15,MAX(0.1,Skills!E5-IF(FALSE=TRUE,Inputs!$B$32,0)))*(1-IF(AND(ArtifactsInput!$M$27,Inputs!$B$4="Chapter Hunt"),CHOOSE(ArtifactsInput!$N$27+1,20,24,28,32,36,40),0)/100)),0)</f>
        <v>1</v>
      </c>
      <c r="R1263">
        <f>IF(AND(Inputs!$B$38&lt;&gt;"pvp",Inputs!$B$43&gt;0),IF(MAX(0,Inputs!$B$43-B1296)&lt;=0,0,(INT(MAX(0,Inputs!$B$43-B1296)/(IF(Inputs!$B$38="pvp",15,MAX(0.1,Skills!E5-IF(FALSE=TRUE,Inputs!$B$32,0)))*(1-IF(AND(ArtifactsInput!$M$27,Inputs!$B$4="Chapter Hunt"),CHOOSE(ArtifactsInput!$N$27+1,20,24,28,32,36,40),0)/100)))+1)),0)</f>
        <v>38</v>
      </c>
      <c r="S1263">
        <f>IF(C1263,(H1263*N1263*IF(AND(Inputs!$B$38&lt;&gt;"pvp",Inputs!$B$43&gt;0),((Skills!G5*((R1263-1)*IF(Skills!H5&gt;0,Skills!I5/Skills!H5,1)+IF(Skills!H5&gt;0,MIN(Skills!I5,MAX(0,MAX(0,Inputs!$B$43-B1296)-((R1263-1)*(IF(Inputs!$B$38="pvp",15,MAX(0.1,Skills!E5-IF(FALSE=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1114394848557245.1</v>
      </c>
      <c r="U1263">
        <f>IF(C1263,(H1263*N1263*IF(AND(Inputs!$B$38&lt;&gt;"pvp",Inputs!$B$43&gt;0),((Skills!G5*((R1263-1)*IF(Skills!H5&gt;0,Skills!I5/Skills!H5,1)+IF(Skills!H5&gt;0,MIN(Skills!I5,MAX(0,MAX(0,Inputs!$B$43-B1296)-((R1263-1)*(IF(Inputs!$B$38="pvp",15,MAX(0.1,Skills!E5-IF(FALSE=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1058147789954986.6</v>
      </c>
    </row>
    <row r="1264" spans="1:26" x14ac:dyDescent="0.2">
      <c r="A1264" t="str">
        <f>Skills!A6</f>
        <v>MEDITATION</v>
      </c>
      <c r="B1264" t="str">
        <f>Skills!B6</f>
        <v>Meditation</v>
      </c>
      <c r="C1264" t="b">
        <f>TRUE</f>
        <v>1</v>
      </c>
      <c r="D1264">
        <f>IF(Skills!C6=1,60+Inputs!$B$25+Inputs!$B$29,IF(Skills!C6=2,90+Inputs!$B$26+Inputs!$B$29,IF(Skills!C6=3,120+Inputs!$B$27+Inputs!$B$29,MAX(0,(Inputs!$B$3-100)*3)+Inputs!$B$28+Inputs!$B$29)))</f>
        <v>168</v>
      </c>
      <c r="E1264">
        <f>INDEX(FactorTable!$B$2:$Y$301, MATCH(ROUND(MIN(300,MAX(1,D1264)),0), FactorTable!$A$2:$A$301,0), Skills!M6+1)</f>
        <v>1672</v>
      </c>
      <c r="F1264">
        <f>IF(Skills!N6=TRUE,(Skills!L6/10)*(E1264/1000),Skills!L6/10)+Skills!O6</f>
        <v>33.44</v>
      </c>
      <c r="G1264">
        <f>Calc!G6</f>
        <v>1</v>
      </c>
      <c r="H1264">
        <f>Calc!H6</f>
        <v>1</v>
      </c>
      <c r="I1264">
        <f>IF(Skills!X6&lt;&gt;"",1+(Skills!X6/10)*(Z1261/1000)/100,1)</f>
        <v>1</v>
      </c>
      <c r="O1264">
        <f>(1-Summary!$B$11)*S1264+Summary!$B$11*U1264</f>
        <v>0</v>
      </c>
      <c r="P1264">
        <f>IF(B1299=0,0,O1264/B1299)</f>
        <v>0</v>
      </c>
      <c r="Q1264">
        <f>IFERROR(1/(IF(Inputs!$B$38="pvp",15,MAX(0.1,Skills!E6-IF(TRUE=TRUE,Inputs!$B$32,0)))*(1-IF(AND(ArtifactsInput!$M$27,Inputs!$B$4="Chapter Hunt"),CHOOSE(ArtifactsInput!$N$27+1,20,24,28,32,36,40),0)/100)),0)</f>
        <v>3.3333333333333333E-2</v>
      </c>
      <c r="R1264">
        <f>IF(AND(Inputs!$B$38&lt;&gt;"pvp",Inputs!$B$43&gt;0),IF(Inputs!$B$43&lt;=0,0,(INT(Inputs!$B$43/(IF(Inputs!$B$38="pvp",15,MAX(0.1,Skills!E6-IF(TRUE=TRUE,Inputs!$B$32,0)))*(1-IF(AND(ArtifactsInput!$M$27,Inputs!$B$4="Chapter Hunt"),CHOOSE(ArtifactsInput!$N$27+1,20,24,28,32,36,40),0)/100)))+1)),0)</f>
        <v>2</v>
      </c>
      <c r="S1264">
        <v>0</v>
      </c>
      <c r="U1264">
        <v>0</v>
      </c>
    </row>
    <row r="1265" spans="1:21" x14ac:dyDescent="0.2">
      <c r="A1265" t="str">
        <f>Skills!A7</f>
        <v>POISON_MIST_BURST</v>
      </c>
      <c r="B1265" t="str">
        <f>Skills!B7</f>
        <v>Poison Mist (burst)</v>
      </c>
      <c r="C1265" t="b">
        <f>TRUE</f>
        <v>1</v>
      </c>
      <c r="D1265">
        <f>IF(Skills!C7=1,60+Inputs!$B$25+Inputs!$B$29,IF(Skills!C7=2,90+Inputs!$B$26+Inputs!$B$29,IF(Skills!C7=3,120+Inputs!$B$27+Inputs!$B$29,MAX(0,(Inputs!$B$3-100)*3)+Inputs!$B$28+Inputs!$B$29)))</f>
        <v>184</v>
      </c>
      <c r="E1265">
        <f>INDEX(FactorTable!$B$2:$Y$301, MATCH(ROUND(MIN(300,MAX(1,D1265)),0), FactorTable!$A$2:$A$301,0), Skills!M7+1)</f>
        <v>1920</v>
      </c>
      <c r="F1265">
        <f>IF(Skills!N7=TRUE,(Skills!L7/10)*(E1265/1000),Skills!L7/10)+Skills!O7</f>
        <v>357.2</v>
      </c>
      <c r="G1265">
        <f>Calc!G7</f>
        <v>3</v>
      </c>
      <c r="H1265">
        <f>Calc!H7</f>
        <v>1</v>
      </c>
      <c r="I1265">
        <f>IF(Skills!X7&lt;&gt;"",1+(Skills!X7/10)*(Z1261/1000)/100,1)</f>
        <v>1.7650000000000001</v>
      </c>
      <c r="J1265">
        <f>((Inputs!$B$6*(1+Inputs!$B$7/100))+(((Inputs!$B$12*(1+Inputs!$B$13/100))-(Inputs!$B$12*(1+Inputs!$B$13/100)))+0.25*(Inputs!$B$14-Inputs!$B$14))*(1+Inputs!$B$7/100))*(F1265/100)</f>
        <v>1289972510.4086521</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11880717887518.439</v>
      </c>
      <c r="L1265">
        <f>K1265*(MIN(Inputs!$B$22+(F1280-Calc!F22),(Inputs!$B$23+(IF(ArtifactsInput!$M$15,CHOOSE(ArtifactsInput!$N$15+1,25,30,35,40,45,50)/100*(Inputs!$B$11-Inputs!$B$11),0))))/100+(Inputs!$B$23+(IF(ArtifactsInput!$M$15,CHOOSE(ArtifactsInput!$N$15+1,25,30,35,40,45,50)/100*(Inputs!$B$11-Inputs!$B$11),0)))/100)/2</f>
        <v>39503386975998.812</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186416483139738.38</v>
      </c>
      <c r="N1265">
        <f>L1265*(1-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186416483139738.38</v>
      </c>
      <c r="O1265">
        <f>(1-Summary!$B$11)*S1265+Summary!$B$11*U1265</f>
        <v>465155729554432.12</v>
      </c>
      <c r="P1265">
        <f>IF(B1299=0,0,O1265/B1299)</f>
        <v>1.3521120132622438E-2</v>
      </c>
      <c r="Q1265">
        <f>IFERROR(1/(IF(Inputs!$B$38="pvp",15,MAX(0.1,Skills!E7-IF(TRUE=TRUE,Inputs!$B$32,0)))*(1-IF(AND(ArtifactsInput!$M$27,Inputs!$B$4="Chapter Hunt"),CHOOSE(ArtifactsInput!$N$27+1,20,24,28,32,36,40),0)/100)),0)</f>
        <v>4.0816326530612242E-2</v>
      </c>
      <c r="R1265">
        <f>IF(AND(Inputs!$B$38&lt;&gt;"pvp",Inputs!$B$43&gt;0),IF(MAX(0,Inputs!$B$43-B1296)&lt;=0,0,(INT(MAX(0,Inputs!$B$43-B1296)/(IF(Inputs!$B$38="pvp",15,MAX(0.1,Skills!E7-IF(TRUE=TRUE,Inputs!$B$32,0)))*(1-IF(AND(ArtifactsInput!$M$27,Inputs!$B$4="Chapter Hunt"),CHOOSE(ArtifactsInput!$N$27+1,20,24,28,32,36,40),0)/100)))+1)),0)</f>
        <v>2</v>
      </c>
      <c r="S1265">
        <f>IF(C1265,(H1265*N1265*IF(AND(Inputs!$B$38&lt;&gt;"pvp",Inputs!$B$43&gt;0),((Skills!G7*((R1265-1)*IF(Skills!H7&gt;0,Skills!I7/Skills!H7,1)+IF(Skills!H7&gt;0,MIN(Skills!I7,MAX(0,MAX(0,Inputs!$B$43-B1296)-((R1265-1)*(IF(Inputs!$B$38="pvp",15,MAX(0.1,Skills!E7-IF(TRUE=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88641037732945.594</v>
      </c>
      <c r="U1265">
        <f>IF(C1265,(H1265*N1265*IF(AND(Inputs!$B$38&lt;&gt;"pvp",Inputs!$B$43&gt;0),((Skills!G7*((R1265-1)*IF(Skills!H7&gt;0,Skills!I7/Skills!H7,1)+IF(Skills!H7&gt;0,MIN(Skills!I7,MAX(0,MAX(0,Inputs!$B$43-B1296)-((R1265-1)*(IF(Inputs!$B$38="pvp",15,MAX(0.1,Skills!E7-IF(TRUE=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841670421375918.62</v>
      </c>
    </row>
    <row r="1266" spans="1:21" x14ac:dyDescent="0.2">
      <c r="A1266" t="str">
        <f>Skills!A8</f>
        <v>POISON_MIST_DOT</v>
      </c>
      <c r="B1266" t="str">
        <f>Skills!B8</f>
        <v>Poison Mist (fog DoT)</v>
      </c>
      <c r="C1266" t="b">
        <f>TRUE</f>
        <v>1</v>
      </c>
      <c r="D1266">
        <f>IF(Skills!C8=1,60+Inputs!$B$25+Inputs!$B$29,IF(Skills!C8=2,90+Inputs!$B$26+Inputs!$B$29,IF(Skills!C8=3,120+Inputs!$B$27+Inputs!$B$29,MAX(0,(Inputs!$B$3-100)*3)+Inputs!$B$28+Inputs!$B$29)))</f>
        <v>184</v>
      </c>
      <c r="E1266">
        <f>INDEX(FactorTable!$B$2:$Y$301, MATCH(ROUND(MIN(300,MAX(1,D1266)),0), FactorTable!$A$2:$A$301,0), Skills!M8+1)</f>
        <v>1920</v>
      </c>
      <c r="F1266">
        <f>IF(Skills!N8=TRUE,(Skills!L8/10)*(E1266/1000),Skills!L8/10)+Skills!O8</f>
        <v>134.4</v>
      </c>
      <c r="G1266">
        <f>Calc!G8</f>
        <v>50</v>
      </c>
      <c r="H1266">
        <f>Calc!H8</f>
        <v>1</v>
      </c>
      <c r="I1266">
        <f>IF(Skills!X8&lt;&gt;"",1+(Skills!X8/10)*(Z1261/1000)/100,1)</f>
        <v>1.7650000000000001</v>
      </c>
      <c r="J1266">
        <f>((Inputs!$B$6*(1+Inputs!$B$7/100))+(((Inputs!$B$12*(1+Inputs!$B$13/100))-(Inputs!$B$12*(1+Inputs!$B$13/100)))+0.25*(Inputs!$B$14-Inputs!$B$14))*(1+Inputs!$B$7/100))*(F1266/100)</f>
        <v>485364796.74950409</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4470236517588.124</v>
      </c>
      <c r="L1266">
        <f>K1266*(MIN(Inputs!$B$22+(F1280-Calc!F22),(Inputs!$B$23+(IF(ArtifactsInput!$M$15,CHOOSE(ArtifactsInput!$N$15+1,25,30,35,40,45,50)/100*(Inputs!$B$11-Inputs!$B$11),0))))/100+(Inputs!$B$23+(IF(ArtifactsInput!$M$15,CHOOSE(ArtifactsInput!$N$15+1,25,30,35,40,45,50)/100*(Inputs!$B$11-Inputs!$B$11),0)))/100)/2</f>
        <v>14863536420980.514</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70141028370607.039</v>
      </c>
      <c r="N1266">
        <f>L1266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70141028370607.039</v>
      </c>
      <c r="O1266">
        <f>(1-Summary!$B$11)*S1266+Summary!$B$11*U1266</f>
        <v>2417449356774385</v>
      </c>
      <c r="P1266">
        <f>IF(B1299=0,0,O1266/B1299)</f>
        <v>7.0270279587413623E-2</v>
      </c>
      <c r="Q1266">
        <f>IFERROR(1/(IF(Inputs!$B$38="pvp",15,MAX(0.1,Skills!E8-IF(TRUE=TRUE,Inputs!$B$32,0)))*(1-IF(AND(ArtifactsInput!$M$27,Inputs!$B$4="Chapter Hunt"),CHOOSE(ArtifactsInput!$N$27+1,20,24,28,32,36,40),0)/100)),0)</f>
        <v>4.0816326530612242E-2</v>
      </c>
      <c r="R1266">
        <f>IF(AND(Inputs!$B$38&lt;&gt;"pvp",Inputs!$B$43&gt;0),IF(MAX(0,Inputs!$B$43-B1296)&lt;=0,0,(INT(MAX(0,Inputs!$B$43-B1296)/(IF(Inputs!$B$38="pvp",15,MAX(0.1,Skills!E8-IF(TRUE=TRUE,Inputs!$B$32,0)))*(1-IF(AND(ArtifactsInput!$M$27,Inputs!$B$4="Chapter Hunt"),CHOOSE(ArtifactsInput!$N$27+1,20,24,28,32,36,40),0)/100)))+1)),0)</f>
        <v>2</v>
      </c>
      <c r="S1266">
        <f>IF(C1266,(H1266*N1266*IF(AND(Inputs!$B$38&lt;&gt;"pvp",Inputs!$B$43&gt;0),((Skills!G8*((R1266-1)*IF(Skills!H8&gt;0,Skills!I8/Skills!H8,1)+IF(Skills!H8&gt;0,MIN(Skills!I8,MAX(0,MAX(0,Inputs!$B$43-B1296)-((R1266-1)*(IF(Inputs!$B$38="pvp",15,MAX(0.1,Skills!E8-IF(TRUE=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460674148540715.38</v>
      </c>
      <c r="U1266">
        <f>IF(C1266,(H1266*N1266*IF(AND(Inputs!$B$38&lt;&gt;"pvp",Inputs!$B$43&gt;0),((Skills!G8*((R1266-1)*IF(Skills!H8&gt;0,Skills!I8/Skills!H8,1)+IF(Skills!H8&gt;0,MIN(Skills!I8,MAX(0,MAX(0,Inputs!$B$43-B1296)-((R1266-1)*(IF(Inputs!$B$38="pvp",15,MAX(0.1,Skills!E8-IF(TRUE=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4374224565008054.5</v>
      </c>
    </row>
    <row r="1267" spans="1:21" x14ac:dyDescent="0.2">
      <c r="A1267" t="str">
        <f>Skills!A9</f>
        <v>MIST_ERUPTION</v>
      </c>
      <c r="B1267" t="str">
        <f>Skills!B9</f>
        <v>Mist Eruption</v>
      </c>
      <c r="C1267" t="b">
        <f>Inputs!$B$3&gt;=103</f>
        <v>1</v>
      </c>
      <c r="D1267">
        <f>IF(Skills!C9=1,60+Inputs!$B$25+Inputs!$B$29,IF(Skills!C9=2,90+Inputs!$B$26+Inputs!$B$29,IF(Skills!C9=3,120+Inputs!$B$27+Inputs!$B$29,MAX(0,(Inputs!$B$3-100)*3)+Inputs!$B$28+Inputs!$B$29)))</f>
        <v>185</v>
      </c>
      <c r="E1267">
        <f>INDEX(FactorTable!$B$2:$Y$301, MATCH(ROUND(MIN(300,MAX(1,D1267)),0), FactorTable!$A$2:$A$301,0), Skills!M9+1)</f>
        <v>1925</v>
      </c>
      <c r="F1267">
        <f>IF(Skills!N9=TRUE,(Skills!L9/10)*(E1267/1000),Skills!L9/10)+Skills!O9</f>
        <v>5775</v>
      </c>
      <c r="G1267">
        <f>Calc!G9</f>
        <v>2.5</v>
      </c>
      <c r="H1267">
        <f>Calc!H9</f>
        <v>1</v>
      </c>
      <c r="I1267">
        <f>IF(Skills!X9&lt;&gt;"",1+(Skills!X9/10)*(Z1261/1000)/100,1)</f>
        <v>1</v>
      </c>
      <c r="J1267">
        <f>((Inputs!$B$6*(1+Inputs!$B$7/100))+(((Inputs!$B$12*(1+Inputs!$B$13/100))-(Inputs!$B$12*(1+Inputs!$B$13/100)))+0.25*(Inputs!$B$14-Inputs!$B$14))*(1+Inputs!$B$7/100))*(F1267/100)</f>
        <v>20855518610.330254</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108827464796098.98</v>
      </c>
      <c r="L1267">
        <f>K1267*(MIN(Inputs!$B$22+(F1280-Calc!F22),(Inputs!$B$23+(IF(ArtifactsInput!$M$15,CHOOSE(ArtifactsInput!$N$15+1,25,30,35,40,45,50)/100*(Inputs!$B$11-Inputs!$B$11),0))))/100+(Inputs!$B$23+(IF(ArtifactsInput!$M$15,CHOOSE(ArtifactsInput!$N$15+1,25,30,35,40,45,50)/100*(Inputs!$B$11-Inputs!$B$11),0)))/100)/2</f>
        <v>361851320447029.12</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1707576381189530.2</v>
      </c>
      <c r="N1267">
        <f>L1267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1707576381189530.2</v>
      </c>
      <c r="O1267">
        <f>(1-Summary!$B$11)*S1267+Summary!$B$11*U1267</f>
        <v>3550691637635979</v>
      </c>
      <c r="P1267">
        <f>IF(B1299=0,0,O1267/B1299)</f>
        <v>0.10321130136860103</v>
      </c>
      <c r="Q1267">
        <f>IFERROR(1/(IF(Inputs!$B$38="pvp",15,MAX(0.1,Skills!E9-IF(TRUE=TRUE,Inputs!$B$32,0)))*(1-IF(AND(ArtifactsInput!$M$27,Inputs!$B$4="Chapter Hunt"),CHOOSE(ArtifactsInput!$N$27+1,20,24,28,32,36,40),0)/100)),0)</f>
        <v>4.0816326530612242E-2</v>
      </c>
      <c r="R1267">
        <f>IF(AND(Inputs!$B$38&lt;&gt;"pvp",Inputs!$B$43&gt;0),IF(MAX(0,Inputs!$B$43-B1296)&lt;=0,0,(INT(MAX(0,Inputs!$B$43-B1296)/(IF(Inputs!$B$38="pvp",15,MAX(0.1,Skills!E9-IF(TRUE=TRUE,Inputs!$B$32,0)))*(1-IF(AND(ArtifactsInput!$M$27,Inputs!$B$4="Chapter Hunt"),CHOOSE(ArtifactsInput!$N$27+1,20,24,28,32,36,40),0)/100)))+1)),0)</f>
        <v>2</v>
      </c>
      <c r="S1267">
        <f>IF(C1267,(H1267*N1267*IF(AND(Inputs!$B$38&lt;&gt;"pvp",Inputs!$B$43&gt;0),((Skills!G9*((R1267-1)*IF(Skills!H9&gt;0,Skills!I9/Skills!H9,1)+IF(Skills!H9&gt;0,MIN(Skills!I9,MAX(0,MAX(0,Inputs!$B$43-B1296)-((R1267-1)*(IF(Inputs!$B$38="pvp",15,MAX(0.1,Skills!E9-IF(TRUE=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676627141046351.38</v>
      </c>
      <c r="U1267">
        <f>IF(C1267,(H1267*N1267*IF(AND(Inputs!$B$38&lt;&gt;"pvp",Inputs!$B$43&gt;0),((Skills!G9*((R1267-1)*IF(Skills!H9&gt;0,Skills!I9/Skills!H9,1)+IF(Skills!H9&gt;0,MIN(Skills!I9,MAX(0,MAX(0,Inputs!$B$43-B1296)-((R1267-1)*(IF(Inputs!$B$38="pvp",15,MAX(0.1,Skills!E9-IF(TRUE=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6424756134225607</v>
      </c>
    </row>
    <row r="1268" spans="1:21" x14ac:dyDescent="0.2">
      <c r="A1268" t="str">
        <f>Skills!A10</f>
        <v>CREEPING_TOXIN</v>
      </c>
      <c r="B1268" t="str">
        <f>Skills!B10</f>
        <v>Creeping Toxin</v>
      </c>
      <c r="C1268" t="b">
        <f>TRUE</f>
        <v>1</v>
      </c>
      <c r="D1268">
        <f>IF(Skills!C10=1,60+Inputs!$B$25+Inputs!$B$29,IF(Skills!C10=2,90+Inputs!$B$26+Inputs!$B$29,IF(Skills!C10=3,120+Inputs!$B$27+Inputs!$B$29,MAX(0,(Inputs!$B$3-100)*3)+Inputs!$B$28+Inputs!$B$29)))</f>
        <v>184</v>
      </c>
      <c r="E1268">
        <f>INDEX(FactorTable!$B$2:$Y$301, MATCH(ROUND(MIN(300,MAX(1,D1268)),0), FactorTable!$A$2:$A$301,0), Skills!M10+1)</f>
        <v>1920</v>
      </c>
      <c r="F1268">
        <f>IF(Skills!N10=TRUE,(Skills!L10/10)*(E1268/1000),Skills!L10/10)+Skills!O10</f>
        <v>280.39999999999998</v>
      </c>
      <c r="G1268">
        <f>Calc!G10</f>
        <v>15</v>
      </c>
      <c r="H1268">
        <f>Calc!H10</f>
        <v>1</v>
      </c>
      <c r="I1268">
        <f>IF(Skills!X10&lt;&gt;"",1+(Skills!X10/10)*(Z1261/1000)/100,1)</f>
        <v>1.7650000000000001</v>
      </c>
      <c r="J1268">
        <f>((Inputs!$B$6*(1+Inputs!$B$7/100))+(((Inputs!$B$12*(1+Inputs!$B$13/100))-(Inputs!$B$12*(1+Inputs!$B$13/100)))+0.25*(Inputs!$B$14-Inputs!$B$14))*(1+Inputs!$B$7/100))*(F1268/100)</f>
        <v>1012621197.9803641</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9326297020325.2227</v>
      </c>
      <c r="L1268">
        <f>K1268*(MIN(Inputs!$B$22+(F1280-Calc!F22),(Inputs!$B$23+(IF(ArtifactsInput!$M$15,CHOOSE(ArtifactsInput!$N$15+1,25,30,35,40,45,50)/100*(Inputs!$B$11-Inputs!$B$11),0))))/100+(Inputs!$B$23+(IF(ArtifactsInput!$M$15,CHOOSE(ArtifactsInput!$N$15+1,25,30,35,40,45,50)/100*(Inputs!$B$11-Inputs!$B$11),0)))/100)/2</f>
        <v>31009937592581.367</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146335895499391.47</v>
      </c>
      <c r="N1268">
        <f>L1268*(1-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146335895499391.47</v>
      </c>
      <c r="O1268">
        <f>(1-Summary!$B$11)*S1268+Summary!$B$11*U1268</f>
        <v>336876933606234.88</v>
      </c>
      <c r="P1268">
        <f>IF(B1299=0,0,O1268/B1299)</f>
        <v>9.7923194315213923E-3</v>
      </c>
      <c r="Q1268">
        <f>IFERROR(1/(IF(Inputs!$B$38="pvp",15,MAX(0.1,Skills!E10-IF(TRUE=TRUE,Inputs!$B$32,0)))*(1-IF(AND(ArtifactsInput!$M$27,Inputs!$B$4="Chapter Hunt"),CHOOSE(ArtifactsInput!$N$27+1,20,24,28,32,36,40),0)/100)),0)</f>
        <v>3.7037037037037035E-2</v>
      </c>
      <c r="R1268">
        <f>IF(AND(Inputs!$B$38&lt;&gt;"pvp",Inputs!$B$43&gt;0),IF(MAX(0,Inputs!$B$43-B1296)&lt;=0,0,(INT(MAX(0,Inputs!$B$43-B1296)/(IF(Inputs!$B$38="pvp",15,MAX(0.1,Skills!E10-IF(TRUE=TRUE,Inputs!$B$32,0)))*(1-IF(AND(ArtifactsInput!$M$27,Inputs!$B$4="Chapter Hunt"),CHOOSE(ArtifactsInput!$N$27+1,20,24,28,32,36,40),0)/100)))+1)),0)</f>
        <v>2</v>
      </c>
      <c r="S1268">
        <f>IF(C1268,(H1268*N1268*IF(AND(Inputs!$B$38&lt;&gt;"pvp",Inputs!$B$43&gt;0),((Skills!G10*((R1268-1)*IF(Skills!H10&gt;0,Skills!I10/Skills!H10,1)+IF(Skills!H10&gt;0,MIN(Skills!I10,MAX(0,MAX(0,Inputs!$B$43-B1296)-((R1268-1)*(IF(Inputs!$B$38="pvp",15,MAX(0.1,Skills!E10-IF(TRUE=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297465147501884.25</v>
      </c>
      <c r="U1268">
        <f>IF(C1268,(H1268*N1268*IF(AND(Inputs!$B$38&lt;&gt;"pvp",Inputs!$B$43&gt;0),((Skills!G10*((R1268-1)*IF(Skills!H10&gt;0,Skills!I10/Skills!H10,1)+IF(Skills!H10&gt;0,MIN(Skills!I10,MAX(0,MAX(0,Inputs!$B$43-B1296)-((R1268-1)*(IF(Inputs!$B$38="pvp",15,MAX(0.1,Skills!E10-IF(TRUE=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376288719710585.44</v>
      </c>
    </row>
    <row r="1269" spans="1:21" x14ac:dyDescent="0.2">
      <c r="A1269" t="str">
        <f>Skills!A11</f>
        <v>BURNING_MAGIC</v>
      </c>
      <c r="B1269" t="str">
        <f>Skills!B11</f>
        <v>Burning Magic</v>
      </c>
      <c r="C1269" t="b">
        <f>TRUE</f>
        <v>1</v>
      </c>
      <c r="D1269">
        <f>IF(Skills!C11=1,60+Inputs!$B$25+Inputs!$B$29,IF(Skills!C11=2,90+Inputs!$B$26+Inputs!$B$29,IF(Skills!C11=3,120+Inputs!$B$27+Inputs!$B$29,MAX(0,(Inputs!$B$3-100)*3)+Inputs!$B$28+Inputs!$B$29)))</f>
        <v>184</v>
      </c>
      <c r="E1269">
        <f>INDEX(FactorTable!$B$2:$Y$301, MATCH(ROUND(MIN(300,MAX(1,D1269)),0), FactorTable!$A$2:$A$301,0), Skills!M11+1)</f>
        <v>0</v>
      </c>
      <c r="F1269">
        <f>IF(Skills!N11=TRUE,(Skills!L11/10)*(E1269/1000),Skills!L11/10)+Skills!O11</f>
        <v>5</v>
      </c>
      <c r="G1269">
        <f>Calc!G11</f>
        <v>1</v>
      </c>
      <c r="H1269">
        <f>Calc!H11</f>
        <v>1</v>
      </c>
      <c r="I1269">
        <f>IF(Skills!X11&lt;&gt;"",1+(Skills!X11/10)*(Z1261/1000)/100,1)</f>
        <v>1</v>
      </c>
      <c r="O1269">
        <f>(1-Summary!$B$11)*S1269+Summary!$B$11*U1269</f>
        <v>0</v>
      </c>
      <c r="P1269">
        <f>IF(B1299=0,0,O1269/B1299)</f>
        <v>0</v>
      </c>
      <c r="Q1269">
        <f>IFERROR(1/(IF(Inputs!$B$38="pvp",15,MAX(0.1,Skills!E11-IF(TRUE=TRUE,Inputs!$B$32,0)))*(1-IF(AND(ArtifactsInput!$M$27,Inputs!$B$4="Chapter Hunt"),CHOOSE(ArtifactsInput!$N$27+1,20,24,28,32,36,40),0)/100)),0)</f>
        <v>10</v>
      </c>
      <c r="R1269">
        <v>0</v>
      </c>
      <c r="S1269">
        <v>0</v>
      </c>
      <c r="U1269">
        <v>0</v>
      </c>
    </row>
    <row r="1270" spans="1:21" x14ac:dyDescent="0.2">
      <c r="A1270" t="str">
        <f>Skills!A12</f>
        <v>ELEMENTAL_DECREASE</v>
      </c>
      <c r="B1270" t="str">
        <f>Skills!B12</f>
        <v>Elemental Decrease</v>
      </c>
      <c r="C1270" t="b">
        <f>TRUE</f>
        <v>1</v>
      </c>
      <c r="D1270">
        <f>IF(Skills!C12=1,60+Inputs!$B$25+Inputs!$B$29,IF(Skills!C12=2,90+Inputs!$B$26+Inputs!$B$29,IF(Skills!C12=3,120+Inputs!$B$27+Inputs!$B$29,MAX(0,(Inputs!$B$3-100)*3)+Inputs!$B$28+Inputs!$B$29)))</f>
        <v>184</v>
      </c>
      <c r="E1270">
        <f>INDEX(FactorTable!$B$2:$Y$301, MATCH(ROUND(MIN(300,MAX(1,D1270)),0), FactorTable!$A$2:$A$301,0), Skills!M12+1)</f>
        <v>1552</v>
      </c>
      <c r="F1270">
        <f>IF(Skills!N12=TRUE,(Skills!L12/10)*(E1270/1000),Skills!L12/10)+Skills!O12</f>
        <v>18.624000000000002</v>
      </c>
      <c r="G1270">
        <f>Calc!G12</f>
        <v>1</v>
      </c>
      <c r="H1270">
        <f>Calc!H12</f>
        <v>0.5</v>
      </c>
      <c r="I1270">
        <f>IF(Skills!X12&lt;&gt;"",1+(Skills!X12/10)*(Z1261/1000)/100,1)</f>
        <v>1</v>
      </c>
      <c r="O1270">
        <f>(1-Summary!$B$11)*S1270+Summary!$B$11*U1270</f>
        <v>0</v>
      </c>
      <c r="P1270">
        <f>IF(B1299=0,0,O1270/B1299)</f>
        <v>0</v>
      </c>
      <c r="Q1270">
        <f>IFERROR(1/(IF(Inputs!$B$38="pvp",15,MAX(0.1,Skills!E12-IF(TRUE=TRUE,Inputs!$B$32,0)))*(1-IF(AND(ArtifactsInput!$M$27,Inputs!$B$4="Chapter Hunt"),CHOOSE(ArtifactsInput!$N$27+1,20,24,28,32,36,40),0)/100)),0)</f>
        <v>10</v>
      </c>
      <c r="R1270">
        <v>0</v>
      </c>
      <c r="S1270">
        <v>0</v>
      </c>
      <c r="U1270">
        <v>0</v>
      </c>
    </row>
    <row r="1271" spans="1:21" x14ac:dyDescent="0.2">
      <c r="A1271" t="str">
        <f>Skills!A13</f>
        <v>METEOR_SHOWER_BURST</v>
      </c>
      <c r="B1271" t="str">
        <f>Skills!B13</f>
        <v>Meteor Shower (burst)</v>
      </c>
      <c r="C1271" t="b">
        <f>Inputs!$B$3&gt;=105</f>
        <v>1</v>
      </c>
      <c r="D1271">
        <f>IF(Skills!C13=1,60+Inputs!$B$25+Inputs!$B$29,IF(Skills!C13=2,90+Inputs!$B$26+Inputs!$B$29,IF(Skills!C13=3,120+Inputs!$B$27+Inputs!$B$29,MAX(0,(Inputs!$B$3-100)*3)+Inputs!$B$28+Inputs!$B$29)))</f>
        <v>185</v>
      </c>
      <c r="E1271">
        <f>INDEX(FactorTable!$B$2:$Y$301, MATCH(ROUND(MIN(300,MAX(1,D1271)),0), FactorTable!$A$2:$A$301,0), Skills!M13+1)</f>
        <v>1925</v>
      </c>
      <c r="F1271">
        <f>IF(Skills!N13=TRUE,(Skills!L13/10)*(E1271/1000),Skills!L13/10)+Skills!O13</f>
        <v>1155</v>
      </c>
      <c r="G1271">
        <f>Calc!G13</f>
        <v>9</v>
      </c>
      <c r="H1271">
        <f>Calc!H13</f>
        <v>1</v>
      </c>
      <c r="I1271">
        <f>IF(Skills!X13&lt;&gt;"",1+(Skills!X13/10)*(Z1261/1000)/100,1)</f>
        <v>1</v>
      </c>
      <c r="J1271">
        <f>((Inputs!$B$6*(1+Inputs!$B$7/100))+(((Inputs!$B$12*(1+Inputs!$B$13/100))-(Inputs!$B$12*(1+Inputs!$B$13/100)))+0.25*(Inputs!$B$14-Inputs!$B$14))*(1+Inputs!$B$7/100))*(F1271/100)</f>
        <v>4171103722.0660505</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21765492959219.797</v>
      </c>
      <c r="L1271">
        <f>K1271*(MIN(Inputs!$B$22+(F1280-Calc!F22),(Inputs!$B$23+(IF(ArtifactsInput!$M$15,CHOOSE(ArtifactsInput!$N$15+1,25,30,35,40,45,50)/100*(Inputs!$B$11-Inputs!$B$11),0))))/100+(Inputs!$B$23+(IF(ArtifactsInput!$M$15,CHOOSE(ArtifactsInput!$N$15+1,25,30,35,40,45,50)/100*(Inputs!$B$11-Inputs!$B$11),0)))/100)/2</f>
        <v>72370264089405.828</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341515276237906.06</v>
      </c>
      <c r="N1271">
        <f>L1271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341515276237906.06</v>
      </c>
      <c r="O1271">
        <f>(1-Summary!$B$11)*S1271+Summary!$B$11*U1271</f>
        <v>1862624316601539.5</v>
      </c>
      <c r="P1271">
        <f>IF(B1299=0,0,O1271/B1299)</f>
        <v>5.4142657064199587E-2</v>
      </c>
      <c r="Q1271">
        <f>IFERROR(1/(IF(Inputs!$B$38="pvp",15,MAX(0.1,Skills!E13-IF(TRUE=TRUE,Inputs!$B$32,0)))*(1-IF(AND(ArtifactsInput!$M$27,Inputs!$B$4="Chapter Hunt"),CHOOSE(ArtifactsInput!$N$27+1,20,24,28,32,36,40),0)/100)),0)</f>
        <v>3.0303030303030304E-2</v>
      </c>
      <c r="R1271">
        <f>IF(AND(Inputs!$B$38&lt;&gt;"pvp",Inputs!$B$43&gt;0),IF(MAX(0,Inputs!$B$43-B1296)&lt;=0,0,(INT(MAX(0,Inputs!$B$43-B1296)/(IF(Inputs!$B$38="pvp",15,MAX(0.1,Skills!E13-IF(TRUE=TRUE,Inputs!$B$32,0)))*(1-IF(AND(ArtifactsInput!$M$27,Inputs!$B$4="Chapter Hunt"),CHOOSE(ArtifactsInput!$N$27+1,20,24,28,32,36,40),0)/100)))+1)),0)</f>
        <v>2</v>
      </c>
      <c r="S1271">
        <f>IF(C1271,(H1271*N1271*IF(AND(Inputs!$B$38&lt;&gt;"pvp",Inputs!$B$43&gt;0),((Skills!G13*((R1271-1)*IF(Skills!H13&gt;0,Skills!I13/Skills!H13,1)+IF(Skills!H13&gt;0,MIN(Skills!I13,MAX(0,MAX(0,Inputs!$B$43-B1296)-((R1271-1)*(IF(Inputs!$B$38="pvp",15,MAX(0.1,Skills!E13-IF(TRUE=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487171541553372.94</v>
      </c>
      <c r="U1271">
        <f>IF(C1271,(H1271*N1271*IF(AND(Inputs!$B$38&lt;&gt;"pvp",Inputs!$B$43&gt;0),((Skills!G13*((R1271-1)*IF(Skills!H13&gt;0,Skills!I13/Skills!H13,1)+IF(Skills!H13&gt;0,MIN(Skills!I13,MAX(0,MAX(0,Inputs!$B$43-B1296)-((R1271-1)*(IF(Inputs!$B$38="pvp",15,MAX(0.1,Skills!E13-IF(TRUE=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3238077091649706</v>
      </c>
    </row>
    <row r="1272" spans="1:21" x14ac:dyDescent="0.2">
      <c r="A1272" t="str">
        <f>Skills!A14</f>
        <v>METEOR_PROC</v>
      </c>
      <c r="B1272" t="str">
        <f>Skills!B14</f>
        <v>Meteor Proc (30% on-hit, 1s ICD)</v>
      </c>
      <c r="C1272" t="b">
        <f>Inputs!$B$3&gt;=113</f>
        <v>1</v>
      </c>
      <c r="D1272">
        <f>IF(Skills!C14=1,60+Inputs!$B$25+Inputs!$B$29,IF(Skills!C14=2,90+Inputs!$B$26+Inputs!$B$29,IF(Skills!C14=3,120+Inputs!$B$27+Inputs!$B$29,MAX(0,(Inputs!$B$3-100)*3)+Inputs!$B$28+Inputs!$B$29)))</f>
        <v>185</v>
      </c>
      <c r="E1272">
        <f>INDEX(FactorTable!$B$2:$Y$301, MATCH(ROUND(MIN(300,MAX(1,D1272)),0), FactorTable!$A$2:$A$301,0), Skills!M14+1)</f>
        <v>1740</v>
      </c>
      <c r="F1272">
        <f>IF(Skills!N14=TRUE,(Skills!L14/10)*(E1272/1000),Skills!L14/10)+Skills!O14</f>
        <v>1653</v>
      </c>
      <c r="G1272">
        <f>Calc!G14</f>
        <v>0</v>
      </c>
      <c r="H1272">
        <f>Calc!H14</f>
        <v>0.30000000000000004</v>
      </c>
      <c r="I1272">
        <f>IF(Skills!X14&lt;&gt;"",1+(Skills!X14/10)*(Z1261/1000)/100,1)</f>
        <v>1</v>
      </c>
      <c r="J1272">
        <f>((Inputs!$B$6*(1+Inputs!$B$7/100))+(((Inputs!$B$12*(1+Inputs!$B$13/100))-(Inputs!$B$12*(1+Inputs!$B$13/100)))+0.25*(Inputs!$B$14-Inputs!$B$14))*(1+Inputs!$B$7/100))*(F1272/100)</f>
        <v>5969553638.5932312</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31150095118260.016</v>
      </c>
      <c r="L1272">
        <f>K1272*(MIN(Inputs!$B$22+(F1280-Calc!F22),(Inputs!$B$23+(IF(ArtifactsInput!$M$15,CHOOSE(ArtifactsInput!$N$15+1,25,30,35,40,45,50)/100*(Inputs!$B$11-Inputs!$B$11),0))))/100+(Inputs!$B$23+(IF(ArtifactsInput!$M$15,CHOOSE(ArtifactsInput!$N$15+1,25,30,35,40,45,50)/100*(Inputs!$B$11-Inputs!$B$11),0)))/100)/2</f>
        <v>103574066268214.56</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488766018719704.44</v>
      </c>
      <c r="N1272">
        <f>L1272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488766018719704.44</v>
      </c>
      <c r="O1272">
        <f>(1-Summary!$B$11)*S1272+Summary!$B$11*U1272</f>
        <v>479810521377198.88</v>
      </c>
      <c r="P1272">
        <f>IF(B1299=0,0,O1272/B1299)</f>
        <v>1.3947104782847015E-2</v>
      </c>
      <c r="Q1272">
        <f>IFERROR(1/(IF(Inputs!$B$38="pvp",15,MAX(0.1,Skills!E14-IF(TRUE=TRUE,Inputs!$B$32,0)))*(1-IF(AND(ArtifactsInput!$M$27,Inputs!$B$4="Chapter Hunt"),CHOOSE(ArtifactsInput!$N$27+1,20,24,28,32,36,40),0)/100)),0)</f>
        <v>10</v>
      </c>
      <c r="R1272">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492232800247806</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467388242506591.81</v>
      </c>
    </row>
    <row r="1273" spans="1:21" x14ac:dyDescent="0.2">
      <c r="A1273" t="str">
        <f>Skills!A15</f>
        <v>FLAME_HAZE_BURST</v>
      </c>
      <c r="B1273" t="str">
        <f>Skills!B15</f>
        <v>Flame Haze (burst)</v>
      </c>
      <c r="C1273" t="b">
        <f>Inputs!$B$3&gt;=107</f>
        <v>1</v>
      </c>
      <c r="D1273">
        <f>IF(Skills!C15=1,60+Inputs!$B$25+Inputs!$B$29,IF(Skills!C15=2,90+Inputs!$B$26+Inputs!$B$29,IF(Skills!C15=3,120+Inputs!$B$27+Inputs!$B$29,MAX(0,(Inputs!$B$3-100)*3)+Inputs!$B$28+Inputs!$B$29)))</f>
        <v>185</v>
      </c>
      <c r="E1273">
        <f>INDEX(FactorTable!$B$2:$Y$301, MATCH(ROUND(MIN(300,MAX(1,D1273)),0), FactorTable!$A$2:$A$301,0), Skills!M15+1)</f>
        <v>1925</v>
      </c>
      <c r="F1273">
        <f>IF(Skills!N15=TRUE,(Skills!L15/10)*(E1273/1000),Skills!L15/10)+Skills!O15</f>
        <v>2310</v>
      </c>
      <c r="G1273">
        <f>Calc!G15</f>
        <v>3</v>
      </c>
      <c r="H1273">
        <f>Calc!H15</f>
        <v>1</v>
      </c>
      <c r="I1273">
        <f>IF(Skills!X15&lt;&gt;"",1+(Skills!X15/10)*(Z1261/1000)/100,1)</f>
        <v>1</v>
      </c>
      <c r="J1273">
        <f>((Inputs!$B$6*(1+Inputs!$B$7/100))+(((Inputs!$B$12*(1+Inputs!$B$13/100))-(Inputs!$B$12*(1+Inputs!$B$13/100)))+0.25*(Inputs!$B$14-Inputs!$B$14))*(1+Inputs!$B$7/100))*(F1273/100)</f>
        <v>8342207444.1321011</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43530985918439.594</v>
      </c>
      <c r="L1273">
        <f>K1273*(MIN(Inputs!$B$22+(F1280-Calc!F22),(Inputs!$B$23+(IF(ArtifactsInput!$M$15,CHOOSE(ArtifactsInput!$N$15+1,25,30,35,40,45,50)/100*(Inputs!$B$11-Inputs!$B$11),0))))/100+(Inputs!$B$23+(IF(ArtifactsInput!$M$15,CHOOSE(ArtifactsInput!$N$15+1,25,30,35,40,45,50)/100*(Inputs!$B$11-Inputs!$B$11),0)))/100)/2</f>
        <v>144740528178811.66</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683030552475812.12</v>
      </c>
      <c r="N1273">
        <f>L1273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683030552475812.12</v>
      </c>
      <c r="O1273">
        <f>(1-Summary!$B$11)*S1273+Summary!$B$11*U1273</f>
        <v>1704331986065270</v>
      </c>
      <c r="P1273">
        <f>IF(B1299=0,0,O1273/B1299)</f>
        <v>4.9541424656928498E-2</v>
      </c>
      <c r="Q1273">
        <f>IFERROR(1/(IF(Inputs!$B$38="pvp",15,MAX(0.1,Skills!E15-IF(TRUE=TRUE,Inputs!$B$32,0)))*(1-IF(AND(ArtifactsInput!$M$27,Inputs!$B$4="Chapter Hunt"),CHOOSE(ArtifactsInput!$N$27+1,20,24,28,32,36,40),0)/100)),0)</f>
        <v>0.04</v>
      </c>
      <c r="R1273">
        <f>IF(AND(Inputs!$B$38&lt;&gt;"pvp",Inputs!$B$43&gt;0),IF(MAX(0,Inputs!$B$43-B1296)&lt;=0,0,(INT(MAX(0,Inputs!$B$43-B1296)/(IF(Inputs!$B$38="pvp",15,MAX(0.1,Skills!E15-IF(TRUE=TRUE,Inputs!$B$32,0)))*(1-IF(AND(ArtifactsInput!$M$27,Inputs!$B$4="Chapter Hunt"),CHOOSE(ArtifactsInput!$N$27+1,20,24,28,32,36,40),0)/100)))+1)),0)</f>
        <v>2</v>
      </c>
      <c r="S1273">
        <f>IF(C1273,(H1273*N1273*IF(AND(Inputs!$B$38&lt;&gt;"pvp",Inputs!$B$43&gt;0),((Skills!G15*((R1273-1)*IF(Skills!H15&gt;0,Skills!I15/Skills!H15,1)+IF(Skills!H15&gt;0,MIN(Skills!I15,MAX(0,MAX(0,Inputs!$B$43-B1296)-((R1273-1)*(IF(Inputs!$B$38="pvp",15,MAX(0.1,Skills!E15-IF(TRUE=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324781027702248.62</v>
      </c>
      <c r="U1273">
        <f>IF(C1273,(H1273*N1273*IF(AND(Inputs!$B$38&lt;&gt;"pvp",Inputs!$B$43&gt;0),((Skills!G15*((R1273-1)*IF(Skills!H15&gt;0,Skills!I15/Skills!H15,1)+IF(Skills!H15&gt;0,MIN(Skills!I15,MAX(0,MAX(0,Inputs!$B$43-B1296)-((R1273-1)*(IF(Inputs!$B$38="pvp",15,MAX(0.1,Skills!E15-IF(TRUE=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3083882944428291.5</v>
      </c>
    </row>
    <row r="1274" spans="1:21" x14ac:dyDescent="0.2">
      <c r="A1274" t="str">
        <f>Skills!A16</f>
        <v>FLAME_HAZE_DOT</v>
      </c>
      <c r="B1274" t="str">
        <f>Skills!B16</f>
        <v>Flame Haze (burn DoT)</v>
      </c>
      <c r="C1274" t="b">
        <f>Inputs!$B$3&gt;=107</f>
        <v>1</v>
      </c>
      <c r="D1274">
        <f>IF(Skills!C16=1,60+Inputs!$B$25+Inputs!$B$29,IF(Skills!C16=2,90+Inputs!$B$26+Inputs!$B$29,IF(Skills!C16=3,120+Inputs!$B$27+Inputs!$B$29,MAX(0,(Inputs!$B$3-100)*3)+Inputs!$B$28+Inputs!$B$29)))</f>
        <v>185</v>
      </c>
      <c r="E1274">
        <f>INDEX(FactorTable!$B$2:$Y$301, MATCH(ROUND(MIN(300,MAX(1,D1274)),0), FactorTable!$A$2:$A$301,0), Skills!M16+1)</f>
        <v>1925</v>
      </c>
      <c r="F1274">
        <f>IF(Skills!N16=TRUE,(Skills!L16/10)*(E1274/1000),Skills!L16/10)+Skills!O16</f>
        <v>288.75</v>
      </c>
      <c r="G1274">
        <f>Calc!G16</f>
        <v>30</v>
      </c>
      <c r="H1274">
        <f>Calc!H16</f>
        <v>1</v>
      </c>
      <c r="I1274">
        <f>IF(Skills!X16&lt;&gt;"",1+(Skills!X16/10)*(Z1261/1000)/100,1)</f>
        <v>1</v>
      </c>
      <c r="J1274">
        <f>((Inputs!$B$6*(1+Inputs!$B$7/100))+(((Inputs!$B$12*(1+Inputs!$B$13/100))-(Inputs!$B$12*(1+Inputs!$B$13/100)))+0.25*(Inputs!$B$14-Inputs!$B$14))*(1+Inputs!$B$7/100))*(F1274/100)</f>
        <v>1042775930.5165126</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5441373239804.9492</v>
      </c>
      <c r="L1274">
        <f>K1274*(MIN(Inputs!$B$22+(F1280-Calc!F22),(Inputs!$B$23+(IF(ArtifactsInput!$M$15,CHOOSE(ArtifactsInput!$N$15+1,25,30,35,40,45,50)/100*(Inputs!$B$11-Inputs!$B$11),0))))/100+(Inputs!$B$23+(IF(ArtifactsInput!$M$15,CHOOSE(ArtifactsInput!$N$15+1,25,30,35,40,45,50)/100*(Inputs!$B$11-Inputs!$B$11),0)))/100)/2</f>
        <v>18092566022351.457</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85378819059476.516</v>
      </c>
      <c r="N1274">
        <f>L1274*(1-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85378819059476.516</v>
      </c>
      <c r="O1274">
        <f>(1-Summary!$B$11)*S1274+Summary!$B$11*U1274</f>
        <v>1963526515869092.5</v>
      </c>
      <c r="P1274">
        <f>IF(B1299=0,0,O1274/B1299)</f>
        <v>5.7075676419350282E-2</v>
      </c>
      <c r="Q1274">
        <f>IFERROR(1/(IF(Inputs!$B$38="pvp",15,MAX(0.1,Skills!E16-IF(TRUE=TRUE,Inputs!$B$32,0)))*(1-IF(AND(ArtifactsInput!$M$27,Inputs!$B$4="Chapter Hunt"),CHOOSE(ArtifactsInput!$N$27+1,20,24,28,32,36,40),0)/100)),0)</f>
        <v>0.04</v>
      </c>
      <c r="R1274">
        <f>IF(AND(Inputs!$B$38&lt;&gt;"pvp",Inputs!$B$43&gt;0),IF(MAX(0,Inputs!$B$43-B1296)&lt;=0,0,(INT(MAX(0,Inputs!$B$43-B1296)/(IF(Inputs!$B$38="pvp",15,MAX(0.1,Skills!E16-IF(TRUE=TRUE,Inputs!$B$32,0)))*(1-IF(AND(ArtifactsInput!$M$27,Inputs!$B$4="Chapter Hunt"),CHOOSE(ArtifactsInput!$N$27+1,20,24,28,32,36,40),0)/100)))+1)),0)</f>
        <v>2</v>
      </c>
      <c r="S1274">
        <f>IF(C1274,(H1274*N1274*IF(AND(Inputs!$B$38&lt;&gt;"pvp",Inputs!$B$43&gt;0),((Skills!G16*((R1274-1)*IF(Skills!H16&gt;0,Skills!I16/Skills!H16,1)+IF(Skills!H16&gt;0,MIN(Skills!I16,MAX(0,MAX(0,Inputs!$B$43-B1296)-((R1274-1)*(IF(Inputs!$B$38="pvp",15,MAX(0.1,Skills!E16-IF(TRUE=TRUE,Inputs!$B$32,0)))*(1-IF(AND(ArtifactsInput!$M$27,Inputs!$B$4="Chapter Hunt"),CHOOSE(ArtifactsInput!$N$27+1,20,24,28,32,36,40),0)/100)))))/Skills!H16,1)))/Inputs!$B$43),G1274*Q1274)*(1+IF(Inputs!$B$3&gt;=126,0.05*(B1294+Q1271+(H1272*B1295)/(1+Skills!H14*H1272*B1295)+Q1282),0)*(1/Q1273)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374173673297566.75</v>
      </c>
      <c r="U1274">
        <f>IF(C1274,(H1274*N1274*IF(AND(Inputs!$B$38&lt;&gt;"pvp",Inputs!$B$43&gt;0),((Skills!G16*((R1274-1)*IF(Skills!H16&gt;0,Skills!I16/Skills!H16,1)+IF(Skills!H16&gt;0,MIN(Skills!I16,MAX(0,MAX(0,Inputs!$B$43-B1296)-((R1274-1)*(IF(Inputs!$B$38="pvp",15,MAX(0.1,Skills!E16-IF(TRUE=TRUE,Inputs!$B$32,0)))*(1-IF(AND(ArtifactsInput!$M$27,Inputs!$B$4="Chapter Hunt"),CHOOSE(ArtifactsInput!$N$27+1,20,24,28,32,36,40),0)/100)))))/Skills!H16,1)))/Inputs!$B$43),G1274*Q1274)*(1+IF(Inputs!$B$3&gt;=126,0.05*(B1294+Q1271+(H1272*B1295)/(1+Skills!H14*H1272*B1295)+Q1282),0)*(1/Q1273)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3552879358440618</v>
      </c>
    </row>
    <row r="1275" spans="1:21" x14ac:dyDescent="0.2">
      <c r="A1275" t="str">
        <f>Skills!A17</f>
        <v>MAGIC_GUARD</v>
      </c>
      <c r="B1275" t="str">
        <f>Skills!B17</f>
        <v>Magic Guard</v>
      </c>
      <c r="C1275" t="b">
        <f>TRUE</f>
        <v>1</v>
      </c>
      <c r="D1275">
        <f>IF(Skills!C17=1,60+Inputs!$B$25+Inputs!$B$29,IF(Skills!C17=2,90+Inputs!$B$26+Inputs!$B$29,IF(Skills!C17=3,120+Inputs!$B$27+Inputs!$B$29,MAX(0,(Inputs!$B$3-100)*3)+Inputs!$B$28+Inputs!$B$29)))</f>
        <v>127</v>
      </c>
      <c r="E1275">
        <f>INDEX(FactorTable!$B$2:$Y$301, MATCH(ROUND(MIN(300,MAX(1,D1275)),0), FactorTable!$A$2:$A$301,0), Skills!M17+1)</f>
        <v>1508</v>
      </c>
      <c r="F1275">
        <f>IF(Skills!N17=TRUE,(Skills!L17/10)*(E1275/1000),Skills!L17/10)+Skills!O17</f>
        <v>18.096</v>
      </c>
      <c r="G1275">
        <f>Calc!G17</f>
        <v>1</v>
      </c>
      <c r="H1275">
        <f>Calc!H17</f>
        <v>1</v>
      </c>
      <c r="I1275">
        <f>IF(Skills!X17&lt;&gt;"",1+(Skills!X17/10)*(Z1261/1000)/100,1)</f>
        <v>1</v>
      </c>
      <c r="O1275">
        <f>(1-Summary!$B$11)*S1275+Summary!$B$11*U1275</f>
        <v>0</v>
      </c>
      <c r="P1275">
        <f>IF(B1299=0,0,O1275/B1299)</f>
        <v>0</v>
      </c>
      <c r="Q1275">
        <f>IFERROR(1/(IF(Inputs!$B$38="pvp",15,MAX(0.1,Skills!E17-IF(TRUE=TRUE,Inputs!$B$32,0)))*(1-IF(AND(ArtifactsInput!$M$27,Inputs!$B$4="Chapter Hunt"),CHOOSE(ArtifactsInput!$N$27+1,20,24,28,32,36,40),0)/100)),0)</f>
        <v>4.7619047619047616E-2</v>
      </c>
      <c r="R1275">
        <f>IF(AND(Inputs!$B$38&lt;&gt;"pvp",Inputs!$B$43&gt;0),IF(Inputs!$B$43&lt;=0,0,(INT(Inputs!$B$43/(IF(Inputs!$B$38="pvp",15,MAX(0.1,Skills!E17-IF(TRUE=TRUE,Inputs!$B$32,0)))*(1-IF(AND(ArtifactsInput!$M$27,Inputs!$B$4="Chapter Hunt"),CHOOSE(ArtifactsInput!$N$27+1,20,24,28,32,36,40),0)/100)))+1)),0)</f>
        <v>2</v>
      </c>
      <c r="S1275">
        <v>0</v>
      </c>
      <c r="U1275">
        <v>0</v>
      </c>
    </row>
    <row r="1276" spans="1:21" x14ac:dyDescent="0.2">
      <c r="A1276" t="str">
        <f>Skills!A18</f>
        <v>NIMBLE_FEET</v>
      </c>
      <c r="B1276" t="str">
        <f>Skills!B18</f>
        <v>Nimble Feet</v>
      </c>
      <c r="C1276" t="b">
        <f>TRUE</f>
        <v>1</v>
      </c>
      <c r="D1276">
        <f>IF(Skills!C18=1,60+Inputs!$B$25+Inputs!$B$29,IF(Skills!C18=2,90+Inputs!$B$26+Inputs!$B$29,IF(Skills!C18=3,120+Inputs!$B$27+Inputs!$B$29,MAX(0,(Inputs!$B$3-100)*3)+Inputs!$B$28+Inputs!$B$29)))</f>
        <v>127</v>
      </c>
      <c r="E1276">
        <f>INDEX(FactorTable!$B$2:$Y$301, MATCH(ROUND(MIN(300,MAX(1,D1276)),0), FactorTable!$A$2:$A$301,0), Skills!M18+1)</f>
        <v>0</v>
      </c>
      <c r="F1276">
        <f>IF(Skills!N18=TRUE,(Skills!L18/10)*(E1276/1000),Skills!L18/10)+Skills!O18</f>
        <v>15</v>
      </c>
      <c r="G1276">
        <f>Calc!G18</f>
        <v>1</v>
      </c>
      <c r="H1276">
        <f>Calc!H18</f>
        <v>1</v>
      </c>
      <c r="I1276">
        <f>IF(Skills!X18&lt;&gt;"",1+(Skills!X18/10)*(Z1261/1000)/100,1)</f>
        <v>1</v>
      </c>
      <c r="O1276">
        <f>(1-Summary!$B$11)*S1276+Summary!$B$11*U1276</f>
        <v>0</v>
      </c>
      <c r="P1276">
        <f>IF(B1299=0,0,O1276/B1299)</f>
        <v>0</v>
      </c>
      <c r="Q1276">
        <f>IFERROR(1/(IF(Inputs!$B$38="pvp",15,MAX(0.1,Skills!E18-IF(TRUE=TRUE,Inputs!$B$32,0)))*(1-IF(AND(ArtifactsInput!$M$27,Inputs!$B$4="Chapter Hunt"),CHOOSE(ArtifactsInput!$N$27+1,20,24,28,32,36,40),0)/100)),0)</f>
        <v>1.6666666666666666E-2</v>
      </c>
      <c r="R1276">
        <f>IF(AND(Inputs!$B$38&lt;&gt;"pvp",Inputs!$B$43&gt;0),IF(Inputs!$B$43&lt;=0,0,(INT(Inputs!$B$43/(IF(Inputs!$B$38="pvp",15,MAX(0.1,Skills!E18-IF(TRUE=TRUE,Inputs!$B$32,0)))*(1-IF(AND(ArtifactsInput!$M$27,Inputs!$B$4="Chapter Hunt"),CHOOSE(ArtifactsInput!$N$27+1,20,24,28,32,36,40),0)/100)))+1)),0)</f>
        <v>1</v>
      </c>
      <c r="S1276">
        <v>0</v>
      </c>
      <c r="U1276">
        <v>0</v>
      </c>
    </row>
    <row r="1277" spans="1:21" x14ac:dyDescent="0.2">
      <c r="A1277" t="str">
        <f>Skills!A19</f>
        <v>INFINITY</v>
      </c>
      <c r="B1277" t="str">
        <f>Skills!B19</f>
        <v>Infinity</v>
      </c>
      <c r="C1277" t="b">
        <f>Inputs!$B$3&gt;=110</f>
        <v>1</v>
      </c>
      <c r="D1277">
        <f>IF(Skills!C19=1,60+Inputs!$B$25+Inputs!$B$29,IF(Skills!C19=2,90+Inputs!$B$26+Inputs!$B$29,IF(Skills!C19=3,120+Inputs!$B$27+Inputs!$B$29,MAX(0,(Inputs!$B$3-100)*3)+Inputs!$B$28+Inputs!$B$29)))</f>
        <v>185</v>
      </c>
      <c r="E1277">
        <f>INDEX(FactorTable!$B$2:$Y$301, MATCH(ROUND(MIN(300,MAX(1,D1277)),0), FactorTable!$A$2:$A$301,0), Skills!M19+1)</f>
        <v>1740</v>
      </c>
      <c r="F1277">
        <f>IF(Skills!N19=TRUE,(Skills!L19/10)*(E1277/1000),Skills!L19/10)+Skills!O19</f>
        <v>37.700579999999995</v>
      </c>
      <c r="G1277">
        <f>Calc!G19</f>
        <v>1</v>
      </c>
      <c r="H1277">
        <f>Calc!H19</f>
        <v>1</v>
      </c>
      <c r="I1277">
        <f>IF(Skills!X19&lt;&gt;"",1+(Skills!X19/10)*(Z1261/1000)/100,1)</f>
        <v>1</v>
      </c>
      <c r="O1277">
        <f>(1-Summary!$B$11)*S1277+Summary!$B$11*U1277</f>
        <v>0</v>
      </c>
      <c r="P1277">
        <f>IF(B1299=0,0,O1277/B1299)</f>
        <v>0</v>
      </c>
      <c r="Q1277">
        <f>IFERROR(1/(IF(Inputs!$B$38="pvp",15,MAX(0.1,Skills!E19-IF(TRUE=TRUE,Inputs!$B$32,0)))*(1-IF(AND(ArtifactsInput!$M$27,Inputs!$B$4="Chapter Hunt"),CHOOSE(ArtifactsInput!$N$27+1,20,24,28,32,36,40),0)/100)),0)</f>
        <v>3.3333333333333333E-2</v>
      </c>
      <c r="R1277">
        <f>IF(AND(Inputs!$B$38&lt;&gt;"pvp",Inputs!$B$43&gt;0),IF(Inputs!$B$43&lt;=0,0,(INT(Inputs!$B$43/(IF(Inputs!$B$38="pvp",15,MAX(0.1,Skills!E19-IF(TRUE=TRUE,Inputs!$B$32,0)))*(1-IF(AND(ArtifactsInput!$M$27,Inputs!$B$4="Chapter Hunt"),CHOOSE(ArtifactsInput!$N$27+1,20,24,28,32,36,40),0)/100)))+1)),0)</f>
        <v>2</v>
      </c>
      <c r="S1277">
        <v>0</v>
      </c>
      <c r="U1277">
        <v>0</v>
      </c>
    </row>
    <row r="1278" spans="1:21" x14ac:dyDescent="0.2">
      <c r="A1278" t="str">
        <f>Skills!A20</f>
        <v>MAGIC_CRITICAL_RATE</v>
      </c>
      <c r="B1278" t="str">
        <f>Skills!B20</f>
        <v>Magic Critical (Crit Rate)</v>
      </c>
      <c r="C1278" t="b">
        <f>TRUE</f>
        <v>1</v>
      </c>
      <c r="D1278">
        <f>IF(Skills!C20=1,60+Inputs!$B$25+Inputs!$B$29,IF(Skills!C20=2,90+Inputs!$B$26+Inputs!$B$29,IF(Skills!C20=3,120+Inputs!$B$27+Inputs!$B$29,MAX(0,(Inputs!$B$3-100)*3)+Inputs!$B$28+Inputs!$B$29)))</f>
        <v>184</v>
      </c>
      <c r="E1278">
        <f>INDEX(FactorTable!$B$2:$Y$301, MATCH(ROUND(MIN(300,MAX(1,D1278)),0), FactorTable!$A$2:$A$301,0), Skills!M20+1)</f>
        <v>1552</v>
      </c>
      <c r="F1278">
        <f>IF(Skills!N20=TRUE,(Skills!L20/10)*(E1278/1000),Skills!L20/10)+Skills!O20</f>
        <v>12.416</v>
      </c>
      <c r="G1278">
        <f>Calc!G20</f>
        <v>1</v>
      </c>
      <c r="H1278">
        <f>Calc!H20</f>
        <v>1</v>
      </c>
      <c r="I1278">
        <f>IF(Skills!X20&lt;&gt;"",1+(Skills!X20/10)*(Z1261/1000)/100,1)</f>
        <v>1</v>
      </c>
      <c r="O1278">
        <f>(1-Summary!$B$11)*S1278+Summary!$B$11*U1278</f>
        <v>0</v>
      </c>
      <c r="P1278">
        <f>IF(B1299=0,0,O1278/B1299)</f>
        <v>0</v>
      </c>
      <c r="Q1278">
        <f>IFERROR(1/(IF(Inputs!$B$38="pvp",15,MAX(0.1,Skills!E20-IF(TRUE=TRUE,Inputs!$B$32,0)))*(1-IF(AND(ArtifactsInput!$M$27,Inputs!$B$4="Chapter Hunt"),CHOOSE(ArtifactsInput!$N$27+1,20,24,28,32,36,40),0)/100)),0)</f>
        <v>10</v>
      </c>
      <c r="R1278">
        <v>0</v>
      </c>
      <c r="S1278">
        <v>0</v>
      </c>
      <c r="U1278">
        <v>0</v>
      </c>
    </row>
    <row r="1279" spans="1:21" x14ac:dyDescent="0.2">
      <c r="A1279" t="str">
        <f>Skills!A21</f>
        <v>MAGIC_CRITICAL_DAMAGE</v>
      </c>
      <c r="B1279" t="str">
        <f>Skills!B21</f>
        <v>Magic Critical (Crit Damage)</v>
      </c>
      <c r="C1279" t="b">
        <f>TRUE</f>
        <v>1</v>
      </c>
      <c r="D1279">
        <f>IF(Skills!C21=1,60+Inputs!$B$25+Inputs!$B$29,IF(Skills!C21=2,90+Inputs!$B$26+Inputs!$B$29,IF(Skills!C21=3,120+Inputs!$B$27+Inputs!$B$29,MAX(0,(Inputs!$B$3-100)*3)+Inputs!$B$28+Inputs!$B$29)))</f>
        <v>184</v>
      </c>
      <c r="E1279">
        <f>INDEX(FactorTable!$B$2:$Y$301, MATCH(ROUND(MIN(300,MAX(1,D1279)),0), FactorTable!$A$2:$A$301,0), Skills!M21+1)</f>
        <v>1552</v>
      </c>
      <c r="F1279">
        <f>IF(Skills!N21=TRUE,(Skills!L21/10)*(E1279/1000),Skills!L21/10)+Skills!O21</f>
        <v>18.624000000000002</v>
      </c>
      <c r="G1279">
        <f>Calc!G21</f>
        <v>1</v>
      </c>
      <c r="H1279">
        <f>Calc!H21</f>
        <v>1</v>
      </c>
      <c r="I1279">
        <f>IF(Skills!X21&lt;&gt;"",1+(Skills!X21/10)*(Z1261/1000)/100,1)</f>
        <v>1</v>
      </c>
      <c r="O1279">
        <f>(1-Summary!$B$11)*S1279+Summary!$B$11*U1279</f>
        <v>0</v>
      </c>
      <c r="P1279">
        <f>IF(B1299=0,0,O1279/B1299)</f>
        <v>0</v>
      </c>
      <c r="Q1279">
        <f>IFERROR(1/(IF(Inputs!$B$38="pvp",15,MAX(0.1,Skills!E21-IF(TRUE=TRUE,Inputs!$B$32,0)))*(1-IF(AND(ArtifactsInput!$M$27,Inputs!$B$4="Chapter Hunt"),CHOOSE(ArtifactsInput!$N$27+1,20,24,28,32,36,40),0)/100)),0)</f>
        <v>10</v>
      </c>
      <c r="R1279">
        <v>0</v>
      </c>
      <c r="S1279">
        <v>0</v>
      </c>
      <c r="U1279">
        <v>0</v>
      </c>
    </row>
    <row r="1280" spans="1:21" x14ac:dyDescent="0.2">
      <c r="A1280" t="str">
        <f>Skills!A22</f>
        <v>SPELL_MASTERY</v>
      </c>
      <c r="B1280" t="str">
        <f>Skills!B22</f>
        <v>Spell Mastery</v>
      </c>
      <c r="C1280" t="b">
        <f>TRUE</f>
        <v>1</v>
      </c>
      <c r="D1280">
        <f>IF(Skills!C22=1,60+Inputs!$B$25+Inputs!$B$29,IF(Skills!C22=2,90+Inputs!$B$26+Inputs!$B$29,IF(Skills!C22=3,120+Inputs!$B$27+Inputs!$B$29,MAX(0,(Inputs!$B$3-100)*3)+Inputs!$B$28+Inputs!$B$29)))</f>
        <v>168</v>
      </c>
      <c r="E1280">
        <f>INDEX(FactorTable!$B$2:$Y$301, MATCH(ROUND(MIN(300,MAX(1,D1280)),0), FactorTable!$A$2:$A$301,0), Skills!M22+1)</f>
        <v>1504</v>
      </c>
      <c r="F1280">
        <f>IF(Skills!N22=TRUE,(Skills!L22/10)*(E1280/1000),Skills!L22/10)+Skills!O22</f>
        <v>22.56</v>
      </c>
      <c r="G1280">
        <f>Calc!G22</f>
        <v>1</v>
      </c>
      <c r="H1280">
        <f>Calc!H22</f>
        <v>1</v>
      </c>
      <c r="I1280">
        <f>IF(Skills!X22&lt;&gt;"",1+(Skills!X22/10)*(Z1261/1000)/100,1)</f>
        <v>1</v>
      </c>
      <c r="O1280">
        <f>(1-Summary!$B$11)*S1280+Summary!$B$11*U1280</f>
        <v>0</v>
      </c>
      <c r="P1280">
        <f>IF(B1299=0,0,O1280/B1299)</f>
        <v>0</v>
      </c>
      <c r="Q1280">
        <f>IFERROR(1/(IF(Inputs!$B$38="pvp",15,MAX(0.1,Skills!E22-IF(TRUE=TRUE,Inputs!$B$32,0)))*(1-IF(AND(ArtifactsInput!$M$27,Inputs!$B$4="Chapter Hunt"),CHOOSE(ArtifactsInput!$N$27+1,20,24,28,32,36,40),0)/100)),0)</f>
        <v>10</v>
      </c>
      <c r="R1280">
        <v>0</v>
      </c>
      <c r="S1280">
        <v>0</v>
      </c>
      <c r="U1280">
        <v>0</v>
      </c>
    </row>
    <row r="1281" spans="1:21" x14ac:dyDescent="0.2">
      <c r="A1281" t="str">
        <f>Skills!A23</f>
        <v>ELEMENT_AMPLIFICATION</v>
      </c>
      <c r="B1281" t="str">
        <f>Skills!B23</f>
        <v>Element Amplification</v>
      </c>
      <c r="C1281" t="b">
        <f>TRUE</f>
        <v>1</v>
      </c>
      <c r="D1281">
        <f>IF(Skills!C23=1,60+Inputs!$B$25+Inputs!$B$29,IF(Skills!C23=2,90+Inputs!$B$26+Inputs!$B$29,IF(Skills!C23=3,120+Inputs!$B$27+Inputs!$B$29,MAX(0,(Inputs!$B$3-100)*3)+Inputs!$B$28+Inputs!$B$29)))</f>
        <v>185</v>
      </c>
      <c r="E1281">
        <f>INDEX(FactorTable!$B$2:$Y$301, MATCH(ROUND(MIN(300,MAX(1,D1281)),0), FactorTable!$A$2:$A$301,0), Skills!M23+1)</f>
        <v>1555</v>
      </c>
      <c r="F1281">
        <f>IF(Skills!N23=TRUE,(Skills!L23/10)*(E1281/1000),Skills!L23/10)+Skills!O23</f>
        <v>23.324999999999999</v>
      </c>
      <c r="G1281">
        <f>Calc!G23</f>
        <v>1</v>
      </c>
      <c r="H1281">
        <f>Calc!H23</f>
        <v>1</v>
      </c>
      <c r="I1281">
        <f>IF(Skills!X23&lt;&gt;"",1+(Skills!X23/10)*(Z1261/1000)/100,1)</f>
        <v>1</v>
      </c>
      <c r="O1281">
        <f>(1-Summary!$B$11)*S1281+Summary!$B$11*U1281</f>
        <v>0</v>
      </c>
      <c r="P1281">
        <f>IF(B1299=0,0,O1281/B1299)</f>
        <v>0</v>
      </c>
      <c r="Q1281">
        <f>IFERROR(1/(IF(Inputs!$B$38="pvp",15,MAX(0.1,Skills!E23-IF(TRUE=TRUE,Inputs!$B$32,0)))*(1-IF(AND(ArtifactsInput!$M$27,Inputs!$B$4="Chapter Hunt"),CHOOSE(ArtifactsInput!$N$27+1,20,24,28,32,36,40),0)/100)),0)</f>
        <v>10</v>
      </c>
      <c r="R1281">
        <v>0</v>
      </c>
      <c r="S1281">
        <v>0</v>
      </c>
      <c r="U1281">
        <v>0</v>
      </c>
    </row>
    <row r="1282" spans="1:21" x14ac:dyDescent="0.2">
      <c r="A1282" t="str">
        <f>Skills!A24</f>
        <v>IFRIT</v>
      </c>
      <c r="B1282" t="str">
        <f>Skills!B24</f>
        <v>Ifrit</v>
      </c>
      <c r="C1282" t="b">
        <f>Inputs!$B$3&gt;=115</f>
        <v>1</v>
      </c>
      <c r="D1282">
        <f>IF(Skills!C24=1,60+Inputs!$B$25+Inputs!$B$29,IF(Skills!C24=2,90+Inputs!$B$26+Inputs!$B$29,IF(Skills!C24=3,120+Inputs!$B$27+Inputs!$B$29,MAX(0,(Inputs!$B$3-100)*3)+Inputs!$B$28+Inputs!$B$29)))</f>
        <v>185</v>
      </c>
      <c r="E1282">
        <f>INDEX(FactorTable!$B$2:$Y$301, MATCH(ROUND(MIN(300,MAX(1,D1282)),0), FactorTable!$A$2:$A$301,0), Skills!M24+1)</f>
        <v>1925</v>
      </c>
      <c r="F1282">
        <f>IF(Skills!N24=TRUE,(Skills!L24/10)*(E1282/1000),Skills!L24/10)+Skills!O24</f>
        <v>6737.5</v>
      </c>
      <c r="G1282">
        <f>Calc!G24</f>
        <v>7.5</v>
      </c>
      <c r="H1282">
        <f>Calc!H24</f>
        <v>1</v>
      </c>
      <c r="I1282">
        <f>IF(Skills!X24&lt;&gt;"",1+(Skills!X24/10)*(Z1261/1000)/100,1)</f>
        <v>1</v>
      </c>
      <c r="J1282">
        <f>((Inputs!$B$6*(1+Inputs!$B$7/100))+(((Inputs!$B$12*(1+Inputs!$B$13/100))-(Inputs!$B$12*(1+Inputs!$B$13/100)))+0.25*(Inputs!$B$14-Inputs!$B$14))*(1+Inputs!$B$7/100))*(F1282/100)</f>
        <v>24331438378.718628</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126965375595448.83</v>
      </c>
      <c r="L1282">
        <f>K1282*(MIN(Inputs!$B$22+(F1280-Calc!F22),(Inputs!$B$23+(IF(ArtifactsInput!$M$15,CHOOSE(ArtifactsInput!$N$15+1,25,30,35,40,45,50)/100*(Inputs!$B$11-Inputs!$B$11),0))))/100+(Inputs!$B$23+(IF(ArtifactsInput!$M$15,CHOOSE(ArtifactsInput!$N$15+1,25,30,35,40,45,50)/100*(Inputs!$B$11-Inputs!$B$11),0)))/100)/2</f>
        <v>422159873854867.38</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1992172444721119</v>
      </c>
      <c r="N1282">
        <f>L1282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1992172444721119</v>
      </c>
      <c r="O1282">
        <f>(1-Summary!$B$11)*S1282+Summary!$B$11*U1282</f>
        <v>2278547233649780</v>
      </c>
      <c r="P1282">
        <f>IF(B1299=0,0,O1282/B1299)</f>
        <v>6.6232680619766546E-2</v>
      </c>
      <c r="Q1282">
        <f>IFERROR(1/(IF(Inputs!$B$38="pvp",15,MAX(0.1,Skills!E24-IF(TRUE=TRUE,Inputs!$B$32,0)))*(1-IF(AND(ArtifactsInput!$M$27,Inputs!$B$4="Chapter Hunt"),CHOOSE(ArtifactsInput!$N$27+1,20,24,28,32,36,40),0)/100)),0)</f>
        <v>1.2500000000000001E-2</v>
      </c>
      <c r="R1282">
        <f>IF(AND(Inputs!$B$38&lt;&gt;"pvp",Inputs!$B$43&gt;0),IF(MAX(0,Inputs!$B$43-B1296)&lt;=0,0,(INT(MAX(0,Inputs!$B$43-B1296)/(IF(Inputs!$B$38="pvp",15,MAX(0.1,Skills!E24-IF(TRUE=TRUE,Inputs!$B$32,0)))*(1-IF(AND(ArtifactsInput!$M$27,Inputs!$B$4="Chapter Hunt"),CHOOSE(ArtifactsInput!$N$27+1,20,24,28,32,36,40),0)/100)))+1)),0)</f>
        <v>1</v>
      </c>
      <c r="S1282">
        <f>IF(C1282,(H1282*N1282*IF(AND(Inputs!$B$38&lt;&gt;"pvp",Inputs!$B$43&gt;0),((Skills!G24*((R1282-1)*IF(Skills!H24&gt;0,Skills!I24/Skills!H24,1)+IF(Skills!H24&gt;0,MIN(Skills!I24,MAX(0,MAX(0,Inputs!$B$43-B1296)-((R1282-1)*(IF(Inputs!$B$38="pvp",15,MAX(0.1,Skills!E24-IF(TRUE=TRUE,Inputs!$B$32,0)))*(1-IF(AND(ArtifactsInput!$M$27,Inputs!$B$4="Chapter Hunt"),CHOOSE(ArtifactsInput!$N$27+1,20,24,28,32,36,40),0)/100)))))/Skills!H24,1)))/Inputs!$B$43),G1282*Q1282)*(1+IF(Inputs!$B$3&gt;=130,0.2*(Skills!I16/(1/Q1273)+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1184097496831115</v>
      </c>
      <c r="U1282">
        <f>IF(C1282,(H1282*N1282*IF(AND(Inputs!$B$38&lt;&gt;"pvp",Inputs!$B$43&gt;0),((Skills!G24*((R1282-1)*IF(Skills!H24&gt;0,Skills!I24/Skills!H24,1)+IF(Skills!H24&gt;0,MIN(Skills!I24,MAX(0,MAX(0,Inputs!$B$43-B1296)-((R1282-1)*(IF(Inputs!$B$38="pvp",15,MAX(0.1,Skills!E24-IF(TRUE=TRUE,Inputs!$B$32,0)))*(1-IF(AND(ArtifactsInput!$M$27,Inputs!$B$4="Chapter Hunt"),CHOOSE(ArtifactsInput!$N$27+1,20,24,28,32,36,40),0)/100)))))/Skills!H24,1)))/Inputs!$B$43),G1282*Q1282)*(1+IF(Inputs!$B$3&gt;=130,0.2*(Skills!I16/(1/Q1273)+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3372996970468444.5</v>
      </c>
    </row>
    <row r="1283" spans="1:21" x14ac:dyDescent="0.2">
      <c r="A1283" t="str">
        <f>Skills!A25</f>
        <v>BUFF_MASTERY</v>
      </c>
      <c r="B1283" t="str">
        <f>Skills!B25</f>
        <v>Buff Mastery</v>
      </c>
      <c r="C1283" t="b">
        <f>Inputs!$B$3&gt;=117</f>
        <v>1</v>
      </c>
      <c r="D1283">
        <f>IF(Skills!C25=1,60+Inputs!$B$25+Inputs!$B$29,IF(Skills!C25=2,90+Inputs!$B$26+Inputs!$B$29,IF(Skills!C25=3,120+Inputs!$B$27+Inputs!$B$29,MAX(0,(Inputs!$B$3-100)*3)+Inputs!$B$28+Inputs!$B$29)))</f>
        <v>185</v>
      </c>
      <c r="E1283">
        <f>INDEX(FactorTable!$B$2:$Y$301, MATCH(ROUND(MIN(300,MAX(1,D1283)),0), FactorTable!$A$2:$A$301,0), Skills!M25+1)</f>
        <v>1555</v>
      </c>
      <c r="F1283">
        <f>IF(Skills!N25=TRUE,(Skills!L25/10)*(E1283/1000),Skills!L25/10)+Skills!O25</f>
        <v>15.549999999999999</v>
      </c>
      <c r="G1283">
        <f>Calc!G25</f>
        <v>1</v>
      </c>
      <c r="H1283">
        <f>Calc!H25</f>
        <v>1</v>
      </c>
      <c r="I1283">
        <f>IF(Skills!X25&lt;&gt;"",1+(Skills!X25/10)*(Z1261/1000)/100,1)</f>
        <v>1</v>
      </c>
      <c r="O1283">
        <f>(1-Summary!$B$11)*S1283+Summary!$B$11*U1283</f>
        <v>0</v>
      </c>
      <c r="P1283">
        <f>IF(B1299=0,0,O1283/B1299)</f>
        <v>0</v>
      </c>
      <c r="Q1283">
        <f>IFERROR(1/(IF(Inputs!$B$38="pvp",15,MAX(0.1,Skills!E25-IF(TRUE=TRUE,Inputs!$B$32,0)))*(1-IF(AND(ArtifactsInput!$M$27,Inputs!$B$4="Chapter Hunt"),CHOOSE(ArtifactsInput!$N$27+1,20,24,28,32,36,40),0)/100)),0)</f>
        <v>10</v>
      </c>
      <c r="R1283">
        <v>0</v>
      </c>
      <c r="S1283">
        <v>0</v>
      </c>
      <c r="U1283">
        <v>0</v>
      </c>
    </row>
    <row r="1284" spans="1:21" x14ac:dyDescent="0.2">
      <c r="A1284" t="str">
        <f>Skills!A26</f>
        <v>ARCANE_AIM</v>
      </c>
      <c r="B1284" t="str">
        <f>Skills!B26</f>
        <v>Arcane Aim</v>
      </c>
      <c r="C1284" t="b">
        <f>Inputs!$B$3&gt;=120</f>
        <v>0</v>
      </c>
      <c r="D1284">
        <f>IF(Skills!C26=1,60+Inputs!$B$25+Inputs!$B$29,IF(Skills!C26=2,90+Inputs!$B$26+Inputs!$B$29,IF(Skills!C26=3,120+Inputs!$B$27+Inputs!$B$29,MAX(0,(Inputs!$B$3-100)*3)+Inputs!$B$28+Inputs!$B$29)))</f>
        <v>185</v>
      </c>
      <c r="E1284">
        <f>INDEX(FactorTable!$B$2:$Y$301, MATCH(ROUND(MIN(300,MAX(1,D1284)),0), FactorTable!$A$2:$A$301,0), Skills!M26+1)</f>
        <v>1555</v>
      </c>
      <c r="F1284">
        <f>IF(Skills!N26=TRUE,(Skills!L26/10)*(E1284/1000),Skills!L26/10)+Skills!O26</f>
        <v>4.665</v>
      </c>
      <c r="G1284">
        <f>Calc!G26</f>
        <v>1</v>
      </c>
      <c r="H1284">
        <f>Calc!H26</f>
        <v>1</v>
      </c>
      <c r="I1284">
        <f>IF(Skills!X26&lt;&gt;"",1+(Skills!X26/10)*(Z1261/1000)/100,1)</f>
        <v>1</v>
      </c>
      <c r="O1284">
        <f>(1-Summary!$B$11)*S1284+Summary!$B$11*U1284</f>
        <v>0</v>
      </c>
      <c r="P1284">
        <f>IF(B1299=0,0,O1284/B1299)</f>
        <v>0</v>
      </c>
      <c r="Q1284">
        <f>IFERROR(1/(IF(Inputs!$B$38="pvp",15,MAX(0.1,Skills!E26-IF(TRUE=TRUE,Inputs!$B$32,0)))*(1-IF(AND(ArtifactsInput!$M$27,Inputs!$B$4="Chapter Hunt"),CHOOSE(ArtifactsInput!$N$27+1,20,24,28,32,36,40),0)/100)),0)</f>
        <v>10</v>
      </c>
      <c r="R1284">
        <v>0</v>
      </c>
      <c r="S1284">
        <v>0</v>
      </c>
      <c r="U1284">
        <v>0</v>
      </c>
    </row>
    <row r="1285" spans="1:21" x14ac:dyDescent="0.2">
      <c r="A1285" t="str">
        <f>Skills!A27</f>
        <v>FERVENT_DRAIN</v>
      </c>
      <c r="B1285" t="str">
        <f>Skills!B27</f>
        <v>Fervent Drain</v>
      </c>
      <c r="C1285" t="b">
        <f>Inputs!$B$3&gt;=125</f>
        <v>0</v>
      </c>
      <c r="D1285">
        <f>IF(Skills!C27=1,60+Inputs!$B$25+Inputs!$B$29,IF(Skills!C27=2,90+Inputs!$B$26+Inputs!$B$29,IF(Skills!C27=3,120+Inputs!$B$27+Inputs!$B$29,MAX(0,(Inputs!$B$3-100)*3)+Inputs!$B$28+Inputs!$B$29)))</f>
        <v>185</v>
      </c>
      <c r="E1285">
        <f>INDEX(FactorTable!$B$2:$Y$301, MATCH(ROUND(MIN(300,MAX(1,D1285)),0), FactorTable!$A$2:$A$301,0), Skills!M27+1)</f>
        <v>1555</v>
      </c>
      <c r="F1285">
        <f>IF(Skills!N27=TRUE,(Skills!L27/10)*(E1285/1000),Skills!L27/10)+Skills!O27</f>
        <v>6.22</v>
      </c>
      <c r="G1285">
        <f>Calc!G27</f>
        <v>1</v>
      </c>
      <c r="H1285">
        <f>Calc!H27</f>
        <v>1</v>
      </c>
      <c r="I1285">
        <f>IF(Skills!X27&lt;&gt;"",1+(Skills!X27/10)*(Z1261/1000)/100,1)</f>
        <v>1</v>
      </c>
      <c r="O1285">
        <f>(1-Summary!$B$11)*S1285+Summary!$B$11*U1285</f>
        <v>0</v>
      </c>
      <c r="P1285">
        <f>IF(B1299=0,0,O1285/B1299)</f>
        <v>0</v>
      </c>
      <c r="Q1285">
        <f>IFERROR(1/(IF(Inputs!$B$38="pvp",15,MAX(0.1,Skills!E27-IF(TRUE=TRUE,Inputs!$B$32,0)))*(1-IF(AND(ArtifactsInput!$M$27,Inputs!$B$4="Chapter Hunt"),CHOOSE(ArtifactsInput!$N$27+1,20,24,28,32,36,40),0)/100)),0)</f>
        <v>10</v>
      </c>
      <c r="R1285">
        <v>0</v>
      </c>
      <c r="S1285">
        <v>0</v>
      </c>
      <c r="U1285">
        <v>0</v>
      </c>
    </row>
    <row r="1286" spans="1:21" x14ac:dyDescent="0.2">
      <c r="A1286" t="str">
        <f>Skills!A28</f>
        <v>FLAME_HAZE_FOG</v>
      </c>
      <c r="B1286" t="str">
        <f>Skills!B28</f>
        <v>Flame Haze (poison fog DoT)</v>
      </c>
      <c r="C1286" t="b">
        <f>Inputs!$B$3&gt;=118</f>
        <v>0</v>
      </c>
      <c r="D1286">
        <f>IF(Skills!C28=1,60+Inputs!$B$25+Inputs!$B$29,IF(Skills!C28=2,90+Inputs!$B$26+Inputs!$B$29,IF(Skills!C28=3,120+Inputs!$B$27+Inputs!$B$29,MAX(0,(Inputs!$B$3-100)*3)+Inputs!$B$28+Inputs!$B$29)))</f>
        <v>185</v>
      </c>
      <c r="E1286">
        <f>INDEX(FactorTable!$B$2:$Y$301, MATCH(ROUND(MIN(300,MAX(1,D1286)),0), FactorTable!$A$2:$A$301,0), Skills!M28+1)</f>
        <v>1925</v>
      </c>
      <c r="F1286">
        <f>IF(Skills!N28=TRUE,(Skills!L28/10)*(E1286/1000),Skills!L28/10)+Skills!O28</f>
        <v>134.75</v>
      </c>
      <c r="G1286">
        <f>Calc!G28</f>
        <v>50</v>
      </c>
      <c r="H1286">
        <f>Calc!H28</f>
        <v>1</v>
      </c>
      <c r="I1286">
        <f>IF(Skills!X28&lt;&gt;"",1+(Skills!X28/10)*(Z1261/1000)/100,1)</f>
        <v>1</v>
      </c>
      <c r="J1286">
        <f>((Inputs!$B$6*(1+Inputs!$B$7/100))+(((Inputs!$B$12*(1+Inputs!$B$13/100))-(Inputs!$B$12*(1+Inputs!$B$13/100)))+0.25*(Inputs!$B$14-Inputs!$B$14))*(1+Inputs!$B$7/100))*(F1286/100)</f>
        <v>486628767.57437253</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2539307511908.9756</v>
      </c>
      <c r="L1286">
        <f>K1286*(MIN(Inputs!$B$22+(F1280-Calc!F22),(Inputs!$B$23+(IF(ArtifactsInput!$M$15,CHOOSE(ArtifactsInput!$N$15+1,25,30,35,40,45,50)/100*(Inputs!$B$11-Inputs!$B$11),0))))/100+(Inputs!$B$23+(IF(ArtifactsInput!$M$15,CHOOSE(ArtifactsInput!$N$15+1,25,30,35,40,45,50)/100*(Inputs!$B$11-Inputs!$B$11),0)))/100)/2</f>
        <v>8443197477097.3447</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39843448894422.367</v>
      </c>
      <c r="N1286">
        <f>L1286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39843448894422.367</v>
      </c>
      <c r="O1286">
        <f>(1-Summary!$B$11)*S1286+Summary!$B$11*U1286</f>
        <v>0</v>
      </c>
      <c r="P1286">
        <f>IF(B1299=0,0,O1286/B1299)</f>
        <v>0</v>
      </c>
      <c r="Q1286">
        <f>IFERROR(1/(IF(Inputs!$B$38="pvp",15,MAX(0.1,Skills!E28-IF(TRUE=TRUE,Inputs!$B$32,0)))*(1-IF(AND(ArtifactsInput!$M$27,Inputs!$B$4="Chapter Hunt"),CHOOSE(ArtifactsInput!$N$27+1,20,24,28,32,36,40),0)/100)),0)</f>
        <v>0.04</v>
      </c>
      <c r="R1286">
        <f>IF(AND(Inputs!$B$38&lt;&gt;"pvp",Inputs!$B$43&gt;0),IF(MAX(0,Inputs!$B$43-B1296)&lt;=0,0,(INT(MAX(0,Inputs!$B$43-B1296)/(IF(Inputs!$B$38="pvp",15,MAX(0.1,Skills!E28-IF(TRUE=TRUE,Inputs!$B$32,0)))*(1-IF(AND(ArtifactsInput!$M$27,Inputs!$B$4="Chapter Hunt"),CHOOSE(ArtifactsInput!$N$27+1,20,24,28,32,36,40),0)/100)))+1)),0)</f>
        <v>2</v>
      </c>
      <c r="S1286">
        <f>IF(C1286,(H1286*N1286*IF(AND(Inputs!$B$38&lt;&gt;"pvp",Inputs!$B$43&gt;0),((Skills!G28*((R1286-1)*IF(Skills!H28&gt;0,Skills!I28/Skills!H28,1)+IF(Skills!H28&gt;0,MIN(Skills!I28,MAX(0,MAX(0,Inputs!$B$43-B1296)-((R1286-1)*(IF(Inputs!$B$38="pvp",15,MAX(0.1,Skills!E28-IF(TRUE=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286">
        <f>IF(C1286,(H1286*N1286*IF(AND(Inputs!$B$38&lt;&gt;"pvp",Inputs!$B$43&gt;0),((Skills!G28*((R1286-1)*IF(Skills!H28&gt;0,Skills!I28/Skills!H28,1)+IF(Skills!H28&gt;0,MIN(Skills!I28,MAX(0,MAX(0,Inputs!$B$43-B1296)-((R1286-1)*(IF(Inputs!$B$38="pvp",15,MAX(0.1,Skills!E28-IF(TRUE=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88" spans="1:21" x14ac:dyDescent="0.2">
      <c r="A1288" t="s">
        <v>356</v>
      </c>
      <c r="B1288">
        <f>1+(F1269*Skills!Z11)/100</f>
        <v>1.25</v>
      </c>
    </row>
    <row r="1289" spans="1:21" x14ac:dyDescent="0.2">
      <c r="A1289" t="s">
        <v>435</v>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1.18624</v>
      </c>
    </row>
    <row r="1290" spans="1:21" x14ac:dyDescent="0.2">
      <c r="A1290" t="s">
        <v>358</v>
      </c>
      <c r="B1290">
        <f>(1+(F1264*IF(AND(Inputs!$B$38&lt;&gt;"pvp",Inputs!$B$43&gt;0),(((R1264-1)*MIN((Skills!T6*(1+((Inputs!$B$34+(IF(ArtifactsInput!$M$7,FALSE,TRUE)-ArtifactsInput!$M$7)*CHOOSE(ArtifactsInput!$N$7+1,6,7.2,8.4,9.6,10.8,12)))/100)),(1/Q1264))+MIN((Skills!T6*(1+((Inputs!$B$34+(IF(ArtifactsInput!$M$7,FALSE,TRUE)-ArtifactsInput!$M$7)*CHOOSE(ArtifactsInput!$N$7+1,6,7.2,8.4,9.6,10.8,12)))/100)),MAX(0,Inputs!$B$43-((R1264-1)*(1/Q1264)))))/Inputs!$B$43),IF(Inputs!$B$38="pvp",MIN((Skills!T6*(1+((Inputs!$B$34+(IF(ArtifactsInput!$M$7,FALSE,TRUE)-ArtifactsInput!$M$7)*CHOOSE(ArtifactsInput!$N$7+1,6,7.2,8.4,9.6,10.8,12)))/100)),15)/15,MIN(1,(Skills!T6*(1+((Inputs!$B$34+(IF(ArtifactsInput!$M$7,FALSE,TRUE)-ArtifactsInput!$M$7)*CHOOSE(ArtifactsInput!$N$7+1,6,7.2,8.4,9.6,10.8,12)))/100))/(1/Q1264))))+F1275*IF(AND(Inputs!$B$38&lt;&gt;"pvp",Inputs!$B$43&gt;0),(((R1275-1)*MIN((Skills!T17*(1+((Inputs!$B$34+(IF(ArtifactsInput!$M$7,FALSE,TRUE)-ArtifactsInput!$M$7)*CHOOSE(ArtifactsInput!$N$7+1,6,7.2,8.4,9.6,10.8,12)))/100)),(1/Q1275))+MIN((Skills!T17*(1+((Inputs!$B$34+(IF(ArtifactsInput!$M$7,FALSE,TRUE)-ArtifactsInput!$M$7)*CHOOSE(ArtifactsInput!$N$7+1,6,7.2,8.4,9.6,10.8,12)))/100)),MAX(0,Inputs!$B$43-((R1275-1)*(1/Q1275)))))/Inputs!$B$43),IF(Inputs!$B$38="pvp",MIN((Skills!T17*(1+((Inputs!$B$34+(IF(ArtifactsInput!$M$7,FALSE,TRUE)-ArtifactsInput!$M$7)*CHOOSE(ArtifactsInput!$N$7+1,6,7.2,8.4,9.6,10.8,12)))/100)),15)/15,MIN(1,(Skills!T17*(1+((Inputs!$B$34+(IF(ArtifactsInput!$M$7,FALSE,TRUE)-ArtifactsInput!$M$7)*CHOOSE(ArtifactsInput!$N$7+1,6,7.2,8.4,9.6,10.8,12)))/100))/(1/Q1275)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MIN((Skills!T19*(1+((Inputs!$B$34+(IF(ArtifactsInput!$M$7,FALSE,TRUE)-ArtifactsInput!$M$7)*CHOOSE(ArtifactsInput!$N$7+1,6,7.2,8.4,9.6,10.8,12)))/100)),(1/Q1277))+MIN((Skills!T19*(1+((Inputs!$B$34+(IF(ArtifactsInput!$M$7,FALSE,TRUE)-ArtifactsInput!$M$7)*CHOOSE(ArtifactsInput!$N$7+1,6,7.2,8.4,9.6,10.8,12)))/100)),MAX(0,Inputs!$B$43-((R1277-1)*(1/Q1277)))))/Inputs!$B$43),IF(Inputs!$B$38="pvp",MIN((Skills!T19*(1+((Inputs!$B$34+(IF(ArtifactsInput!$M$7,FALSE,TRUE)-ArtifactsInput!$M$7)*CHOOSE(ArtifactsInput!$N$7+1,6,7.2,8.4,9.6,10.8,12)))/100)),15)/15,MIN(1,(Skills!T19*(1+((Inputs!$B$34+(IF(ArtifactsInput!$M$7,FALSE,TRUE)-ArtifactsInput!$M$7)*CHOOSE(ArtifactsInput!$N$7+1,6,7.2,8.4,9.6,10.8,12)))/100))/(1/Q1277))))/100),1)</f>
        <v>1.8657869931259348</v>
      </c>
    </row>
    <row r="1291" spans="1:21" x14ac:dyDescent="0.2">
      <c r="A1291" t="s">
        <v>359</v>
      </c>
      <c r="B1291">
        <f>F1276*IF(AND(Inputs!$B$38&lt;&gt;"pvp",Inputs!$B$43&gt;0),(((R1276-1)*MIN((Skills!T18*(1+((Inputs!$B$34+(IF(ArtifactsInput!$M$7,FALSE,TRUE)-ArtifactsInput!$M$7)*CHOOSE(ArtifactsInput!$N$7+1,6,7.2,8.4,9.6,10.8,12)))/100)),(1/Q1276))+MIN((Skills!T18*(1+((Inputs!$B$34+(IF(ArtifactsInput!$M$7,FALSE,TRUE)-ArtifactsInput!$M$7)*CHOOSE(ArtifactsInput!$N$7+1,6,7.2,8.4,9.6,10.8,12)))/100)),MAX(0,Inputs!$B$43-((R1276-1)*(1/Q1276)))))/Inputs!$B$43),IF(Inputs!$B$38="pvp",MIN((Skills!T18*(1+((Inputs!$B$34+(IF(ArtifactsInput!$M$7,FALSE,TRUE)-ArtifactsInput!$M$7)*CHOOSE(ArtifactsInput!$N$7+1,6,7.2,8.4,9.6,10.8,12)))/100)),15)/15,MIN(1,(Skills!T18*(1+((Inputs!$B$34+(IF(ArtifactsInput!$M$7,FALSE,TRUE)-ArtifactsInput!$M$7)*CHOOSE(ArtifactsInput!$N$7+1,6,7.2,8.4,9.6,10.8,12)))/100))/(1/Q1276))))</f>
        <v>7.171875</v>
      </c>
    </row>
    <row r="1292" spans="1:21" x14ac:dyDescent="0.2">
      <c r="A1292" t="s">
        <v>436</v>
      </c>
      <c r="B1292">
        <f>1+MIN(150,150*(1-(1-(Inputs!$B$11+(ArtifactsInput!$M$15-ArtifactsInput!$M$15)*CHOOSE(ArtifactsInput!$N$15+1,8,9.6,11.2,12.8,14.4,16))/150)*(1-B1291/150)))/100</f>
        <v>1.7020668749999999</v>
      </c>
    </row>
    <row r="1293" spans="1:21" x14ac:dyDescent="0.2">
      <c r="A1293" t="s">
        <v>437</v>
      </c>
      <c r="B1293">
        <f>IF(AND(Inputs!$B$38&lt;&gt;"pvp",Inputs!$B$43&gt;0),SUMPRODUCT((Skills!F2:F28=TRUE)*(C1260:C1286=TRUE)*R1260:R1286)/Inputs!$B$43,SUMPRODUCT((Skills!F2:F28=TRUE)*(C1260:C1286=TRUE)*Q1260:Q1286))</f>
        <v>0.47499999999999998</v>
      </c>
    </row>
    <row r="1294" spans="1:21" x14ac:dyDescent="0.2">
      <c r="A1294" t="s">
        <v>362</v>
      </c>
      <c r="B1294">
        <f>MAX(0,B1292-B1293)</f>
        <v>1.2270668749999998</v>
      </c>
    </row>
    <row r="1295" spans="1:21" x14ac:dyDescent="0.2">
      <c r="A1295" t="s">
        <v>438</v>
      </c>
      <c r="B1295">
        <f>IF(AND(Inputs!$B$38&lt;&gt;"pvp",Inputs!$B$43&gt;0),SUMPRODUCT((Skills!V2:V28=TRUE)*(C1260:C1286=TRUE)*R1260:R1286*Skills!W2:W28)/Inputs!$B$43,SUMPRODUCT((Skills!V2:V28=TRUE)*(C1260:C1286=TRUE)*Q1260:Q1286*Skills!W2:W28))+B1294</f>
        <v>1.5520668749999997</v>
      </c>
    </row>
    <row r="1296" spans="1:21" x14ac:dyDescent="0.2">
      <c r="A1296" t="s">
        <v>439</v>
      </c>
      <c r="B1296">
        <f>IF(AND(Inputs!$B$38&lt;&gt;"pvp",Inputs!$B$43&gt;0),SUMPRODUCT((Skills!T2:T28&gt;0)*(Skills!F2:F28=TRUE)*(C1260:C1286=TRUE))/B1292,0)</f>
        <v>2.3500839237001192</v>
      </c>
    </row>
    <row r="1297" spans="1:26" x14ac:dyDescent="0.2">
      <c r="A1297" t="s">
        <v>440</v>
      </c>
      <c r="B1297">
        <f>SUM(S1260:S1286)</f>
        <v>9891296378943554</v>
      </c>
    </row>
    <row r="1298" spans="1:26" x14ac:dyDescent="0.2">
      <c r="A1298" t="s">
        <v>441</v>
      </c>
      <c r="B1298">
        <f>SUM(U1260:U1286)</f>
        <v>5.8913022344939344E+16</v>
      </c>
    </row>
    <row r="1299" spans="1:26" x14ac:dyDescent="0.2">
      <c r="A1299" s="6" t="s">
        <v>348</v>
      </c>
      <c r="B1299" s="6">
        <f>SUM(O1260:O1286)</f>
        <v>3.4402159361941456E+16</v>
      </c>
    </row>
    <row r="1302" spans="1:26" x14ac:dyDescent="0.2">
      <c r="A1302" s="6" t="s">
        <v>469</v>
      </c>
    </row>
    <row r="1303" spans="1:26" x14ac:dyDescent="0.2">
      <c r="A1303" s="5" t="s">
        <v>136</v>
      </c>
      <c r="B1303" s="5" t="s">
        <v>137</v>
      </c>
      <c r="C1303" s="5" t="s">
        <v>328</v>
      </c>
      <c r="D1303" s="5" t="s">
        <v>329</v>
      </c>
      <c r="E1303" s="5" t="s">
        <v>330</v>
      </c>
      <c r="F1303" s="5" t="s">
        <v>331</v>
      </c>
      <c r="G1303" s="5" t="s">
        <v>332</v>
      </c>
      <c r="H1303" s="5" t="s">
        <v>333</v>
      </c>
      <c r="I1303" s="5" t="s">
        <v>334</v>
      </c>
      <c r="J1303" s="5" t="s">
        <v>335</v>
      </c>
      <c r="K1303" s="5" t="s">
        <v>336</v>
      </c>
      <c r="L1303" s="5" t="s">
        <v>337</v>
      </c>
      <c r="M1303" s="5" t="s">
        <v>338</v>
      </c>
      <c r="N1303" s="5" t="s">
        <v>339</v>
      </c>
      <c r="O1303" s="5" t="s">
        <v>340</v>
      </c>
      <c r="P1303" s="5" t="s">
        <v>341</v>
      </c>
      <c r="R1303" t="s">
        <v>434</v>
      </c>
    </row>
    <row r="1304" spans="1:26" x14ac:dyDescent="0.2">
      <c r="A1304" t="str">
        <f>Skills!A2</f>
        <v>BASIC_ATTACK</v>
      </c>
      <c r="B1304" t="str">
        <f>Skills!B2</f>
        <v>Basic Attack</v>
      </c>
      <c r="C1304" t="b">
        <f>TRUE</f>
        <v>1</v>
      </c>
      <c r="F1304">
        <f>T1306+Skills!O2</f>
        <v>537.6</v>
      </c>
      <c r="G1304">
        <f>Calc!G2</f>
        <v>5</v>
      </c>
      <c r="H1304">
        <f>Calc!H2</f>
        <v>1</v>
      </c>
      <c r="I1304">
        <f>IF(Skills!X2&lt;&gt;"",1+(Skills!X2/10)*(Z1305/1000)/100,1)</f>
        <v>1</v>
      </c>
      <c r="J1304">
        <f>((Inputs!$B$6*(1+Inputs!$B$7/100))+(((Inputs!$B$12*(1+Inputs!$B$13/100))-(Inputs!$B$12*(1+Inputs!$B$13/100)))+0.25*(Inputs!$B$14-Inputs!$B$14))*(1+Inputs!$B$7/100))*(F1304/100)</f>
        <v>1941459186.9980164</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6620290711466.1074</v>
      </c>
      <c r="L1304">
        <f>K1304*(MIN(Inputs!$B$22+(F1324-Calc!F22),(Inputs!$B$23+(IF(ArtifactsInput!$M$15,CHOOSE(ArtifactsInput!$N$15+1,25,30,35,40,45,50)/100*(Inputs!$B$11-Inputs!$B$11),0))))/100+(Inputs!$B$23+(IF(ArtifactsInput!$M$15,CHOOSE(ArtifactsInput!$N$15+1,25,30,35,40,45,50)/100*(Inputs!$B$11-Inputs!$B$11),0)))/100)/2</f>
        <v>22012466615624.809</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304">
        <f>L1304*(1-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304">
        <f>(1-Summary!$B$11)*S1304+Summary!$B$11*U1304</f>
        <v>1.251342481087288E+16</v>
      </c>
      <c r="P1304">
        <f>IF(B1343=0,0,O1304/B1343)</f>
        <v>0.378199388854495</v>
      </c>
      <c r="Q1304">
        <f>IFERROR(1/(IF(Inputs!$B$38="pvp",15,MAX(0.1,Skills!E2-IF(TRUE=TRUE,Inputs!$B$32,0)))*(1-IF(AND(ArtifactsInput!$M$27,Inputs!$B$4="Chapter Hunt"),CHOOSE(ArtifactsInput!$N$27+1,20,24,28,32,36,40),0)/100)),0)</f>
        <v>10</v>
      </c>
      <c r="R1304">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304">
        <f>MAX(0,(Inputs!$B$3-100)*3)+Inputs!$B$28+Inputs!$B$29</f>
        <v>185</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304">
        <f>MAX(0,(Inputs!$B$3-100)*3)+Inputs!$B$28+Inputs!$B$29</f>
        <v>185</v>
      </c>
    </row>
    <row r="1305" spans="1:26" x14ac:dyDescent="0.2">
      <c r="A1305" t="str">
        <f>Skills!A3</f>
        <v>IGNITE</v>
      </c>
      <c r="B1305" t="str">
        <f>Skills!B3</f>
        <v>Ignite</v>
      </c>
      <c r="C1305" t="b">
        <f>TRUE</f>
        <v>1</v>
      </c>
      <c r="D1305">
        <f>IF(Skills!C3=1,60+Inputs!$B$25+Inputs!$B$29,IF(Skills!C3=2,90+Inputs!$B$26+Inputs!$B$29,IF(Skills!C3=3,120+Inputs!$B$27+Inputs!$B$29,MAX(0,(Inputs!$B$3-100)*3)+Inputs!$B$28+Inputs!$B$29)))</f>
        <v>168</v>
      </c>
      <c r="E1305">
        <f>INDEX(FactorTable!$B$2:$Y$301, MATCH(ROUND(MIN(300,MAX(1,D1305)),0), FactorTable!$A$2:$A$301,0), Skills!M3+1)</f>
        <v>1672</v>
      </c>
      <c r="F1305">
        <f>IF(Skills!N3=TRUE,(Skills!L3/10)*(E1305/1000),Skills!L3/10)+Skills!O3</f>
        <v>121.736</v>
      </c>
      <c r="G1305">
        <f>Calc!G3</f>
        <v>3</v>
      </c>
      <c r="H1305">
        <f>Calc!H3</f>
        <v>1</v>
      </c>
      <c r="I1305">
        <f>IF(Skills!X3&lt;&gt;"",1+(Skills!X3/10)*(Z1305/1000)/100,1)</f>
        <v>4.8250000000000002</v>
      </c>
      <c r="J1305">
        <f>((Inputs!$B$6*(1+Inputs!$B$7/100))+(((Inputs!$B$12*(1+Inputs!$B$13/100))-(Inputs!$B$12*(1+Inputs!$B$13/100)))+0.25*(Inputs!$B$14-Inputs!$B$14))*(1+Inputs!$B$7/100))*(F1305/100)</f>
        <v>439630720.9605478</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10658554617221.965</v>
      </c>
      <c r="L1305">
        <f>K1305*(MIN(Inputs!$B$22+(F1324-Calc!F22),(Inputs!$B$23+(IF(ArtifactsInput!$M$15,CHOOSE(ArtifactsInput!$N$15+1,25,30,35,40,45,50)/100*(Inputs!$B$11-Inputs!$B$11),0))))/100+(Inputs!$B$23+(IF(ArtifactsInput!$M$15,CHOOSE(ArtifactsInput!$N$15+1,25,30,35,40,45,50)/100*(Inputs!$B$11-Inputs!$B$11),0)))/100)/2</f>
        <v>35439694102263.031</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305">
        <f>L1305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305">
        <f>(1-Summary!$B$11)*S1305+Summary!$B$11*U1305</f>
        <v>2907465947806250</v>
      </c>
      <c r="P1305">
        <f>IF(B1343=0,0,O1305/B1343)</f>
        <v>8.7873772463965091E-2</v>
      </c>
      <c r="Q1305">
        <f>IFERROR(1/(IF(Inputs!$B$38="pvp",15,MAX(0.1,Skills!E3-IF(FALSE=TRUE,Inputs!$B$32,0)))*(1-IF(AND(ArtifactsInput!$M$27,Inputs!$B$4="Chapter Hunt"),CHOOSE(ArtifactsInput!$N$27+1,20,24,28,32,36,40),0)/100)),0)</f>
        <v>1</v>
      </c>
      <c r="R1305">
        <f>IF(AND(Inputs!$B$38&lt;&gt;"pvp",Inputs!$B$43&gt;0),IF(MAX(0,Inputs!$B$43-B1340)&lt;=0,0,(INT(MAX(0,Inputs!$B$43-B1340)/(IF(Inputs!$B$38="pvp",15,MAX(0.1,Skills!E3-IF(FALSE=TRUE,Inputs!$B$32,0)))*(1-IF(AND(ArtifactsInput!$M$27,Inputs!$B$4="Chapter Hunt"),CHOOSE(ArtifactsInput!$N$27+1,20,24,28,32,36,40),0)/100)))+1)),0)</f>
        <v>38</v>
      </c>
      <c r="S1305">
        <f>IF(C1305,(H1305*N1305*IF(AND(Inputs!$B$38&lt;&gt;"pvp",Inputs!$B$43&gt;0),((Skills!G3*((R1305-1)*IF(Skills!H3&gt;0,Skills!I3/Skills!H3,1)+IF(Skills!H3&gt;0,MIN(Skills!I3,MAX(0,MAX(0,Inputs!$B$43-B1340)-((R1305-1)*(IF(Inputs!$B$38="pvp",15,MAX(0.1,Skills!E3-IF(FALSE=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305">
        <f>INDEX(FactorTable!$B$2:$Y$301, MATCH(ROUND(MIN(300,MAX(1,T1304)),0), FactorTable!$A$2:$A$301,0), 22)</f>
        <v>1740</v>
      </c>
      <c r="U1305">
        <f>IF(C1305,(H1305*N1305*IF(AND(Inputs!$B$38&lt;&gt;"pvp",Inputs!$B$43&gt;0),((Skills!G3*((R1305-1)*IF(Skills!H3&gt;0,Skills!I3/Skills!H3,1)+IF(Skills!H3&gt;0,MIN(Skills!I3,MAX(0,MAX(0,Inputs!$B$43-B1340)-((R1305-1)*(IF(Inputs!$B$38="pvp",15,MAX(0.1,Skills!E3-IF(FALSE=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305">
        <f>INDEX(FactorTable!$B$2:$Y$301, MATCH(ROUND(MIN(300,MAX(1,Z1304)),0), FactorTable!$A$2:$A$301,0), 24)</f>
        <v>7650</v>
      </c>
    </row>
    <row r="1306" spans="1:26" x14ac:dyDescent="0.2">
      <c r="A1306" t="str">
        <f>Skills!A4</f>
        <v>POISON_BREATH</v>
      </c>
      <c r="B1306" t="str">
        <f>Skills!B4</f>
        <v>Poison Breath</v>
      </c>
      <c r="C1306" t="b">
        <f>TRUE</f>
        <v>1</v>
      </c>
      <c r="D1306">
        <f>IF(Skills!C4=1,60+Inputs!$B$25+Inputs!$B$29,IF(Skills!C4=2,90+Inputs!$B$26+Inputs!$B$29,IF(Skills!C4=3,120+Inputs!$B$27+Inputs!$B$29,MAX(0,(Inputs!$B$3-100)*3)+Inputs!$B$28+Inputs!$B$29)))</f>
        <v>168</v>
      </c>
      <c r="E1306">
        <f>INDEX(FactorTable!$B$2:$Y$301, MATCH(ROUND(MIN(300,MAX(1,D1306)),0), FactorTable!$A$2:$A$301,0), Skills!M4+1)</f>
        <v>1840</v>
      </c>
      <c r="F1306">
        <f>IF(Skills!N4=TRUE,(Skills!L4/10)*(E1306/1000),Skills!L4/10)+Skills!O4</f>
        <v>438</v>
      </c>
      <c r="G1306">
        <f>Calc!G4</f>
        <v>3</v>
      </c>
      <c r="H1306">
        <f>Calc!H4</f>
        <v>1</v>
      </c>
      <c r="I1306">
        <f>IF(Skills!X4&lt;&gt;"",1+(Skills!X4/10)*(Z1305/1000)/100,1)</f>
        <v>7.12</v>
      </c>
      <c r="J1306">
        <f>((Inputs!$B$6*(1+Inputs!$B$7/100))+(((Inputs!$B$12*(1+Inputs!$B$13/100))-(Inputs!$B$12*(1+Inputs!$B$13/100)))+0.25*(Inputs!$B$14-Inputs!$B$14))*(1+Inputs!$B$7/100))*(F1306/100)</f>
        <v>1581769203.69258</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56589528290529.523</v>
      </c>
      <c r="L1306">
        <f>K1306*(MIN(Inputs!$B$22+(F1324-Calc!F22),(Inputs!$B$23+(IF(ArtifactsInput!$M$15,CHOOSE(ArtifactsInput!$N$15+1,25,30,35,40,45,50)/100*(Inputs!$B$11-Inputs!$B$11),0))))/100+(Inputs!$B$23+(IF(ArtifactsInput!$M$15,CHOOSE(ArtifactsInput!$N$15+1,25,30,35,40,45,50)/100*(Inputs!$B$11-Inputs!$B$11),0)))/100)/2</f>
        <v>188160181566010.69</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306">
        <f>L1306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306">
        <f>(1-Summary!$B$11)*S1306+Summary!$B$11*U1306</f>
        <v>2120704790543594.2</v>
      </c>
      <c r="P1306">
        <f>IF(B1343=0,0,O1306/B1343)</f>
        <v>6.4095103286790744E-2</v>
      </c>
      <c r="Q1306">
        <f>IFERROR(1/(IF(Inputs!$B$38="pvp",15,MAX(0.1,Skills!E4-IF(TRUE=TRUE,Inputs!$B$32,0)))*(1-IF(AND(ArtifactsInput!$M$27,Inputs!$B$4="Chapter Hunt"),CHOOSE(ArtifactsInput!$N$27+1,20,24,28,32,36,40),0)/100)),0)</f>
        <v>5.5555555555555552E-2</v>
      </c>
      <c r="R1306">
        <f>IF(AND(Inputs!$B$38&lt;&gt;"pvp",Inputs!$B$43&gt;0),IF(MAX(0,Inputs!$B$43-B1340)&lt;=0,0,(INT(MAX(0,Inputs!$B$43-B1340)/(IF(Inputs!$B$38="pvp",15,MAX(0.1,Skills!E4-IF(TRUE=TRUE,Inputs!$B$32,0)))*(1-IF(AND(ArtifactsInput!$M$27,Inputs!$B$4="Chapter Hunt"),CHOOSE(ArtifactsInput!$N$27+1,20,24,28,32,36,40),0)/100)))+1)),0)</f>
        <v>3</v>
      </c>
      <c r="S1306">
        <f>IF(C1306,(H1306*N1306*IF(AND(Inputs!$B$38&lt;&gt;"pvp",Inputs!$B$43&gt;0),((Skills!G4*((R1306-1)*IF(Skills!H4&gt;0,Skills!I4/Skills!H4,1)+IF(Skills!H4&gt;0,MIN(Skills!I4,MAX(0,MAX(0,Inputs!$B$43-B1340)-((R1306-1)*(IF(Inputs!$B$38="pvp",15,MAX(0.1,Skills!E4-IF(TRUE=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306">
        <f>290*T1305/1000</f>
        <v>504.6</v>
      </c>
      <c r="U1306">
        <f>IF(C1306,(H1306*N1306*IF(AND(Inputs!$B$38&lt;&gt;"pvp",Inputs!$B$43&gt;0),((Skills!G4*((R1306-1)*IF(Skills!H4&gt;0,Skills!I4/Skills!H4,1)+IF(Skills!H4&gt;0,MIN(Skills!I4,MAX(0,MAX(0,Inputs!$B$43-B1340)-((R1306-1)*(IF(Inputs!$B$38="pvp",15,MAX(0.1,Skills!E4-IF(TRUE=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307" spans="1:26" x14ac:dyDescent="0.2">
      <c r="A1307" t="str">
        <f>Skills!A5</f>
        <v>ELEMENTAL_DRAIN</v>
      </c>
      <c r="B1307" t="str">
        <f>Skills!B5</f>
        <v>Elemental Drain</v>
      </c>
      <c r="C1307" t="b">
        <f>TRUE</f>
        <v>1</v>
      </c>
      <c r="D1307">
        <f>IF(Skills!C5=1,60+Inputs!$B$25+Inputs!$B$29,IF(Skills!C5=2,90+Inputs!$B$26+Inputs!$B$29,IF(Skills!C5=3,120+Inputs!$B$27+Inputs!$B$29,MAX(0,(Inputs!$B$3-100)*3)+Inputs!$B$28+Inputs!$B$29)))</f>
        <v>168</v>
      </c>
      <c r="E1307">
        <f>INDEX(FactorTable!$B$2:$Y$301, MATCH(ROUND(MIN(300,MAX(1,D1307)),0), FactorTable!$A$2:$A$301,0), Skills!M5+1)</f>
        <v>1672</v>
      </c>
      <c r="F1307">
        <f>IF(Skills!N5=TRUE,(Skills!L5/10)*(E1307/1000),Skills!L5/10)+Skills!O5</f>
        <v>20.064</v>
      </c>
      <c r="G1307">
        <f>Calc!G5</f>
        <v>5</v>
      </c>
      <c r="H1307">
        <f>Calc!H5</f>
        <v>1</v>
      </c>
      <c r="I1307">
        <f>IF(Skills!X5&lt;&gt;"",1+(Skills!X5/10)*(Z1305/1000)/100,1)</f>
        <v>12.475</v>
      </c>
      <c r="J1307">
        <f>((Inputs!$B$6*(1+Inputs!$B$7/100))+(((Inputs!$B$12*(1+Inputs!$B$13/100))-(Inputs!$B$12*(1+Inputs!$B$13/100)))+0.25*(Inputs!$B$14-Inputs!$B$14))*(1+Inputs!$B$7/100))*(F1307/100)</f>
        <v>72458030.371890247</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4541925884983.542</v>
      </c>
      <c r="L1307">
        <f>K1307*(MIN(Inputs!$B$22+(F1324-Calc!F22),(Inputs!$B$23+(IF(ArtifactsInput!$M$15,CHOOSE(ArtifactsInput!$N$15+1,25,30,35,40,45,50)/100*(Inputs!$B$11-Inputs!$B$11),0))))/100+(Inputs!$B$23+(IF(ArtifactsInput!$M$15,CHOOSE(ArtifactsInput!$N$15+1,25,30,35,40,45,50)/100*(Inputs!$B$11-Inputs!$B$11),0)))/100)/2</f>
        <v>15101903567570.277</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307">
        <f>L1307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307">
        <f>(1-Summary!$B$11)*S1307+Summary!$B$11*U1307</f>
        <v>1046004996783807</v>
      </c>
      <c r="P1307">
        <f>IF(B1343=0,0,O1307/B1343)</f>
        <v>3.1613923166633758E-2</v>
      </c>
      <c r="Q1307">
        <f>IFERROR(1/(IF(Inputs!$B$38="pvp",15,MAX(0.1,Skills!E5-IF(FALSE=TRUE,Inputs!$B$32,0)))*(1-IF(AND(ArtifactsInput!$M$27,Inputs!$B$4="Chapter Hunt"),CHOOSE(ArtifactsInput!$N$27+1,20,24,28,32,36,40),0)/100)),0)</f>
        <v>1</v>
      </c>
      <c r="R1307">
        <f>IF(AND(Inputs!$B$38&lt;&gt;"pvp",Inputs!$B$43&gt;0),IF(MAX(0,Inputs!$B$43-B1340)&lt;=0,0,(INT(MAX(0,Inputs!$B$43-B1340)/(IF(Inputs!$B$38="pvp",15,MAX(0.1,Skills!E5-IF(FALSE=TRUE,Inputs!$B$32,0)))*(1-IF(AND(ArtifactsInput!$M$27,Inputs!$B$4="Chapter Hunt"),CHOOSE(ArtifactsInput!$N$27+1,20,24,28,32,36,40),0)/100)))+1)),0)</f>
        <v>38</v>
      </c>
      <c r="S1307">
        <f>IF(C1307,(H1307*N1307*IF(AND(Inputs!$B$38&lt;&gt;"pvp",Inputs!$B$43&gt;0),((Skills!G5*((R1307-1)*IF(Skills!H5&gt;0,Skills!I5/Skills!H5,1)+IF(Skills!H5&gt;0,MIN(Skills!I5,MAX(0,MAX(0,Inputs!$B$43-B1340)-((R1307-1)*(IF(Inputs!$B$38="pvp",15,MAX(0.1,Skills!E5-IF(FALSE=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307">
        <f>IF(C1307,(H1307*N1307*IF(AND(Inputs!$B$38&lt;&gt;"pvp",Inputs!$B$43&gt;0),((Skills!G5*((R1307-1)*IF(Skills!H5&gt;0,Skills!I5/Skills!H5,1)+IF(Skills!H5&gt;0,MIN(Skills!I5,MAX(0,MAX(0,Inputs!$B$43-B1340)-((R1307-1)*(IF(Inputs!$B$38="pvp",15,MAX(0.1,Skills!E5-IF(FALSE=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308" spans="1:26" x14ac:dyDescent="0.2">
      <c r="A1308" t="str">
        <f>Skills!A6</f>
        <v>MEDITATION</v>
      </c>
      <c r="B1308" t="str">
        <f>Skills!B6</f>
        <v>Meditation</v>
      </c>
      <c r="C1308" t="b">
        <f>TRUE</f>
        <v>1</v>
      </c>
      <c r="D1308">
        <f>IF(Skills!C6=1,60+Inputs!$B$25+Inputs!$B$29,IF(Skills!C6=2,90+Inputs!$B$26+Inputs!$B$29,IF(Skills!C6=3,120+Inputs!$B$27+Inputs!$B$29,MAX(0,(Inputs!$B$3-100)*3)+Inputs!$B$28+Inputs!$B$29)))</f>
        <v>168</v>
      </c>
      <c r="E1308">
        <f>INDEX(FactorTable!$B$2:$Y$301, MATCH(ROUND(MIN(300,MAX(1,D1308)),0), FactorTable!$A$2:$A$301,0), Skills!M6+1)</f>
        <v>1672</v>
      </c>
      <c r="F1308">
        <f>IF(Skills!N6=TRUE,(Skills!L6/10)*(E1308/1000),Skills!L6/10)+Skills!O6</f>
        <v>33.44</v>
      </c>
      <c r="G1308">
        <f>Calc!G6</f>
        <v>1</v>
      </c>
      <c r="H1308">
        <f>Calc!H6</f>
        <v>1</v>
      </c>
      <c r="I1308">
        <f>IF(Skills!X6&lt;&gt;"",1+(Skills!X6/10)*(Z1305/1000)/100,1)</f>
        <v>1</v>
      </c>
      <c r="O1308">
        <f>(1-Summary!$B$11)*S1308+Summary!$B$11*U1308</f>
        <v>0</v>
      </c>
      <c r="P1308">
        <f>IF(B1343=0,0,O1308/B1343)</f>
        <v>0</v>
      </c>
      <c r="Q1308">
        <f>IFERROR(1/(IF(Inputs!$B$38="pvp",15,MAX(0.1,Skills!E6-IF(TRUE=TRUE,Inputs!$B$32,0)))*(1-IF(AND(ArtifactsInput!$M$27,Inputs!$B$4="Chapter Hunt"),CHOOSE(ArtifactsInput!$N$27+1,20,24,28,32,36,40),0)/100)),0)</f>
        <v>3.3333333333333333E-2</v>
      </c>
      <c r="R1308">
        <f>IF(AND(Inputs!$B$38&lt;&gt;"pvp",Inputs!$B$43&gt;0),IF(Inputs!$B$43&lt;=0,0,(INT(Inputs!$B$43/(IF(Inputs!$B$38="pvp",15,MAX(0.1,Skills!E6-IF(TRUE=TRUE,Inputs!$B$32,0)))*(1-IF(AND(ArtifactsInput!$M$27,Inputs!$B$4="Chapter Hunt"),CHOOSE(ArtifactsInput!$N$27+1,20,24,28,32,36,40),0)/100)))+1)),0)</f>
        <v>2</v>
      </c>
      <c r="S1308">
        <v>0</v>
      </c>
      <c r="U1308">
        <v>0</v>
      </c>
    </row>
    <row r="1309" spans="1:26" x14ac:dyDescent="0.2">
      <c r="A1309" t="str">
        <f>Skills!A7</f>
        <v>POISON_MIST_BURST</v>
      </c>
      <c r="B1309" t="str">
        <f>Skills!B7</f>
        <v>Poison Mist (burst)</v>
      </c>
      <c r="C1309" t="b">
        <f>TRUE</f>
        <v>1</v>
      </c>
      <c r="D1309">
        <f>IF(Skills!C7=1,60+Inputs!$B$25+Inputs!$B$29,IF(Skills!C7=2,90+Inputs!$B$26+Inputs!$B$29,IF(Skills!C7=3,120+Inputs!$B$27+Inputs!$B$29,MAX(0,(Inputs!$B$3-100)*3)+Inputs!$B$28+Inputs!$B$29)))</f>
        <v>184</v>
      </c>
      <c r="E1309">
        <f>INDEX(FactorTable!$B$2:$Y$301, MATCH(ROUND(MIN(300,MAX(1,D1309)),0), FactorTable!$A$2:$A$301,0), Skills!M7+1)</f>
        <v>1920</v>
      </c>
      <c r="F1309">
        <f>IF(Skills!N7=TRUE,(Skills!L7/10)*(E1309/1000),Skills!L7/10)+Skills!O7</f>
        <v>357.2</v>
      </c>
      <c r="G1309">
        <f>Calc!G7</f>
        <v>3</v>
      </c>
      <c r="H1309">
        <f>Calc!H7</f>
        <v>1</v>
      </c>
      <c r="I1309">
        <f>IF(Skills!X7&lt;&gt;"",1+(Skills!X7/10)*(Z1305/1000)/100,1)</f>
        <v>1.7650000000000001</v>
      </c>
      <c r="J1309">
        <f>((Inputs!$B$6*(1+Inputs!$B$7/100))+(((Inputs!$B$12*(1+Inputs!$B$13/100))-(Inputs!$B$12*(1+Inputs!$B$13/100)))+0.25*(Inputs!$B$14-Inputs!$B$14))*(1+Inputs!$B$7/100))*(F1309/100)</f>
        <v>1289972510.4086521</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11440318873772.086</v>
      </c>
      <c r="L1309">
        <f>K1309*(MIN(Inputs!$B$22+(F1324-Calc!F22),(Inputs!$B$23+(IF(ArtifactsInput!$M$15,CHOOSE(ArtifactsInput!$N$15+1,25,30,35,40,45,50)/100*(Inputs!$B$11-Inputs!$B$11),0))))/100+(Inputs!$B$23+(IF(ArtifactsInput!$M$15,CHOOSE(ArtifactsInput!$N$15+1,25,30,35,40,45,50)/100*(Inputs!$B$11-Inputs!$B$11),0)))/100)/2</f>
        <v>38039060255292.188</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309">
        <f>L1309*(1-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309">
        <f>(1-Summary!$B$11)*S1309+Summary!$B$11*U1309</f>
        <v>447913158316422</v>
      </c>
      <c r="P1309">
        <f>IF(B1343=0,0,O1309/B1343)</f>
        <v>1.3537499549121505E-2</v>
      </c>
      <c r="Q1309">
        <f>IFERROR(1/(IF(Inputs!$B$38="pvp",15,MAX(0.1,Skills!E7-IF(TRUE=TRUE,Inputs!$B$32,0)))*(1-IF(AND(ArtifactsInput!$M$27,Inputs!$B$4="Chapter Hunt"),CHOOSE(ArtifactsInput!$N$27+1,20,24,28,32,36,40),0)/100)),0)</f>
        <v>4.0816326530612242E-2</v>
      </c>
      <c r="R1309">
        <f>IF(AND(Inputs!$B$38&lt;&gt;"pvp",Inputs!$B$43&gt;0),IF(MAX(0,Inputs!$B$43-B1340)&lt;=0,0,(INT(MAX(0,Inputs!$B$43-B1340)/(IF(Inputs!$B$38="pvp",15,MAX(0.1,Skills!E7-IF(TRUE=TRUE,Inputs!$B$32,0)))*(1-IF(AND(ArtifactsInput!$M$27,Inputs!$B$4="Chapter Hunt"),CHOOSE(ArtifactsInput!$N$27+1,20,24,28,32,36,40),0)/100)))+1)),0)</f>
        <v>2</v>
      </c>
      <c r="S1309">
        <f>IF(C1309,(H1309*N1309*IF(AND(Inputs!$B$38&lt;&gt;"pvp",Inputs!$B$43&gt;0),((Skills!G7*((R1309-1)*IF(Skills!H7&gt;0,Skills!I7/Skills!H7,1)+IF(Skills!H7&gt;0,MIN(Skills!I7,MAX(0,MAX(0,Inputs!$B$43-B1340)-((R1309-1)*(IF(Inputs!$B$38="pvp",15,MAX(0.1,Skills!E7-IF(TRUE=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309">
        <f>IF(C1309,(H1309*N1309*IF(AND(Inputs!$B$38&lt;&gt;"pvp",Inputs!$B$43&gt;0),((Skills!G7*((R1309-1)*IF(Skills!H7&gt;0,Skills!I7/Skills!H7,1)+IF(Skills!H7&gt;0,MIN(Skills!I7,MAX(0,MAX(0,Inputs!$B$43-B1340)-((R1309-1)*(IF(Inputs!$B$38="pvp",15,MAX(0.1,Skills!E7-IF(TRUE=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310" spans="1:26" x14ac:dyDescent="0.2">
      <c r="A1310" t="str">
        <f>Skills!A8</f>
        <v>POISON_MIST_DOT</v>
      </c>
      <c r="B1310" t="str">
        <f>Skills!B8</f>
        <v>Poison Mist (fog DoT)</v>
      </c>
      <c r="C1310" t="b">
        <f>TRUE</f>
        <v>1</v>
      </c>
      <c r="D1310">
        <f>IF(Skills!C8=1,60+Inputs!$B$25+Inputs!$B$29,IF(Skills!C8=2,90+Inputs!$B$26+Inputs!$B$29,IF(Skills!C8=3,120+Inputs!$B$27+Inputs!$B$29,MAX(0,(Inputs!$B$3-100)*3)+Inputs!$B$28+Inputs!$B$29)))</f>
        <v>184</v>
      </c>
      <c r="E1310">
        <f>INDEX(FactorTable!$B$2:$Y$301, MATCH(ROUND(MIN(300,MAX(1,D1310)),0), FactorTable!$A$2:$A$301,0), Skills!M8+1)</f>
        <v>1920</v>
      </c>
      <c r="F1310">
        <f>IF(Skills!N8=TRUE,(Skills!L8/10)*(E1310/1000),Skills!L8/10)+Skills!O8</f>
        <v>134.4</v>
      </c>
      <c r="G1310">
        <f>Calc!G8</f>
        <v>50</v>
      </c>
      <c r="H1310">
        <f>Calc!H8</f>
        <v>1</v>
      </c>
      <c r="I1310">
        <f>IF(Skills!X8&lt;&gt;"",1+(Skills!X8/10)*(Z1305/1000)/100,1)</f>
        <v>1.7650000000000001</v>
      </c>
      <c r="J1310">
        <f>((Inputs!$B$6*(1+Inputs!$B$7/100))+(((Inputs!$B$12*(1+Inputs!$B$13/100))-(Inputs!$B$12*(1+Inputs!$B$13/100)))+0.25*(Inputs!$B$14-Inputs!$B$14))*(1+Inputs!$B$7/100))*(F1310/100)</f>
        <v>485364796.74950409</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4304532073446.1597</v>
      </c>
      <c r="L1310">
        <f>K1310*(MIN(Inputs!$B$22+(F1324-Calc!F22),(Inputs!$B$23+(IF(ArtifactsInput!$M$15,CHOOSE(ArtifactsInput!$N$15+1,25,30,35,40,45,50)/100*(Inputs!$B$11-Inputs!$B$11),0))))/100+(Inputs!$B$23+(IF(ArtifactsInput!$M$15,CHOOSE(ArtifactsInput!$N$15+1,25,30,35,40,45,50)/100*(Inputs!$B$11-Inputs!$B$11),0)))/100)/2</f>
        <v>14312569144208.482</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310">
        <f>L1310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310">
        <f>(1-Summary!$B$11)*S1310+Summary!$B$11*U1310</f>
        <v>2327471980535951</v>
      </c>
      <c r="P1310">
        <f>IF(B1343=0,0,O1310/B1343)</f>
        <v>7.0344329703392813E-2</v>
      </c>
      <c r="Q1310">
        <f>IFERROR(1/(IF(Inputs!$B$38="pvp",15,MAX(0.1,Skills!E8-IF(TRUE=TRUE,Inputs!$B$32,0)))*(1-IF(AND(ArtifactsInput!$M$27,Inputs!$B$4="Chapter Hunt"),CHOOSE(ArtifactsInput!$N$27+1,20,24,28,32,36,40),0)/100)),0)</f>
        <v>4.0816326530612242E-2</v>
      </c>
      <c r="R1310">
        <f>IF(AND(Inputs!$B$38&lt;&gt;"pvp",Inputs!$B$43&gt;0),IF(MAX(0,Inputs!$B$43-B1340)&lt;=0,0,(INT(MAX(0,Inputs!$B$43-B1340)/(IF(Inputs!$B$38="pvp",15,MAX(0.1,Skills!E8-IF(TRUE=TRUE,Inputs!$B$32,0)))*(1-IF(AND(ArtifactsInput!$M$27,Inputs!$B$4="Chapter Hunt"),CHOOSE(ArtifactsInput!$N$27+1,20,24,28,32,36,40),0)/100)))+1)),0)</f>
        <v>2</v>
      </c>
      <c r="S1310">
        <f>IF(C1310,(H1310*N1310*IF(AND(Inputs!$B$38&lt;&gt;"pvp",Inputs!$B$43&gt;0),((Skills!G8*((R1310-1)*IF(Skills!H8&gt;0,Skills!I8/Skills!H8,1)+IF(Skills!H8&gt;0,MIN(Skills!I8,MAX(0,MAX(0,Inputs!$B$43-B1340)-((R1310-1)*(IF(Inputs!$B$38="pvp",15,MAX(0.1,Skills!E8-IF(TRUE=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310">
        <f>IF(C1310,(H1310*N1310*IF(AND(Inputs!$B$38&lt;&gt;"pvp",Inputs!$B$43&gt;0),((Skills!G8*((R1310-1)*IF(Skills!H8&gt;0,Skills!I8/Skills!H8,1)+IF(Skills!H8&gt;0,MIN(Skills!I8,MAX(0,MAX(0,Inputs!$B$43-B1340)-((R1310-1)*(IF(Inputs!$B$38="pvp",15,MAX(0.1,Skills!E8-IF(TRUE=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311" spans="1:26" x14ac:dyDescent="0.2">
      <c r="A1311" t="str">
        <f>Skills!A9</f>
        <v>MIST_ERUPTION</v>
      </c>
      <c r="B1311" t="str">
        <f>Skills!B9</f>
        <v>Mist Eruption</v>
      </c>
      <c r="C1311" t="b">
        <f>Inputs!$B$3&gt;=103</f>
        <v>1</v>
      </c>
      <c r="D1311">
        <f>IF(Skills!C9=1,60+Inputs!$B$25+Inputs!$B$29,IF(Skills!C9=2,90+Inputs!$B$26+Inputs!$B$29,IF(Skills!C9=3,120+Inputs!$B$27+Inputs!$B$29,MAX(0,(Inputs!$B$3-100)*3)+Inputs!$B$28+Inputs!$B$29)))</f>
        <v>185</v>
      </c>
      <c r="E1311">
        <f>INDEX(FactorTable!$B$2:$Y$301, MATCH(ROUND(MIN(300,MAX(1,D1311)),0), FactorTable!$A$2:$A$301,0), Skills!M9+1)</f>
        <v>1925</v>
      </c>
      <c r="F1311">
        <f>IF(Skills!N9=TRUE,(Skills!L9/10)*(E1311/1000),Skills!L9/10)+Skills!O9</f>
        <v>5775</v>
      </c>
      <c r="G1311">
        <f>Calc!G9</f>
        <v>2.5</v>
      </c>
      <c r="H1311">
        <f>Calc!H9</f>
        <v>1</v>
      </c>
      <c r="I1311">
        <f>IF(Skills!X9&lt;&gt;"",1+(Skills!X9/10)*(Z1305/1000)/100,1)</f>
        <v>1</v>
      </c>
      <c r="J1311">
        <f>((Inputs!$B$6*(1+Inputs!$B$7/100))+(((Inputs!$B$12*(1+Inputs!$B$13/100))-(Inputs!$B$12*(1+Inputs!$B$13/100)))+0.25*(Inputs!$B$14-Inputs!$B$14))*(1+Inputs!$B$7/100))*(F1311/100)</f>
        <v>20855518610.330254</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104793406533081.95</v>
      </c>
      <c r="L1311">
        <f>K1311*(MIN(Inputs!$B$22+(F1324-Calc!F22),(Inputs!$B$23+(IF(ArtifactsInput!$M$15,CHOOSE(ArtifactsInput!$N$15+1,25,30,35,40,45,50)/100*(Inputs!$B$11-Inputs!$B$11),0))))/100+(Inputs!$B$23+(IF(ArtifactsInput!$M$15,CHOOSE(ArtifactsInput!$N$15+1,25,30,35,40,45,50)/100*(Inputs!$B$11-Inputs!$B$11),0)))/100)/2</f>
        <v>348438076722497.5</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311">
        <f>L1311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311">
        <f>(1-Summary!$B$11)*S1311+Summary!$B$11*U1311</f>
        <v>3419073236278675</v>
      </c>
      <c r="P1311">
        <f>IF(B1343=0,0,O1311/B1343)</f>
        <v>0.10333633101673266</v>
      </c>
      <c r="Q1311">
        <f>IFERROR(1/(IF(Inputs!$B$38="pvp",15,MAX(0.1,Skills!E9-IF(TRUE=TRUE,Inputs!$B$32,0)))*(1-IF(AND(ArtifactsInput!$M$27,Inputs!$B$4="Chapter Hunt"),CHOOSE(ArtifactsInput!$N$27+1,20,24,28,32,36,40),0)/100)),0)</f>
        <v>4.0816326530612242E-2</v>
      </c>
      <c r="R1311">
        <f>IF(AND(Inputs!$B$38&lt;&gt;"pvp",Inputs!$B$43&gt;0),IF(MAX(0,Inputs!$B$43-B1340)&lt;=0,0,(INT(MAX(0,Inputs!$B$43-B1340)/(IF(Inputs!$B$38="pvp",15,MAX(0.1,Skills!E9-IF(TRUE=TRUE,Inputs!$B$32,0)))*(1-IF(AND(ArtifactsInput!$M$27,Inputs!$B$4="Chapter Hunt"),CHOOSE(ArtifactsInput!$N$27+1,20,24,28,32,36,40),0)/100)))+1)),0)</f>
        <v>2</v>
      </c>
      <c r="S1311">
        <f>IF(C1311,(H1311*N1311*IF(AND(Inputs!$B$38&lt;&gt;"pvp",Inputs!$B$43&gt;0),((Skills!G9*((R1311-1)*IF(Skills!H9&gt;0,Skills!I9/Skills!H9,1)+IF(Skills!H9&gt;0,MIN(Skills!I9,MAX(0,MAX(0,Inputs!$B$43-B1340)-((R1311-1)*(IF(Inputs!$B$38="pvp",15,MAX(0.1,Skills!E9-IF(TRUE=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311">
        <f>IF(C1311,(H1311*N1311*IF(AND(Inputs!$B$38&lt;&gt;"pvp",Inputs!$B$43&gt;0),((Skills!G9*((R1311-1)*IF(Skills!H9&gt;0,Skills!I9/Skills!H9,1)+IF(Skills!H9&gt;0,MIN(Skills!I9,MAX(0,MAX(0,Inputs!$B$43-B1340)-((R1311-1)*(IF(Inputs!$B$38="pvp",15,MAX(0.1,Skills!E9-IF(TRUE=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312" spans="1:26" x14ac:dyDescent="0.2">
      <c r="A1312" t="str">
        <f>Skills!A10</f>
        <v>CREEPING_TOXIN</v>
      </c>
      <c r="B1312" t="str">
        <f>Skills!B10</f>
        <v>Creeping Toxin</v>
      </c>
      <c r="C1312" t="b">
        <f>TRUE</f>
        <v>1</v>
      </c>
      <c r="D1312">
        <f>IF(Skills!C10=1,60+Inputs!$B$25+Inputs!$B$29,IF(Skills!C10=2,90+Inputs!$B$26+Inputs!$B$29,IF(Skills!C10=3,120+Inputs!$B$27+Inputs!$B$29,MAX(0,(Inputs!$B$3-100)*3)+Inputs!$B$28+Inputs!$B$29)))</f>
        <v>184</v>
      </c>
      <c r="E1312">
        <f>INDEX(FactorTable!$B$2:$Y$301, MATCH(ROUND(MIN(300,MAX(1,D1312)),0), FactorTable!$A$2:$A$301,0), Skills!M10+1)</f>
        <v>1920</v>
      </c>
      <c r="F1312">
        <f>IF(Skills!N10=TRUE,(Skills!L10/10)*(E1312/1000),Skills!L10/10)+Skills!O10</f>
        <v>280.39999999999998</v>
      </c>
      <c r="G1312">
        <f>Calc!G10</f>
        <v>15</v>
      </c>
      <c r="H1312">
        <f>Calc!H10</f>
        <v>1</v>
      </c>
      <c r="I1312">
        <f>IF(Skills!X10&lt;&gt;"",1+(Skills!X10/10)*(Z1305/1000)/100,1)</f>
        <v>1.7650000000000001</v>
      </c>
      <c r="J1312">
        <f>((Inputs!$B$6*(1+Inputs!$B$7/100))+(((Inputs!$B$12*(1+Inputs!$B$13/100))-(Inputs!$B$12*(1+Inputs!$B$13/100)))+0.25*(Inputs!$B$14-Inputs!$B$14))*(1+Inputs!$B$7/100))*(F1312/100)</f>
        <v>1012621197.9803641</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8980586260374.2793</v>
      </c>
      <c r="L1312">
        <f>K1312*(MIN(Inputs!$B$22+(F1324-Calc!F22),(Inputs!$B$23+(IF(ArtifactsInput!$M$15,CHOOSE(ArtifactsInput!$N$15+1,25,30,35,40,45,50)/100*(Inputs!$B$11-Inputs!$B$11),0))))/100+(Inputs!$B$23+(IF(ArtifactsInput!$M$15,CHOOSE(ArtifactsInput!$N$15+1,25,30,35,40,45,50)/100*(Inputs!$B$11-Inputs!$B$11),0)))/100)/2</f>
        <v>29860449315744.48</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312">
        <f>L1312*(1-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312">
        <f>(1-Summary!$B$11)*S1312+Summary!$B$11*U1312</f>
        <v>324323455609081.62</v>
      </c>
      <c r="P1312">
        <f>IF(B1343=0,0,O1312/B1343)</f>
        <v>9.8021872154419789E-3</v>
      </c>
      <c r="Q1312">
        <f>IFERROR(1/(IF(Inputs!$B$38="pvp",15,MAX(0.1,Skills!E10-IF(TRUE=TRUE,Inputs!$B$32,0)))*(1-IF(AND(ArtifactsInput!$M$27,Inputs!$B$4="Chapter Hunt"),CHOOSE(ArtifactsInput!$N$27+1,20,24,28,32,36,40),0)/100)),0)</f>
        <v>3.7037037037037035E-2</v>
      </c>
      <c r="R1312">
        <f>IF(AND(Inputs!$B$38&lt;&gt;"pvp",Inputs!$B$43&gt;0),IF(MAX(0,Inputs!$B$43-B1340)&lt;=0,0,(INT(MAX(0,Inputs!$B$43-B1340)/(IF(Inputs!$B$38="pvp",15,MAX(0.1,Skills!E10-IF(TRUE=TRUE,Inputs!$B$32,0)))*(1-IF(AND(ArtifactsInput!$M$27,Inputs!$B$4="Chapter Hunt"),CHOOSE(ArtifactsInput!$N$27+1,20,24,28,32,36,40),0)/100)))+1)),0)</f>
        <v>2</v>
      </c>
      <c r="S1312">
        <f>IF(C1312,(H1312*N1312*IF(AND(Inputs!$B$38&lt;&gt;"pvp",Inputs!$B$43&gt;0),((Skills!G10*((R1312-1)*IF(Skills!H10&gt;0,Skills!I10/Skills!H10,1)+IF(Skills!H10&gt;0,MIN(Skills!I10,MAX(0,MAX(0,Inputs!$B$43-B1340)-((R1312-1)*(IF(Inputs!$B$38="pvp",15,MAX(0.1,Skills!E10-IF(TRUE=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312">
        <f>IF(C1312,(H1312*N1312*IF(AND(Inputs!$B$38&lt;&gt;"pvp",Inputs!$B$43&gt;0),((Skills!G10*((R1312-1)*IF(Skills!H10&gt;0,Skills!I10/Skills!H10,1)+IF(Skills!H10&gt;0,MIN(Skills!I10,MAX(0,MAX(0,Inputs!$B$43-B1340)-((R1312-1)*(IF(Inputs!$B$38="pvp",15,MAX(0.1,Skills!E10-IF(TRUE=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313" spans="1:21" x14ac:dyDescent="0.2">
      <c r="A1313" t="str">
        <f>Skills!A11</f>
        <v>BURNING_MAGIC</v>
      </c>
      <c r="B1313" t="str">
        <f>Skills!B11</f>
        <v>Burning Magic</v>
      </c>
      <c r="C1313" t="b">
        <f>TRUE</f>
        <v>1</v>
      </c>
      <c r="D1313">
        <f>IF(Skills!C11=1,60+Inputs!$B$25+Inputs!$B$29,IF(Skills!C11=2,90+Inputs!$B$26+Inputs!$B$29,IF(Skills!C11=3,120+Inputs!$B$27+Inputs!$B$29,MAX(0,(Inputs!$B$3-100)*3)+Inputs!$B$28+Inputs!$B$29)))</f>
        <v>184</v>
      </c>
      <c r="E1313">
        <f>INDEX(FactorTable!$B$2:$Y$301, MATCH(ROUND(MIN(300,MAX(1,D1313)),0), FactorTable!$A$2:$A$301,0), Skills!M11+1)</f>
        <v>0</v>
      </c>
      <c r="F1313">
        <f>IF(Skills!N11=TRUE,(Skills!L11/10)*(E1313/1000),Skills!L11/10)+Skills!O11</f>
        <v>5</v>
      </c>
      <c r="G1313">
        <f>Calc!G11</f>
        <v>1</v>
      </c>
      <c r="H1313">
        <f>Calc!H11</f>
        <v>1</v>
      </c>
      <c r="I1313">
        <f>IF(Skills!X11&lt;&gt;"",1+(Skills!X11/10)*(Z1305/1000)/100,1)</f>
        <v>1</v>
      </c>
      <c r="O1313">
        <f>(1-Summary!$B$11)*S1313+Summary!$B$11*U1313</f>
        <v>0</v>
      </c>
      <c r="P1313">
        <f>IF(B1343=0,0,O1313/B1343)</f>
        <v>0</v>
      </c>
      <c r="Q1313">
        <f>IFERROR(1/(IF(Inputs!$B$38="pvp",15,MAX(0.1,Skills!E11-IF(TRUE=TRUE,Inputs!$B$32,0)))*(1-IF(AND(ArtifactsInput!$M$27,Inputs!$B$4="Chapter Hunt"),CHOOSE(ArtifactsInput!$N$27+1,20,24,28,32,36,40),0)/100)),0)</f>
        <v>10</v>
      </c>
      <c r="R1313">
        <v>0</v>
      </c>
      <c r="S1313">
        <v>0</v>
      </c>
      <c r="U1313">
        <v>0</v>
      </c>
    </row>
    <row r="1314" spans="1:21" x14ac:dyDescent="0.2">
      <c r="A1314" t="str">
        <f>Skills!A12</f>
        <v>ELEMENTAL_DECREASE</v>
      </c>
      <c r="B1314" t="str">
        <f>Skills!B12</f>
        <v>Elemental Decrease</v>
      </c>
      <c r="C1314" t="b">
        <f>TRUE</f>
        <v>1</v>
      </c>
      <c r="D1314">
        <f>IF(Skills!C12=1,60+Inputs!$B$25+Inputs!$B$29,IF(Skills!C12=2,90+Inputs!$B$26+Inputs!$B$29,IF(Skills!C12=3,120+Inputs!$B$27+Inputs!$B$29,MAX(0,(Inputs!$B$3-100)*3)+Inputs!$B$28+Inputs!$B$29)))</f>
        <v>184</v>
      </c>
      <c r="E1314">
        <f>INDEX(FactorTable!$B$2:$Y$301, MATCH(ROUND(MIN(300,MAX(1,D1314)),0), FactorTable!$A$2:$A$301,0), Skills!M12+1)</f>
        <v>1552</v>
      </c>
      <c r="F1314">
        <f>IF(Skills!N12=TRUE,(Skills!L12/10)*(E1314/1000),Skills!L12/10)+Skills!O12</f>
        <v>18.624000000000002</v>
      </c>
      <c r="G1314">
        <f>Calc!G12</f>
        <v>1</v>
      </c>
      <c r="H1314">
        <f>Calc!H12</f>
        <v>0.5</v>
      </c>
      <c r="I1314">
        <f>IF(Skills!X12&lt;&gt;"",1+(Skills!X12/10)*(Z1305/1000)/100,1)</f>
        <v>1</v>
      </c>
      <c r="O1314">
        <f>(1-Summary!$B$11)*S1314+Summary!$B$11*U1314</f>
        <v>0</v>
      </c>
      <c r="P1314">
        <f>IF(B1343=0,0,O1314/B1343)</f>
        <v>0</v>
      </c>
      <c r="Q1314">
        <f>IFERROR(1/(IF(Inputs!$B$38="pvp",15,MAX(0.1,Skills!E12-IF(TRUE=TRUE,Inputs!$B$32,0)))*(1-IF(AND(ArtifactsInput!$M$27,Inputs!$B$4="Chapter Hunt"),CHOOSE(ArtifactsInput!$N$27+1,20,24,28,32,36,40),0)/100)),0)</f>
        <v>10</v>
      </c>
      <c r="R1314">
        <v>0</v>
      </c>
      <c r="S1314">
        <v>0</v>
      </c>
      <c r="U1314">
        <v>0</v>
      </c>
    </row>
    <row r="1315" spans="1:21" x14ac:dyDescent="0.2">
      <c r="A1315" t="str">
        <f>Skills!A13</f>
        <v>METEOR_SHOWER_BURST</v>
      </c>
      <c r="B1315" t="str">
        <f>Skills!B13</f>
        <v>Meteor Shower (burst)</v>
      </c>
      <c r="C1315" t="b">
        <f>Inputs!$B$3&gt;=105</f>
        <v>1</v>
      </c>
      <c r="D1315">
        <f>IF(Skills!C13=1,60+Inputs!$B$25+Inputs!$B$29,IF(Skills!C13=2,90+Inputs!$B$26+Inputs!$B$29,IF(Skills!C13=3,120+Inputs!$B$27+Inputs!$B$29,MAX(0,(Inputs!$B$3-100)*3)+Inputs!$B$28+Inputs!$B$29)))</f>
        <v>185</v>
      </c>
      <c r="E1315">
        <f>INDEX(FactorTable!$B$2:$Y$301, MATCH(ROUND(MIN(300,MAX(1,D1315)),0), FactorTable!$A$2:$A$301,0), Skills!M13+1)</f>
        <v>1925</v>
      </c>
      <c r="F1315">
        <f>IF(Skills!N13=TRUE,(Skills!L13/10)*(E1315/1000),Skills!L13/10)+Skills!O13</f>
        <v>1155</v>
      </c>
      <c r="G1315">
        <f>Calc!G13</f>
        <v>9</v>
      </c>
      <c r="H1315">
        <f>Calc!H13</f>
        <v>1</v>
      </c>
      <c r="I1315">
        <f>IF(Skills!X13&lt;&gt;"",1+(Skills!X13/10)*(Z1305/1000)/100,1)</f>
        <v>1</v>
      </c>
      <c r="J1315">
        <f>((Inputs!$B$6*(1+Inputs!$B$7/100))+(((Inputs!$B$12*(1+Inputs!$B$13/100))-(Inputs!$B$12*(1+Inputs!$B$13/100)))+0.25*(Inputs!$B$14-Inputs!$B$14))*(1+Inputs!$B$7/100))*(F1315/100)</f>
        <v>4171103722.0660505</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20958681306616.391</v>
      </c>
      <c r="L1315">
        <f>K1315*(MIN(Inputs!$B$22+(F1324-Calc!F22),(Inputs!$B$23+(IF(ArtifactsInput!$M$15,CHOOSE(ArtifactsInput!$N$15+1,25,30,35,40,45,50)/100*(Inputs!$B$11-Inputs!$B$11),0))))/100+(Inputs!$B$23+(IF(ArtifactsInput!$M$15,CHOOSE(ArtifactsInput!$N$15+1,25,30,35,40,45,50)/100*(Inputs!$B$11-Inputs!$B$11),0)))/100)/2</f>
        <v>69687615344499.5</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315">
        <f>L1315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315">
        <f>(1-Summary!$B$11)*S1315+Summary!$B$11*U1315</f>
        <v>1793579843045520.5</v>
      </c>
      <c r="P1315">
        <f>IF(B1343=0,0,O1315/B1343)</f>
        <v>5.4208245204954375E-2</v>
      </c>
      <c r="Q1315">
        <f>IFERROR(1/(IF(Inputs!$B$38="pvp",15,MAX(0.1,Skills!E13-IF(TRUE=TRUE,Inputs!$B$32,0)))*(1-IF(AND(ArtifactsInput!$M$27,Inputs!$B$4="Chapter Hunt"),CHOOSE(ArtifactsInput!$N$27+1,20,24,28,32,36,40),0)/100)),0)</f>
        <v>3.0303030303030304E-2</v>
      </c>
      <c r="R1315">
        <f>IF(AND(Inputs!$B$38&lt;&gt;"pvp",Inputs!$B$43&gt;0),IF(MAX(0,Inputs!$B$43-B1340)&lt;=0,0,(INT(MAX(0,Inputs!$B$43-B1340)/(IF(Inputs!$B$38="pvp",15,MAX(0.1,Skills!E13-IF(TRUE=TRUE,Inputs!$B$32,0)))*(1-IF(AND(ArtifactsInput!$M$27,Inputs!$B$4="Chapter Hunt"),CHOOSE(ArtifactsInput!$N$27+1,20,24,28,32,36,40),0)/100)))+1)),0)</f>
        <v>2</v>
      </c>
      <c r="S1315">
        <f>IF(C1315,(H1315*N1315*IF(AND(Inputs!$B$38&lt;&gt;"pvp",Inputs!$B$43&gt;0),((Skills!G13*((R1315-1)*IF(Skills!H13&gt;0,Skills!I13/Skills!H13,1)+IF(Skills!H13&gt;0,MIN(Skills!I13,MAX(0,MAX(0,Inputs!$B$43-B1340)-((R1315-1)*(IF(Inputs!$B$38="pvp",15,MAX(0.1,Skills!E13-IF(TRUE=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315">
        <f>IF(C1315,(H1315*N1315*IF(AND(Inputs!$B$38&lt;&gt;"pvp",Inputs!$B$43&gt;0),((Skills!G13*((R1315-1)*IF(Skills!H13&gt;0,Skills!I13/Skills!H13,1)+IF(Skills!H13&gt;0,MIN(Skills!I13,MAX(0,MAX(0,Inputs!$B$43-B1340)-((R1315-1)*(IF(Inputs!$B$38="pvp",15,MAX(0.1,Skills!E13-IF(TRUE=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316" spans="1:21" x14ac:dyDescent="0.2">
      <c r="A1316" t="str">
        <f>Skills!A14</f>
        <v>METEOR_PROC</v>
      </c>
      <c r="B1316" t="str">
        <f>Skills!B14</f>
        <v>Meteor Proc (30% on-hit, 1s ICD)</v>
      </c>
      <c r="C1316" t="b">
        <f>Inputs!$B$3&gt;=113</f>
        <v>1</v>
      </c>
      <c r="D1316">
        <f>IF(Skills!C14=1,60+Inputs!$B$25+Inputs!$B$29,IF(Skills!C14=2,90+Inputs!$B$26+Inputs!$B$29,IF(Skills!C14=3,120+Inputs!$B$27+Inputs!$B$29,MAX(0,(Inputs!$B$3-100)*3)+Inputs!$B$28+Inputs!$B$29)))</f>
        <v>185</v>
      </c>
      <c r="E1316">
        <f>INDEX(FactorTable!$B$2:$Y$301, MATCH(ROUND(MIN(300,MAX(1,D1316)),0), FactorTable!$A$2:$A$301,0), Skills!M14+1)</f>
        <v>1740</v>
      </c>
      <c r="F1316">
        <f>IF(Skills!N14=TRUE,(Skills!L14/10)*(E1316/1000),Skills!L14/10)+Skills!O14</f>
        <v>1653</v>
      </c>
      <c r="G1316">
        <f>Calc!G14</f>
        <v>0</v>
      </c>
      <c r="H1316">
        <f>Calc!H14</f>
        <v>0.30000000000000004</v>
      </c>
      <c r="I1316">
        <f>IF(Skills!X14&lt;&gt;"",1+(Skills!X14/10)*(Z1305/1000)/100,1)</f>
        <v>1</v>
      </c>
      <c r="J1316">
        <f>((Inputs!$B$6*(1+Inputs!$B$7/100))+(((Inputs!$B$12*(1+Inputs!$B$13/100))-(Inputs!$B$12*(1+Inputs!$B$13/100)))+0.25*(Inputs!$B$14-Inputs!$B$14))*(1+Inputs!$B$7/100))*(F1316/100)</f>
        <v>5969553638.5932312</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29995411428430.203</v>
      </c>
      <c r="L1316">
        <f>K1316*(MIN(Inputs!$B$22+(F1324-Calc!F22),(Inputs!$B$23+(IF(ArtifactsInput!$M$15,CHOOSE(ArtifactsInput!$N$15+1,25,30,35,40,45,50)/100*(Inputs!$B$11-Inputs!$B$11),0))))/100+(Inputs!$B$23+(IF(ArtifactsInput!$M$15,CHOOSE(ArtifactsInput!$N$15+1,25,30,35,40,45,50)/100*(Inputs!$B$11-Inputs!$B$11),0)))/100)/2</f>
        <v>99734742999530.438</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316">
        <f>L1316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316">
        <f>(1-Summary!$B$11)*S1316+Summary!$B$11*U1316</f>
        <v>461258197543910.38</v>
      </c>
      <c r="P1316">
        <f>IF(B1343=0,0,O1316/B1343)</f>
        <v>1.3940833229257574E-2</v>
      </c>
      <c r="Q1316">
        <f>IFERROR(1/(IF(Inputs!$B$38="pvp",15,MAX(0.1,Skills!E14-IF(TRUE=TRUE,Inputs!$B$32,0)))*(1-IF(AND(ArtifactsInput!$M$27,Inputs!$B$4="Chapter Hunt"),CHOOSE(ArtifactsInput!$N$27+1,20,24,28,32,36,40),0)/100)),0)</f>
        <v>10</v>
      </c>
      <c r="R1316">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317" spans="1:21" x14ac:dyDescent="0.2">
      <c r="A1317" t="str">
        <f>Skills!A15</f>
        <v>FLAME_HAZE_BURST</v>
      </c>
      <c r="B1317" t="str">
        <f>Skills!B15</f>
        <v>Flame Haze (burst)</v>
      </c>
      <c r="C1317" t="b">
        <f>Inputs!$B$3&gt;=107</f>
        <v>1</v>
      </c>
      <c r="D1317">
        <f>IF(Skills!C15=1,60+Inputs!$B$25+Inputs!$B$29,IF(Skills!C15=2,90+Inputs!$B$26+Inputs!$B$29,IF(Skills!C15=3,120+Inputs!$B$27+Inputs!$B$29,MAX(0,(Inputs!$B$3-100)*3)+Inputs!$B$28+Inputs!$B$29)))</f>
        <v>185</v>
      </c>
      <c r="E1317">
        <f>INDEX(FactorTable!$B$2:$Y$301, MATCH(ROUND(MIN(300,MAX(1,D1317)),0), FactorTable!$A$2:$A$301,0), Skills!M15+1)</f>
        <v>1925</v>
      </c>
      <c r="F1317">
        <f>IF(Skills!N15=TRUE,(Skills!L15/10)*(E1317/1000),Skills!L15/10)+Skills!O15</f>
        <v>2310</v>
      </c>
      <c r="G1317">
        <f>Calc!G15</f>
        <v>3</v>
      </c>
      <c r="H1317">
        <f>Calc!H15</f>
        <v>1</v>
      </c>
      <c r="I1317">
        <f>IF(Skills!X15&lt;&gt;"",1+(Skills!X15/10)*(Z1305/1000)/100,1)</f>
        <v>1</v>
      </c>
      <c r="J1317">
        <f>((Inputs!$B$6*(1+Inputs!$B$7/100))+(((Inputs!$B$12*(1+Inputs!$B$13/100))-(Inputs!$B$12*(1+Inputs!$B$13/100)))+0.25*(Inputs!$B$14-Inputs!$B$14))*(1+Inputs!$B$7/100))*(F1317/100)</f>
        <v>8342207444.1321011</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41917362613232.781</v>
      </c>
      <c r="L1317">
        <f>K1317*(MIN(Inputs!$B$22+(F1324-Calc!F22),(Inputs!$B$23+(IF(ArtifactsInput!$M$15,CHOOSE(ArtifactsInput!$N$15+1,25,30,35,40,45,50)/100*(Inputs!$B$11-Inputs!$B$11),0))))/100+(Inputs!$B$23+(IF(ArtifactsInput!$M$15,CHOOSE(ArtifactsInput!$N$15+1,25,30,35,40,45,50)/100*(Inputs!$B$11-Inputs!$B$11),0)))/100)/2</f>
        <v>139375230688999</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317">
        <f>L1317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317">
        <f>(1-Summary!$B$11)*S1317+Summary!$B$11*U1317</f>
        <v>1641155153413763.8</v>
      </c>
      <c r="P1317">
        <f>IF(B1343=0,0,O1317/B1343)</f>
        <v>4.9601438888031674E-2</v>
      </c>
      <c r="Q1317">
        <f>IFERROR(1/(IF(Inputs!$B$38="pvp",15,MAX(0.1,Skills!E15-IF(TRUE=TRUE,Inputs!$B$32,0)))*(1-IF(AND(ArtifactsInput!$M$27,Inputs!$B$4="Chapter Hunt"),CHOOSE(ArtifactsInput!$N$27+1,20,24,28,32,36,40),0)/100)),0)</f>
        <v>0.04</v>
      </c>
      <c r="R1317">
        <f>IF(AND(Inputs!$B$38&lt;&gt;"pvp",Inputs!$B$43&gt;0),IF(MAX(0,Inputs!$B$43-B1340)&lt;=0,0,(INT(MAX(0,Inputs!$B$43-B1340)/(IF(Inputs!$B$38="pvp",15,MAX(0.1,Skills!E15-IF(TRUE=TRUE,Inputs!$B$32,0)))*(1-IF(AND(ArtifactsInput!$M$27,Inputs!$B$4="Chapter Hunt"),CHOOSE(ArtifactsInput!$N$27+1,20,24,28,32,36,40),0)/100)))+1)),0)</f>
        <v>2</v>
      </c>
      <c r="S1317">
        <f>IF(C1317,(H1317*N1317*IF(AND(Inputs!$B$38&lt;&gt;"pvp",Inputs!$B$43&gt;0),((Skills!G15*((R1317-1)*IF(Skills!H15&gt;0,Skills!I15/Skills!H15,1)+IF(Skills!H15&gt;0,MIN(Skills!I15,MAX(0,MAX(0,Inputs!$B$43-B1340)-((R1317-1)*(IF(Inputs!$B$38="pvp",15,MAX(0.1,Skills!E15-IF(TRUE=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317">
        <f>IF(C1317,(H1317*N1317*IF(AND(Inputs!$B$38&lt;&gt;"pvp",Inputs!$B$43&gt;0),((Skills!G15*((R1317-1)*IF(Skills!H15&gt;0,Skills!I15/Skills!H15,1)+IF(Skills!H15&gt;0,MIN(Skills!I15,MAX(0,MAX(0,Inputs!$B$43-B1340)-((R1317-1)*(IF(Inputs!$B$38="pvp",15,MAX(0.1,Skills!E15-IF(TRUE=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318" spans="1:21" x14ac:dyDescent="0.2">
      <c r="A1318" t="str">
        <f>Skills!A16</f>
        <v>FLAME_HAZE_DOT</v>
      </c>
      <c r="B1318" t="str">
        <f>Skills!B16</f>
        <v>Flame Haze (burn DoT)</v>
      </c>
      <c r="C1318" t="b">
        <f>Inputs!$B$3&gt;=107</f>
        <v>1</v>
      </c>
      <c r="D1318">
        <f>IF(Skills!C16=1,60+Inputs!$B$25+Inputs!$B$29,IF(Skills!C16=2,90+Inputs!$B$26+Inputs!$B$29,IF(Skills!C16=3,120+Inputs!$B$27+Inputs!$B$29,MAX(0,(Inputs!$B$3-100)*3)+Inputs!$B$28+Inputs!$B$29)))</f>
        <v>185</v>
      </c>
      <c r="E1318">
        <f>INDEX(FactorTable!$B$2:$Y$301, MATCH(ROUND(MIN(300,MAX(1,D1318)),0), FactorTable!$A$2:$A$301,0), Skills!M16+1)</f>
        <v>1925</v>
      </c>
      <c r="F1318">
        <f>IF(Skills!N16=TRUE,(Skills!L16/10)*(E1318/1000),Skills!L16/10)+Skills!O16</f>
        <v>288.75</v>
      </c>
      <c r="G1318">
        <f>Calc!G16</f>
        <v>30</v>
      </c>
      <c r="H1318">
        <f>Calc!H16</f>
        <v>1</v>
      </c>
      <c r="I1318">
        <f>IF(Skills!X16&lt;&gt;"",1+(Skills!X16/10)*(Z1305/1000)/100,1)</f>
        <v>1</v>
      </c>
      <c r="J1318">
        <f>((Inputs!$B$6*(1+Inputs!$B$7/100))+(((Inputs!$B$12*(1+Inputs!$B$13/100))-(Inputs!$B$12*(1+Inputs!$B$13/100)))+0.25*(Inputs!$B$14-Inputs!$B$14))*(1+Inputs!$B$7/100))*(F1318/100)</f>
        <v>1042775930.5165126</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5239670326654.0977</v>
      </c>
      <c r="L1318">
        <f>K1318*(MIN(Inputs!$B$22+(F1324-Calc!F22),(Inputs!$B$23+(IF(ArtifactsInput!$M$15,CHOOSE(ArtifactsInput!$N$15+1,25,30,35,40,45,50)/100*(Inputs!$B$11-Inputs!$B$11),0))))/100+(Inputs!$B$23+(IF(ArtifactsInput!$M$15,CHOOSE(ArtifactsInput!$N$15+1,25,30,35,40,45,50)/100*(Inputs!$B$11-Inputs!$B$11),0)))/100)/2</f>
        <v>17421903836124.875</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318">
        <f>L1318*(1-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318">
        <f>(1-Summary!$B$11)*S1318+Summary!$B$11*U1318</f>
        <v>1890384927888193</v>
      </c>
      <c r="P1318">
        <f>IF(B1343=0,0,O1318/B1343)</f>
        <v>5.7134032867313167E-2</v>
      </c>
      <c r="Q1318">
        <f>IFERROR(1/(IF(Inputs!$B$38="pvp",15,MAX(0.1,Skills!E16-IF(TRUE=TRUE,Inputs!$B$32,0)))*(1-IF(AND(ArtifactsInput!$M$27,Inputs!$B$4="Chapter Hunt"),CHOOSE(ArtifactsInput!$N$27+1,20,24,28,32,36,40),0)/100)),0)</f>
        <v>0.04</v>
      </c>
      <c r="R1318">
        <f>IF(AND(Inputs!$B$38&lt;&gt;"pvp",Inputs!$B$43&gt;0),IF(MAX(0,Inputs!$B$43-B1340)&lt;=0,0,(INT(MAX(0,Inputs!$B$43-B1340)/(IF(Inputs!$B$38="pvp",15,MAX(0.1,Skills!E16-IF(TRUE=TRUE,Inputs!$B$32,0)))*(1-IF(AND(ArtifactsInput!$M$27,Inputs!$B$4="Chapter Hunt"),CHOOSE(ArtifactsInput!$N$27+1,20,24,28,32,36,40),0)/100)))+1)),0)</f>
        <v>2</v>
      </c>
      <c r="S1318">
        <f>IF(C1318,(H1318*N1318*IF(AND(Inputs!$B$38&lt;&gt;"pvp",Inputs!$B$43&gt;0),((Skills!G16*((R1318-1)*IF(Skills!H16&gt;0,Skills!I16/Skills!H16,1)+IF(Skills!H16&gt;0,MIN(Skills!I16,MAX(0,MAX(0,Inputs!$B$43-B1340)-((R1318-1)*(IF(Inputs!$B$38="pvp",15,MAX(0.1,Skills!E16-IF(TRUE=TRUE,Inputs!$B$32,0)))*(1-IF(AND(ArtifactsInput!$M$27,Inputs!$B$4="Chapter Hunt"),CHOOSE(ArtifactsInput!$N$27+1,20,24,28,32,36,40),0)/100)))))/Skills!H16,1)))/Inputs!$B$43),G1318*Q1318)*(1+IF(Inputs!$B$3&gt;=126,0.05*(B1338+Q1315+(H1316*B1339)/(1+Skills!H14*H1316*B1339)+Q1326),0)*(1/Q1317)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318">
        <f>IF(C1318,(H1318*N1318*IF(AND(Inputs!$B$38&lt;&gt;"pvp",Inputs!$B$43&gt;0),((Skills!G16*((R1318-1)*IF(Skills!H16&gt;0,Skills!I16/Skills!H16,1)+IF(Skills!H16&gt;0,MIN(Skills!I16,MAX(0,MAX(0,Inputs!$B$43-B1340)-((R1318-1)*(IF(Inputs!$B$38="pvp",15,MAX(0.1,Skills!E16-IF(TRUE=TRUE,Inputs!$B$32,0)))*(1-IF(AND(ArtifactsInput!$M$27,Inputs!$B$4="Chapter Hunt"),CHOOSE(ArtifactsInput!$N$27+1,20,24,28,32,36,40),0)/100)))))/Skills!H16,1)))/Inputs!$B$43),G1318*Q1318)*(1+IF(Inputs!$B$3&gt;=126,0.05*(B1338+Q1315+(H1316*B1339)/(1+Skills!H14*H1316*B1339)+Q1326),0)*(1/Q1317)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319" spans="1:21" x14ac:dyDescent="0.2">
      <c r="A1319" t="str">
        <f>Skills!A17</f>
        <v>MAGIC_GUARD</v>
      </c>
      <c r="B1319" t="str">
        <f>Skills!B17</f>
        <v>Magic Guard</v>
      </c>
      <c r="C1319" t="b">
        <f>TRUE</f>
        <v>1</v>
      </c>
      <c r="D1319">
        <f>IF(Skills!C17=1,60+Inputs!$B$25+Inputs!$B$29,IF(Skills!C17=2,90+Inputs!$B$26+Inputs!$B$29,IF(Skills!C17=3,120+Inputs!$B$27+Inputs!$B$29,MAX(0,(Inputs!$B$3-100)*3)+Inputs!$B$28+Inputs!$B$29)))</f>
        <v>127</v>
      </c>
      <c r="E1319">
        <f>INDEX(FactorTable!$B$2:$Y$301, MATCH(ROUND(MIN(300,MAX(1,D1319)),0), FactorTable!$A$2:$A$301,0), Skills!M17+1)</f>
        <v>1508</v>
      </c>
      <c r="F1319">
        <f>IF(Skills!N17=TRUE,(Skills!L17/10)*(E1319/1000),Skills!L17/10)+Skills!O17</f>
        <v>18.096</v>
      </c>
      <c r="G1319">
        <f>Calc!G17</f>
        <v>1</v>
      </c>
      <c r="H1319">
        <f>Calc!H17</f>
        <v>1</v>
      </c>
      <c r="I1319">
        <f>IF(Skills!X17&lt;&gt;"",1+(Skills!X17/10)*(Z1305/1000)/100,1)</f>
        <v>1</v>
      </c>
      <c r="O1319">
        <f>(1-Summary!$B$11)*S1319+Summary!$B$11*U1319</f>
        <v>0</v>
      </c>
      <c r="P1319">
        <f>IF(B1343=0,0,O1319/B1343)</f>
        <v>0</v>
      </c>
      <c r="Q1319">
        <f>IFERROR(1/(IF(Inputs!$B$38="pvp",15,MAX(0.1,Skills!E17-IF(TRUE=TRUE,Inputs!$B$32,0)))*(1-IF(AND(ArtifactsInput!$M$27,Inputs!$B$4="Chapter Hunt"),CHOOSE(ArtifactsInput!$N$27+1,20,24,28,32,36,40),0)/100)),0)</f>
        <v>4.7619047619047616E-2</v>
      </c>
      <c r="R1319">
        <f>IF(AND(Inputs!$B$38&lt;&gt;"pvp",Inputs!$B$43&gt;0),IF(Inputs!$B$43&lt;=0,0,(INT(Inputs!$B$43/(IF(Inputs!$B$38="pvp",15,MAX(0.1,Skills!E17-IF(TRUE=TRUE,Inputs!$B$32,0)))*(1-IF(AND(ArtifactsInput!$M$27,Inputs!$B$4="Chapter Hunt"),CHOOSE(ArtifactsInput!$N$27+1,20,24,28,32,36,40),0)/100)))+1)),0)</f>
        <v>2</v>
      </c>
      <c r="S1319">
        <v>0</v>
      </c>
      <c r="U1319">
        <v>0</v>
      </c>
    </row>
    <row r="1320" spans="1:21" x14ac:dyDescent="0.2">
      <c r="A1320" t="str">
        <f>Skills!A18</f>
        <v>NIMBLE_FEET</v>
      </c>
      <c r="B1320" t="str">
        <f>Skills!B18</f>
        <v>Nimble Feet</v>
      </c>
      <c r="C1320" t="b">
        <f>TRUE</f>
        <v>1</v>
      </c>
      <c r="D1320">
        <f>IF(Skills!C18=1,60+Inputs!$B$25+Inputs!$B$29,IF(Skills!C18=2,90+Inputs!$B$26+Inputs!$B$29,IF(Skills!C18=3,120+Inputs!$B$27+Inputs!$B$29,MAX(0,(Inputs!$B$3-100)*3)+Inputs!$B$28+Inputs!$B$29)))</f>
        <v>127</v>
      </c>
      <c r="E1320">
        <f>INDEX(FactorTable!$B$2:$Y$301, MATCH(ROUND(MIN(300,MAX(1,D1320)),0), FactorTable!$A$2:$A$301,0), Skills!M18+1)</f>
        <v>0</v>
      </c>
      <c r="F1320">
        <f>IF(Skills!N18=TRUE,(Skills!L18/10)*(E1320/1000),Skills!L18/10)+Skills!O18</f>
        <v>15</v>
      </c>
      <c r="G1320">
        <f>Calc!G18</f>
        <v>1</v>
      </c>
      <c r="H1320">
        <f>Calc!H18</f>
        <v>1</v>
      </c>
      <c r="I1320">
        <f>IF(Skills!X18&lt;&gt;"",1+(Skills!X18/10)*(Z1305/1000)/100,1)</f>
        <v>1</v>
      </c>
      <c r="O1320">
        <f>(1-Summary!$B$11)*S1320+Summary!$B$11*U1320</f>
        <v>0</v>
      </c>
      <c r="P1320">
        <f>IF(B1343=0,0,O1320/B1343)</f>
        <v>0</v>
      </c>
      <c r="Q1320">
        <f>IFERROR(1/(IF(Inputs!$B$38="pvp",15,MAX(0.1,Skills!E18-IF(TRUE=TRUE,Inputs!$B$32,0)))*(1-IF(AND(ArtifactsInput!$M$27,Inputs!$B$4="Chapter Hunt"),CHOOSE(ArtifactsInput!$N$27+1,20,24,28,32,36,40),0)/100)),0)</f>
        <v>1.6666666666666666E-2</v>
      </c>
      <c r="R1320">
        <f>IF(AND(Inputs!$B$38&lt;&gt;"pvp",Inputs!$B$43&gt;0),IF(Inputs!$B$43&lt;=0,0,(INT(Inputs!$B$43/(IF(Inputs!$B$38="pvp",15,MAX(0.1,Skills!E18-IF(TRUE=TRUE,Inputs!$B$32,0)))*(1-IF(AND(ArtifactsInput!$M$27,Inputs!$B$4="Chapter Hunt"),CHOOSE(ArtifactsInput!$N$27+1,20,24,28,32,36,40),0)/100)))+1)),0)</f>
        <v>1</v>
      </c>
      <c r="S1320">
        <v>0</v>
      </c>
      <c r="U1320">
        <v>0</v>
      </c>
    </row>
    <row r="1321" spans="1:21" x14ac:dyDescent="0.2">
      <c r="A1321" t="str">
        <f>Skills!A19</f>
        <v>INFINITY</v>
      </c>
      <c r="B1321" t="str">
        <f>Skills!B19</f>
        <v>Infinity</v>
      </c>
      <c r="C1321" t="b">
        <f>Inputs!$B$3&gt;=110</f>
        <v>1</v>
      </c>
      <c r="D1321">
        <f>IF(Skills!C19=1,60+Inputs!$B$25+Inputs!$B$29,IF(Skills!C19=2,90+Inputs!$B$26+Inputs!$B$29,IF(Skills!C19=3,120+Inputs!$B$27+Inputs!$B$29,MAX(0,(Inputs!$B$3-100)*3)+Inputs!$B$28+Inputs!$B$29)))</f>
        <v>185</v>
      </c>
      <c r="E1321">
        <f>INDEX(FactorTable!$B$2:$Y$301, MATCH(ROUND(MIN(300,MAX(1,D1321)),0), FactorTable!$A$2:$A$301,0), Skills!M19+1)</f>
        <v>1740</v>
      </c>
      <c r="F1321">
        <f>IF(Skills!N19=TRUE,(Skills!L19/10)*(E1321/1000),Skills!L19/10)+Skills!O19</f>
        <v>37.700579999999995</v>
      </c>
      <c r="G1321">
        <f>Calc!G19</f>
        <v>1</v>
      </c>
      <c r="H1321">
        <f>Calc!H19</f>
        <v>1</v>
      </c>
      <c r="I1321">
        <f>IF(Skills!X19&lt;&gt;"",1+(Skills!X19/10)*(Z1305/1000)/100,1)</f>
        <v>1</v>
      </c>
      <c r="O1321">
        <f>(1-Summary!$B$11)*S1321+Summary!$B$11*U1321</f>
        <v>0</v>
      </c>
      <c r="P1321">
        <f>IF(B1343=0,0,O1321/B1343)</f>
        <v>0</v>
      </c>
      <c r="Q1321">
        <f>IFERROR(1/(IF(Inputs!$B$38="pvp",15,MAX(0.1,Skills!E19-IF(TRUE=TRUE,Inputs!$B$32,0)))*(1-IF(AND(ArtifactsInput!$M$27,Inputs!$B$4="Chapter Hunt"),CHOOSE(ArtifactsInput!$N$27+1,20,24,28,32,36,40),0)/100)),0)</f>
        <v>3.3333333333333333E-2</v>
      </c>
      <c r="R1321">
        <f>IF(AND(Inputs!$B$38&lt;&gt;"pvp",Inputs!$B$43&gt;0),IF(Inputs!$B$43&lt;=0,0,(INT(Inputs!$B$43/(IF(Inputs!$B$38="pvp",15,MAX(0.1,Skills!E19-IF(TRUE=TRUE,Inputs!$B$32,0)))*(1-IF(AND(ArtifactsInput!$M$27,Inputs!$B$4="Chapter Hunt"),CHOOSE(ArtifactsInput!$N$27+1,20,24,28,32,36,40),0)/100)))+1)),0)</f>
        <v>2</v>
      </c>
      <c r="S1321">
        <v>0</v>
      </c>
      <c r="U1321">
        <v>0</v>
      </c>
    </row>
    <row r="1322" spans="1:21" x14ac:dyDescent="0.2">
      <c r="A1322" t="str">
        <f>Skills!A20</f>
        <v>MAGIC_CRITICAL_RATE</v>
      </c>
      <c r="B1322" t="str">
        <f>Skills!B20</f>
        <v>Magic Critical (Crit Rate)</v>
      </c>
      <c r="C1322" t="b">
        <f>TRUE</f>
        <v>1</v>
      </c>
      <c r="D1322">
        <f>IF(Skills!C20=1,60+Inputs!$B$25+Inputs!$B$29,IF(Skills!C20=2,90+Inputs!$B$26+Inputs!$B$29,IF(Skills!C20=3,120+Inputs!$B$27+Inputs!$B$29,MAX(0,(Inputs!$B$3-100)*3)+Inputs!$B$28+Inputs!$B$29)))</f>
        <v>184</v>
      </c>
      <c r="E1322">
        <f>INDEX(FactorTable!$B$2:$Y$301, MATCH(ROUND(MIN(300,MAX(1,D1322)),0), FactorTable!$A$2:$A$301,0), Skills!M20+1)</f>
        <v>1552</v>
      </c>
      <c r="F1322">
        <f>IF(Skills!N20=TRUE,(Skills!L20/10)*(E1322/1000),Skills!L20/10)+Skills!O20</f>
        <v>12.416</v>
      </c>
      <c r="G1322">
        <f>Calc!G20</f>
        <v>1</v>
      </c>
      <c r="H1322">
        <f>Calc!H20</f>
        <v>1</v>
      </c>
      <c r="I1322">
        <f>IF(Skills!X20&lt;&gt;"",1+(Skills!X20/10)*(Z1305/1000)/100,1)</f>
        <v>1</v>
      </c>
      <c r="O1322">
        <f>(1-Summary!$B$11)*S1322+Summary!$B$11*U1322</f>
        <v>0</v>
      </c>
      <c r="P1322">
        <f>IF(B1343=0,0,O1322/B1343)</f>
        <v>0</v>
      </c>
      <c r="Q1322">
        <f>IFERROR(1/(IF(Inputs!$B$38="pvp",15,MAX(0.1,Skills!E20-IF(TRUE=TRUE,Inputs!$B$32,0)))*(1-IF(AND(ArtifactsInput!$M$27,Inputs!$B$4="Chapter Hunt"),CHOOSE(ArtifactsInput!$N$27+1,20,24,28,32,36,40),0)/100)),0)</f>
        <v>10</v>
      </c>
      <c r="R1322">
        <v>0</v>
      </c>
      <c r="S1322">
        <v>0</v>
      </c>
      <c r="U1322">
        <v>0</v>
      </c>
    </row>
    <row r="1323" spans="1:21" x14ac:dyDescent="0.2">
      <c r="A1323" t="str">
        <f>Skills!A21</f>
        <v>MAGIC_CRITICAL_DAMAGE</v>
      </c>
      <c r="B1323" t="str">
        <f>Skills!B21</f>
        <v>Magic Critical (Crit Damage)</v>
      </c>
      <c r="C1323" t="b">
        <f>TRUE</f>
        <v>1</v>
      </c>
      <c r="D1323">
        <f>IF(Skills!C21=1,60+Inputs!$B$25+Inputs!$B$29,IF(Skills!C21=2,90+Inputs!$B$26+Inputs!$B$29,IF(Skills!C21=3,120+Inputs!$B$27+Inputs!$B$29,MAX(0,(Inputs!$B$3-100)*3)+Inputs!$B$28+Inputs!$B$29)))</f>
        <v>184</v>
      </c>
      <c r="E1323">
        <f>INDEX(FactorTable!$B$2:$Y$301, MATCH(ROUND(MIN(300,MAX(1,D1323)),0), FactorTable!$A$2:$A$301,0), Skills!M21+1)</f>
        <v>1552</v>
      </c>
      <c r="F1323">
        <f>IF(Skills!N21=TRUE,(Skills!L21/10)*(E1323/1000),Skills!L21/10)+Skills!O21</f>
        <v>18.624000000000002</v>
      </c>
      <c r="G1323">
        <f>Calc!G21</f>
        <v>1</v>
      </c>
      <c r="H1323">
        <f>Calc!H21</f>
        <v>1</v>
      </c>
      <c r="I1323">
        <f>IF(Skills!X21&lt;&gt;"",1+(Skills!X21/10)*(Z1305/1000)/100,1)</f>
        <v>1</v>
      </c>
      <c r="O1323">
        <f>(1-Summary!$B$11)*S1323+Summary!$B$11*U1323</f>
        <v>0</v>
      </c>
      <c r="P1323">
        <f>IF(B1343=0,0,O1323/B1343)</f>
        <v>0</v>
      </c>
      <c r="Q1323">
        <f>IFERROR(1/(IF(Inputs!$B$38="pvp",15,MAX(0.1,Skills!E21-IF(TRUE=TRUE,Inputs!$B$32,0)))*(1-IF(AND(ArtifactsInput!$M$27,Inputs!$B$4="Chapter Hunt"),CHOOSE(ArtifactsInput!$N$27+1,20,24,28,32,36,40),0)/100)),0)</f>
        <v>10</v>
      </c>
      <c r="R1323">
        <v>0</v>
      </c>
      <c r="S1323">
        <v>0</v>
      </c>
      <c r="U1323">
        <v>0</v>
      </c>
    </row>
    <row r="1324" spans="1:21" x14ac:dyDescent="0.2">
      <c r="A1324" t="str">
        <f>Skills!A22</f>
        <v>SPELL_MASTERY</v>
      </c>
      <c r="B1324" t="str">
        <f>Skills!B22</f>
        <v>Spell Mastery</v>
      </c>
      <c r="C1324" t="b">
        <f>TRUE</f>
        <v>1</v>
      </c>
      <c r="D1324">
        <f>IF(Skills!C22=1,60+Inputs!$B$25+Inputs!$B$29,IF(Skills!C22=2,90+Inputs!$B$26+Inputs!$B$29,IF(Skills!C22=3,120+Inputs!$B$27+Inputs!$B$29,MAX(0,(Inputs!$B$3-100)*3)+Inputs!$B$28+Inputs!$B$29)))</f>
        <v>168</v>
      </c>
      <c r="E1324">
        <f>INDEX(FactorTable!$B$2:$Y$301, MATCH(ROUND(MIN(300,MAX(1,D1324)),0), FactorTable!$A$2:$A$301,0), Skills!M22+1)</f>
        <v>1504</v>
      </c>
      <c r="F1324">
        <f>IF(Skills!N22=TRUE,(Skills!L22/10)*(E1324/1000),Skills!L22/10)+Skills!O22</f>
        <v>22.56</v>
      </c>
      <c r="G1324">
        <f>Calc!G22</f>
        <v>1</v>
      </c>
      <c r="H1324">
        <f>Calc!H22</f>
        <v>1</v>
      </c>
      <c r="I1324">
        <f>IF(Skills!X22&lt;&gt;"",1+(Skills!X22/10)*(Z1305/1000)/100,1)</f>
        <v>1</v>
      </c>
      <c r="O1324">
        <f>(1-Summary!$B$11)*S1324+Summary!$B$11*U1324</f>
        <v>0</v>
      </c>
      <c r="P1324">
        <f>IF(B1343=0,0,O1324/B1343)</f>
        <v>0</v>
      </c>
      <c r="Q1324">
        <f>IFERROR(1/(IF(Inputs!$B$38="pvp",15,MAX(0.1,Skills!E22-IF(TRUE=TRUE,Inputs!$B$32,0)))*(1-IF(AND(ArtifactsInput!$M$27,Inputs!$B$4="Chapter Hunt"),CHOOSE(ArtifactsInput!$N$27+1,20,24,28,32,36,40),0)/100)),0)</f>
        <v>10</v>
      </c>
      <c r="R1324">
        <v>0</v>
      </c>
      <c r="S1324">
        <v>0</v>
      </c>
      <c r="U1324">
        <v>0</v>
      </c>
    </row>
    <row r="1325" spans="1:21" x14ac:dyDescent="0.2">
      <c r="A1325" t="str">
        <f>Skills!A23</f>
        <v>ELEMENT_AMPLIFICATION</v>
      </c>
      <c r="B1325" t="str">
        <f>Skills!B23</f>
        <v>Element Amplification</v>
      </c>
      <c r="C1325" t="b">
        <f>TRUE</f>
        <v>1</v>
      </c>
      <c r="D1325">
        <f>IF(Skills!C23=1,60+Inputs!$B$25+Inputs!$B$29,IF(Skills!C23=2,90+Inputs!$B$26+Inputs!$B$29,IF(Skills!C23=3,120+Inputs!$B$27+Inputs!$B$29,MAX(0,(Inputs!$B$3-100)*3)+Inputs!$B$28+Inputs!$B$29)))</f>
        <v>185</v>
      </c>
      <c r="E1325">
        <f>INDEX(FactorTable!$B$2:$Y$301, MATCH(ROUND(MIN(300,MAX(1,D1325)),0), FactorTable!$A$2:$A$301,0), Skills!M23+1)</f>
        <v>1555</v>
      </c>
      <c r="F1325">
        <f>IF(Skills!N23=TRUE,(Skills!L23/10)*(E1325/1000),Skills!L23/10)+Skills!O23</f>
        <v>23.324999999999999</v>
      </c>
      <c r="G1325">
        <f>Calc!G23</f>
        <v>1</v>
      </c>
      <c r="H1325">
        <f>Calc!H23</f>
        <v>1</v>
      </c>
      <c r="I1325">
        <f>IF(Skills!X23&lt;&gt;"",1+(Skills!X23/10)*(Z1305/1000)/100,1)</f>
        <v>1</v>
      </c>
      <c r="O1325">
        <f>(1-Summary!$B$11)*S1325+Summary!$B$11*U1325</f>
        <v>0</v>
      </c>
      <c r="P1325">
        <f>IF(B1343=0,0,O1325/B1343)</f>
        <v>0</v>
      </c>
      <c r="Q1325">
        <f>IFERROR(1/(IF(Inputs!$B$38="pvp",15,MAX(0.1,Skills!E23-IF(TRUE=TRUE,Inputs!$B$32,0)))*(1-IF(AND(ArtifactsInput!$M$27,Inputs!$B$4="Chapter Hunt"),CHOOSE(ArtifactsInput!$N$27+1,20,24,28,32,36,40),0)/100)),0)</f>
        <v>10</v>
      </c>
      <c r="R1325">
        <v>0</v>
      </c>
      <c r="S1325">
        <v>0</v>
      </c>
      <c r="U1325">
        <v>0</v>
      </c>
    </row>
    <row r="1326" spans="1:21" x14ac:dyDescent="0.2">
      <c r="A1326" t="str">
        <f>Skills!A24</f>
        <v>IFRIT</v>
      </c>
      <c r="B1326" t="str">
        <f>Skills!B24</f>
        <v>Ifrit</v>
      </c>
      <c r="C1326" t="b">
        <f>Inputs!$B$3&gt;=115</f>
        <v>1</v>
      </c>
      <c r="D1326">
        <f>IF(Skills!C24=1,60+Inputs!$B$25+Inputs!$B$29,IF(Skills!C24=2,90+Inputs!$B$26+Inputs!$B$29,IF(Skills!C24=3,120+Inputs!$B$27+Inputs!$B$29,MAX(0,(Inputs!$B$3-100)*3)+Inputs!$B$28+Inputs!$B$29)))</f>
        <v>185</v>
      </c>
      <c r="E1326">
        <f>INDEX(FactorTable!$B$2:$Y$301, MATCH(ROUND(MIN(300,MAX(1,D1326)),0), FactorTable!$A$2:$A$301,0), Skills!M24+1)</f>
        <v>1925</v>
      </c>
      <c r="F1326">
        <f>IF(Skills!N24=TRUE,(Skills!L24/10)*(E1326/1000),Skills!L24/10)+Skills!O24</f>
        <v>6737.5</v>
      </c>
      <c r="G1326">
        <f>Calc!G24</f>
        <v>7.5</v>
      </c>
      <c r="H1326">
        <f>Calc!H24</f>
        <v>1</v>
      </c>
      <c r="I1326">
        <f>IF(Skills!X24&lt;&gt;"",1+(Skills!X24/10)*(Z1305/1000)/100,1)</f>
        <v>1</v>
      </c>
      <c r="J1326">
        <f>((Inputs!$B$6*(1+Inputs!$B$7/100))+(((Inputs!$B$12*(1+Inputs!$B$13/100))-(Inputs!$B$12*(1+Inputs!$B$13/100)))+0.25*(Inputs!$B$14-Inputs!$B$14))*(1+Inputs!$B$7/100))*(F1326/100)</f>
        <v>24331438378.718628</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122258974288595.61</v>
      </c>
      <c r="L1326">
        <f>K1326*(MIN(Inputs!$B$22+(F1324-Calc!F22),(Inputs!$B$23+(IF(ArtifactsInput!$M$15,CHOOSE(ArtifactsInput!$N$15+1,25,30,35,40,45,50)/100*(Inputs!$B$11-Inputs!$B$11),0))))/100+(Inputs!$B$23+(IF(ArtifactsInput!$M$15,CHOOSE(ArtifactsInput!$N$15+1,25,30,35,40,45,50)/100*(Inputs!$B$11-Inputs!$B$11),0)))/100)/2</f>
        <v>406511089509580.44</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326">
        <f>L1326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326">
        <f>(1-Summary!$B$11)*S1326+Summary!$B$11*U1326</f>
        <v>2194085169658842.8</v>
      </c>
      <c r="P1326">
        <f>IF(B1343=0,0,O1326/B1343)</f>
        <v>6.6312914553869617E-2</v>
      </c>
      <c r="Q1326">
        <f>IFERROR(1/(IF(Inputs!$B$38="pvp",15,MAX(0.1,Skills!E24-IF(TRUE=TRUE,Inputs!$B$32,0)))*(1-IF(AND(ArtifactsInput!$M$27,Inputs!$B$4="Chapter Hunt"),CHOOSE(ArtifactsInput!$N$27+1,20,24,28,32,36,40),0)/100)),0)</f>
        <v>1.2500000000000001E-2</v>
      </c>
      <c r="R1326">
        <f>IF(AND(Inputs!$B$38&lt;&gt;"pvp",Inputs!$B$43&gt;0),IF(MAX(0,Inputs!$B$43-B1340)&lt;=0,0,(INT(MAX(0,Inputs!$B$43-B1340)/(IF(Inputs!$B$38="pvp",15,MAX(0.1,Skills!E24-IF(TRUE=TRUE,Inputs!$B$32,0)))*(1-IF(AND(ArtifactsInput!$M$27,Inputs!$B$4="Chapter Hunt"),CHOOSE(ArtifactsInput!$N$27+1,20,24,28,32,36,40),0)/100)))+1)),0)</f>
        <v>1</v>
      </c>
      <c r="S1326">
        <f>IF(C1326,(H1326*N1326*IF(AND(Inputs!$B$38&lt;&gt;"pvp",Inputs!$B$43&gt;0),((Skills!G24*((R1326-1)*IF(Skills!H24&gt;0,Skills!I24/Skills!H24,1)+IF(Skills!H24&gt;0,MIN(Skills!I24,MAX(0,MAX(0,Inputs!$B$43-B1340)-((R1326-1)*(IF(Inputs!$B$38="pvp",15,MAX(0.1,Skills!E24-IF(TRUE=TRUE,Inputs!$B$32,0)))*(1-IF(AND(ArtifactsInput!$M$27,Inputs!$B$4="Chapter Hunt"),CHOOSE(ArtifactsInput!$N$27+1,20,24,28,32,36,40),0)/100)))))/Skills!H24,1)))/Inputs!$B$43),G1326*Q1326)*(1+IF(Inputs!$B$3&gt;=130,0.2*(Skills!I16/(1/Q1317)+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326">
        <f>IF(C1326,(H1326*N1326*IF(AND(Inputs!$B$38&lt;&gt;"pvp",Inputs!$B$43&gt;0),((Skills!G24*((R1326-1)*IF(Skills!H24&gt;0,Skills!I24/Skills!H24,1)+IF(Skills!H24&gt;0,MIN(Skills!I24,MAX(0,MAX(0,Inputs!$B$43-B1340)-((R1326-1)*(IF(Inputs!$B$38="pvp",15,MAX(0.1,Skills!E24-IF(TRUE=TRUE,Inputs!$B$32,0)))*(1-IF(AND(ArtifactsInput!$M$27,Inputs!$B$4="Chapter Hunt"),CHOOSE(ArtifactsInput!$N$27+1,20,24,28,32,36,40),0)/100)))))/Skills!H24,1)))/Inputs!$B$43),G1326*Q1326)*(1+IF(Inputs!$B$3&gt;=130,0.2*(Skills!I16/(1/Q1317)+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327" spans="1:21" x14ac:dyDescent="0.2">
      <c r="A1327" t="str">
        <f>Skills!A25</f>
        <v>BUFF_MASTERY</v>
      </c>
      <c r="B1327" t="str">
        <f>Skills!B25</f>
        <v>Buff Mastery</v>
      </c>
      <c r="C1327" t="b">
        <f>Inputs!$B$3&gt;=117</f>
        <v>1</v>
      </c>
      <c r="D1327">
        <f>IF(Skills!C25=1,60+Inputs!$B$25+Inputs!$B$29,IF(Skills!C25=2,90+Inputs!$B$26+Inputs!$B$29,IF(Skills!C25=3,120+Inputs!$B$27+Inputs!$B$29,MAX(0,(Inputs!$B$3-100)*3)+Inputs!$B$28+Inputs!$B$29)))</f>
        <v>185</v>
      </c>
      <c r="E1327">
        <f>INDEX(FactorTable!$B$2:$Y$301, MATCH(ROUND(MIN(300,MAX(1,D1327)),0), FactorTable!$A$2:$A$301,0), Skills!M25+1)</f>
        <v>1555</v>
      </c>
      <c r="F1327">
        <f>IF(Skills!N25=TRUE,(Skills!L25/10)*(E1327/1000),Skills!L25/10)+Skills!O25</f>
        <v>15.549999999999999</v>
      </c>
      <c r="G1327">
        <f>Calc!G25</f>
        <v>1</v>
      </c>
      <c r="H1327">
        <f>Calc!H25</f>
        <v>1</v>
      </c>
      <c r="I1327">
        <f>IF(Skills!X25&lt;&gt;"",1+(Skills!X25/10)*(Z1305/1000)/100,1)</f>
        <v>1</v>
      </c>
      <c r="O1327">
        <f>(1-Summary!$B$11)*S1327+Summary!$B$11*U1327</f>
        <v>0</v>
      </c>
      <c r="P1327">
        <f>IF(B1343=0,0,O1327/B1343)</f>
        <v>0</v>
      </c>
      <c r="Q1327">
        <f>IFERROR(1/(IF(Inputs!$B$38="pvp",15,MAX(0.1,Skills!E25-IF(TRUE=TRUE,Inputs!$B$32,0)))*(1-IF(AND(ArtifactsInput!$M$27,Inputs!$B$4="Chapter Hunt"),CHOOSE(ArtifactsInput!$N$27+1,20,24,28,32,36,40),0)/100)),0)</f>
        <v>10</v>
      </c>
      <c r="R1327">
        <v>0</v>
      </c>
      <c r="S1327">
        <v>0</v>
      </c>
      <c r="U1327">
        <v>0</v>
      </c>
    </row>
    <row r="1328" spans="1:21" x14ac:dyDescent="0.2">
      <c r="A1328" t="str">
        <f>Skills!A26</f>
        <v>ARCANE_AIM</v>
      </c>
      <c r="B1328" t="str">
        <f>Skills!B26</f>
        <v>Arcane Aim</v>
      </c>
      <c r="C1328" t="b">
        <f>Inputs!$B$3&gt;=120</f>
        <v>0</v>
      </c>
      <c r="D1328">
        <f>IF(Skills!C26=1,60+Inputs!$B$25+Inputs!$B$29,IF(Skills!C26=2,90+Inputs!$B$26+Inputs!$B$29,IF(Skills!C26=3,120+Inputs!$B$27+Inputs!$B$29,MAX(0,(Inputs!$B$3-100)*3)+Inputs!$B$28+Inputs!$B$29)))</f>
        <v>185</v>
      </c>
      <c r="E1328">
        <f>INDEX(FactorTable!$B$2:$Y$301, MATCH(ROUND(MIN(300,MAX(1,D1328)),0), FactorTable!$A$2:$A$301,0), Skills!M26+1)</f>
        <v>1555</v>
      </c>
      <c r="F1328">
        <f>IF(Skills!N26=TRUE,(Skills!L26/10)*(E1328/1000),Skills!L26/10)+Skills!O26</f>
        <v>4.665</v>
      </c>
      <c r="G1328">
        <f>Calc!G26</f>
        <v>1</v>
      </c>
      <c r="H1328">
        <f>Calc!H26</f>
        <v>1</v>
      </c>
      <c r="I1328">
        <f>IF(Skills!X26&lt;&gt;"",1+(Skills!X26/10)*(Z1305/1000)/100,1)</f>
        <v>1</v>
      </c>
      <c r="O1328">
        <f>(1-Summary!$B$11)*S1328+Summary!$B$11*U1328</f>
        <v>0</v>
      </c>
      <c r="P1328">
        <f>IF(B1343=0,0,O1328/B1343)</f>
        <v>0</v>
      </c>
      <c r="Q1328">
        <f>IFERROR(1/(IF(Inputs!$B$38="pvp",15,MAX(0.1,Skills!E26-IF(TRUE=TRUE,Inputs!$B$32,0)))*(1-IF(AND(ArtifactsInput!$M$27,Inputs!$B$4="Chapter Hunt"),CHOOSE(ArtifactsInput!$N$27+1,20,24,28,32,36,40),0)/100)),0)</f>
        <v>10</v>
      </c>
      <c r="R1328">
        <v>0</v>
      </c>
      <c r="S1328">
        <v>0</v>
      </c>
      <c r="U1328">
        <v>0</v>
      </c>
    </row>
    <row r="1329" spans="1:21" x14ac:dyDescent="0.2">
      <c r="A1329" t="str">
        <f>Skills!A27</f>
        <v>FERVENT_DRAIN</v>
      </c>
      <c r="B1329" t="str">
        <f>Skills!B27</f>
        <v>Fervent Drain</v>
      </c>
      <c r="C1329" t="b">
        <f>Inputs!$B$3&gt;=125</f>
        <v>0</v>
      </c>
      <c r="D1329">
        <f>IF(Skills!C27=1,60+Inputs!$B$25+Inputs!$B$29,IF(Skills!C27=2,90+Inputs!$B$26+Inputs!$B$29,IF(Skills!C27=3,120+Inputs!$B$27+Inputs!$B$29,MAX(0,(Inputs!$B$3-100)*3)+Inputs!$B$28+Inputs!$B$29)))</f>
        <v>185</v>
      </c>
      <c r="E1329">
        <f>INDEX(FactorTable!$B$2:$Y$301, MATCH(ROUND(MIN(300,MAX(1,D1329)),0), FactorTable!$A$2:$A$301,0), Skills!M27+1)</f>
        <v>1555</v>
      </c>
      <c r="F1329">
        <f>IF(Skills!N27=TRUE,(Skills!L27/10)*(E1329/1000),Skills!L27/10)+Skills!O27</f>
        <v>6.22</v>
      </c>
      <c r="G1329">
        <f>Calc!G27</f>
        <v>1</v>
      </c>
      <c r="H1329">
        <f>Calc!H27</f>
        <v>1</v>
      </c>
      <c r="I1329">
        <f>IF(Skills!X27&lt;&gt;"",1+(Skills!X27/10)*(Z1305/1000)/100,1)</f>
        <v>1</v>
      </c>
      <c r="O1329">
        <f>(1-Summary!$B$11)*S1329+Summary!$B$11*U1329</f>
        <v>0</v>
      </c>
      <c r="P1329">
        <f>IF(B1343=0,0,O1329/B1343)</f>
        <v>0</v>
      </c>
      <c r="Q1329">
        <f>IFERROR(1/(IF(Inputs!$B$38="pvp",15,MAX(0.1,Skills!E27-IF(TRUE=TRUE,Inputs!$B$32,0)))*(1-IF(AND(ArtifactsInput!$M$27,Inputs!$B$4="Chapter Hunt"),CHOOSE(ArtifactsInput!$N$27+1,20,24,28,32,36,40),0)/100)),0)</f>
        <v>10</v>
      </c>
      <c r="R1329">
        <v>0</v>
      </c>
      <c r="S1329">
        <v>0</v>
      </c>
      <c r="U1329">
        <v>0</v>
      </c>
    </row>
    <row r="1330" spans="1:21" x14ac:dyDescent="0.2">
      <c r="A1330" t="str">
        <f>Skills!A28</f>
        <v>FLAME_HAZE_FOG</v>
      </c>
      <c r="B1330" t="str">
        <f>Skills!B28</f>
        <v>Flame Haze (poison fog DoT)</v>
      </c>
      <c r="C1330" t="b">
        <f>Inputs!$B$3&gt;=118</f>
        <v>0</v>
      </c>
      <c r="D1330">
        <f>IF(Skills!C28=1,60+Inputs!$B$25+Inputs!$B$29,IF(Skills!C28=2,90+Inputs!$B$26+Inputs!$B$29,IF(Skills!C28=3,120+Inputs!$B$27+Inputs!$B$29,MAX(0,(Inputs!$B$3-100)*3)+Inputs!$B$28+Inputs!$B$29)))</f>
        <v>185</v>
      </c>
      <c r="E1330">
        <f>INDEX(FactorTable!$B$2:$Y$301, MATCH(ROUND(MIN(300,MAX(1,D1330)),0), FactorTable!$A$2:$A$301,0), Skills!M28+1)</f>
        <v>1925</v>
      </c>
      <c r="F1330">
        <f>IF(Skills!N28=TRUE,(Skills!L28/10)*(E1330/1000),Skills!L28/10)+Skills!O28</f>
        <v>134.75</v>
      </c>
      <c r="G1330">
        <f>Calc!G28</f>
        <v>50</v>
      </c>
      <c r="H1330">
        <f>Calc!H28</f>
        <v>1</v>
      </c>
      <c r="I1330">
        <f>IF(Skills!X28&lt;&gt;"",1+(Skills!X28/10)*(Z1305/1000)/100,1)</f>
        <v>1</v>
      </c>
      <c r="J1330">
        <f>((Inputs!$B$6*(1+Inputs!$B$7/100))+(((Inputs!$B$12*(1+Inputs!$B$13/100))-(Inputs!$B$12*(1+Inputs!$B$13/100)))+0.25*(Inputs!$B$14-Inputs!$B$14))*(1+Inputs!$B$7/100))*(F1330/100)</f>
        <v>486628767.57437253</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2445179485771.9116</v>
      </c>
      <c r="L1330">
        <f>K1330*(MIN(Inputs!$B$22+(F1324-Calc!F22),(Inputs!$B$23+(IF(ArtifactsInput!$M$15,CHOOSE(ArtifactsInput!$N$15+1,25,30,35,40,45,50)/100*(Inputs!$B$11-Inputs!$B$11),0))))/100+(Inputs!$B$23+(IF(ArtifactsInput!$M$15,CHOOSE(ArtifactsInput!$N$15+1,25,30,35,40,45,50)/100*(Inputs!$B$11-Inputs!$B$11),0)))/100)/2</f>
        <v>8130221790191.6064</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330">
        <f>L1330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330">
        <f>(1-Summary!$B$11)*S1330+Summary!$B$11*U1330</f>
        <v>0</v>
      </c>
      <c r="P1330">
        <f>IF(B1343=0,0,O1330/B1343)</f>
        <v>0</v>
      </c>
      <c r="Q1330">
        <f>IFERROR(1/(IF(Inputs!$B$38="pvp",15,MAX(0.1,Skills!E28-IF(TRUE=TRUE,Inputs!$B$32,0)))*(1-IF(AND(ArtifactsInput!$M$27,Inputs!$B$4="Chapter Hunt"),CHOOSE(ArtifactsInput!$N$27+1,20,24,28,32,36,40),0)/100)),0)</f>
        <v>0.04</v>
      </c>
      <c r="R1330">
        <f>IF(AND(Inputs!$B$38&lt;&gt;"pvp",Inputs!$B$43&gt;0),IF(MAX(0,Inputs!$B$43-B1340)&lt;=0,0,(INT(MAX(0,Inputs!$B$43-B1340)/(IF(Inputs!$B$38="pvp",15,MAX(0.1,Skills!E28-IF(TRUE=TRUE,Inputs!$B$32,0)))*(1-IF(AND(ArtifactsInput!$M$27,Inputs!$B$4="Chapter Hunt"),CHOOSE(ArtifactsInput!$N$27+1,20,24,28,32,36,40),0)/100)))+1)),0)</f>
        <v>2</v>
      </c>
      <c r="S1330">
        <f>IF(C1330,(H1330*N1330*IF(AND(Inputs!$B$38&lt;&gt;"pvp",Inputs!$B$43&gt;0),((Skills!G28*((R1330-1)*IF(Skills!H28&gt;0,Skills!I28/Skills!H28,1)+IF(Skills!H28&gt;0,MIN(Skills!I28,MAX(0,MAX(0,Inputs!$B$43-B1340)-((R1330-1)*(IF(Inputs!$B$38="pvp",15,MAX(0.1,Skills!E28-IF(TRUE=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330">
        <f>IF(C1330,(H1330*N1330*IF(AND(Inputs!$B$38&lt;&gt;"pvp",Inputs!$B$43&gt;0),((Skills!G28*((R1330-1)*IF(Skills!H28&gt;0,Skills!I28/Skills!H28,1)+IF(Skills!H28&gt;0,MIN(Skills!I28,MAX(0,MAX(0,Inputs!$B$43-B1340)-((R1330-1)*(IF(Inputs!$B$38="pvp",15,MAX(0.1,Skills!E28-IF(TRUE=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332" spans="1:21" x14ac:dyDescent="0.2">
      <c r="A1332" t="s">
        <v>356</v>
      </c>
      <c r="B1332">
        <f>1+(F1313*Skills!Z11)/100</f>
        <v>1.25</v>
      </c>
    </row>
    <row r="1333" spans="1:21" x14ac:dyDescent="0.2">
      <c r="A1333" t="s">
        <v>435</v>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1.18624</v>
      </c>
    </row>
    <row r="1334" spans="1:21" x14ac:dyDescent="0.2">
      <c r="A1334" t="s">
        <v>358</v>
      </c>
      <c r="B1334">
        <f>(1+(F1308*IF(AND(Inputs!$B$38&lt;&gt;"pvp",Inputs!$B$43&gt;0),(((R1308-1)*MIN((Skills!T6*(1+((Inputs!$B$34+(ArtifactsInput!$M$7-ArtifactsInput!$M$7)*CHOOSE(ArtifactsInput!$N$7+1,6,7.2,8.4,9.6,10.8,12)))/100)),(1/Q1308))+MIN((Skills!T6*(1+((Inputs!$B$34+(ArtifactsInput!$M$7-ArtifactsInput!$M$7)*CHOOSE(ArtifactsInput!$N$7+1,6,7.2,8.4,9.6,10.8,12)))/100)),MAX(0,Inputs!$B$43-((R1308-1)*(1/Q1308)))))/Inputs!$B$43),IF(Inputs!$B$38="pvp",MIN((Skills!T6*(1+((Inputs!$B$34+(ArtifactsInput!$M$7-ArtifactsInput!$M$7)*CHOOSE(ArtifactsInput!$N$7+1,6,7.2,8.4,9.6,10.8,12)))/100)),15)/15,MIN(1,(Skills!T6*(1+((Inputs!$B$34+(ArtifactsInput!$M$7-ArtifactsInput!$M$7)*CHOOSE(ArtifactsInput!$N$7+1,6,7.2,8.4,9.6,10.8,12)))/100))/(1/Q1308))))+F1319*IF(AND(Inputs!$B$38&lt;&gt;"pvp",Inputs!$B$43&gt;0),(((R1319-1)*MIN((Skills!T17*(1+((Inputs!$B$34+(ArtifactsInput!$M$7-ArtifactsInput!$M$7)*CHOOSE(ArtifactsInput!$N$7+1,6,7.2,8.4,9.6,10.8,12)))/100)),(1/Q1319))+MIN((Skills!T17*(1+((Inputs!$B$34+(ArtifactsInput!$M$7-ArtifactsInput!$M$7)*CHOOSE(ArtifactsInput!$N$7+1,6,7.2,8.4,9.6,10.8,12)))/100)),MAX(0,Inputs!$B$43-((R1319-1)*(1/Q1319)))))/Inputs!$B$43),IF(Inputs!$B$38="pvp",MIN((Skills!T17*(1+((Inputs!$B$34+(ArtifactsInput!$M$7-ArtifactsInput!$M$7)*CHOOSE(ArtifactsInput!$N$7+1,6,7.2,8.4,9.6,10.8,12)))/100)),15)/15,MIN(1,(Skills!T17*(1+((Inputs!$B$34+(ArtifactsInput!$M$7-ArtifactsInput!$M$7)*CHOOSE(ArtifactsInput!$N$7+1,6,7.2,8.4,9.6,10.8,12)))/100))/(1/Q1319)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MIN((Skills!T19*(1+((Inputs!$B$34+(ArtifactsInput!$M$7-ArtifactsInput!$M$7)*CHOOSE(ArtifactsInput!$N$7+1,6,7.2,8.4,9.6,10.8,12)))/100)),(1/Q1321))+MIN((Skills!T19*(1+((Inputs!$B$34+(ArtifactsInput!$M$7-ArtifactsInput!$M$7)*CHOOSE(ArtifactsInput!$N$7+1,6,7.2,8.4,9.6,10.8,12)))/100)),MAX(0,Inputs!$B$43-((R1321-1)*(1/Q1321)))))/Inputs!$B$43),IF(Inputs!$B$38="pvp",MIN((Skills!T19*(1+((Inputs!$B$34+(ArtifactsInput!$M$7-ArtifactsInput!$M$7)*CHOOSE(ArtifactsInput!$N$7+1,6,7.2,8.4,9.6,10.8,12)))/100)),15)/15,MIN(1,(Skills!T19*(1+((Inputs!$B$34+(ArtifactsInput!$M$7-ArtifactsInput!$M$7)*CHOOSE(ArtifactsInput!$N$7+1,6,7.2,8.4,9.6,10.8,12)))/100))/(1/Q1321))))/100),1)</f>
        <v>1.7965808377980694</v>
      </c>
    </row>
    <row r="1335" spans="1:21" x14ac:dyDescent="0.2">
      <c r="A1335" t="s">
        <v>359</v>
      </c>
      <c r="B1335">
        <f>F1320*IF(AND(Inputs!$B$38&lt;&gt;"pvp",Inputs!$B$43&gt;0),(((R1320-1)*MIN((Skills!T18*(1+((Inputs!$B$34+(ArtifactsInput!$M$7-ArtifactsInput!$M$7)*CHOOSE(ArtifactsInput!$N$7+1,6,7.2,8.4,9.6,10.8,12)))/100)),(1/Q1320))+MIN((Skills!T18*(1+((Inputs!$B$34+(ArtifactsInput!$M$7-ArtifactsInput!$M$7)*CHOOSE(ArtifactsInput!$N$7+1,6,7.2,8.4,9.6,10.8,12)))/100)),MAX(0,Inputs!$B$43-((R1320-1)*(1/Q1320)))))/Inputs!$B$43),IF(Inputs!$B$38="pvp",MIN((Skills!T18*(1+((Inputs!$B$34+(ArtifactsInput!$M$7-ArtifactsInput!$M$7)*CHOOSE(ArtifactsInput!$N$7+1,6,7.2,8.4,9.6,10.8,12)))/100)),15)/15,MIN(1,(Skills!T18*(1+((Inputs!$B$34+(ArtifactsInput!$M$7-ArtifactsInput!$M$7)*CHOOSE(ArtifactsInput!$N$7+1,6,7.2,8.4,9.6,10.8,12)))/100))/(1/Q1320))))</f>
        <v>6.4968749999999993</v>
      </c>
    </row>
    <row r="1336" spans="1:21" x14ac:dyDescent="0.2">
      <c r="A1336" t="s">
        <v>436</v>
      </c>
      <c r="B1336">
        <f>1+MIN(150,150*(1-(1-(Inputs!$B$11+(ArtifactsInput!$M$15-ArtifactsInput!$M$15)*CHOOSE(ArtifactsInput!$N$15+1,8,9.6,11.2,12.8,14.4,16))/150)*(1-B1335/150)))/100</f>
        <v>1.6982958749999999</v>
      </c>
    </row>
    <row r="1337" spans="1:21" x14ac:dyDescent="0.2">
      <c r="A1337" t="s">
        <v>437</v>
      </c>
      <c r="B1337">
        <f>IF(AND(Inputs!$B$38&lt;&gt;"pvp",Inputs!$B$43&gt;0),SUMPRODUCT((Skills!F2:F28=TRUE)*(C1304:C1330=TRUE)*R1304:R1330)/Inputs!$B$43,SUMPRODUCT((Skills!F2:F28=TRUE)*(C1304:C1330=TRUE)*Q1304:Q1330))</f>
        <v>0.47499999999999998</v>
      </c>
    </row>
    <row r="1338" spans="1:21" x14ac:dyDescent="0.2">
      <c r="A1338" t="s">
        <v>362</v>
      </c>
      <c r="B1338">
        <f>MAX(0,B1336-B1337)</f>
        <v>1.2232958749999998</v>
      </c>
    </row>
    <row r="1339" spans="1:21" x14ac:dyDescent="0.2">
      <c r="A1339" t="s">
        <v>438</v>
      </c>
      <c r="B1339">
        <f>IF(AND(Inputs!$B$38&lt;&gt;"pvp",Inputs!$B$43&gt;0),SUMPRODUCT((Skills!V2:V28=TRUE)*(C1304:C1330=TRUE)*R1304:R1330*Skills!W2:W28)/Inputs!$B$43,SUMPRODUCT((Skills!V2:V28=TRUE)*(C1304:C1330=TRUE)*Q1304:Q1330*Skills!W2:W28))+B1338</f>
        <v>1.5482958749999998</v>
      </c>
    </row>
    <row r="1340" spans="1:21" x14ac:dyDescent="0.2">
      <c r="A1340" t="s">
        <v>439</v>
      </c>
      <c r="B1340">
        <f>IF(AND(Inputs!$B$38&lt;&gt;"pvp",Inputs!$B$43&gt;0),SUMPRODUCT((Skills!T2:T28&gt;0)*(Skills!F2:F28=TRUE)*(C1304:C1330=TRUE))/B1336,0)</f>
        <v>2.3553021937358238</v>
      </c>
    </row>
    <row r="1341" spans="1:21" x14ac:dyDescent="0.2">
      <c r="A1341" t="s">
        <v>440</v>
      </c>
      <c r="B1341">
        <f>SUM(S1304:S1330)</f>
        <v>9517263078933292</v>
      </c>
    </row>
    <row r="1342" spans="1:21" x14ac:dyDescent="0.2">
      <c r="A1342" t="s">
        <v>441</v>
      </c>
      <c r="B1342">
        <f>SUM(U1304:U1330)</f>
        <v>5.6656428257660488E+16</v>
      </c>
    </row>
    <row r="1343" spans="1:21" x14ac:dyDescent="0.2">
      <c r="A1343" s="6" t="s">
        <v>348</v>
      </c>
      <c r="B1343" s="6">
        <f>SUM(O1304:O1330)</f>
        <v>3.3086845668296892E+16</v>
      </c>
    </row>
    <row r="1346" spans="1:26" x14ac:dyDescent="0.2">
      <c r="A1346" s="6" t="s">
        <v>470</v>
      </c>
    </row>
    <row r="1347" spans="1:26" x14ac:dyDescent="0.2">
      <c r="A1347" s="5" t="s">
        <v>136</v>
      </c>
      <c r="B1347" s="5" t="s">
        <v>137</v>
      </c>
      <c r="C1347" s="5" t="s">
        <v>328</v>
      </c>
      <c r="D1347" s="5" t="s">
        <v>329</v>
      </c>
      <c r="E1347" s="5" t="s">
        <v>330</v>
      </c>
      <c r="F1347" s="5" t="s">
        <v>331</v>
      </c>
      <c r="G1347" s="5" t="s">
        <v>332</v>
      </c>
      <c r="H1347" s="5" t="s">
        <v>333</v>
      </c>
      <c r="I1347" s="5" t="s">
        <v>334</v>
      </c>
      <c r="J1347" s="5" t="s">
        <v>335</v>
      </c>
      <c r="K1347" s="5" t="s">
        <v>336</v>
      </c>
      <c r="L1347" s="5" t="s">
        <v>337</v>
      </c>
      <c r="M1347" s="5" t="s">
        <v>338</v>
      </c>
      <c r="N1347" s="5" t="s">
        <v>339</v>
      </c>
      <c r="O1347" s="5" t="s">
        <v>340</v>
      </c>
      <c r="P1347" s="5" t="s">
        <v>341</v>
      </c>
      <c r="R1347" t="s">
        <v>434</v>
      </c>
    </row>
    <row r="1348" spans="1:26" x14ac:dyDescent="0.2">
      <c r="A1348" t="str">
        <f>Skills!A2</f>
        <v>BASIC_ATTACK</v>
      </c>
      <c r="B1348" t="str">
        <f>Skills!B2</f>
        <v>Basic Attack</v>
      </c>
      <c r="C1348" t="b">
        <f>TRUE</f>
        <v>1</v>
      </c>
      <c r="F1348">
        <f>T1350+Skills!O2</f>
        <v>537.6</v>
      </c>
      <c r="G1348">
        <f>Calc!G2</f>
        <v>5</v>
      </c>
      <c r="H1348">
        <f>Calc!H2</f>
        <v>1</v>
      </c>
      <c r="I1348">
        <f>IF(Skills!X2&lt;&gt;"",1+(Skills!X2/10)*(Z1349/1000)/100,1)</f>
        <v>1</v>
      </c>
      <c r="J1348">
        <f>((Inputs!$B$6*(1+Inputs!$B$7/100))+(((Inputs!$B$12*(1+Inputs!$B$13/100))-(Inputs!$B$12*(1+Inputs!$B$13/100)))+0.25*(Inputs!$B$14-Inputs!$B$14))*(1+Inputs!$B$7/100))*(F1348/100)</f>
        <v>1941459186.9980164</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6884741392481.7285</v>
      </c>
      <c r="L1348">
        <f>K1348*(MIN(Inputs!$B$22+(F1368-Calc!F22),(Inputs!$B$23+(IF(ArtifactsInput!$M$15,CHOOSE(ArtifactsInput!$N$15+1,25,30,35,40,45,50)/100*(Inputs!$B$11-Inputs!$B$11),0))))/100+(Inputs!$B$23+(IF(ArtifactsInput!$M$15,CHOOSE(ArtifactsInput!$N$15+1,25,30,35,40,45,50)/100*(Inputs!$B$11-Inputs!$B$11),0)))/100)/2</f>
        <v>22891765130001.75</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111116627941028.47</v>
      </c>
      <c r="N1348">
        <f>L1348*(1-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111116627941028.47</v>
      </c>
      <c r="O1348">
        <f>(1-Summary!$B$11)*S1348+Summary!$B$11*U1348</f>
        <v>1.3385560278695624E+16</v>
      </c>
      <c r="P1348">
        <f>IF(B1387=0,0,O1348/B1387)</f>
        <v>0.38745334893271827</v>
      </c>
      <c r="Q1348">
        <f>IFERROR(1/(IF(Inputs!$B$38="pvp",15,MAX(0.1,Skills!E2-IF(TRUE=TRUE,Inputs!$B$32,0)))*(1-IF(AND(ArtifactsInput!$M$27,Inputs!$B$4="Chapter Hunt"),CHOOSE(ArtifactsInput!$N$27+1,20,24,28,32,36,40),0)/100)),0)</f>
        <v>10</v>
      </c>
      <c r="R1348">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2222431181078177</v>
      </c>
      <c r="T1348">
        <f>MAX(0,(Inputs!$B$3-100)*3)+Inputs!$B$28+Inputs!$B$29</f>
        <v>185</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2.4548689376313072E+16</v>
      </c>
      <c r="Z1348">
        <f>MAX(0,(Inputs!$B$3-100)*3)+Inputs!$B$28+Inputs!$B$29</f>
        <v>185</v>
      </c>
    </row>
    <row r="1349" spans="1:26" x14ac:dyDescent="0.2">
      <c r="A1349" t="str">
        <f>Skills!A3</f>
        <v>IGNITE</v>
      </c>
      <c r="B1349" t="str">
        <f>Skills!B3</f>
        <v>Ignite</v>
      </c>
      <c r="C1349" t="b">
        <f>TRUE</f>
        <v>1</v>
      </c>
      <c r="D1349">
        <f>IF(Skills!C3=1,60+Inputs!$B$25+Inputs!$B$29,IF(Skills!C3=2,90+Inputs!$B$26+Inputs!$B$29,IF(Skills!C3=3,120+Inputs!$B$27+Inputs!$B$29,MAX(0,(Inputs!$B$3-100)*3)+Inputs!$B$28+Inputs!$B$29)))</f>
        <v>168</v>
      </c>
      <c r="E1349">
        <f>INDEX(FactorTable!$B$2:$Y$301, MATCH(ROUND(MIN(300,MAX(1,D1349)),0), FactorTable!$A$2:$A$301,0), Skills!M3+1)</f>
        <v>1672</v>
      </c>
      <c r="F1349">
        <f>IF(Skills!N3=TRUE,(Skills!L3/10)*(E1349/1000),Skills!L3/10)+Skills!O3</f>
        <v>121.736</v>
      </c>
      <c r="G1349">
        <f>Calc!G3</f>
        <v>3</v>
      </c>
      <c r="H1349">
        <f>Calc!H3</f>
        <v>1</v>
      </c>
      <c r="I1349">
        <f>IF(Skills!X3&lt;&gt;"",1+(Skills!X3/10)*(Z1349/1000)/100,1)</f>
        <v>4.8250000000000002</v>
      </c>
      <c r="J1349">
        <f>((Inputs!$B$6*(1+Inputs!$B$7/100))+(((Inputs!$B$12*(1+Inputs!$B$13/100))-(Inputs!$B$12*(1+Inputs!$B$13/100)))+0.25*(Inputs!$B$14-Inputs!$B$14))*(1+Inputs!$B$7/100))*(F1349/100)</f>
        <v>439630720.9605478</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10658554617221.965</v>
      </c>
      <c r="L1349">
        <f>K1349*(MIN(Inputs!$B$22+(F1368-Calc!F22),(Inputs!$B$23+(IF(ArtifactsInput!$M$15,CHOOSE(ArtifactsInput!$N$15+1,25,30,35,40,45,50)/100*(Inputs!$B$11-Inputs!$B$11),0))))/100+(Inputs!$B$23+(IF(ArtifactsInput!$M$15,CHOOSE(ArtifactsInput!$N$15+1,25,30,35,40,45,50)/100*(Inputs!$B$11-Inputs!$B$11),0)))/100)/2</f>
        <v>35439694102263.031</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172024275172384.72</v>
      </c>
      <c r="N1349">
        <f>L1349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172024275172384.72</v>
      </c>
      <c r="O1349">
        <f>(1-Summary!$B$11)*S1349+Summary!$B$11*U1349</f>
        <v>2990642023871908</v>
      </c>
      <c r="P1349">
        <f>IF(B1387=0,0,O1349/B1387)</f>
        <v>8.656598928117544E-2</v>
      </c>
      <c r="Q1349">
        <f>IFERROR(1/(IF(Inputs!$B$38="pvp",15,MAX(0.1,Skills!E3-IF(FALSE=TRUE,Inputs!$B$32,0)))*(1-IF(AND(ArtifactsInput!$M$27,Inputs!$B$4="Chapter Hunt"),CHOOSE(ArtifactsInput!$N$27+1,20,24,28,32,36,40),0)/100)),0)</f>
        <v>1</v>
      </c>
      <c r="R1349">
        <f>IF(AND(Inputs!$B$38&lt;&gt;"pvp",Inputs!$B$43&gt;0),IF(MAX(0,Inputs!$B$43-B1384)&lt;=0,0,(INT(MAX(0,Inputs!$B$43-B1384)/(IF(Inputs!$B$38="pvp",15,MAX(0.1,Skills!E3-IF(FALSE=TRUE,Inputs!$B$32,0)))*(1-IF(AND(ArtifactsInput!$M$27,Inputs!$B$4="Chapter Hunt"),CHOOSE(ArtifactsInput!$N$27+1,20,24,28,32,36,40),0)/100)))+1)),0)</f>
        <v>38</v>
      </c>
      <c r="S1349">
        <f>IF(C1349,(H1349*N1349*IF(AND(Inputs!$B$38&lt;&gt;"pvp",Inputs!$B$43&gt;0),((Skills!G3*((R1349-1)*IF(Skills!H3&gt;0,Skills!I3/Skills!H3,1)+IF(Skills!H3&gt;0,MIN(Skills!I3,MAX(0,MAX(0,Inputs!$B$43-B1384)-((R1349-1)*(IF(Inputs!$B$38="pvp",15,MAX(0.1,Skills!E3-IF(FALSE=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1554153314044909.8</v>
      </c>
      <c r="T1349">
        <f>INDEX(FactorTable!$B$2:$Y$301, MATCH(ROUND(MIN(300,MAX(1,T1348)),0), FactorTable!$A$2:$A$301,0), 22)</f>
        <v>1740</v>
      </c>
      <c r="U1349">
        <f>IF(C1349,(H1349*N1349*IF(AND(Inputs!$B$38&lt;&gt;"pvp",Inputs!$B$43&gt;0),((Skills!G3*((R1349-1)*IF(Skills!H3&gt;0,Skills!I3/Skills!H3,1)+IF(Skills!H3&gt;0,MIN(Skills!I3,MAX(0,MAX(0,Inputs!$B$43-B1384)-((R1349-1)*(IF(Inputs!$B$38="pvp",15,MAX(0.1,Skills!E3-IF(FALSE=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4427130733698906.5</v>
      </c>
      <c r="Z1349">
        <f>INDEX(FactorTable!$B$2:$Y$301, MATCH(ROUND(MIN(300,MAX(1,Z1348)),0), FactorTable!$A$2:$A$301,0), 24)</f>
        <v>7650</v>
      </c>
    </row>
    <row r="1350" spans="1:26" x14ac:dyDescent="0.2">
      <c r="A1350" t="str">
        <f>Skills!A4</f>
        <v>POISON_BREATH</v>
      </c>
      <c r="B1350" t="str">
        <f>Skills!B4</f>
        <v>Poison Breath</v>
      </c>
      <c r="C1350" t="b">
        <f>TRUE</f>
        <v>1</v>
      </c>
      <c r="D1350">
        <f>IF(Skills!C4=1,60+Inputs!$B$25+Inputs!$B$29,IF(Skills!C4=2,90+Inputs!$B$26+Inputs!$B$29,IF(Skills!C4=3,120+Inputs!$B$27+Inputs!$B$29,MAX(0,(Inputs!$B$3-100)*3)+Inputs!$B$28+Inputs!$B$29)))</f>
        <v>168</v>
      </c>
      <c r="E1350">
        <f>INDEX(FactorTable!$B$2:$Y$301, MATCH(ROUND(MIN(300,MAX(1,D1350)),0), FactorTable!$A$2:$A$301,0), Skills!M4+1)</f>
        <v>1840</v>
      </c>
      <c r="F1350">
        <f>IF(Skills!N4=TRUE,(Skills!L4/10)*(E1350/1000),Skills!L4/10)+Skills!O4</f>
        <v>438</v>
      </c>
      <c r="G1350">
        <f>Calc!G4</f>
        <v>3</v>
      </c>
      <c r="H1350">
        <f>Calc!H4</f>
        <v>1</v>
      </c>
      <c r="I1350">
        <f>IF(Skills!X4&lt;&gt;"",1+(Skills!X4/10)*(Z1349/1000)/100,1)</f>
        <v>7.12</v>
      </c>
      <c r="J1350">
        <f>((Inputs!$B$6*(1+Inputs!$B$7/100))+(((Inputs!$B$12*(1+Inputs!$B$13/100))-(Inputs!$B$12*(1+Inputs!$B$13/100)))+0.25*(Inputs!$B$14-Inputs!$B$14))*(1+Inputs!$B$7/100))*(F1350/100)</f>
        <v>1581769203.69258</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56589528290529.523</v>
      </c>
      <c r="L1350">
        <f>K1350*(MIN(Inputs!$B$22+(F1368-Calc!F22),(Inputs!$B$23+(IF(ArtifactsInput!$M$15,CHOOSE(ArtifactsInput!$N$15+1,25,30,35,40,45,50)/100*(Inputs!$B$11-Inputs!$B$11),0))))/100+(Inputs!$B$23+(IF(ArtifactsInput!$M$15,CHOOSE(ArtifactsInput!$N$15+1,25,30,35,40,45,50)/100*(Inputs!$B$11-Inputs!$B$11),0)))/100)/2</f>
        <v>188160181566010.69</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913329521321415.75</v>
      </c>
      <c r="N1350">
        <f>L1350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913329521321415.75</v>
      </c>
      <c r="O1350">
        <f>(1-Summary!$B$11)*S1350+Summary!$B$11*U1350</f>
        <v>2181373395486036.5</v>
      </c>
      <c r="P1350">
        <f>IF(B1387=0,0,O1350/B1387)</f>
        <v>6.3141206625394963E-2</v>
      </c>
      <c r="Q1350">
        <f>IFERROR(1/(IF(Inputs!$B$38="pvp",15,MAX(0.1,Skills!E4-IF(TRUE=TRUE,Inputs!$B$32,0)))*(1-IF(AND(ArtifactsInput!$M$27,Inputs!$B$4="Chapter Hunt"),CHOOSE(ArtifactsInput!$N$27+1,20,24,28,32,36,40),0)/100)),0)</f>
        <v>5.5555555555555552E-2</v>
      </c>
      <c r="R1350">
        <f>IF(AND(Inputs!$B$38&lt;&gt;"pvp",Inputs!$B$43&gt;0),IF(MAX(0,Inputs!$B$43-B1384)&lt;=0,0,(INT(MAX(0,Inputs!$B$43-B1384)/(IF(Inputs!$B$38="pvp",15,MAX(0.1,Skills!E4-IF(TRUE=TRUE,Inputs!$B$32,0)))*(1-IF(AND(ArtifactsInput!$M$27,Inputs!$B$4="Chapter Hunt"),CHOOSE(ArtifactsInput!$N$27+1,20,24,28,32,36,40),0)/100)))+1)),0)</f>
        <v>3</v>
      </c>
      <c r="S1350">
        <f>IF(C1350,(H1350*N1350*IF(AND(Inputs!$B$38&lt;&gt;"pvp",Inputs!$B$43&gt;0),((Skills!G4*((R1350-1)*IF(Skills!H4&gt;0,Skills!I4/Skills!H4,1)+IF(Skills!H4&gt;0,MIN(Skills!I4,MAX(0,MAX(0,Inputs!$B$43-B1384)-((R1350-1)*(IF(Inputs!$B$38="pvp",15,MAX(0.1,Skills!E4-IF(TRUE=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651432281082499.88</v>
      </c>
      <c r="T1350">
        <f>290*T1349/1000</f>
        <v>504.6</v>
      </c>
      <c r="U1350">
        <f>IF(C1350,(H1350*N1350*IF(AND(Inputs!$B$38&lt;&gt;"pvp",Inputs!$B$43&gt;0),((Skills!G4*((R1350-1)*IF(Skills!H4&gt;0,Skills!I4/Skills!H4,1)+IF(Skills!H4&gt;0,MIN(Skills!I4,MAX(0,MAX(0,Inputs!$B$43-B1384)-((R1350-1)*(IF(Inputs!$B$38="pvp",15,MAX(0.1,Skills!E4-IF(TRUE=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3711314509889573</v>
      </c>
    </row>
    <row r="1351" spans="1:26" x14ac:dyDescent="0.2">
      <c r="A1351" t="str">
        <f>Skills!A5</f>
        <v>ELEMENTAL_DRAIN</v>
      </c>
      <c r="B1351" t="str">
        <f>Skills!B5</f>
        <v>Elemental Drain</v>
      </c>
      <c r="C1351" t="b">
        <f>TRUE</f>
        <v>1</v>
      </c>
      <c r="D1351">
        <f>IF(Skills!C5=1,60+Inputs!$B$25+Inputs!$B$29,IF(Skills!C5=2,90+Inputs!$B$26+Inputs!$B$29,IF(Skills!C5=3,120+Inputs!$B$27+Inputs!$B$29,MAX(0,(Inputs!$B$3-100)*3)+Inputs!$B$28+Inputs!$B$29)))</f>
        <v>168</v>
      </c>
      <c r="E1351">
        <f>INDEX(FactorTable!$B$2:$Y$301, MATCH(ROUND(MIN(300,MAX(1,D1351)),0), FactorTable!$A$2:$A$301,0), Skills!M5+1)</f>
        <v>1672</v>
      </c>
      <c r="F1351">
        <f>IF(Skills!N5=TRUE,(Skills!L5/10)*(E1351/1000),Skills!L5/10)+Skills!O5</f>
        <v>20.064</v>
      </c>
      <c r="G1351">
        <f>Calc!G5</f>
        <v>5</v>
      </c>
      <c r="H1351">
        <f>Calc!H5</f>
        <v>1</v>
      </c>
      <c r="I1351">
        <f>IF(Skills!X5&lt;&gt;"",1+(Skills!X5/10)*(Z1349/1000)/100,1)</f>
        <v>12.475</v>
      </c>
      <c r="J1351">
        <f>((Inputs!$B$6*(1+Inputs!$B$7/100))+(((Inputs!$B$12*(1+Inputs!$B$13/100))-(Inputs!$B$12*(1+Inputs!$B$13/100)))+0.25*(Inputs!$B$14-Inputs!$B$14))*(1+Inputs!$B$7/100))*(F1351/100)</f>
        <v>72458030.371890247</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4541925884983.542</v>
      </c>
      <c r="L1351">
        <f>K1351*(MIN(Inputs!$B$22+(F1368-Calc!F22),(Inputs!$B$23+(IF(ArtifactsInput!$M$15,CHOOSE(ArtifactsInput!$N$15+1,25,30,35,40,45,50)/100*(Inputs!$B$11-Inputs!$B$11),0))))/100+(Inputs!$B$23+(IF(ArtifactsInput!$M$15,CHOOSE(ArtifactsInput!$N$15+1,25,30,35,40,45,50)/100*(Inputs!$B$11-Inputs!$B$11),0)))/100)/2</f>
        <v>15101903567570.277</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73304639916986.109</v>
      </c>
      <c r="N1351">
        <f>L1351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73304639916986.109</v>
      </c>
      <c r="O1351">
        <f>(1-Summary!$B$11)*S1351+Summary!$B$11*U1351</f>
        <v>1075928852381563.5</v>
      </c>
      <c r="P1351">
        <f>IF(B1387=0,0,O1351/B1387)</f>
        <v>3.11434283204465E-2</v>
      </c>
      <c r="Q1351">
        <f>IFERROR(1/(IF(Inputs!$B$38="pvp",15,MAX(0.1,Skills!E5-IF(FALSE=TRUE,Inputs!$B$32,0)))*(1-IF(AND(ArtifactsInput!$M$27,Inputs!$B$4="Chapter Hunt"),CHOOSE(ArtifactsInput!$N$27+1,20,24,28,32,36,40),0)/100)),0)</f>
        <v>1</v>
      </c>
      <c r="R1351">
        <f>IF(AND(Inputs!$B$38&lt;&gt;"pvp",Inputs!$B$43&gt;0),IF(MAX(0,Inputs!$B$43-B1384)&lt;=0,0,(INT(MAX(0,Inputs!$B$43-B1384)/(IF(Inputs!$B$38="pvp",15,MAX(0.1,Skills!E5-IF(FALSE=TRUE,Inputs!$B$32,0)))*(1-IF(AND(ArtifactsInput!$M$27,Inputs!$B$4="Chapter Hunt"),CHOOSE(ArtifactsInput!$N$27+1,20,24,28,32,36,40),0)/100)))+1)),0)</f>
        <v>38</v>
      </c>
      <c r="S1351">
        <f>IF(C1351,(H1351*N1351*IF(AND(Inputs!$B$38&lt;&gt;"pvp",Inputs!$B$43&gt;0),((Skills!G5*((R1351-1)*IF(Skills!H5&gt;0,Skills!I5/Skills!H5,1)+IF(Skills!H5&gt;0,MIN(Skills!I5,MAX(0,MAX(0,Inputs!$B$43-B1384)-((R1351-1)*(IF(Inputs!$B$38="pvp",15,MAX(0.1,Skills!E5-IF(FALSE=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1103784615550018.2</v>
      </c>
      <c r="U1351">
        <f>IF(C1351,(H1351*N1351*IF(AND(Inputs!$B$38&lt;&gt;"pvp",Inputs!$B$43&gt;0),((Skills!G5*((R1351-1)*IF(Skills!H5&gt;0,Skills!I5/Skills!H5,1)+IF(Skills!H5&gt;0,MIN(Skills!I5,MAX(0,MAX(0,Inputs!$B$43-B1384)-((R1351-1)*(IF(Inputs!$B$38="pvp",15,MAX(0.1,Skills!E5-IF(FALSE=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1048073089213108.8</v>
      </c>
    </row>
    <row r="1352" spans="1:26" x14ac:dyDescent="0.2">
      <c r="A1352" t="str">
        <f>Skills!A6</f>
        <v>MEDITATION</v>
      </c>
      <c r="B1352" t="str">
        <f>Skills!B6</f>
        <v>Meditation</v>
      </c>
      <c r="C1352" t="b">
        <f>TRUE</f>
        <v>1</v>
      </c>
      <c r="D1352">
        <f>IF(Skills!C6=1,60+Inputs!$B$25+Inputs!$B$29,IF(Skills!C6=2,90+Inputs!$B$26+Inputs!$B$29,IF(Skills!C6=3,120+Inputs!$B$27+Inputs!$B$29,MAX(0,(Inputs!$B$3-100)*3)+Inputs!$B$28+Inputs!$B$29)))</f>
        <v>168</v>
      </c>
      <c r="E1352">
        <f>INDEX(FactorTable!$B$2:$Y$301, MATCH(ROUND(MIN(300,MAX(1,D1352)),0), FactorTable!$A$2:$A$301,0), Skills!M6+1)</f>
        <v>1672</v>
      </c>
      <c r="F1352">
        <f>IF(Skills!N6=TRUE,(Skills!L6/10)*(E1352/1000),Skills!L6/10)+Skills!O6</f>
        <v>33.44</v>
      </c>
      <c r="G1352">
        <f>Calc!G6</f>
        <v>1</v>
      </c>
      <c r="H1352">
        <f>Calc!H6</f>
        <v>1</v>
      </c>
      <c r="I1352">
        <f>IF(Skills!X6&lt;&gt;"",1+(Skills!X6/10)*(Z1349/1000)/100,1)</f>
        <v>1</v>
      </c>
      <c r="O1352">
        <f>(1-Summary!$B$11)*S1352+Summary!$B$11*U1352</f>
        <v>0</v>
      </c>
      <c r="P1352">
        <f>IF(B1387=0,0,O1352/B1387)</f>
        <v>0</v>
      </c>
      <c r="Q1352">
        <f>IFERROR(1/(IF(Inputs!$B$38="pvp",15,MAX(0.1,Skills!E6-IF(TRUE=TRUE,Inputs!$B$32,0)))*(1-IF(AND(ArtifactsInput!$M$27,Inputs!$B$4="Chapter Hunt"),CHOOSE(ArtifactsInput!$N$27+1,20,24,28,32,36,40),0)/100)),0)</f>
        <v>3.3333333333333333E-2</v>
      </c>
      <c r="R1352">
        <f>IF(AND(Inputs!$B$38&lt;&gt;"pvp",Inputs!$B$43&gt;0),IF(Inputs!$B$43&lt;=0,0,(INT(Inputs!$B$43/(IF(Inputs!$B$38="pvp",15,MAX(0.1,Skills!E6-IF(TRUE=TRUE,Inputs!$B$32,0)))*(1-IF(AND(ArtifactsInput!$M$27,Inputs!$B$4="Chapter Hunt"),CHOOSE(ArtifactsInput!$N$27+1,20,24,28,32,36,40),0)/100)))+1)),0)</f>
        <v>2</v>
      </c>
      <c r="S1352">
        <v>0</v>
      </c>
      <c r="U1352">
        <v>0</v>
      </c>
    </row>
    <row r="1353" spans="1:26" x14ac:dyDescent="0.2">
      <c r="A1353" t="str">
        <f>Skills!A7</f>
        <v>POISON_MIST_BURST</v>
      </c>
      <c r="B1353" t="str">
        <f>Skills!B7</f>
        <v>Poison Mist (burst)</v>
      </c>
      <c r="C1353" t="b">
        <f>TRUE</f>
        <v>1</v>
      </c>
      <c r="D1353">
        <f>IF(Skills!C7=1,60+Inputs!$B$25+Inputs!$B$29,IF(Skills!C7=2,90+Inputs!$B$26+Inputs!$B$29,IF(Skills!C7=3,120+Inputs!$B$27+Inputs!$B$29,MAX(0,(Inputs!$B$3-100)*3)+Inputs!$B$28+Inputs!$B$29)))</f>
        <v>184</v>
      </c>
      <c r="E1353">
        <f>INDEX(FactorTable!$B$2:$Y$301, MATCH(ROUND(MIN(300,MAX(1,D1353)),0), FactorTable!$A$2:$A$301,0), Skills!M7+1)</f>
        <v>1920</v>
      </c>
      <c r="F1353">
        <f>IF(Skills!N7=TRUE,(Skills!L7/10)*(E1353/1000),Skills!L7/10)+Skills!O7</f>
        <v>357.2</v>
      </c>
      <c r="G1353">
        <f>Calc!G7</f>
        <v>3</v>
      </c>
      <c r="H1353">
        <f>Calc!H7</f>
        <v>1</v>
      </c>
      <c r="I1353">
        <f>IF(Skills!X7&lt;&gt;"",1+(Skills!X7/10)*(Z1349/1000)/100,1)</f>
        <v>1.7650000000000001</v>
      </c>
      <c r="J1353">
        <f>((Inputs!$B$6*(1+Inputs!$B$7/100))+(((Inputs!$B$12*(1+Inputs!$B$13/100))-(Inputs!$B$12*(1+Inputs!$B$13/100)))+0.25*(Inputs!$B$14-Inputs!$B$14))*(1+Inputs!$B$7/100))*(F1353/100)</f>
        <v>1289972510.4086521</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11440318873772.086</v>
      </c>
      <c r="L1353">
        <f>K1353*(MIN(Inputs!$B$22+(F1368-Calc!F22),(Inputs!$B$23+(IF(ArtifactsInput!$M$15,CHOOSE(ArtifactsInput!$N$15+1,25,30,35,40,45,50)/100*(Inputs!$B$11-Inputs!$B$11),0))))/100+(Inputs!$B$23+(IF(ArtifactsInput!$M$15,CHOOSE(ArtifactsInput!$N$15+1,25,30,35,40,45,50)/100*(Inputs!$B$11-Inputs!$B$11),0)))/100)/2</f>
        <v>38039060255292.188</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184641598479188.25</v>
      </c>
      <c r="N1353">
        <f>L1353*(1-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184641598479188.25</v>
      </c>
      <c r="O1353">
        <f>(1-Summary!$B$11)*S1353+Summary!$B$11*U1353</f>
        <v>460726948605194.44</v>
      </c>
      <c r="P1353">
        <f>IF(B1387=0,0,O1353/B1387)</f>
        <v>1.3336027440311983E-2</v>
      </c>
      <c r="Q1353">
        <f>IFERROR(1/(IF(Inputs!$B$38="pvp",15,MAX(0.1,Skills!E7-IF(TRUE=TRUE,Inputs!$B$32,0)))*(1-IF(AND(ArtifactsInput!$M$27,Inputs!$B$4="Chapter Hunt"),CHOOSE(ArtifactsInput!$N$27+1,20,24,28,32,36,40),0)/100)),0)</f>
        <v>4.0816326530612242E-2</v>
      </c>
      <c r="R1353">
        <f>IF(AND(Inputs!$B$38&lt;&gt;"pvp",Inputs!$B$43&gt;0),IF(MAX(0,Inputs!$B$43-B1384)&lt;=0,0,(INT(MAX(0,Inputs!$B$43-B1384)/(IF(Inputs!$B$38="pvp",15,MAX(0.1,Skills!E7-IF(TRUE=TRUE,Inputs!$B$32,0)))*(1-IF(AND(ArtifactsInput!$M$27,Inputs!$B$4="Chapter Hunt"),CHOOSE(ArtifactsInput!$N$27+1,20,24,28,32,36,40),0)/100)))+1)),0)</f>
        <v>2</v>
      </c>
      <c r="S1353">
        <f>IF(C1353,(H1353*N1353*IF(AND(Inputs!$B$38&lt;&gt;"pvp",Inputs!$B$43&gt;0),((Skills!G7*((R1353-1)*IF(Skills!H7&gt;0,Skills!I7/Skills!H7,1)+IF(Skills!H7&gt;0,MIN(Skills!I7,MAX(0,MAX(0,Inputs!$B$43-B1384)-((R1353-1)*(IF(Inputs!$B$38="pvp",15,MAX(0.1,Skills!E7-IF(TRUE=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87797080076854.016</v>
      </c>
      <c r="U1353">
        <f>IF(C1353,(H1353*N1353*IF(AND(Inputs!$B$38&lt;&gt;"pvp",Inputs!$B$43&gt;0),((Skills!G7*((R1353-1)*IF(Skills!H7&gt;0,Skills!I7/Skills!H7,1)+IF(Skills!H7&gt;0,MIN(Skills!I7,MAX(0,MAX(0,Inputs!$B$43-B1384)-((R1353-1)*(IF(Inputs!$B$38="pvp",15,MAX(0.1,Skills!E7-IF(TRUE=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833656817133534.88</v>
      </c>
    </row>
    <row r="1354" spans="1:26" x14ac:dyDescent="0.2">
      <c r="A1354" t="str">
        <f>Skills!A8</f>
        <v>POISON_MIST_DOT</v>
      </c>
      <c r="B1354" t="str">
        <f>Skills!B8</f>
        <v>Poison Mist (fog DoT)</v>
      </c>
      <c r="C1354" t="b">
        <f>TRUE</f>
        <v>1</v>
      </c>
      <c r="D1354">
        <f>IF(Skills!C8=1,60+Inputs!$B$25+Inputs!$B$29,IF(Skills!C8=2,90+Inputs!$B$26+Inputs!$B$29,IF(Skills!C8=3,120+Inputs!$B$27+Inputs!$B$29,MAX(0,(Inputs!$B$3-100)*3)+Inputs!$B$28+Inputs!$B$29)))</f>
        <v>184</v>
      </c>
      <c r="E1354">
        <f>INDEX(FactorTable!$B$2:$Y$301, MATCH(ROUND(MIN(300,MAX(1,D1354)),0), FactorTable!$A$2:$A$301,0), Skills!M8+1)</f>
        <v>1920</v>
      </c>
      <c r="F1354">
        <f>IF(Skills!N8=TRUE,(Skills!L8/10)*(E1354/1000),Skills!L8/10)+Skills!O8</f>
        <v>134.4</v>
      </c>
      <c r="G1354">
        <f>Calc!G8</f>
        <v>50</v>
      </c>
      <c r="H1354">
        <f>Calc!H8</f>
        <v>1</v>
      </c>
      <c r="I1354">
        <f>IF(Skills!X8&lt;&gt;"",1+(Skills!X8/10)*(Z1349/1000)/100,1)</f>
        <v>1.7650000000000001</v>
      </c>
      <c r="J1354">
        <f>((Inputs!$B$6*(1+Inputs!$B$7/100))+(((Inputs!$B$12*(1+Inputs!$B$13/100))-(Inputs!$B$12*(1+Inputs!$B$13/100)))+0.25*(Inputs!$B$14-Inputs!$B$14))*(1+Inputs!$B$7/100))*(F1354/100)</f>
        <v>485364796.74950409</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4304532073446.1597</v>
      </c>
      <c r="L1354">
        <f>K1354*(MIN(Inputs!$B$22+(F1368-Calc!F22),(Inputs!$B$23+(IF(ArtifactsInput!$M$15,CHOOSE(ArtifactsInput!$N$15+1,25,30,35,40,45,50)/100*(Inputs!$B$11-Inputs!$B$11),0))))/100+(Inputs!$B$23+(IF(ArtifactsInput!$M$15,CHOOSE(ArtifactsInput!$N$15+1,25,30,35,40,45,50)/100*(Inputs!$B$11-Inputs!$B$11),0)))/100)/2</f>
        <v>14312569144208.482</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69473210625987.961</v>
      </c>
      <c r="N1354">
        <f>L1354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69473210625987.961</v>
      </c>
      <c r="O1354">
        <f>(1-Summary!$B$11)*S1354+Summary!$B$11*U1354</f>
        <v>2394055730773787.5</v>
      </c>
      <c r="P1354">
        <f>IF(B1387=0,0,O1354/B1387)</f>
        <v>6.9297428804396682E-2</v>
      </c>
      <c r="Q1354">
        <f>IFERROR(1/(IF(Inputs!$B$38="pvp",15,MAX(0.1,Skills!E8-IF(TRUE=TRUE,Inputs!$B$32,0)))*(1-IF(AND(ArtifactsInput!$M$27,Inputs!$B$4="Chapter Hunt"),CHOOSE(ArtifactsInput!$N$27+1,20,24,28,32,36,40),0)/100)),0)</f>
        <v>4.0816326530612242E-2</v>
      </c>
      <c r="R1354">
        <f>IF(AND(Inputs!$B$38&lt;&gt;"pvp",Inputs!$B$43&gt;0),IF(MAX(0,Inputs!$B$43-B1384)&lt;=0,0,(INT(MAX(0,Inputs!$B$43-B1384)/(IF(Inputs!$B$38="pvp",15,MAX(0.1,Skills!E8-IF(TRUE=TRUE,Inputs!$B$32,0)))*(1-IF(AND(ArtifactsInput!$M$27,Inputs!$B$4="Chapter Hunt"),CHOOSE(ArtifactsInput!$N$27+1,20,24,28,32,36,40),0)/100)))+1)),0)</f>
        <v>2</v>
      </c>
      <c r="S1354">
        <f>IF(C1354,(H1354*N1354*IF(AND(Inputs!$B$38&lt;&gt;"pvp",Inputs!$B$43&gt;0),((Skills!G8*((R1354-1)*IF(Skills!H8&gt;0,Skills!I8/Skills!H8,1)+IF(Skills!H8&gt;0,MIN(Skills!I8,MAX(0,MAX(0,Inputs!$B$43-B1384)-((R1354-1)*(IF(Inputs!$B$38="pvp",15,MAX(0.1,Skills!E8-IF(TRUE=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456216210793682.44</v>
      </c>
      <c r="U1354">
        <f>IF(C1354,(H1354*N1354*IF(AND(Inputs!$B$38&lt;&gt;"pvp",Inputs!$B$43&gt;0),((Skills!G8*((R1354-1)*IF(Skills!H8&gt;0,Skills!I8/Skills!H8,1)+IF(Skills!H8&gt;0,MIN(Skills!I8,MAX(0,MAX(0,Inputs!$B$43-B1384)-((R1354-1)*(IF(Inputs!$B$38="pvp",15,MAX(0.1,Skills!E8-IF(TRUE=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4331895250753893</v>
      </c>
    </row>
    <row r="1355" spans="1:26" x14ac:dyDescent="0.2">
      <c r="A1355" t="str">
        <f>Skills!A9</f>
        <v>MIST_ERUPTION</v>
      </c>
      <c r="B1355" t="str">
        <f>Skills!B9</f>
        <v>Mist Eruption</v>
      </c>
      <c r="C1355" t="b">
        <f>Inputs!$B$3&gt;=103</f>
        <v>1</v>
      </c>
      <c r="D1355">
        <f>IF(Skills!C9=1,60+Inputs!$B$25+Inputs!$B$29,IF(Skills!C9=2,90+Inputs!$B$26+Inputs!$B$29,IF(Skills!C9=3,120+Inputs!$B$27+Inputs!$B$29,MAX(0,(Inputs!$B$3-100)*3)+Inputs!$B$28+Inputs!$B$29)))</f>
        <v>185</v>
      </c>
      <c r="E1355">
        <f>INDEX(FactorTable!$B$2:$Y$301, MATCH(ROUND(MIN(300,MAX(1,D1355)),0), FactorTable!$A$2:$A$301,0), Skills!M9+1)</f>
        <v>1925</v>
      </c>
      <c r="F1355">
        <f>IF(Skills!N9=TRUE,(Skills!L9/10)*(E1355/1000),Skills!L9/10)+Skills!O9</f>
        <v>5775</v>
      </c>
      <c r="G1355">
        <f>Calc!G9</f>
        <v>2.5</v>
      </c>
      <c r="H1355">
        <f>Calc!H9</f>
        <v>1</v>
      </c>
      <c r="I1355">
        <f>IF(Skills!X9&lt;&gt;"",1+(Skills!X9/10)*(Z1349/1000)/100,1)</f>
        <v>1</v>
      </c>
      <c r="J1355">
        <f>((Inputs!$B$6*(1+Inputs!$B$7/100))+(((Inputs!$B$12*(1+Inputs!$B$13/100))-(Inputs!$B$12*(1+Inputs!$B$13/100)))+0.25*(Inputs!$B$14-Inputs!$B$14))*(1+Inputs!$B$7/100))*(F1355/100)</f>
        <v>20855518610.330254</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104793406533081.95</v>
      </c>
      <c r="L1355">
        <f>K1355*(MIN(Inputs!$B$22+(F1368-Calc!F22),(Inputs!$B$23+(IF(ArtifactsInput!$M$15,CHOOSE(ArtifactsInput!$N$15+1,25,30,35,40,45,50)/100*(Inputs!$B$11-Inputs!$B$11),0))))/100+(Inputs!$B$23+(IF(ArtifactsInput!$M$15,CHOOSE(ArtifactsInput!$N$15+1,25,30,35,40,45,50)/100*(Inputs!$B$11-Inputs!$B$11),0)))/100)/2</f>
        <v>348438076722497.5</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1691318424411002.5</v>
      </c>
      <c r="N1355">
        <f>L1355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1691318424411002.5</v>
      </c>
      <c r="O1355">
        <f>(1-Summary!$B$11)*S1355+Summary!$B$11*U1355</f>
        <v>3516885248759628</v>
      </c>
      <c r="P1355">
        <f>IF(B1387=0,0,O1355/B1387)</f>
        <v>0.10179842599586554</v>
      </c>
      <c r="Q1355">
        <f>IFERROR(1/(IF(Inputs!$B$38="pvp",15,MAX(0.1,Skills!E9-IF(TRUE=TRUE,Inputs!$B$32,0)))*(1-IF(AND(ArtifactsInput!$M$27,Inputs!$B$4="Chapter Hunt"),CHOOSE(ArtifactsInput!$N$27+1,20,24,28,32,36,40),0)/100)),0)</f>
        <v>4.0816326530612242E-2</v>
      </c>
      <c r="R1355">
        <f>IF(AND(Inputs!$B$38&lt;&gt;"pvp",Inputs!$B$43&gt;0),IF(MAX(0,Inputs!$B$43-B1384)&lt;=0,0,(INT(MAX(0,Inputs!$B$43-B1384)/(IF(Inputs!$B$38="pvp",15,MAX(0.1,Skills!E9-IF(TRUE=TRUE,Inputs!$B$32,0)))*(1-IF(AND(ArtifactsInput!$M$27,Inputs!$B$4="Chapter Hunt"),CHOOSE(ArtifactsInput!$N$27+1,20,24,28,32,36,40),0)/100)))+1)),0)</f>
        <v>2</v>
      </c>
      <c r="S1355">
        <f>IF(C1355,(H1355*N1355*IF(AND(Inputs!$B$38&lt;&gt;"pvp",Inputs!$B$43&gt;0),((Skills!G9*((R1355-1)*IF(Skills!H9&gt;0,Skills!I9/Skills!H9,1)+IF(Skills!H9&gt;0,MIN(Skills!I9,MAX(0,MAX(0,Inputs!$B$43-B1384)-((R1355-1)*(IF(Inputs!$B$38="pvp",15,MAX(0.1,Skills!E9-IF(TRUE=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670184925672859.75</v>
      </c>
      <c r="U1355">
        <f>IF(C1355,(H1355*N1355*IF(AND(Inputs!$B$38&lt;&gt;"pvp",Inputs!$B$43&gt;0),((Skills!G9*((R1355-1)*IF(Skills!H9&gt;0,Skills!I9/Skills!H9,1)+IF(Skills!H9&gt;0,MIN(Skills!I9,MAX(0,MAX(0,Inputs!$B$43-B1384)-((R1355-1)*(IF(Inputs!$B$38="pvp",15,MAX(0.1,Skills!E9-IF(TRUE=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6363585571846396</v>
      </c>
    </row>
    <row r="1356" spans="1:26" x14ac:dyDescent="0.2">
      <c r="A1356" t="str">
        <f>Skills!A10</f>
        <v>CREEPING_TOXIN</v>
      </c>
      <c r="B1356" t="str">
        <f>Skills!B10</f>
        <v>Creeping Toxin</v>
      </c>
      <c r="C1356" t="b">
        <f>TRUE</f>
        <v>1</v>
      </c>
      <c r="D1356">
        <f>IF(Skills!C10=1,60+Inputs!$B$25+Inputs!$B$29,IF(Skills!C10=2,90+Inputs!$B$26+Inputs!$B$29,IF(Skills!C10=3,120+Inputs!$B$27+Inputs!$B$29,MAX(0,(Inputs!$B$3-100)*3)+Inputs!$B$28+Inputs!$B$29)))</f>
        <v>184</v>
      </c>
      <c r="E1356">
        <f>INDEX(FactorTable!$B$2:$Y$301, MATCH(ROUND(MIN(300,MAX(1,D1356)),0), FactorTable!$A$2:$A$301,0), Skills!M10+1)</f>
        <v>1920</v>
      </c>
      <c r="F1356">
        <f>IF(Skills!N10=TRUE,(Skills!L10/10)*(E1356/1000),Skills!L10/10)+Skills!O10</f>
        <v>280.39999999999998</v>
      </c>
      <c r="G1356">
        <f>Calc!G10</f>
        <v>15</v>
      </c>
      <c r="H1356">
        <f>Calc!H10</f>
        <v>1</v>
      </c>
      <c r="I1356">
        <f>IF(Skills!X10&lt;&gt;"",1+(Skills!X10/10)*(Z1349/1000)/100,1)</f>
        <v>1.7650000000000001</v>
      </c>
      <c r="J1356">
        <f>((Inputs!$B$6*(1+Inputs!$B$7/100))+(((Inputs!$B$12*(1+Inputs!$B$13/100))-(Inputs!$B$12*(1+Inputs!$B$13/100)))+0.25*(Inputs!$B$14-Inputs!$B$14))*(1+Inputs!$B$7/100))*(F1356/100)</f>
        <v>1012621197.9803641</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8980586260374.2793</v>
      </c>
      <c r="L1356">
        <f>K1356*(MIN(Inputs!$B$22+(F1368-Calc!F22),(Inputs!$B$23+(IF(ArtifactsInput!$M$15,CHOOSE(ArtifactsInput!$N$15+1,25,30,35,40,45,50)/100*(Inputs!$B$11-Inputs!$B$11),0))))/100+(Inputs!$B$23+(IF(ArtifactsInput!$M$15,CHOOSE(ArtifactsInput!$N$15+1,25,30,35,40,45,50)/100*(Inputs!$B$11-Inputs!$B$11),0)))/100)/2</f>
        <v>29860449315744.48</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144942620978623.69</v>
      </c>
      <c r="N1356">
        <f>L1356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144942620978623.69</v>
      </c>
      <c r="O1356">
        <f>(1-Summary!$B$11)*S1356+Summary!$B$11*U1356</f>
        <v>333601621853461</v>
      </c>
      <c r="P1356">
        <f>IF(B1387=0,0,O1356/B1387)</f>
        <v>9.6563059674260581E-3</v>
      </c>
      <c r="Q1356">
        <f>IFERROR(1/(IF(Inputs!$B$38="pvp",15,MAX(0.1,Skills!E10-IF(TRUE=TRUE,Inputs!$B$32,0)))*(1-IF(AND(ArtifactsInput!$M$27,Inputs!$B$4="Chapter Hunt"),CHOOSE(ArtifactsInput!$N$27+1,20,24,28,32,36,40),0)/100)),0)</f>
        <v>3.7037037037037035E-2</v>
      </c>
      <c r="R1356">
        <f>IF(AND(Inputs!$B$38&lt;&gt;"pvp",Inputs!$B$43&gt;0),IF(MAX(0,Inputs!$B$43-B1384)&lt;=0,0,(INT(MAX(0,Inputs!$B$43-B1384)/(IF(Inputs!$B$38="pvp",15,MAX(0.1,Skills!E10-IF(TRUE=TRUE,Inputs!$B$32,0)))*(1-IF(AND(ArtifactsInput!$M$27,Inputs!$B$4="Chapter Hunt"),CHOOSE(ArtifactsInput!$N$27+1,20,24,28,32,36,40),0)/100)))+1)),0)</f>
        <v>2</v>
      </c>
      <c r="S1356">
        <f>IF(C1356,(H1356*N1356*IF(AND(Inputs!$B$38&lt;&gt;"pvp",Inputs!$B$43&gt;0),((Skills!G10*((R1356-1)*IF(Skills!H10&gt;0,Skills!I10/Skills!H10,1)+IF(Skills!H10&gt;0,MIN(Skills!I10,MAX(0,MAX(0,Inputs!$B$43-B1384)-((R1356-1)*(IF(Inputs!$B$38="pvp",15,MAX(0.1,Skills!E10-IF(TRUE=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294573019853891.75</v>
      </c>
      <c r="U1356">
        <f>IF(C1356,(H1356*N1356*IF(AND(Inputs!$B$38&lt;&gt;"pvp",Inputs!$B$43&gt;0),((Skills!G10*((R1356-1)*IF(Skills!H10&gt;0,Skills!I10/Skills!H10,1)+IF(Skills!H10&gt;0,MIN(Skills!I10,MAX(0,MAX(0,Inputs!$B$43-B1384)-((R1356-1)*(IF(Inputs!$B$38="pvp",15,MAX(0.1,Skills!E10-IF(TRUE=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372630223853030.19</v>
      </c>
    </row>
    <row r="1357" spans="1:26" x14ac:dyDescent="0.2">
      <c r="A1357" t="str">
        <f>Skills!A11</f>
        <v>BURNING_MAGIC</v>
      </c>
      <c r="B1357" t="str">
        <f>Skills!B11</f>
        <v>Burning Magic</v>
      </c>
      <c r="C1357" t="b">
        <f>TRUE</f>
        <v>1</v>
      </c>
      <c r="D1357">
        <f>IF(Skills!C11=1,60+Inputs!$B$25+Inputs!$B$29,IF(Skills!C11=2,90+Inputs!$B$26+Inputs!$B$29,IF(Skills!C11=3,120+Inputs!$B$27+Inputs!$B$29,MAX(0,(Inputs!$B$3-100)*3)+Inputs!$B$28+Inputs!$B$29)))</f>
        <v>184</v>
      </c>
      <c r="E1357">
        <f>INDEX(FactorTable!$B$2:$Y$301, MATCH(ROUND(MIN(300,MAX(1,D1357)),0), FactorTable!$A$2:$A$301,0), Skills!M11+1)</f>
        <v>0</v>
      </c>
      <c r="F1357">
        <f>IF(Skills!N11=TRUE,(Skills!L11/10)*(E1357/1000),Skills!L11/10)+Skills!O11</f>
        <v>5</v>
      </c>
      <c r="G1357">
        <f>Calc!G11</f>
        <v>1</v>
      </c>
      <c r="H1357">
        <f>Calc!H11</f>
        <v>1</v>
      </c>
      <c r="I1357">
        <f>IF(Skills!X11&lt;&gt;"",1+(Skills!X11/10)*(Z1349/1000)/100,1)</f>
        <v>1</v>
      </c>
      <c r="O1357">
        <f>(1-Summary!$B$11)*S1357+Summary!$B$11*U1357</f>
        <v>0</v>
      </c>
      <c r="P1357">
        <f>IF(B1387=0,0,O1357/B1387)</f>
        <v>0</v>
      </c>
      <c r="Q1357">
        <f>IFERROR(1/(IF(Inputs!$B$38="pvp",15,MAX(0.1,Skills!E11-IF(TRUE=TRUE,Inputs!$B$32,0)))*(1-IF(AND(ArtifactsInput!$M$27,Inputs!$B$4="Chapter Hunt"),CHOOSE(ArtifactsInput!$N$27+1,20,24,28,32,36,40),0)/100)),0)</f>
        <v>10</v>
      </c>
      <c r="R1357">
        <v>0</v>
      </c>
      <c r="S1357">
        <v>0</v>
      </c>
      <c r="U1357">
        <v>0</v>
      </c>
    </row>
    <row r="1358" spans="1:26" x14ac:dyDescent="0.2">
      <c r="A1358" t="str">
        <f>Skills!A12</f>
        <v>ELEMENTAL_DECREASE</v>
      </c>
      <c r="B1358" t="str">
        <f>Skills!B12</f>
        <v>Elemental Decrease</v>
      </c>
      <c r="C1358" t="b">
        <f>TRUE</f>
        <v>1</v>
      </c>
      <c r="D1358">
        <f>IF(Skills!C12=1,60+Inputs!$B$25+Inputs!$B$29,IF(Skills!C12=2,90+Inputs!$B$26+Inputs!$B$29,IF(Skills!C12=3,120+Inputs!$B$27+Inputs!$B$29,MAX(0,(Inputs!$B$3-100)*3)+Inputs!$B$28+Inputs!$B$29)))</f>
        <v>184</v>
      </c>
      <c r="E1358">
        <f>INDEX(FactorTable!$B$2:$Y$301, MATCH(ROUND(MIN(300,MAX(1,D1358)),0), FactorTable!$A$2:$A$301,0), Skills!M12+1)</f>
        <v>1552</v>
      </c>
      <c r="F1358">
        <f>IF(Skills!N12=TRUE,(Skills!L12/10)*(E1358/1000),Skills!L12/10)+Skills!O12</f>
        <v>18.624000000000002</v>
      </c>
      <c r="G1358">
        <f>Calc!G12</f>
        <v>1</v>
      </c>
      <c r="H1358">
        <f>Calc!H12</f>
        <v>0.5</v>
      </c>
      <c r="I1358">
        <f>IF(Skills!X12&lt;&gt;"",1+(Skills!X12/10)*(Z1349/1000)/100,1)</f>
        <v>1</v>
      </c>
      <c r="O1358">
        <f>(1-Summary!$B$11)*S1358+Summary!$B$11*U1358</f>
        <v>0</v>
      </c>
      <c r="P1358">
        <f>IF(B1387=0,0,O1358/B1387)</f>
        <v>0</v>
      </c>
      <c r="Q1358">
        <f>IFERROR(1/(IF(Inputs!$B$38="pvp",15,MAX(0.1,Skills!E12-IF(TRUE=TRUE,Inputs!$B$32,0)))*(1-IF(AND(ArtifactsInput!$M$27,Inputs!$B$4="Chapter Hunt"),CHOOSE(ArtifactsInput!$N$27+1,20,24,28,32,36,40),0)/100)),0)</f>
        <v>10</v>
      </c>
      <c r="R1358">
        <v>0</v>
      </c>
      <c r="S1358">
        <v>0</v>
      </c>
      <c r="U1358">
        <v>0</v>
      </c>
    </row>
    <row r="1359" spans="1:26" x14ac:dyDescent="0.2">
      <c r="A1359" t="str">
        <f>Skills!A13</f>
        <v>METEOR_SHOWER_BURST</v>
      </c>
      <c r="B1359" t="str">
        <f>Skills!B13</f>
        <v>Meteor Shower (burst)</v>
      </c>
      <c r="C1359" t="b">
        <f>Inputs!$B$3&gt;=105</f>
        <v>1</v>
      </c>
      <c r="D1359">
        <f>IF(Skills!C13=1,60+Inputs!$B$25+Inputs!$B$29,IF(Skills!C13=2,90+Inputs!$B$26+Inputs!$B$29,IF(Skills!C13=3,120+Inputs!$B$27+Inputs!$B$29,MAX(0,(Inputs!$B$3-100)*3)+Inputs!$B$28+Inputs!$B$29)))</f>
        <v>185</v>
      </c>
      <c r="E1359">
        <f>INDEX(FactorTable!$B$2:$Y$301, MATCH(ROUND(MIN(300,MAX(1,D1359)),0), FactorTable!$A$2:$A$301,0), Skills!M13+1)</f>
        <v>1925</v>
      </c>
      <c r="F1359">
        <f>IF(Skills!N13=TRUE,(Skills!L13/10)*(E1359/1000),Skills!L13/10)+Skills!O13</f>
        <v>1155</v>
      </c>
      <c r="G1359">
        <f>Calc!G13</f>
        <v>9</v>
      </c>
      <c r="H1359">
        <f>Calc!H13</f>
        <v>1</v>
      </c>
      <c r="I1359">
        <f>IF(Skills!X13&lt;&gt;"",1+(Skills!X13/10)*(Z1349/1000)/100,1)</f>
        <v>1</v>
      </c>
      <c r="J1359">
        <f>((Inputs!$B$6*(1+Inputs!$B$7/100))+(((Inputs!$B$12*(1+Inputs!$B$13/100))-(Inputs!$B$12*(1+Inputs!$B$13/100)))+0.25*(Inputs!$B$14-Inputs!$B$14))*(1+Inputs!$B$7/100))*(F1359/100)</f>
        <v>4171103722.0660505</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20958681306616.391</v>
      </c>
      <c r="L1359">
        <f>K1359*(MIN(Inputs!$B$22+(F1368-Calc!F22),(Inputs!$B$23+(IF(ArtifactsInput!$M$15,CHOOSE(ArtifactsInput!$N$15+1,25,30,35,40,45,50)/100*(Inputs!$B$11-Inputs!$B$11),0))))/100+(Inputs!$B$23+(IF(ArtifactsInput!$M$15,CHOOSE(ArtifactsInput!$N$15+1,25,30,35,40,45,50)/100*(Inputs!$B$11-Inputs!$B$11),0)))/100)/2</f>
        <v>69687615344499.5</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338263684882200.5</v>
      </c>
      <c r="N1359">
        <f>L1359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338263684882200.5</v>
      </c>
      <c r="O1359">
        <f>(1-Summary!$B$11)*S1359+Summary!$B$11*U1359</f>
        <v>1844890137347521.5</v>
      </c>
      <c r="P1359">
        <f>IF(B1387=0,0,O1359/B1387)</f>
        <v>5.3401489907443415E-2</v>
      </c>
      <c r="Q1359">
        <f>IFERROR(1/(IF(Inputs!$B$38="pvp",15,MAX(0.1,Skills!E13-IF(TRUE=TRUE,Inputs!$B$32,0)))*(1-IF(AND(ArtifactsInput!$M$27,Inputs!$B$4="Chapter Hunt"),CHOOSE(ArtifactsInput!$N$27+1,20,24,28,32,36,40),0)/100)),0)</f>
        <v>3.0303030303030304E-2</v>
      </c>
      <c r="R1359">
        <f>IF(AND(Inputs!$B$38&lt;&gt;"pvp",Inputs!$B$43&gt;0),IF(MAX(0,Inputs!$B$43-B1384)&lt;=0,0,(INT(MAX(0,Inputs!$B$43-B1384)/(IF(Inputs!$B$38="pvp",15,MAX(0.1,Skills!E13-IF(TRUE=TRUE,Inputs!$B$32,0)))*(1-IF(AND(ArtifactsInput!$M$27,Inputs!$B$4="Chapter Hunt"),CHOOSE(ArtifactsInput!$N$27+1,20,24,28,32,36,40),0)/100)))+1)),0)</f>
        <v>2</v>
      </c>
      <c r="S1359">
        <f>IF(C1359,(H1359*N1359*IF(AND(Inputs!$B$38&lt;&gt;"pvp",Inputs!$B$43&gt;0),((Skills!G13*((R1359-1)*IF(Skills!H13&gt;0,Skills!I13/Skills!H13,1)+IF(Skills!H13&gt;0,MIN(Skills!I13,MAX(0,MAX(0,Inputs!$B$43-B1384)-((R1359-1)*(IF(Inputs!$B$38="pvp",15,MAX(0.1,Skills!E13-IF(TRUE=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482533146484459</v>
      </c>
      <c r="U1359">
        <f>IF(C1359,(H1359*N1359*IF(AND(Inputs!$B$38&lt;&gt;"pvp",Inputs!$B$43&gt;0),((Skills!G13*((R1359-1)*IF(Skills!H13&gt;0,Skills!I13/Skills!H13,1)+IF(Skills!H13&gt;0,MIN(Skills!I13,MAX(0,MAX(0,Inputs!$B$43-B1384)-((R1359-1)*(IF(Inputs!$B$38="pvp",15,MAX(0.1,Skills!E13-IF(TRUE=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3207247128210584</v>
      </c>
    </row>
    <row r="1360" spans="1:26" x14ac:dyDescent="0.2">
      <c r="A1360" t="str">
        <f>Skills!A14</f>
        <v>METEOR_PROC</v>
      </c>
      <c r="B1360" t="str">
        <f>Skills!B14</f>
        <v>Meteor Proc (30% on-hit, 1s ICD)</v>
      </c>
      <c r="C1360" t="b">
        <f>Inputs!$B$3&gt;=113</f>
        <v>1</v>
      </c>
      <c r="D1360">
        <f>IF(Skills!C14=1,60+Inputs!$B$25+Inputs!$B$29,IF(Skills!C14=2,90+Inputs!$B$26+Inputs!$B$29,IF(Skills!C14=3,120+Inputs!$B$27+Inputs!$B$29,MAX(0,(Inputs!$B$3-100)*3)+Inputs!$B$28+Inputs!$B$29)))</f>
        <v>185</v>
      </c>
      <c r="E1360">
        <f>INDEX(FactorTable!$B$2:$Y$301, MATCH(ROUND(MIN(300,MAX(1,D1360)),0), FactorTable!$A$2:$A$301,0), Skills!M14+1)</f>
        <v>1740</v>
      </c>
      <c r="F1360">
        <f>IF(Skills!N14=TRUE,(Skills!L14/10)*(E1360/1000),Skills!L14/10)+Skills!O14</f>
        <v>1653</v>
      </c>
      <c r="G1360">
        <f>Calc!G14</f>
        <v>0</v>
      </c>
      <c r="H1360">
        <f>Calc!H14</f>
        <v>0.30000000000000004</v>
      </c>
      <c r="I1360">
        <f>IF(Skills!X14&lt;&gt;"",1+(Skills!X14/10)*(Z1349/1000)/100,1)</f>
        <v>1</v>
      </c>
      <c r="J1360">
        <f>((Inputs!$B$6*(1+Inputs!$B$7/100))+(((Inputs!$B$12*(1+Inputs!$B$13/100))-(Inputs!$B$12*(1+Inputs!$B$13/100)))+0.25*(Inputs!$B$14-Inputs!$B$14))*(1+Inputs!$B$7/100))*(F1360/100)</f>
        <v>5969553638.5932312</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29995411428430.203</v>
      </c>
      <c r="L1360">
        <f>K1360*(MIN(Inputs!$B$22+(F1368-Calc!F22),(Inputs!$B$23+(IF(ArtifactsInput!$M$15,CHOOSE(ArtifactsInput!$N$15+1,25,30,35,40,45,50)/100*(Inputs!$B$11-Inputs!$B$11),0))))/100+(Inputs!$B$23+(IF(ArtifactsInput!$M$15,CHOOSE(ArtifactsInput!$N$15+1,25,30,35,40,45,50)/100*(Inputs!$B$11-Inputs!$B$11),0)))/100)/2</f>
        <v>99734742999530.438</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484112442519720.69</v>
      </c>
      <c r="N1360">
        <f>L1360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484112442519720.69</v>
      </c>
      <c r="O1360">
        <f>(1-Summary!$B$11)*S1360+Summary!$B$11*U1360</f>
        <v>474453759457118.12</v>
      </c>
      <c r="P1360">
        <f>IF(B1387=0,0,O1360/B1387)</f>
        <v>1.3733358498856369E-2</v>
      </c>
      <c r="Q1360">
        <f>IFERROR(1/(IF(Inputs!$B$38="pvp",15,MAX(0.1,Skills!E14-IF(TRUE=TRUE,Inputs!$B$32,0)))*(1-IF(AND(ArtifactsInput!$M$27,Inputs!$B$4="Chapter Hunt"),CHOOSE(ArtifactsInput!$N$27+1,20,24,28,32,36,40),0)/100)),0)</f>
        <v>10</v>
      </c>
      <c r="R1360">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486737351934972.38</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462170166979263.94</v>
      </c>
    </row>
    <row r="1361" spans="1:21" x14ac:dyDescent="0.2">
      <c r="A1361" t="str">
        <f>Skills!A15</f>
        <v>FLAME_HAZE_BURST</v>
      </c>
      <c r="B1361" t="str">
        <f>Skills!B15</f>
        <v>Flame Haze (burst)</v>
      </c>
      <c r="C1361" t="b">
        <f>Inputs!$B$3&gt;=107</f>
        <v>1</v>
      </c>
      <c r="D1361">
        <f>IF(Skills!C15=1,60+Inputs!$B$25+Inputs!$B$29,IF(Skills!C15=2,90+Inputs!$B$26+Inputs!$B$29,IF(Skills!C15=3,120+Inputs!$B$27+Inputs!$B$29,MAX(0,(Inputs!$B$3-100)*3)+Inputs!$B$28+Inputs!$B$29)))</f>
        <v>185</v>
      </c>
      <c r="E1361">
        <f>INDEX(FactorTable!$B$2:$Y$301, MATCH(ROUND(MIN(300,MAX(1,D1361)),0), FactorTable!$A$2:$A$301,0), Skills!M15+1)</f>
        <v>1925</v>
      </c>
      <c r="F1361">
        <f>IF(Skills!N15=TRUE,(Skills!L15/10)*(E1361/1000),Skills!L15/10)+Skills!O15</f>
        <v>2310</v>
      </c>
      <c r="G1361">
        <f>Calc!G15</f>
        <v>3</v>
      </c>
      <c r="H1361">
        <f>Calc!H15</f>
        <v>1</v>
      </c>
      <c r="I1361">
        <f>IF(Skills!X15&lt;&gt;"",1+(Skills!X15/10)*(Z1349/1000)/100,1)</f>
        <v>1</v>
      </c>
      <c r="J1361">
        <f>((Inputs!$B$6*(1+Inputs!$B$7/100))+(((Inputs!$B$12*(1+Inputs!$B$13/100))-(Inputs!$B$12*(1+Inputs!$B$13/100)))+0.25*(Inputs!$B$14-Inputs!$B$14))*(1+Inputs!$B$7/100))*(F1361/100)</f>
        <v>8342207444.1321011</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41917362613232.781</v>
      </c>
      <c r="L1361">
        <f>K1361*(MIN(Inputs!$B$22+(F1368-Calc!F22),(Inputs!$B$23+(IF(ArtifactsInput!$M$15,CHOOSE(ArtifactsInput!$N$15+1,25,30,35,40,45,50)/100*(Inputs!$B$11-Inputs!$B$11),0))))/100+(Inputs!$B$23+(IF(ArtifactsInput!$M$15,CHOOSE(ArtifactsInput!$N$15+1,25,30,35,40,45,50)/100*(Inputs!$B$11-Inputs!$B$11),0)))/100)/2</f>
        <v>139375230688999</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676527369764401</v>
      </c>
      <c r="N1361">
        <f>L1361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676527369764401</v>
      </c>
      <c r="O1361">
        <f>(1-Summary!$B$11)*S1361+Summary!$B$11*U1361</f>
        <v>1688104919404621.2</v>
      </c>
      <c r="P1361">
        <f>IF(B1387=0,0,O1361/B1387)</f>
        <v>4.8863244478015454E-2</v>
      </c>
      <c r="Q1361">
        <f>IFERROR(1/(IF(Inputs!$B$38="pvp",15,MAX(0.1,Skills!E15-IF(TRUE=TRUE,Inputs!$B$32,0)))*(1-IF(AND(ArtifactsInput!$M$27,Inputs!$B$4="Chapter Hunt"),CHOOSE(ArtifactsInput!$N$27+1,20,24,28,32,36,40),0)/100)),0)</f>
        <v>0.04</v>
      </c>
      <c r="R1361">
        <f>IF(AND(Inputs!$B$38&lt;&gt;"pvp",Inputs!$B$43&gt;0),IF(MAX(0,Inputs!$B$43-B1384)&lt;=0,0,(INT(MAX(0,Inputs!$B$43-B1384)/(IF(Inputs!$B$38="pvp",15,MAX(0.1,Skills!E15-IF(TRUE=TRUE,Inputs!$B$32,0)))*(1-IF(AND(ArtifactsInput!$M$27,Inputs!$B$4="Chapter Hunt"),CHOOSE(ArtifactsInput!$N$27+1,20,24,28,32,36,40),0)/100)))+1)),0)</f>
        <v>2</v>
      </c>
      <c r="S1361">
        <f>IF(C1361,(H1361*N1361*IF(AND(Inputs!$B$38&lt;&gt;"pvp",Inputs!$B$43&gt;0),((Skills!G15*((R1361-1)*IF(Skills!H15&gt;0,Skills!I15/Skills!H15,1)+IF(Skills!H15&gt;0,MIN(Skills!I15,MAX(0,MAX(0,Inputs!$B$43-B1384)-((R1361-1)*(IF(Inputs!$B$38="pvp",15,MAX(0.1,Skills!E15-IF(TRUE=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321688764322972.62</v>
      </c>
      <c r="U1361">
        <f>IF(C1361,(H1361*N1361*IF(AND(Inputs!$B$38&lt;&gt;"pvp",Inputs!$B$43&gt;0),((Skills!G15*((R1361-1)*IF(Skills!H15&gt;0,Skills!I15/Skills!H15,1)+IF(Skills!H15&gt;0,MIN(Skills!I15,MAX(0,MAX(0,Inputs!$B$43-B1384)-((R1361-1)*(IF(Inputs!$B$38="pvp",15,MAX(0.1,Skills!E15-IF(TRUE=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3054521074486270</v>
      </c>
    </row>
    <row r="1362" spans="1:21" x14ac:dyDescent="0.2">
      <c r="A1362" t="str">
        <f>Skills!A16</f>
        <v>FLAME_HAZE_DOT</v>
      </c>
      <c r="B1362" t="str">
        <f>Skills!B16</f>
        <v>Flame Haze (burn DoT)</v>
      </c>
      <c r="C1362" t="b">
        <f>Inputs!$B$3&gt;=107</f>
        <v>1</v>
      </c>
      <c r="D1362">
        <f>IF(Skills!C16=1,60+Inputs!$B$25+Inputs!$B$29,IF(Skills!C16=2,90+Inputs!$B$26+Inputs!$B$29,IF(Skills!C16=3,120+Inputs!$B$27+Inputs!$B$29,MAX(0,(Inputs!$B$3-100)*3)+Inputs!$B$28+Inputs!$B$29)))</f>
        <v>185</v>
      </c>
      <c r="E1362">
        <f>INDEX(FactorTable!$B$2:$Y$301, MATCH(ROUND(MIN(300,MAX(1,D1362)),0), FactorTable!$A$2:$A$301,0), Skills!M16+1)</f>
        <v>1925</v>
      </c>
      <c r="F1362">
        <f>IF(Skills!N16=TRUE,(Skills!L16/10)*(E1362/1000),Skills!L16/10)+Skills!O16</f>
        <v>288.75</v>
      </c>
      <c r="G1362">
        <f>Calc!G16</f>
        <v>30</v>
      </c>
      <c r="H1362">
        <f>Calc!H16</f>
        <v>1</v>
      </c>
      <c r="I1362">
        <f>IF(Skills!X16&lt;&gt;"",1+(Skills!X16/10)*(Z1349/1000)/100,1)</f>
        <v>1</v>
      </c>
      <c r="J1362">
        <f>((Inputs!$B$6*(1+Inputs!$B$7/100))+(((Inputs!$B$12*(1+Inputs!$B$13/100))-(Inputs!$B$12*(1+Inputs!$B$13/100)))+0.25*(Inputs!$B$14-Inputs!$B$14))*(1+Inputs!$B$7/100))*(F1362/100)</f>
        <v>1042775930.5165126</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5239670326654.0977</v>
      </c>
      <c r="L1362">
        <f>K1362*(MIN(Inputs!$B$22+(F1368-Calc!F22),(Inputs!$B$23+(IF(ArtifactsInput!$M$15,CHOOSE(ArtifactsInput!$N$15+1,25,30,35,40,45,50)/100*(Inputs!$B$11-Inputs!$B$11),0))))/100+(Inputs!$B$23+(IF(ArtifactsInput!$M$15,CHOOSE(ArtifactsInput!$N$15+1,25,30,35,40,45,50)/100*(Inputs!$B$11-Inputs!$B$11),0)))/100)/2</f>
        <v>17421903836124.875</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84565921220550.125</v>
      </c>
      <c r="N1362">
        <f>L1362*(1-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84565921220550.125</v>
      </c>
      <c r="O1362">
        <f>(1-Summary!$B$11)*S1362+Summary!$B$11*U1362</f>
        <v>1944464598425362.8</v>
      </c>
      <c r="P1362">
        <f>IF(B1387=0,0,O1362/B1387)</f>
        <v>5.6283734476181013E-2</v>
      </c>
      <c r="Q1362">
        <f>IFERROR(1/(IF(Inputs!$B$38="pvp",15,MAX(0.1,Skills!E16-IF(TRUE=TRUE,Inputs!$B$32,0)))*(1-IF(AND(ArtifactsInput!$M$27,Inputs!$B$4="Chapter Hunt"),CHOOSE(ArtifactsInput!$N$27+1,20,24,28,32,36,40),0)/100)),0)</f>
        <v>0.04</v>
      </c>
      <c r="R1362">
        <f>IF(AND(Inputs!$B$38&lt;&gt;"pvp",Inputs!$B$43&gt;0),IF(MAX(0,Inputs!$B$43-B1384)&lt;=0,0,(INT(MAX(0,Inputs!$B$43-B1384)/(IF(Inputs!$B$38="pvp",15,MAX(0.1,Skills!E16-IF(TRUE=TRUE,Inputs!$B$32,0)))*(1-IF(AND(ArtifactsInput!$M$27,Inputs!$B$4="Chapter Hunt"),CHOOSE(ArtifactsInput!$N$27+1,20,24,28,32,36,40),0)/100)))+1)),0)</f>
        <v>2</v>
      </c>
      <c r="S1362">
        <f>IF(C1362,(H1362*N1362*IF(AND(Inputs!$B$38&lt;&gt;"pvp",Inputs!$B$43&gt;0),((Skills!G16*((R1362-1)*IF(Skills!H16&gt;0,Skills!I16/Skills!H16,1)+IF(Skills!H16&gt;0,MIN(Skills!I16,MAX(0,MAX(0,Inputs!$B$43-B1384)-((R1362-1)*(IF(Inputs!$B$38="pvp",15,MAX(0.1,Skills!E16-IF(TRUE=TRUE,Inputs!$B$32,0)))*(1-IF(AND(ArtifactsInput!$M$27,Inputs!$B$4="Chapter Hunt"),CHOOSE(ArtifactsInput!$N$27+1,20,24,28,32,36,40),0)/100)))))/Skills!H16,1)))/Inputs!$B$43),G1362*Q1362)*(1+IF(Inputs!$B$3&gt;=126,0.05*(B1382+Q1359+(H1360*B1383)/(1+Skills!H14*H1360*B1383)+Q1370),0)*(1/Q1361)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370541194890796.5</v>
      </c>
      <c r="U1362">
        <f>IF(C1362,(H1362*N1362*IF(AND(Inputs!$B$38&lt;&gt;"pvp",Inputs!$B$43&gt;0),((Skills!G16*((R1362-1)*IF(Skills!H16&gt;0,Skills!I16/Skills!H16,1)+IF(Skills!H16&gt;0,MIN(Skills!I16,MAX(0,MAX(0,Inputs!$B$43-B1384)-((R1362-1)*(IF(Inputs!$B$38="pvp",15,MAX(0.1,Skills!E16-IF(TRUE=TRUE,Inputs!$B$32,0)))*(1-IF(AND(ArtifactsInput!$M$27,Inputs!$B$4="Chapter Hunt"),CHOOSE(ArtifactsInput!$N$27+1,20,24,28,32,36,40),0)/100)))))/Skills!H16,1)))/Inputs!$B$43),G1362*Q1362)*(1+IF(Inputs!$B$3&gt;=126,0.05*(B1382+Q1359+(H1360*B1383)/(1+Skills!H14*H1360*B1383)+Q1370),0)*(1/Q1361)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3518388001959929</v>
      </c>
    </row>
    <row r="1363" spans="1:21" x14ac:dyDescent="0.2">
      <c r="A1363" t="str">
        <f>Skills!A17</f>
        <v>MAGIC_GUARD</v>
      </c>
      <c r="B1363" t="str">
        <f>Skills!B17</f>
        <v>Magic Guard</v>
      </c>
      <c r="C1363" t="b">
        <f>TRUE</f>
        <v>1</v>
      </c>
      <c r="D1363">
        <f>IF(Skills!C17=1,60+Inputs!$B$25+Inputs!$B$29,IF(Skills!C17=2,90+Inputs!$B$26+Inputs!$B$29,IF(Skills!C17=3,120+Inputs!$B$27+Inputs!$B$29,MAX(0,(Inputs!$B$3-100)*3)+Inputs!$B$28+Inputs!$B$29)))</f>
        <v>127</v>
      </c>
      <c r="E1363">
        <f>INDEX(FactorTable!$B$2:$Y$301, MATCH(ROUND(MIN(300,MAX(1,D1363)),0), FactorTable!$A$2:$A$301,0), Skills!M17+1)</f>
        <v>1508</v>
      </c>
      <c r="F1363">
        <f>IF(Skills!N17=TRUE,(Skills!L17/10)*(E1363/1000),Skills!L17/10)+Skills!O17</f>
        <v>18.096</v>
      </c>
      <c r="G1363">
        <f>Calc!G17</f>
        <v>1</v>
      </c>
      <c r="H1363">
        <f>Calc!H17</f>
        <v>1</v>
      </c>
      <c r="I1363">
        <f>IF(Skills!X17&lt;&gt;"",1+(Skills!X17/10)*(Z1349/1000)/100,1)</f>
        <v>1</v>
      </c>
      <c r="O1363">
        <f>(1-Summary!$B$11)*S1363+Summary!$B$11*U1363</f>
        <v>0</v>
      </c>
      <c r="P1363">
        <f>IF(B1387=0,0,O1363/B1387)</f>
        <v>0</v>
      </c>
      <c r="Q1363">
        <f>IFERROR(1/(IF(Inputs!$B$38="pvp",15,MAX(0.1,Skills!E17-IF(TRUE=TRUE,Inputs!$B$32,0)))*(1-IF(AND(ArtifactsInput!$M$27,Inputs!$B$4="Chapter Hunt"),CHOOSE(ArtifactsInput!$N$27+1,20,24,28,32,36,40),0)/100)),0)</f>
        <v>4.7619047619047616E-2</v>
      </c>
      <c r="R1363">
        <f>IF(AND(Inputs!$B$38&lt;&gt;"pvp",Inputs!$B$43&gt;0),IF(Inputs!$B$43&lt;=0,0,(INT(Inputs!$B$43/(IF(Inputs!$B$38="pvp",15,MAX(0.1,Skills!E17-IF(TRUE=TRUE,Inputs!$B$32,0)))*(1-IF(AND(ArtifactsInput!$M$27,Inputs!$B$4="Chapter Hunt"),CHOOSE(ArtifactsInput!$N$27+1,20,24,28,32,36,40),0)/100)))+1)),0)</f>
        <v>2</v>
      </c>
      <c r="S1363">
        <v>0</v>
      </c>
      <c r="U1363">
        <v>0</v>
      </c>
    </row>
    <row r="1364" spans="1:21" x14ac:dyDescent="0.2">
      <c r="A1364" t="str">
        <f>Skills!A18</f>
        <v>NIMBLE_FEET</v>
      </c>
      <c r="B1364" t="str">
        <f>Skills!B18</f>
        <v>Nimble Feet</v>
      </c>
      <c r="C1364" t="b">
        <f>TRUE</f>
        <v>1</v>
      </c>
      <c r="D1364">
        <f>IF(Skills!C18=1,60+Inputs!$B$25+Inputs!$B$29,IF(Skills!C18=2,90+Inputs!$B$26+Inputs!$B$29,IF(Skills!C18=3,120+Inputs!$B$27+Inputs!$B$29,MAX(0,(Inputs!$B$3-100)*3)+Inputs!$B$28+Inputs!$B$29)))</f>
        <v>127</v>
      </c>
      <c r="E1364">
        <f>INDEX(FactorTable!$B$2:$Y$301, MATCH(ROUND(MIN(300,MAX(1,D1364)),0), FactorTable!$A$2:$A$301,0), Skills!M18+1)</f>
        <v>0</v>
      </c>
      <c r="F1364">
        <f>IF(Skills!N18=TRUE,(Skills!L18/10)*(E1364/1000),Skills!L18/10)+Skills!O18</f>
        <v>15</v>
      </c>
      <c r="G1364">
        <f>Calc!G18</f>
        <v>1</v>
      </c>
      <c r="H1364">
        <f>Calc!H18</f>
        <v>1</v>
      </c>
      <c r="I1364">
        <f>IF(Skills!X18&lt;&gt;"",1+(Skills!X18/10)*(Z1349/1000)/100,1)</f>
        <v>1</v>
      </c>
      <c r="O1364">
        <f>(1-Summary!$B$11)*S1364+Summary!$B$11*U1364</f>
        <v>0</v>
      </c>
      <c r="P1364">
        <f>IF(B1387=0,0,O1364/B1387)</f>
        <v>0</v>
      </c>
      <c r="Q1364">
        <f>IFERROR(1/(IF(Inputs!$B$38="pvp",15,MAX(0.1,Skills!E18-IF(TRUE=TRUE,Inputs!$B$32,0)))*(1-IF(AND(ArtifactsInput!$M$27,Inputs!$B$4="Chapter Hunt"),CHOOSE(ArtifactsInput!$N$27+1,20,24,28,32,36,40),0)/100)),0)</f>
        <v>1.6666666666666666E-2</v>
      </c>
      <c r="R1364">
        <f>IF(AND(Inputs!$B$38&lt;&gt;"pvp",Inputs!$B$43&gt;0),IF(Inputs!$B$43&lt;=0,0,(INT(Inputs!$B$43/(IF(Inputs!$B$38="pvp",15,MAX(0.1,Skills!E18-IF(TRUE=TRUE,Inputs!$B$32,0)))*(1-IF(AND(ArtifactsInput!$M$27,Inputs!$B$4="Chapter Hunt"),CHOOSE(ArtifactsInput!$N$27+1,20,24,28,32,36,40),0)/100)))+1)),0)</f>
        <v>1</v>
      </c>
      <c r="S1364">
        <v>0</v>
      </c>
      <c r="U1364">
        <v>0</v>
      </c>
    </row>
    <row r="1365" spans="1:21" x14ac:dyDescent="0.2">
      <c r="A1365" t="str">
        <f>Skills!A19</f>
        <v>INFINITY</v>
      </c>
      <c r="B1365" t="str">
        <f>Skills!B19</f>
        <v>Infinity</v>
      </c>
      <c r="C1365" t="b">
        <f>Inputs!$B$3&gt;=110</f>
        <v>1</v>
      </c>
      <c r="D1365">
        <f>IF(Skills!C19=1,60+Inputs!$B$25+Inputs!$B$29,IF(Skills!C19=2,90+Inputs!$B$26+Inputs!$B$29,IF(Skills!C19=3,120+Inputs!$B$27+Inputs!$B$29,MAX(0,(Inputs!$B$3-100)*3)+Inputs!$B$28+Inputs!$B$29)))</f>
        <v>185</v>
      </c>
      <c r="E1365">
        <f>INDEX(FactorTable!$B$2:$Y$301, MATCH(ROUND(MIN(300,MAX(1,D1365)),0), FactorTable!$A$2:$A$301,0), Skills!M19+1)</f>
        <v>1740</v>
      </c>
      <c r="F1365">
        <f>IF(Skills!N19=TRUE,(Skills!L19/10)*(E1365/1000),Skills!L19/10)+Skills!O19</f>
        <v>37.700579999999995</v>
      </c>
      <c r="G1365">
        <f>Calc!G19</f>
        <v>1</v>
      </c>
      <c r="H1365">
        <f>Calc!H19</f>
        <v>1</v>
      </c>
      <c r="I1365">
        <f>IF(Skills!X19&lt;&gt;"",1+(Skills!X19/10)*(Z1349/1000)/100,1)</f>
        <v>1</v>
      </c>
      <c r="O1365">
        <f>(1-Summary!$B$11)*S1365+Summary!$B$11*U1365</f>
        <v>0</v>
      </c>
      <c r="P1365">
        <f>IF(B1387=0,0,O1365/B1387)</f>
        <v>0</v>
      </c>
      <c r="Q1365">
        <f>IFERROR(1/(IF(Inputs!$B$38="pvp",15,MAX(0.1,Skills!E19-IF(TRUE=TRUE,Inputs!$B$32,0)))*(1-IF(AND(ArtifactsInput!$M$27,Inputs!$B$4="Chapter Hunt"),CHOOSE(ArtifactsInput!$N$27+1,20,24,28,32,36,40),0)/100)),0)</f>
        <v>3.3333333333333333E-2</v>
      </c>
      <c r="R1365">
        <f>IF(AND(Inputs!$B$38&lt;&gt;"pvp",Inputs!$B$43&gt;0),IF(Inputs!$B$43&lt;=0,0,(INT(Inputs!$B$43/(IF(Inputs!$B$38="pvp",15,MAX(0.1,Skills!E19-IF(TRUE=TRUE,Inputs!$B$32,0)))*(1-IF(AND(ArtifactsInput!$M$27,Inputs!$B$4="Chapter Hunt"),CHOOSE(ArtifactsInput!$N$27+1,20,24,28,32,36,40),0)/100)))+1)),0)</f>
        <v>2</v>
      </c>
      <c r="S1365">
        <v>0</v>
      </c>
      <c r="U1365">
        <v>0</v>
      </c>
    </row>
    <row r="1366" spans="1:21" x14ac:dyDescent="0.2">
      <c r="A1366" t="str">
        <f>Skills!A20</f>
        <v>MAGIC_CRITICAL_RATE</v>
      </c>
      <c r="B1366" t="str">
        <f>Skills!B20</f>
        <v>Magic Critical (Crit Rate)</v>
      </c>
      <c r="C1366" t="b">
        <f>TRUE</f>
        <v>1</v>
      </c>
      <c r="D1366">
        <f>IF(Skills!C20=1,60+Inputs!$B$25+Inputs!$B$29,IF(Skills!C20=2,90+Inputs!$B$26+Inputs!$B$29,IF(Skills!C20=3,120+Inputs!$B$27+Inputs!$B$29,MAX(0,(Inputs!$B$3-100)*3)+Inputs!$B$28+Inputs!$B$29)))</f>
        <v>184</v>
      </c>
      <c r="E1366">
        <f>INDEX(FactorTable!$B$2:$Y$301, MATCH(ROUND(MIN(300,MAX(1,D1366)),0), FactorTable!$A$2:$A$301,0), Skills!M20+1)</f>
        <v>1552</v>
      </c>
      <c r="F1366">
        <f>IF(Skills!N20=TRUE,(Skills!L20/10)*(E1366/1000),Skills!L20/10)+Skills!O20</f>
        <v>12.416</v>
      </c>
      <c r="G1366">
        <f>Calc!G20</f>
        <v>1</v>
      </c>
      <c r="H1366">
        <f>Calc!H20</f>
        <v>1</v>
      </c>
      <c r="I1366">
        <f>IF(Skills!X20&lt;&gt;"",1+(Skills!X20/10)*(Z1349/1000)/100,1)</f>
        <v>1</v>
      </c>
      <c r="O1366">
        <f>(1-Summary!$B$11)*S1366+Summary!$B$11*U1366</f>
        <v>0</v>
      </c>
      <c r="P1366">
        <f>IF(B1387=0,0,O1366/B1387)</f>
        <v>0</v>
      </c>
      <c r="Q1366">
        <f>IFERROR(1/(IF(Inputs!$B$38="pvp",15,MAX(0.1,Skills!E20-IF(TRUE=TRUE,Inputs!$B$32,0)))*(1-IF(AND(ArtifactsInput!$M$27,Inputs!$B$4="Chapter Hunt"),CHOOSE(ArtifactsInput!$N$27+1,20,24,28,32,36,40),0)/100)),0)</f>
        <v>10</v>
      </c>
      <c r="R1366">
        <v>0</v>
      </c>
      <c r="S1366">
        <v>0</v>
      </c>
      <c r="U1366">
        <v>0</v>
      </c>
    </row>
    <row r="1367" spans="1:21" x14ac:dyDescent="0.2">
      <c r="A1367" t="str">
        <f>Skills!A21</f>
        <v>MAGIC_CRITICAL_DAMAGE</v>
      </c>
      <c r="B1367" t="str">
        <f>Skills!B21</f>
        <v>Magic Critical (Crit Damage)</v>
      </c>
      <c r="C1367" t="b">
        <f>TRUE</f>
        <v>1</v>
      </c>
      <c r="D1367">
        <f>IF(Skills!C21=1,60+Inputs!$B$25+Inputs!$B$29,IF(Skills!C21=2,90+Inputs!$B$26+Inputs!$B$29,IF(Skills!C21=3,120+Inputs!$B$27+Inputs!$B$29,MAX(0,(Inputs!$B$3-100)*3)+Inputs!$B$28+Inputs!$B$29)))</f>
        <v>184</v>
      </c>
      <c r="E1367">
        <f>INDEX(FactorTable!$B$2:$Y$301, MATCH(ROUND(MIN(300,MAX(1,D1367)),0), FactorTable!$A$2:$A$301,0), Skills!M21+1)</f>
        <v>1552</v>
      </c>
      <c r="F1367">
        <f>IF(Skills!N21=TRUE,(Skills!L21/10)*(E1367/1000),Skills!L21/10)+Skills!O21</f>
        <v>18.624000000000002</v>
      </c>
      <c r="G1367">
        <f>Calc!G21</f>
        <v>1</v>
      </c>
      <c r="H1367">
        <f>Calc!H21</f>
        <v>1</v>
      </c>
      <c r="I1367">
        <f>IF(Skills!X21&lt;&gt;"",1+(Skills!X21/10)*(Z1349/1000)/100,1)</f>
        <v>1</v>
      </c>
      <c r="O1367">
        <f>(1-Summary!$B$11)*S1367+Summary!$B$11*U1367</f>
        <v>0</v>
      </c>
      <c r="P1367">
        <f>IF(B1387=0,0,O1367/B1387)</f>
        <v>0</v>
      </c>
      <c r="Q1367">
        <f>IFERROR(1/(IF(Inputs!$B$38="pvp",15,MAX(0.1,Skills!E21-IF(TRUE=TRUE,Inputs!$B$32,0)))*(1-IF(AND(ArtifactsInput!$M$27,Inputs!$B$4="Chapter Hunt"),CHOOSE(ArtifactsInput!$N$27+1,20,24,28,32,36,40),0)/100)),0)</f>
        <v>10</v>
      </c>
      <c r="R1367">
        <v>0</v>
      </c>
      <c r="S1367">
        <v>0</v>
      </c>
      <c r="U1367">
        <v>0</v>
      </c>
    </row>
    <row r="1368" spans="1:21" x14ac:dyDescent="0.2">
      <c r="A1368" t="str">
        <f>Skills!A22</f>
        <v>SPELL_MASTERY</v>
      </c>
      <c r="B1368" t="str">
        <f>Skills!B22</f>
        <v>Spell Mastery</v>
      </c>
      <c r="C1368" t="b">
        <f>TRUE</f>
        <v>1</v>
      </c>
      <c r="D1368">
        <f>IF(Skills!C22=1,60+Inputs!$B$25+Inputs!$B$29,IF(Skills!C22=2,90+Inputs!$B$26+Inputs!$B$29,IF(Skills!C22=3,120+Inputs!$B$27+Inputs!$B$29,MAX(0,(Inputs!$B$3-100)*3)+Inputs!$B$28+Inputs!$B$29)))</f>
        <v>168</v>
      </c>
      <c r="E1368">
        <f>INDEX(FactorTable!$B$2:$Y$301, MATCH(ROUND(MIN(300,MAX(1,D1368)),0), FactorTable!$A$2:$A$301,0), Skills!M22+1)</f>
        <v>1504</v>
      </c>
      <c r="F1368">
        <f>IF(Skills!N22=TRUE,(Skills!L22/10)*(E1368/1000),Skills!L22/10)+Skills!O22</f>
        <v>22.56</v>
      </c>
      <c r="G1368">
        <f>Calc!G22</f>
        <v>1</v>
      </c>
      <c r="H1368">
        <f>Calc!H22</f>
        <v>1</v>
      </c>
      <c r="I1368">
        <f>IF(Skills!X22&lt;&gt;"",1+(Skills!X22/10)*(Z1349/1000)/100,1)</f>
        <v>1</v>
      </c>
      <c r="O1368">
        <f>(1-Summary!$B$11)*S1368+Summary!$B$11*U1368</f>
        <v>0</v>
      </c>
      <c r="P1368">
        <f>IF(B1387=0,0,O1368/B1387)</f>
        <v>0</v>
      </c>
      <c r="Q1368">
        <f>IFERROR(1/(IF(Inputs!$B$38="pvp",15,MAX(0.1,Skills!E22-IF(TRUE=TRUE,Inputs!$B$32,0)))*(1-IF(AND(ArtifactsInput!$M$27,Inputs!$B$4="Chapter Hunt"),CHOOSE(ArtifactsInput!$N$27+1,20,24,28,32,36,40),0)/100)),0)</f>
        <v>10</v>
      </c>
      <c r="R1368">
        <v>0</v>
      </c>
      <c r="S1368">
        <v>0</v>
      </c>
      <c r="U1368">
        <v>0</v>
      </c>
    </row>
    <row r="1369" spans="1:21" x14ac:dyDescent="0.2">
      <c r="A1369" t="str">
        <f>Skills!A23</f>
        <v>ELEMENT_AMPLIFICATION</v>
      </c>
      <c r="B1369" t="str">
        <f>Skills!B23</f>
        <v>Element Amplification</v>
      </c>
      <c r="C1369" t="b">
        <f>TRUE</f>
        <v>1</v>
      </c>
      <c r="D1369">
        <f>IF(Skills!C23=1,60+Inputs!$B$25+Inputs!$B$29,IF(Skills!C23=2,90+Inputs!$B$26+Inputs!$B$29,IF(Skills!C23=3,120+Inputs!$B$27+Inputs!$B$29,MAX(0,(Inputs!$B$3-100)*3)+Inputs!$B$28+Inputs!$B$29)))</f>
        <v>185</v>
      </c>
      <c r="E1369">
        <f>INDEX(FactorTable!$B$2:$Y$301, MATCH(ROUND(MIN(300,MAX(1,D1369)),0), FactorTable!$A$2:$A$301,0), Skills!M23+1)</f>
        <v>1555</v>
      </c>
      <c r="F1369">
        <f>IF(Skills!N23=TRUE,(Skills!L23/10)*(E1369/1000),Skills!L23/10)+Skills!O23</f>
        <v>23.324999999999999</v>
      </c>
      <c r="G1369">
        <f>Calc!G23</f>
        <v>1</v>
      </c>
      <c r="H1369">
        <f>Calc!H23</f>
        <v>1</v>
      </c>
      <c r="I1369">
        <f>IF(Skills!X23&lt;&gt;"",1+(Skills!X23/10)*(Z1349/1000)/100,1)</f>
        <v>1</v>
      </c>
      <c r="O1369">
        <f>(1-Summary!$B$11)*S1369+Summary!$B$11*U1369</f>
        <v>0</v>
      </c>
      <c r="P1369">
        <f>IF(B1387=0,0,O1369/B1387)</f>
        <v>0</v>
      </c>
      <c r="Q1369">
        <f>IFERROR(1/(IF(Inputs!$B$38="pvp",15,MAX(0.1,Skills!E23-IF(TRUE=TRUE,Inputs!$B$32,0)))*(1-IF(AND(ArtifactsInput!$M$27,Inputs!$B$4="Chapter Hunt"),CHOOSE(ArtifactsInput!$N$27+1,20,24,28,32,36,40),0)/100)),0)</f>
        <v>10</v>
      </c>
      <c r="R1369">
        <v>0</v>
      </c>
      <c r="S1369">
        <v>0</v>
      </c>
      <c r="U1369">
        <v>0</v>
      </c>
    </row>
    <row r="1370" spans="1:21" x14ac:dyDescent="0.2">
      <c r="A1370" t="str">
        <f>Skills!A24</f>
        <v>IFRIT</v>
      </c>
      <c r="B1370" t="str">
        <f>Skills!B24</f>
        <v>Ifrit</v>
      </c>
      <c r="C1370" t="b">
        <f>Inputs!$B$3&gt;=115</f>
        <v>1</v>
      </c>
      <c r="D1370">
        <f>IF(Skills!C24=1,60+Inputs!$B$25+Inputs!$B$29,IF(Skills!C24=2,90+Inputs!$B$26+Inputs!$B$29,IF(Skills!C24=3,120+Inputs!$B$27+Inputs!$B$29,MAX(0,(Inputs!$B$3-100)*3)+Inputs!$B$28+Inputs!$B$29)))</f>
        <v>185</v>
      </c>
      <c r="E1370">
        <f>INDEX(FactorTable!$B$2:$Y$301, MATCH(ROUND(MIN(300,MAX(1,D1370)),0), FactorTable!$A$2:$A$301,0), Skills!M24+1)</f>
        <v>1925</v>
      </c>
      <c r="F1370">
        <f>IF(Skills!N24=TRUE,(Skills!L24/10)*(E1370/1000),Skills!L24/10)+Skills!O24</f>
        <v>6737.5</v>
      </c>
      <c r="G1370">
        <f>Calc!G24</f>
        <v>7.5</v>
      </c>
      <c r="H1370">
        <f>Calc!H24</f>
        <v>1</v>
      </c>
      <c r="I1370">
        <f>IF(Skills!X24&lt;&gt;"",1+(Skills!X24/10)*(Z1349/1000)/100,1)</f>
        <v>1</v>
      </c>
      <c r="J1370">
        <f>((Inputs!$B$6*(1+Inputs!$B$7/100))+(((Inputs!$B$12*(1+Inputs!$B$13/100))-(Inputs!$B$12*(1+Inputs!$B$13/100)))+0.25*(Inputs!$B$14-Inputs!$B$14))*(1+Inputs!$B$7/100))*(F1370/100)</f>
        <v>24331438378.718628</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122258974288595.61</v>
      </c>
      <c r="L1370">
        <f>K1370*(MIN(Inputs!$B$22+(F1368-Calc!F22),(Inputs!$B$23+(IF(ArtifactsInput!$M$15,CHOOSE(ArtifactsInput!$N$15+1,25,30,35,40,45,50)/100*(Inputs!$B$11-Inputs!$B$11),0))))/100+(Inputs!$B$23+(IF(ArtifactsInput!$M$15,CHOOSE(ArtifactsInput!$N$15+1,25,30,35,40,45,50)/100*(Inputs!$B$11-Inputs!$B$11),0)))/100)/2</f>
        <v>406511089509580.44</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1973204828479503</v>
      </c>
      <c r="N1370">
        <f>L1370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1973204828479503</v>
      </c>
      <c r="O1370">
        <f>(1-Summary!$B$11)*S1370+Summary!$B$11*U1370</f>
        <v>2256853022573431.5</v>
      </c>
      <c r="P1370">
        <f>IF(B1387=0,0,O1370/B1387)</f>
        <v>6.532601127176825E-2</v>
      </c>
      <c r="Q1370">
        <f>IFERROR(1/(IF(Inputs!$B$38="pvp",15,MAX(0.1,Skills!E24-IF(TRUE=TRUE,Inputs!$B$32,0)))*(1-IF(AND(ArtifactsInput!$M$27,Inputs!$B$4="Chapter Hunt"),CHOOSE(ArtifactsInput!$N$27+1,20,24,28,32,36,40),0)/100)),0)</f>
        <v>1.2500000000000001E-2</v>
      </c>
      <c r="R1370">
        <f>IF(AND(Inputs!$B$38&lt;&gt;"pvp",Inputs!$B$43&gt;0),IF(MAX(0,Inputs!$B$43-B1384)&lt;=0,0,(INT(MAX(0,Inputs!$B$43-B1384)/(IF(Inputs!$B$38="pvp",15,MAX(0.1,Skills!E24-IF(TRUE=TRUE,Inputs!$B$32,0)))*(1-IF(AND(ArtifactsInput!$M$27,Inputs!$B$4="Chapter Hunt"),CHOOSE(ArtifactsInput!$N$27+1,20,24,28,32,36,40),0)/100)))+1)),0)</f>
        <v>1</v>
      </c>
      <c r="S1370">
        <f>IF(C1370,(H1370*N1370*IF(AND(Inputs!$B$38&lt;&gt;"pvp",Inputs!$B$43&gt;0),((Skills!G24*((R1370-1)*IF(Skills!H24&gt;0,Skills!I24/Skills!H24,1)+IF(Skills!H24&gt;0,MIN(Skills!I24,MAX(0,MAX(0,Inputs!$B$43-B1384)-((R1370-1)*(IF(Inputs!$B$38="pvp",15,MAX(0.1,Skills!E24-IF(TRUE=TRUE,Inputs!$B$32,0)))*(1-IF(AND(ArtifactsInput!$M$27,Inputs!$B$4="Chapter Hunt"),CHOOSE(ArtifactsInput!$N$27+1,20,24,28,32,36,40),0)/100)))))/Skills!H24,1)))/Inputs!$B$43),G1370*Q1370)*(1+IF(Inputs!$B$3&gt;=130,0.2*(Skills!I16/(1/Q1361)+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1172823619927504.5</v>
      </c>
      <c r="U1370">
        <f>IF(C1370,(H1370*N1370*IF(AND(Inputs!$B$38&lt;&gt;"pvp",Inputs!$B$43&gt;0),((Skills!G24*((R1370-1)*IF(Skills!H24&gt;0,Skills!I24/Skills!H24,1)+IF(Skills!H24&gt;0,MIN(Skills!I24,MAX(0,MAX(0,Inputs!$B$43-B1384)-((R1370-1)*(IF(Inputs!$B$38="pvp",15,MAX(0.1,Skills!E24-IF(TRUE=TRUE,Inputs!$B$32,0)))*(1-IF(AND(ArtifactsInput!$M$27,Inputs!$B$4="Chapter Hunt"),CHOOSE(ArtifactsInput!$N$27+1,20,24,28,32,36,40),0)/100)))))/Skills!H24,1)))/Inputs!$B$43),G1370*Q1370)*(1+IF(Inputs!$B$3&gt;=130,0.2*(Skills!I16/(1/Q1361)+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3340882425219358.5</v>
      </c>
    </row>
    <row r="1371" spans="1:21" x14ac:dyDescent="0.2">
      <c r="A1371" t="str">
        <f>Skills!A25</f>
        <v>BUFF_MASTERY</v>
      </c>
      <c r="B1371" t="str">
        <f>Skills!B25</f>
        <v>Buff Mastery</v>
      </c>
      <c r="C1371" t="b">
        <f>Inputs!$B$3&gt;=117</f>
        <v>1</v>
      </c>
      <c r="D1371">
        <f>IF(Skills!C25=1,60+Inputs!$B$25+Inputs!$B$29,IF(Skills!C25=2,90+Inputs!$B$26+Inputs!$B$29,IF(Skills!C25=3,120+Inputs!$B$27+Inputs!$B$29,MAX(0,(Inputs!$B$3-100)*3)+Inputs!$B$28+Inputs!$B$29)))</f>
        <v>185</v>
      </c>
      <c r="E1371">
        <f>INDEX(FactorTable!$B$2:$Y$301, MATCH(ROUND(MIN(300,MAX(1,D1371)),0), FactorTable!$A$2:$A$301,0), Skills!M25+1)</f>
        <v>1555</v>
      </c>
      <c r="F1371">
        <f>IF(Skills!N25=TRUE,(Skills!L25/10)*(E1371/1000),Skills!L25/10)+Skills!O25</f>
        <v>15.549999999999999</v>
      </c>
      <c r="G1371">
        <f>Calc!G25</f>
        <v>1</v>
      </c>
      <c r="H1371">
        <f>Calc!H25</f>
        <v>1</v>
      </c>
      <c r="I1371">
        <f>IF(Skills!X25&lt;&gt;"",1+(Skills!X25/10)*(Z1349/1000)/100,1)</f>
        <v>1</v>
      </c>
      <c r="O1371">
        <f>(1-Summary!$B$11)*S1371+Summary!$B$11*U1371</f>
        <v>0</v>
      </c>
      <c r="P1371">
        <f>IF(B1387=0,0,O1371/B1387)</f>
        <v>0</v>
      </c>
      <c r="Q1371">
        <f>IFERROR(1/(IF(Inputs!$B$38="pvp",15,MAX(0.1,Skills!E25-IF(TRUE=TRUE,Inputs!$B$32,0)))*(1-IF(AND(ArtifactsInput!$M$27,Inputs!$B$4="Chapter Hunt"),CHOOSE(ArtifactsInput!$N$27+1,20,24,28,32,36,40),0)/100)),0)</f>
        <v>10</v>
      </c>
      <c r="R1371">
        <v>0</v>
      </c>
      <c r="S1371">
        <v>0</v>
      </c>
      <c r="U1371">
        <v>0</v>
      </c>
    </row>
    <row r="1372" spans="1:21" x14ac:dyDescent="0.2">
      <c r="A1372" t="str">
        <f>Skills!A26</f>
        <v>ARCANE_AIM</v>
      </c>
      <c r="B1372" t="str">
        <f>Skills!B26</f>
        <v>Arcane Aim</v>
      </c>
      <c r="C1372" t="b">
        <f>Inputs!$B$3&gt;=120</f>
        <v>0</v>
      </c>
      <c r="D1372">
        <f>IF(Skills!C26=1,60+Inputs!$B$25+Inputs!$B$29,IF(Skills!C26=2,90+Inputs!$B$26+Inputs!$B$29,IF(Skills!C26=3,120+Inputs!$B$27+Inputs!$B$29,MAX(0,(Inputs!$B$3-100)*3)+Inputs!$B$28+Inputs!$B$29)))</f>
        <v>185</v>
      </c>
      <c r="E1372">
        <f>INDEX(FactorTable!$B$2:$Y$301, MATCH(ROUND(MIN(300,MAX(1,D1372)),0), FactorTable!$A$2:$A$301,0), Skills!M26+1)</f>
        <v>1555</v>
      </c>
      <c r="F1372">
        <f>IF(Skills!N26=TRUE,(Skills!L26/10)*(E1372/1000),Skills!L26/10)+Skills!O26</f>
        <v>4.665</v>
      </c>
      <c r="G1372">
        <f>Calc!G26</f>
        <v>1</v>
      </c>
      <c r="H1372">
        <f>Calc!H26</f>
        <v>1</v>
      </c>
      <c r="I1372">
        <f>IF(Skills!X26&lt;&gt;"",1+(Skills!X26/10)*(Z1349/1000)/100,1)</f>
        <v>1</v>
      </c>
      <c r="O1372">
        <f>(1-Summary!$B$11)*S1372+Summary!$B$11*U1372</f>
        <v>0</v>
      </c>
      <c r="P1372">
        <f>IF(B1387=0,0,O1372/B1387)</f>
        <v>0</v>
      </c>
      <c r="Q1372">
        <f>IFERROR(1/(IF(Inputs!$B$38="pvp",15,MAX(0.1,Skills!E26-IF(TRUE=TRUE,Inputs!$B$32,0)))*(1-IF(AND(ArtifactsInput!$M$27,Inputs!$B$4="Chapter Hunt"),CHOOSE(ArtifactsInput!$N$27+1,20,24,28,32,36,40),0)/100)),0)</f>
        <v>10</v>
      </c>
      <c r="R1372">
        <v>0</v>
      </c>
      <c r="S1372">
        <v>0</v>
      </c>
      <c r="U1372">
        <v>0</v>
      </c>
    </row>
    <row r="1373" spans="1:21" x14ac:dyDescent="0.2">
      <c r="A1373" t="str">
        <f>Skills!A27</f>
        <v>FERVENT_DRAIN</v>
      </c>
      <c r="B1373" t="str">
        <f>Skills!B27</f>
        <v>Fervent Drain</v>
      </c>
      <c r="C1373" t="b">
        <f>Inputs!$B$3&gt;=125</f>
        <v>0</v>
      </c>
      <c r="D1373">
        <f>IF(Skills!C27=1,60+Inputs!$B$25+Inputs!$B$29,IF(Skills!C27=2,90+Inputs!$B$26+Inputs!$B$29,IF(Skills!C27=3,120+Inputs!$B$27+Inputs!$B$29,MAX(0,(Inputs!$B$3-100)*3)+Inputs!$B$28+Inputs!$B$29)))</f>
        <v>185</v>
      </c>
      <c r="E1373">
        <f>INDEX(FactorTable!$B$2:$Y$301, MATCH(ROUND(MIN(300,MAX(1,D1373)),0), FactorTable!$A$2:$A$301,0), Skills!M27+1)</f>
        <v>1555</v>
      </c>
      <c r="F1373">
        <f>IF(Skills!N27=TRUE,(Skills!L27/10)*(E1373/1000),Skills!L27/10)+Skills!O27</f>
        <v>6.22</v>
      </c>
      <c r="G1373">
        <f>Calc!G27</f>
        <v>1</v>
      </c>
      <c r="H1373">
        <f>Calc!H27</f>
        <v>1</v>
      </c>
      <c r="I1373">
        <f>IF(Skills!X27&lt;&gt;"",1+(Skills!X27/10)*(Z1349/1000)/100,1)</f>
        <v>1</v>
      </c>
      <c r="O1373">
        <f>(1-Summary!$B$11)*S1373+Summary!$B$11*U1373</f>
        <v>0</v>
      </c>
      <c r="P1373">
        <f>IF(B1387=0,0,O1373/B1387)</f>
        <v>0</v>
      </c>
      <c r="Q1373">
        <f>IFERROR(1/(IF(Inputs!$B$38="pvp",15,MAX(0.1,Skills!E27-IF(TRUE=TRUE,Inputs!$B$32,0)))*(1-IF(AND(ArtifactsInput!$M$27,Inputs!$B$4="Chapter Hunt"),CHOOSE(ArtifactsInput!$N$27+1,20,24,28,32,36,40),0)/100)),0)</f>
        <v>10</v>
      </c>
      <c r="R1373">
        <v>0</v>
      </c>
      <c r="S1373">
        <v>0</v>
      </c>
      <c r="U1373">
        <v>0</v>
      </c>
    </row>
    <row r="1374" spans="1:21" x14ac:dyDescent="0.2">
      <c r="A1374" t="str">
        <f>Skills!A28</f>
        <v>FLAME_HAZE_FOG</v>
      </c>
      <c r="B1374" t="str">
        <f>Skills!B28</f>
        <v>Flame Haze (poison fog DoT)</v>
      </c>
      <c r="C1374" t="b">
        <f>Inputs!$B$3&gt;=118</f>
        <v>0</v>
      </c>
      <c r="D1374">
        <f>IF(Skills!C28=1,60+Inputs!$B$25+Inputs!$B$29,IF(Skills!C28=2,90+Inputs!$B$26+Inputs!$B$29,IF(Skills!C28=3,120+Inputs!$B$27+Inputs!$B$29,MAX(0,(Inputs!$B$3-100)*3)+Inputs!$B$28+Inputs!$B$29)))</f>
        <v>185</v>
      </c>
      <c r="E1374">
        <f>INDEX(FactorTable!$B$2:$Y$301, MATCH(ROUND(MIN(300,MAX(1,D1374)),0), FactorTable!$A$2:$A$301,0), Skills!M28+1)</f>
        <v>1925</v>
      </c>
      <c r="F1374">
        <f>IF(Skills!N28=TRUE,(Skills!L28/10)*(E1374/1000),Skills!L28/10)+Skills!O28</f>
        <v>134.75</v>
      </c>
      <c r="G1374">
        <f>Calc!G28</f>
        <v>50</v>
      </c>
      <c r="H1374">
        <f>Calc!H28</f>
        <v>1</v>
      </c>
      <c r="I1374">
        <f>IF(Skills!X28&lt;&gt;"",1+(Skills!X28/10)*(Z1349/1000)/100,1)</f>
        <v>1</v>
      </c>
      <c r="J1374">
        <f>((Inputs!$B$6*(1+Inputs!$B$7/100))+(((Inputs!$B$12*(1+Inputs!$B$13/100))-(Inputs!$B$12*(1+Inputs!$B$13/100)))+0.25*(Inputs!$B$14-Inputs!$B$14))*(1+Inputs!$B$7/100))*(F1374/100)</f>
        <v>486628767.57437253</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2445179485771.9116</v>
      </c>
      <c r="L1374">
        <f>K1374*(MIN(Inputs!$B$22+(F1368-Calc!F22),(Inputs!$B$23+(IF(ArtifactsInput!$M$15,CHOOSE(ArtifactsInput!$N$15+1,25,30,35,40,45,50)/100*(Inputs!$B$11-Inputs!$B$11),0))))/100+(Inputs!$B$23+(IF(ArtifactsInput!$M$15,CHOOSE(ArtifactsInput!$N$15+1,25,30,35,40,45,50)/100*(Inputs!$B$11-Inputs!$B$11),0)))/100)/2</f>
        <v>8130221790191.6064</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39464096569590.055</v>
      </c>
      <c r="N1374">
        <f>L1374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39464096569590.055</v>
      </c>
      <c r="O1374">
        <f>(1-Summary!$B$11)*S1374+Summary!$B$11*U1374</f>
        <v>0</v>
      </c>
      <c r="P1374">
        <f>IF(B1387=0,0,O1374/B1387)</f>
        <v>0</v>
      </c>
      <c r="Q1374">
        <f>IFERROR(1/(IF(Inputs!$B$38="pvp",15,MAX(0.1,Skills!E28-IF(TRUE=TRUE,Inputs!$B$32,0)))*(1-IF(AND(ArtifactsInput!$M$27,Inputs!$B$4="Chapter Hunt"),CHOOSE(ArtifactsInput!$N$27+1,20,24,28,32,36,40),0)/100)),0)</f>
        <v>0.04</v>
      </c>
      <c r="R1374">
        <f>IF(AND(Inputs!$B$38&lt;&gt;"pvp",Inputs!$B$43&gt;0),IF(MAX(0,Inputs!$B$43-B1384)&lt;=0,0,(INT(MAX(0,Inputs!$B$43-B1384)/(IF(Inputs!$B$38="pvp",15,MAX(0.1,Skills!E28-IF(TRUE=TRUE,Inputs!$B$32,0)))*(1-IF(AND(ArtifactsInput!$M$27,Inputs!$B$4="Chapter Hunt"),CHOOSE(ArtifactsInput!$N$27+1,20,24,28,32,36,40),0)/100)))+1)),0)</f>
        <v>2</v>
      </c>
      <c r="S1374">
        <f>IF(C1374,(H1374*N1374*IF(AND(Inputs!$B$38&lt;&gt;"pvp",Inputs!$B$43&gt;0),((Skills!G28*((R1374-1)*IF(Skills!H28&gt;0,Skills!I28/Skills!H28,1)+IF(Skills!H28&gt;0,MIN(Skills!I28,MAX(0,MAX(0,Inputs!$B$43-B1384)-((R1374-1)*(IF(Inputs!$B$38="pvp",15,MAX(0.1,Skills!E28-IF(TRUE=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374">
        <f>IF(C1374,(H1374*N1374*IF(AND(Inputs!$B$38&lt;&gt;"pvp",Inputs!$B$43&gt;0),((Skills!G28*((R1374-1)*IF(Skills!H28&gt;0,Skills!I28/Skills!H28,1)+IF(Skills!H28&gt;0,MIN(Skills!I28,MAX(0,MAX(0,Inputs!$B$43-B1384)-((R1374-1)*(IF(Inputs!$B$38="pvp",15,MAX(0.1,Skills!E28-IF(TRUE=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376" spans="1:21" x14ac:dyDescent="0.2">
      <c r="A1376" t="s">
        <v>356</v>
      </c>
      <c r="B1376">
        <f>1+(F1357*Skills!Z11)/100</f>
        <v>1.25</v>
      </c>
    </row>
    <row r="1377" spans="1:26" x14ac:dyDescent="0.2">
      <c r="A1377" t="s">
        <v>435</v>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1.18624</v>
      </c>
    </row>
    <row r="1378" spans="1:26" x14ac:dyDescent="0.2">
      <c r="A1378" t="s">
        <v>358</v>
      </c>
      <c r="B1378">
        <f>(1+(F1352*IF(AND(Inputs!$B$38&lt;&gt;"pvp",Inputs!$B$43&gt;0),(((R1352-1)*MIN((Skills!T6*(1+((Inputs!$B$34+(ArtifactsInput!$M$7-ArtifactsInput!$M$7)*CHOOSE(ArtifactsInput!$N$7+1,6,7.2,8.4,9.6,10.8,12)))/100)),(1/Q1352))+MIN((Skills!T6*(1+((Inputs!$B$34+(ArtifactsInput!$M$7-ArtifactsInput!$M$7)*CHOOSE(ArtifactsInput!$N$7+1,6,7.2,8.4,9.6,10.8,12)))/100)),MAX(0,Inputs!$B$43-((R1352-1)*(1/Q1352)))))/Inputs!$B$43),IF(Inputs!$B$38="pvp",MIN((Skills!T6*(1+((Inputs!$B$34+(ArtifactsInput!$M$7-ArtifactsInput!$M$7)*CHOOSE(ArtifactsInput!$N$7+1,6,7.2,8.4,9.6,10.8,12)))/100)),15)/15,MIN(1,(Skills!T6*(1+((Inputs!$B$34+(ArtifactsInput!$M$7-ArtifactsInput!$M$7)*CHOOSE(ArtifactsInput!$N$7+1,6,7.2,8.4,9.6,10.8,12)))/100))/(1/Q1352))))+F1363*IF(AND(Inputs!$B$38&lt;&gt;"pvp",Inputs!$B$43&gt;0),(((R1363-1)*MIN((Skills!T17*(1+((Inputs!$B$34+(ArtifactsInput!$M$7-ArtifactsInput!$M$7)*CHOOSE(ArtifactsInput!$N$7+1,6,7.2,8.4,9.6,10.8,12)))/100)),(1/Q1363))+MIN((Skills!T17*(1+((Inputs!$B$34+(ArtifactsInput!$M$7-ArtifactsInput!$M$7)*CHOOSE(ArtifactsInput!$N$7+1,6,7.2,8.4,9.6,10.8,12)))/100)),MAX(0,Inputs!$B$43-((R1363-1)*(1/Q1363)))))/Inputs!$B$43),IF(Inputs!$B$38="pvp",MIN((Skills!T17*(1+((Inputs!$B$34+(ArtifactsInput!$M$7-ArtifactsInput!$M$7)*CHOOSE(ArtifactsInput!$N$7+1,6,7.2,8.4,9.6,10.8,12)))/100)),15)/15,MIN(1,(Skills!T17*(1+((Inputs!$B$34+(ArtifactsInput!$M$7-ArtifactsInput!$M$7)*CHOOSE(ArtifactsInput!$N$7+1,6,7.2,8.4,9.6,10.8,12)))/100))/(1/Q1363)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MIN((Skills!T19*(1+((Inputs!$B$34+(ArtifactsInput!$M$7-ArtifactsInput!$M$7)*CHOOSE(ArtifactsInput!$N$7+1,6,7.2,8.4,9.6,10.8,12)))/100)),(1/Q1365))+MIN((Skills!T19*(1+((Inputs!$B$34+(ArtifactsInput!$M$7-ArtifactsInput!$M$7)*CHOOSE(ArtifactsInput!$N$7+1,6,7.2,8.4,9.6,10.8,12)))/100)),MAX(0,Inputs!$B$43-((R1365-1)*(1/Q1365)))))/Inputs!$B$43),IF(Inputs!$B$38="pvp",MIN((Skills!T19*(1+((Inputs!$B$34+(ArtifactsInput!$M$7-ArtifactsInput!$M$7)*CHOOSE(ArtifactsInput!$N$7+1,6,7.2,8.4,9.6,10.8,12)))/100)),15)/15,MIN(1,(Skills!T19*(1+((Inputs!$B$34+(ArtifactsInput!$M$7-ArtifactsInput!$M$7)*CHOOSE(ArtifactsInput!$N$7+1,6,7.2,8.4,9.6,10.8,12)))/100))/(1/Q1365))))/100),1)</f>
        <v>1.7965808377980694</v>
      </c>
    </row>
    <row r="1379" spans="1:26" x14ac:dyDescent="0.2">
      <c r="A1379" t="s">
        <v>359</v>
      </c>
      <c r="B1379">
        <f>F1364*IF(AND(Inputs!$B$38&lt;&gt;"pvp",Inputs!$B$43&gt;0),(((R1364-1)*MIN((Skills!T18*(1+((Inputs!$B$34+(ArtifactsInput!$M$7-ArtifactsInput!$M$7)*CHOOSE(ArtifactsInput!$N$7+1,6,7.2,8.4,9.6,10.8,12)))/100)),(1/Q1364))+MIN((Skills!T18*(1+((Inputs!$B$34+(ArtifactsInput!$M$7-ArtifactsInput!$M$7)*CHOOSE(ArtifactsInput!$N$7+1,6,7.2,8.4,9.6,10.8,12)))/100)),MAX(0,Inputs!$B$43-((R1364-1)*(1/Q1364)))))/Inputs!$B$43),IF(Inputs!$B$38="pvp",MIN((Skills!T18*(1+((Inputs!$B$34+(ArtifactsInput!$M$7-ArtifactsInput!$M$7)*CHOOSE(ArtifactsInput!$N$7+1,6,7.2,8.4,9.6,10.8,12)))/100)),15)/15,MIN(1,(Skills!T18*(1+((Inputs!$B$34+(ArtifactsInput!$M$7-ArtifactsInput!$M$7)*CHOOSE(ArtifactsInput!$N$7+1,6,7.2,8.4,9.6,10.8,12)))/100))/(1/Q1364))))</f>
        <v>6.4968749999999993</v>
      </c>
    </row>
    <row r="1380" spans="1:26" x14ac:dyDescent="0.2">
      <c r="A1380" t="s">
        <v>436</v>
      </c>
      <c r="B1380">
        <f>1+MIN(150,150*(1-(1-(Inputs!$B$11+(ArtifactsInput!$M$15-ArtifactsInput!$M$15)*CHOOSE(ArtifactsInput!$N$15+1,8,9.6,11.2,12.8,14.4,16))/150)*(1-B1379/150)))/100</f>
        <v>1.6982958749999999</v>
      </c>
    </row>
    <row r="1381" spans="1:26" x14ac:dyDescent="0.2">
      <c r="A1381" t="s">
        <v>437</v>
      </c>
      <c r="B1381">
        <f>IF(AND(Inputs!$B$38&lt;&gt;"pvp",Inputs!$B$43&gt;0),SUMPRODUCT((Skills!F2:F28=TRUE)*(C1348:C1374=TRUE)*R1348:R1374)/Inputs!$B$43,SUMPRODUCT((Skills!F2:F28=TRUE)*(C1348:C1374=TRUE)*Q1348:Q1374))</f>
        <v>0.47499999999999998</v>
      </c>
    </row>
    <row r="1382" spans="1:26" x14ac:dyDescent="0.2">
      <c r="A1382" t="s">
        <v>362</v>
      </c>
      <c r="B1382">
        <f>MAX(0,B1380-B1381)</f>
        <v>1.2232958749999998</v>
      </c>
    </row>
    <row r="1383" spans="1:26" x14ac:dyDescent="0.2">
      <c r="A1383" t="s">
        <v>438</v>
      </c>
      <c r="B1383">
        <f>IF(AND(Inputs!$B$38&lt;&gt;"pvp",Inputs!$B$43&gt;0),SUMPRODUCT((Skills!V2:V28=TRUE)*(C1348:C1374=TRUE)*R1348:R1374*Skills!W2:W28)/Inputs!$B$43,SUMPRODUCT((Skills!V2:V28=TRUE)*(C1348:C1374=TRUE)*Q1348:Q1374*Skills!W2:W28))+B1382</f>
        <v>1.5482958749999998</v>
      </c>
    </row>
    <row r="1384" spans="1:26" x14ac:dyDescent="0.2">
      <c r="A1384" t="s">
        <v>439</v>
      </c>
      <c r="B1384">
        <f>IF(AND(Inputs!$B$38&lt;&gt;"pvp",Inputs!$B$43&gt;0),SUMPRODUCT((Skills!T2:T28&gt;0)*(Skills!F2:F28=TRUE)*(C1348:C1374=TRUE))/B1380,0)</f>
        <v>2.3553021937358238</v>
      </c>
    </row>
    <row r="1385" spans="1:26" x14ac:dyDescent="0.2">
      <c r="A1385" t="s">
        <v>440</v>
      </c>
      <c r="B1385">
        <f>SUM(S1348:S1374)</f>
        <v>9874896705713598</v>
      </c>
    </row>
    <row r="1386" spans="1:26" x14ac:dyDescent="0.2">
      <c r="A1386" t="s">
        <v>441</v>
      </c>
      <c r="B1386">
        <f>SUM(U1348:U1374)</f>
        <v>5.922018436955692E+16</v>
      </c>
    </row>
    <row r="1387" spans="1:26" x14ac:dyDescent="0.2">
      <c r="A1387" s="6" t="s">
        <v>348</v>
      </c>
      <c r="B1387" s="6">
        <f>SUM(O1348:O1374)</f>
        <v>3.454754053763526E+16</v>
      </c>
    </row>
    <row r="1390" spans="1:26" x14ac:dyDescent="0.2">
      <c r="A1390" s="6" t="s">
        <v>471</v>
      </c>
    </row>
    <row r="1391" spans="1:26" x14ac:dyDescent="0.2">
      <c r="A1391" s="5" t="s">
        <v>136</v>
      </c>
      <c r="B1391" s="5" t="s">
        <v>137</v>
      </c>
      <c r="C1391" s="5" t="s">
        <v>328</v>
      </c>
      <c r="D1391" s="5" t="s">
        <v>329</v>
      </c>
      <c r="E1391" s="5" t="s">
        <v>330</v>
      </c>
      <c r="F1391" s="5" t="s">
        <v>331</v>
      </c>
      <c r="G1391" s="5" t="s">
        <v>332</v>
      </c>
      <c r="H1391" s="5" t="s">
        <v>333</v>
      </c>
      <c r="I1391" s="5" t="s">
        <v>334</v>
      </c>
      <c r="J1391" s="5" t="s">
        <v>335</v>
      </c>
      <c r="K1391" s="5" t="s">
        <v>336</v>
      </c>
      <c r="L1391" s="5" t="s">
        <v>337</v>
      </c>
      <c r="M1391" s="5" t="s">
        <v>338</v>
      </c>
      <c r="N1391" s="5" t="s">
        <v>339</v>
      </c>
      <c r="O1391" s="5" t="s">
        <v>340</v>
      </c>
      <c r="P1391" s="5" t="s">
        <v>341</v>
      </c>
      <c r="R1391" t="s">
        <v>434</v>
      </c>
    </row>
    <row r="1392" spans="1:26" x14ac:dyDescent="0.2">
      <c r="A1392" t="str">
        <f>Skills!A2</f>
        <v>BASIC_ATTACK</v>
      </c>
      <c r="B1392" t="str">
        <f>Skills!B2</f>
        <v>Basic Attack</v>
      </c>
      <c r="C1392" t="b">
        <f>TRUE</f>
        <v>1</v>
      </c>
      <c r="F1392">
        <f>T1394+Skills!O2</f>
        <v>537.6</v>
      </c>
      <c r="G1392">
        <f>Calc!G2</f>
        <v>5</v>
      </c>
      <c r="H1392">
        <f>Calc!H2</f>
        <v>1</v>
      </c>
      <c r="I1392">
        <f>IF(Skills!X2&lt;&gt;"",1+(Skills!X2/10)*(Z1393/1000)/100,1)</f>
        <v>1</v>
      </c>
      <c r="J1392">
        <f>((Inputs!$B$6*(1+Inputs!$B$7/100))+(((Inputs!$B$12*(1+Inputs!$B$13/100))-(Inputs!$B$12*(1+Inputs!$B$13/100)))+0.25*(Inputs!$B$14-Inputs!$B$14))*(1+Inputs!$B$7/100))*(F1392/100)</f>
        <v>1941459186.9980164</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5832855252393.0459</v>
      </c>
      <c r="L1392">
        <f>K1392*(MIN(Inputs!$B$22+(F1412-Calc!F22),(Inputs!$B$23+(IF(ArtifactsInput!$M$15,CHOOSE(ArtifactsInput!$N$15+1,25,30,35,40,45,50)/100*(Inputs!$B$11-Inputs!$B$11),0))))/100+(Inputs!$B$23+(IF(ArtifactsInput!$M$15,CHOOSE(ArtifactsInput!$N$15+1,25,30,35,40,45,50)/100*(Inputs!$B$11-Inputs!$B$11),0)))/100)/2</f>
        <v>19394243714206.879</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91521436087342.25</v>
      </c>
      <c r="N1392">
        <f>L1392*(1-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91521436087342.25</v>
      </c>
      <c r="O1392">
        <f>(1-Summary!$B$11)*S1392+Summary!$B$11*U1392</f>
        <v>1.1025043886231612E+16</v>
      </c>
      <c r="P1392">
        <f>IF(B1431=0,0,O1392/B1431)</f>
        <v>0.37819938885449506</v>
      </c>
      <c r="Q1392">
        <f>IFERROR(1/(IF(Inputs!$B$38="pvp",15,MAX(0.1,Skills!E2-IF(TRUE=TRUE,Inputs!$B$32,0)))*(1-IF(AND(ArtifactsInput!$M$27,Inputs!$B$4="Chapter Hunt"),CHOOSE(ArtifactsInput!$N$27+1,20,24,28,32,36,40),0)/100)),0)</f>
        <v>10</v>
      </c>
      <c r="R1392">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1830509952169453</v>
      </c>
      <c r="T1392">
        <f>MAX(0,(Inputs!$B$3-100)*3)+Inputs!$B$28+Inputs!$B$29</f>
        <v>185</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2.0219577820293772E+16</v>
      </c>
      <c r="Z1392">
        <f>MAX(0,(Inputs!$B$3-100)*3)+Inputs!$B$28+Inputs!$B$29</f>
        <v>185</v>
      </c>
    </row>
    <row r="1393" spans="1:26" x14ac:dyDescent="0.2">
      <c r="A1393" t="str">
        <f>Skills!A3</f>
        <v>IGNITE</v>
      </c>
      <c r="B1393" t="str">
        <f>Skills!B3</f>
        <v>Ignite</v>
      </c>
      <c r="C1393" t="b">
        <f>TRUE</f>
        <v>1</v>
      </c>
      <c r="D1393">
        <f>IF(Skills!C3=1,60+Inputs!$B$25+Inputs!$B$29,IF(Skills!C3=2,90+Inputs!$B$26+Inputs!$B$29,IF(Skills!C3=3,120+Inputs!$B$27+Inputs!$B$29,MAX(0,(Inputs!$B$3-100)*3)+Inputs!$B$28+Inputs!$B$29)))</f>
        <v>168</v>
      </c>
      <c r="E1393">
        <f>INDEX(FactorTable!$B$2:$Y$301, MATCH(ROUND(MIN(300,MAX(1,D1393)),0), FactorTable!$A$2:$A$301,0), Skills!M3+1)</f>
        <v>1672</v>
      </c>
      <c r="F1393">
        <f>IF(Skills!N3=TRUE,(Skills!L3/10)*(E1393/1000),Skills!L3/10)+Skills!O3</f>
        <v>121.736</v>
      </c>
      <c r="G1393">
        <f>Calc!G3</f>
        <v>3</v>
      </c>
      <c r="H1393">
        <f>Calc!H3</f>
        <v>1</v>
      </c>
      <c r="I1393">
        <f>IF(Skills!X3&lt;&gt;"",1+(Skills!X3/10)*(Z1393/1000)/100,1)</f>
        <v>4.8250000000000002</v>
      </c>
      <c r="J1393">
        <f>((Inputs!$B$6*(1+Inputs!$B$7/100))+(((Inputs!$B$12*(1+Inputs!$B$13/100))-(Inputs!$B$12*(1+Inputs!$B$13/100)))+0.25*(Inputs!$B$14-Inputs!$B$14))*(1+Inputs!$B$7/100))*(F1393/100)</f>
        <v>439630720.9605478</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9390797019578.8223</v>
      </c>
      <c r="L1393">
        <f>K1393*(MIN(Inputs!$B$22+(F1412-Calc!F22),(Inputs!$B$23+(IF(ArtifactsInput!$M$15,CHOOSE(ArtifactsInput!$N$15+1,25,30,35,40,45,50)/100*(Inputs!$B$11-Inputs!$B$11),0))))/100+(Inputs!$B$23+(IF(ArtifactsInput!$M$15,CHOOSE(ArtifactsInput!$N$15+1,25,30,35,40,45,50)/100*(Inputs!$B$11-Inputs!$B$11),0)))/100)/2</f>
        <v>31224400090099.586</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147347944025179.94</v>
      </c>
      <c r="N1393">
        <f>L1393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147347944025179.94</v>
      </c>
      <c r="O1393">
        <f>(1-Summary!$B$11)*S1393+Summary!$B$11*U1393</f>
        <v>2561644006877753</v>
      </c>
      <c r="P1393">
        <f>IF(B1431=0,0,O1393/B1431)</f>
        <v>8.7873772463965105E-2</v>
      </c>
      <c r="Q1393">
        <f>IFERROR(1/(IF(Inputs!$B$38="pvp",15,MAX(0.1,Skills!E3-IF(FALSE=TRUE,Inputs!$B$32,0)))*(1-IF(AND(ArtifactsInput!$M$27,Inputs!$B$4="Chapter Hunt"),CHOOSE(ArtifactsInput!$N$27+1,20,24,28,32,36,40),0)/100)),0)</f>
        <v>1</v>
      </c>
      <c r="R1393">
        <f>IF(AND(Inputs!$B$38&lt;&gt;"pvp",Inputs!$B$43&gt;0),IF(MAX(0,Inputs!$B$43-B1428)&lt;=0,0,(INT(MAX(0,Inputs!$B$43-B1428)/(IF(Inputs!$B$38="pvp",15,MAX(0.1,Skills!E3-IF(FALSE=TRUE,Inputs!$B$32,0)))*(1-IF(AND(ArtifactsInput!$M$27,Inputs!$B$4="Chapter Hunt"),CHOOSE(ArtifactsInput!$N$27+1,20,24,28,32,36,40),0)/100)))+1)),0)</f>
        <v>38</v>
      </c>
      <c r="S1393">
        <f>IF(C1393,(H1393*N1393*IF(AND(Inputs!$B$38&lt;&gt;"pvp",Inputs!$B$43&gt;0),((Skills!G3*((R1393-1)*IF(Skills!H3&gt;0,Skills!I3/Skills!H3,1)+IF(Skills!H3&gt;0,MIN(Skills!I3,MAX(0,MAX(0,Inputs!$B$43-B1428)-((R1393-1)*(IF(Inputs!$B$38="pvp",15,MAX(0.1,Skills!E3-IF(FALSE=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1331215000295488</v>
      </c>
      <c r="T1393">
        <f>INDEX(FactorTable!$B$2:$Y$301, MATCH(ROUND(MIN(300,MAX(1,T1392)),0), FactorTable!$A$2:$A$301,0), 22)</f>
        <v>1740</v>
      </c>
      <c r="U1393">
        <f>IF(C1393,(H1393*N1393*IF(AND(Inputs!$B$38&lt;&gt;"pvp",Inputs!$B$43&gt;0),((Skills!G3*((R1393-1)*IF(Skills!H3&gt;0,Skills!I3/Skills!H3,1)+IF(Skills!H3&gt;0,MIN(Skills!I3,MAX(0,MAX(0,Inputs!$B$43-B1428)-((R1393-1)*(IF(Inputs!$B$38="pvp",15,MAX(0.1,Skills!E3-IF(FALSE=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3792073013460018</v>
      </c>
      <c r="Z1393">
        <f>INDEX(FactorTable!$B$2:$Y$301, MATCH(ROUND(MIN(300,MAX(1,Z1392)),0), FactorTable!$A$2:$A$301,0), 24)</f>
        <v>7650</v>
      </c>
    </row>
    <row r="1394" spans="1:26" x14ac:dyDescent="0.2">
      <c r="A1394" t="str">
        <f>Skills!A4</f>
        <v>POISON_BREATH</v>
      </c>
      <c r="B1394" t="str">
        <f>Skills!B4</f>
        <v>Poison Breath</v>
      </c>
      <c r="C1394" t="b">
        <f>TRUE</f>
        <v>1</v>
      </c>
      <c r="D1394">
        <f>IF(Skills!C4=1,60+Inputs!$B$25+Inputs!$B$29,IF(Skills!C4=2,90+Inputs!$B$26+Inputs!$B$29,IF(Skills!C4=3,120+Inputs!$B$27+Inputs!$B$29,MAX(0,(Inputs!$B$3-100)*3)+Inputs!$B$28+Inputs!$B$29)))</f>
        <v>168</v>
      </c>
      <c r="E1394">
        <f>INDEX(FactorTable!$B$2:$Y$301, MATCH(ROUND(MIN(300,MAX(1,D1394)),0), FactorTable!$A$2:$A$301,0), Skills!M4+1)</f>
        <v>1840</v>
      </c>
      <c r="F1394">
        <f>IF(Skills!N4=TRUE,(Skills!L4/10)*(E1394/1000),Skills!L4/10)+Skills!O4</f>
        <v>438</v>
      </c>
      <c r="G1394">
        <f>Calc!G4</f>
        <v>3</v>
      </c>
      <c r="H1394">
        <f>Calc!H4</f>
        <v>1</v>
      </c>
      <c r="I1394">
        <f>IF(Skills!X4&lt;&gt;"",1+(Skills!X4/10)*(Z1393/1000)/100,1)</f>
        <v>7.12</v>
      </c>
      <c r="J1394">
        <f>((Inputs!$B$6*(1+Inputs!$B$7/100))+(((Inputs!$B$12*(1+Inputs!$B$13/100))-(Inputs!$B$12*(1+Inputs!$B$13/100)))+0.25*(Inputs!$B$14-Inputs!$B$14))*(1+Inputs!$B$7/100))*(F1394/100)</f>
        <v>1581769203.69258</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49858615233946.711</v>
      </c>
      <c r="L1394">
        <f>K1394*(MIN(Inputs!$B$22+(F1412-Calc!F22),(Inputs!$B$23+(IF(ArtifactsInput!$M$15,CHOOSE(ArtifactsInput!$N$15+1,25,30,35,40,45,50)/100*(Inputs!$B$11-Inputs!$B$11),0))))/100+(Inputs!$B$23+(IF(ArtifactsInput!$M$15,CHOOSE(ArtifactsInput!$N$15+1,25,30,35,40,45,50)/100*(Inputs!$B$11-Inputs!$B$11),0)))/100)/2</f>
        <v>165779895652872.81</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782315327585906.75</v>
      </c>
      <c r="N1394">
        <f>L1394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782315327585906.75</v>
      </c>
      <c r="O1394">
        <f>(1-Summary!$B$11)*S1394+Summary!$B$11*U1394</f>
        <v>1868462370522990</v>
      </c>
      <c r="P1394">
        <f>IF(B1431=0,0,O1394/B1431)</f>
        <v>6.4095103286790744E-2</v>
      </c>
      <c r="Q1394">
        <f>IFERROR(1/(IF(Inputs!$B$38="pvp",15,MAX(0.1,Skills!E4-IF(TRUE=TRUE,Inputs!$B$32,0)))*(1-IF(AND(ArtifactsInput!$M$27,Inputs!$B$4="Chapter Hunt"),CHOOSE(ArtifactsInput!$N$27+1,20,24,28,32,36,40),0)/100)),0)</f>
        <v>5.5555555555555552E-2</v>
      </c>
      <c r="R1394">
        <f>IF(AND(Inputs!$B$38&lt;&gt;"pvp",Inputs!$B$43&gt;0),IF(MAX(0,Inputs!$B$43-B1428)&lt;=0,0,(INT(MAX(0,Inputs!$B$43-B1428)/(IF(Inputs!$B$38="pvp",15,MAX(0.1,Skills!E4-IF(TRUE=TRUE,Inputs!$B$32,0)))*(1-IF(AND(ArtifactsInput!$M$27,Inputs!$B$4="Chapter Hunt"),CHOOSE(ArtifactsInput!$N$27+1,20,24,28,32,36,40),0)/100)))+1)),0)</f>
        <v>3</v>
      </c>
      <c r="S1394">
        <f>IF(C1394,(H1394*N1394*IF(AND(Inputs!$B$38&lt;&gt;"pvp",Inputs!$B$43&gt;0),((Skills!G4*((R1394-1)*IF(Skills!H4&gt;0,Skills!I4/Skills!H4,1)+IF(Skills!H4&gt;0,MIN(Skills!I4,MAX(0,MAX(0,Inputs!$B$43-B1428)-((R1394-1)*(IF(Inputs!$B$38="pvp",15,MAX(0.1,Skills!E4-IF(TRUE=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557986407400648</v>
      </c>
      <c r="T1394">
        <f>290*T1393/1000</f>
        <v>504.6</v>
      </c>
      <c r="U1394">
        <f>IF(C1394,(H1394*N1394*IF(AND(Inputs!$B$38&lt;&gt;"pvp",Inputs!$B$43&gt;0),((Skills!G4*((R1394-1)*IF(Skills!H4&gt;0,Skills!I4/Skills!H4,1)+IF(Skills!H4&gt;0,MIN(Skills!I4,MAX(0,MAX(0,Inputs!$B$43-B1428)-((R1394-1)*(IF(Inputs!$B$38="pvp",15,MAX(0.1,Skills!E4-IF(TRUE=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3178938333645332</v>
      </c>
    </row>
    <row r="1395" spans="1:26" x14ac:dyDescent="0.2">
      <c r="A1395" t="str">
        <f>Skills!A5</f>
        <v>ELEMENTAL_DRAIN</v>
      </c>
      <c r="B1395" t="str">
        <f>Skills!B5</f>
        <v>Elemental Drain</v>
      </c>
      <c r="C1395" t="b">
        <f>TRUE</f>
        <v>1</v>
      </c>
      <c r="D1395">
        <f>IF(Skills!C5=1,60+Inputs!$B$25+Inputs!$B$29,IF(Skills!C5=2,90+Inputs!$B$26+Inputs!$B$29,IF(Skills!C5=3,120+Inputs!$B$27+Inputs!$B$29,MAX(0,(Inputs!$B$3-100)*3)+Inputs!$B$28+Inputs!$B$29)))</f>
        <v>168</v>
      </c>
      <c r="E1395">
        <f>INDEX(FactorTable!$B$2:$Y$301, MATCH(ROUND(MIN(300,MAX(1,D1395)),0), FactorTable!$A$2:$A$301,0), Skills!M5+1)</f>
        <v>1672</v>
      </c>
      <c r="F1395">
        <f>IF(Skills!N5=TRUE,(Skills!L5/10)*(E1395/1000),Skills!L5/10)+Skills!O5</f>
        <v>20.064</v>
      </c>
      <c r="G1395">
        <f>Calc!G5</f>
        <v>5</v>
      </c>
      <c r="H1395">
        <f>Calc!H5</f>
        <v>1</v>
      </c>
      <c r="I1395">
        <f>IF(Skills!X5&lt;&gt;"",1+(Skills!X5/10)*(Z1393/1000)/100,1)</f>
        <v>12.475</v>
      </c>
      <c r="J1395">
        <f>((Inputs!$B$6*(1+Inputs!$B$7/100))+(((Inputs!$B$12*(1+Inputs!$B$13/100))-(Inputs!$B$12*(1+Inputs!$B$13/100)))+0.25*(Inputs!$B$14-Inputs!$B$14))*(1+Inputs!$B$7/100))*(F1395/100)</f>
        <v>72458030.371890247</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4001696814963.4727</v>
      </c>
      <c r="L1395">
        <f>K1395*(MIN(Inputs!$B$22+(F1412-Calc!F22),(Inputs!$B$23+(IF(ArtifactsInput!$M$15,CHOOSE(ArtifactsInput!$N$15+1,25,30,35,40,45,50)/100*(Inputs!$B$11-Inputs!$B$11),0))))/100+(Inputs!$B$23+(IF(ArtifactsInput!$M$15,CHOOSE(ArtifactsInput!$N$15+1,25,30,35,40,45,50)/100*(Inputs!$B$11-Inputs!$B$11),0)))/100)/2</f>
        <v>13305641909753.547</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62789324172126.977</v>
      </c>
      <c r="N1395">
        <f>L1395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62789324172126.977</v>
      </c>
      <c r="O1395">
        <f>(1-Summary!$B$11)*S1395+Summary!$B$11*U1395</f>
        <v>921590305536393.62</v>
      </c>
      <c r="P1395">
        <f>IF(B1431=0,0,O1395/B1431)</f>
        <v>3.1613923166633758E-2</v>
      </c>
      <c r="Q1395">
        <f>IFERROR(1/(IF(Inputs!$B$38="pvp",15,MAX(0.1,Skills!E5-IF(FALSE=TRUE,Inputs!$B$32,0)))*(1-IF(AND(ArtifactsInput!$M$27,Inputs!$B$4="Chapter Hunt"),CHOOSE(ArtifactsInput!$N$27+1,20,24,28,32,36,40),0)/100)),0)</f>
        <v>1</v>
      </c>
      <c r="R1395">
        <f>IF(AND(Inputs!$B$38&lt;&gt;"pvp",Inputs!$B$43&gt;0),IF(MAX(0,Inputs!$B$43-B1428)&lt;=0,0,(INT(MAX(0,Inputs!$B$43-B1428)/(IF(Inputs!$B$38="pvp",15,MAX(0.1,Skills!E5-IF(FALSE=TRUE,Inputs!$B$32,0)))*(1-IF(AND(ArtifactsInput!$M$27,Inputs!$B$4="Chapter Hunt"),CHOOSE(ArtifactsInput!$N$27+1,20,24,28,32,36,40),0)/100)))+1)),0)</f>
        <v>38</v>
      </c>
      <c r="S1395">
        <f>IF(C1395,(H1395*N1395*IF(AND(Inputs!$B$38&lt;&gt;"pvp",Inputs!$B$43&gt;0),((Skills!G5*((R1395-1)*IF(Skills!H5&gt;0,Skills!I5/Skills!H5,1)+IF(Skills!H5&gt;0,MIN(Skills!I5,MAX(0,MAX(0,Inputs!$B$43-B1428)-((R1395-1)*(IF(Inputs!$B$38="pvp",15,MAX(0.1,Skills!E5-IF(FALSE=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945450248721801.88</v>
      </c>
      <c r="U1395">
        <f>IF(C1395,(H1395*N1395*IF(AND(Inputs!$B$38&lt;&gt;"pvp",Inputs!$B$43&gt;0),((Skills!G5*((R1395-1)*IF(Skills!H5&gt;0,Skills!I5/Skills!H5,1)+IF(Skills!H5&gt;0,MIN(Skills!I5,MAX(0,MAX(0,Inputs!$B$43-B1428)-((R1395-1)*(IF(Inputs!$B$38="pvp",15,MAX(0.1,Skills!E5-IF(FALSE=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897730362350985.38</v>
      </c>
    </row>
    <row r="1396" spans="1:26" x14ac:dyDescent="0.2">
      <c r="A1396" t="str">
        <f>Skills!A6</f>
        <v>MEDITATION</v>
      </c>
      <c r="B1396" t="str">
        <f>Skills!B6</f>
        <v>Meditation</v>
      </c>
      <c r="C1396" t="b">
        <f>TRUE</f>
        <v>1</v>
      </c>
      <c r="D1396">
        <f>IF(Skills!C6=1,60+Inputs!$B$25+Inputs!$B$29,IF(Skills!C6=2,90+Inputs!$B$26+Inputs!$B$29,IF(Skills!C6=3,120+Inputs!$B$27+Inputs!$B$29,MAX(0,(Inputs!$B$3-100)*3)+Inputs!$B$28+Inputs!$B$29)))</f>
        <v>168</v>
      </c>
      <c r="E1396">
        <f>INDEX(FactorTable!$B$2:$Y$301, MATCH(ROUND(MIN(300,MAX(1,D1396)),0), FactorTable!$A$2:$A$301,0), Skills!M6+1)</f>
        <v>1672</v>
      </c>
      <c r="F1396">
        <f>IF(Skills!N6=TRUE,(Skills!L6/10)*(E1396/1000),Skills!L6/10)+Skills!O6</f>
        <v>33.44</v>
      </c>
      <c r="G1396">
        <f>Calc!G6</f>
        <v>1</v>
      </c>
      <c r="H1396">
        <f>Calc!H6</f>
        <v>1</v>
      </c>
      <c r="I1396">
        <f>IF(Skills!X6&lt;&gt;"",1+(Skills!X6/10)*(Z1393/1000)/100,1)</f>
        <v>1</v>
      </c>
      <c r="O1396">
        <f>(1-Summary!$B$11)*S1396+Summary!$B$11*U1396</f>
        <v>0</v>
      </c>
      <c r="P1396">
        <f>IF(B1431=0,0,O1396/B1431)</f>
        <v>0</v>
      </c>
      <c r="Q1396">
        <f>IFERROR(1/(IF(Inputs!$B$38="pvp",15,MAX(0.1,Skills!E6-IF(TRUE=TRUE,Inputs!$B$32,0)))*(1-IF(AND(ArtifactsInput!$M$27,Inputs!$B$4="Chapter Hunt"),CHOOSE(ArtifactsInput!$N$27+1,20,24,28,32,36,40),0)/100)),0)</f>
        <v>3.3333333333333333E-2</v>
      </c>
      <c r="R1396">
        <f>IF(AND(Inputs!$B$38&lt;&gt;"pvp",Inputs!$B$43&gt;0),IF(Inputs!$B$43&lt;=0,0,(INT(Inputs!$B$43/(IF(Inputs!$B$38="pvp",15,MAX(0.1,Skills!E6-IF(TRUE=TRUE,Inputs!$B$32,0)))*(1-IF(AND(ArtifactsInput!$M$27,Inputs!$B$4="Chapter Hunt"),CHOOSE(ArtifactsInput!$N$27+1,20,24,28,32,36,40),0)/100)))+1)),0)</f>
        <v>2</v>
      </c>
      <c r="S1396">
        <v>0</v>
      </c>
      <c r="U1396">
        <v>0</v>
      </c>
    </row>
    <row r="1397" spans="1:26" x14ac:dyDescent="0.2">
      <c r="A1397" t="str">
        <f>Skills!A7</f>
        <v>POISON_MIST_BURST</v>
      </c>
      <c r="B1397" t="str">
        <f>Skills!B7</f>
        <v>Poison Mist (burst)</v>
      </c>
      <c r="C1397" t="b">
        <f>TRUE</f>
        <v>1</v>
      </c>
      <c r="D1397">
        <f>IF(Skills!C7=1,60+Inputs!$B$25+Inputs!$B$29,IF(Skills!C7=2,90+Inputs!$B$26+Inputs!$B$29,IF(Skills!C7=3,120+Inputs!$B$27+Inputs!$B$29,MAX(0,(Inputs!$B$3-100)*3)+Inputs!$B$28+Inputs!$B$29)))</f>
        <v>184</v>
      </c>
      <c r="E1397">
        <f>INDEX(FactorTable!$B$2:$Y$301, MATCH(ROUND(MIN(300,MAX(1,D1397)),0), FactorTable!$A$2:$A$301,0), Skills!M7+1)</f>
        <v>1920</v>
      </c>
      <c r="F1397">
        <f>IF(Skills!N7=TRUE,(Skills!L7/10)*(E1397/1000),Skills!L7/10)+Skills!O7</f>
        <v>357.2</v>
      </c>
      <c r="G1397">
        <f>Calc!G7</f>
        <v>3</v>
      </c>
      <c r="H1397">
        <f>Calc!H7</f>
        <v>1</v>
      </c>
      <c r="I1397">
        <f>IF(Skills!X7&lt;&gt;"",1+(Skills!X7/10)*(Z1393/1000)/100,1)</f>
        <v>1.7650000000000001</v>
      </c>
      <c r="J1397">
        <f>((Inputs!$B$6*(1+Inputs!$B$7/100))+(((Inputs!$B$12*(1+Inputs!$B$13/100))-(Inputs!$B$12*(1+Inputs!$B$13/100)))+0.25*(Inputs!$B$14-Inputs!$B$14))*(1+Inputs!$B$7/100))*(F1397/100)</f>
        <v>1289972510.4086521</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10079576100239.721</v>
      </c>
      <c r="L1397">
        <f>K1397*(MIN(Inputs!$B$22+(F1412-Calc!F22),(Inputs!$B$23+(IF(ArtifactsInput!$M$15,CHOOSE(ArtifactsInput!$N$15+1,25,30,35,40,45,50)/100*(Inputs!$B$11-Inputs!$B$11),0))))/100+(Inputs!$B$23+(IF(ArtifactsInput!$M$15,CHOOSE(ArtifactsInput!$N$15+1,25,30,35,40,45,50)/100*(Inputs!$B$11-Inputs!$B$11),0)))/100)/2</f>
        <v>33514590533297.074</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158155352726628.88</v>
      </c>
      <c r="N1397">
        <f>L1397*(1-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158155352726628.88</v>
      </c>
      <c r="O1397">
        <f>(1-Summary!$B$11)*S1397+Summary!$B$11*U1397</f>
        <v>394637143891120.69</v>
      </c>
      <c r="P1397">
        <f>IF(B1431=0,0,O1397/B1431)</f>
        <v>1.3537499549121508E-2</v>
      </c>
      <c r="Q1397">
        <f>IFERROR(1/(IF(Inputs!$B$38="pvp",15,MAX(0.1,Skills!E7-IF(TRUE=TRUE,Inputs!$B$32,0)))*(1-IF(AND(ArtifactsInput!$M$27,Inputs!$B$4="Chapter Hunt"),CHOOSE(ArtifactsInput!$N$27+1,20,24,28,32,36,40),0)/100)),0)</f>
        <v>4.0816326530612242E-2</v>
      </c>
      <c r="R1397">
        <f>IF(AND(Inputs!$B$38&lt;&gt;"pvp",Inputs!$B$43&gt;0),IF(MAX(0,Inputs!$B$43-B1428)&lt;=0,0,(INT(MAX(0,Inputs!$B$43-B1428)/(IF(Inputs!$B$38="pvp",15,MAX(0.1,Skills!E7-IF(TRUE=TRUE,Inputs!$B$32,0)))*(1-IF(AND(ArtifactsInput!$M$27,Inputs!$B$4="Chapter Hunt"),CHOOSE(ArtifactsInput!$N$27+1,20,24,28,32,36,40),0)/100)))+1)),0)</f>
        <v>2</v>
      </c>
      <c r="S1397">
        <f>IF(C1397,(H1397*N1397*IF(AND(Inputs!$B$38&lt;&gt;"pvp",Inputs!$B$43&gt;0),((Skills!G7*((R1397-1)*IF(Skills!H7&gt;0,Skills!I7/Skills!H7,1)+IF(Skills!H7&gt;0,MIN(Skills!I7,MAX(0,MAX(0,Inputs!$B$43-B1428)-((R1397-1)*(IF(Inputs!$B$38="pvp",15,MAX(0.1,Skills!E7-IF(TRUE=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75202870221512.031</v>
      </c>
      <c r="U1397">
        <f>IF(C1397,(H1397*N1397*IF(AND(Inputs!$B$38&lt;&gt;"pvp",Inputs!$B$43&gt;0),((Skills!G7*((R1397-1)*IF(Skills!H7&gt;0,Skills!I7/Skills!H7,1)+IF(Skills!H7&gt;0,MIN(Skills!I7,MAX(0,MAX(0,Inputs!$B$43-B1428)-((R1397-1)*(IF(Inputs!$B$38="pvp",15,MAX(0.1,Skills!E7-IF(TRUE=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714071417560729.38</v>
      </c>
    </row>
    <row r="1398" spans="1:26" x14ac:dyDescent="0.2">
      <c r="A1398" t="str">
        <f>Skills!A8</f>
        <v>POISON_MIST_DOT</v>
      </c>
      <c r="B1398" t="str">
        <f>Skills!B8</f>
        <v>Poison Mist (fog DoT)</v>
      </c>
      <c r="C1398" t="b">
        <f>TRUE</f>
        <v>1</v>
      </c>
      <c r="D1398">
        <f>IF(Skills!C8=1,60+Inputs!$B$25+Inputs!$B$29,IF(Skills!C8=2,90+Inputs!$B$26+Inputs!$B$29,IF(Skills!C8=3,120+Inputs!$B$27+Inputs!$B$29,MAX(0,(Inputs!$B$3-100)*3)+Inputs!$B$28+Inputs!$B$29)))</f>
        <v>184</v>
      </c>
      <c r="E1398">
        <f>INDEX(FactorTable!$B$2:$Y$301, MATCH(ROUND(MIN(300,MAX(1,D1398)),0), FactorTable!$A$2:$A$301,0), Skills!M8+1)</f>
        <v>1920</v>
      </c>
      <c r="F1398">
        <f>IF(Skills!N8=TRUE,(Skills!L8/10)*(E1398/1000),Skills!L8/10)+Skills!O8</f>
        <v>134.4</v>
      </c>
      <c r="G1398">
        <f>Calc!G8</f>
        <v>50</v>
      </c>
      <c r="H1398">
        <f>Calc!H8</f>
        <v>1</v>
      </c>
      <c r="I1398">
        <f>IF(Skills!X8&lt;&gt;"",1+(Skills!X8/10)*(Z1393/1000)/100,1)</f>
        <v>1.7650000000000001</v>
      </c>
      <c r="J1398">
        <f>((Inputs!$B$6*(1+Inputs!$B$7/100))+(((Inputs!$B$12*(1+Inputs!$B$13/100))-(Inputs!$B$12*(1+Inputs!$B$13/100)))+0.25*(Inputs!$B$14-Inputs!$B$14))*(1+Inputs!$B$7/100))*(F1398/100)</f>
        <v>485364796.74950409</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3792539271758.73</v>
      </c>
      <c r="L1398">
        <f>K1398*(MIN(Inputs!$B$22+(F1412-Calc!F22),(Inputs!$B$23+(IF(ArtifactsInput!$M$15,CHOOSE(ArtifactsInput!$N$15+1,25,30,35,40,45,50)/100*(Inputs!$B$11-Inputs!$B$11),0))))/100+(Inputs!$B$23+(IF(ArtifactsInput!$M$15,CHOOSE(ArtifactsInput!$N$15+1,25,30,35,40,45,50)/100*(Inputs!$B$11-Inputs!$B$11),0)))/100)/2</f>
        <v>12610193078597.777</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59507501137902.906</v>
      </c>
      <c r="N1398">
        <f>L1398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59507501137902.906</v>
      </c>
      <c r="O1398">
        <f>(1-Summary!$B$11)*S1398+Summary!$B$11*U1398</f>
        <v>2050636106199075.2</v>
      </c>
      <c r="P1398">
        <f>IF(B1431=0,0,O1398/B1431)</f>
        <v>7.0344329703392813E-2</v>
      </c>
      <c r="Q1398">
        <f>IFERROR(1/(IF(Inputs!$B$38="pvp",15,MAX(0.1,Skills!E8-IF(TRUE=TRUE,Inputs!$B$32,0)))*(1-IF(AND(ArtifactsInput!$M$27,Inputs!$B$4="Chapter Hunt"),CHOOSE(ArtifactsInput!$N$27+1,20,24,28,32,36,40),0)/100)),0)</f>
        <v>4.0816326530612242E-2</v>
      </c>
      <c r="R1398">
        <f>IF(AND(Inputs!$B$38&lt;&gt;"pvp",Inputs!$B$43&gt;0),IF(MAX(0,Inputs!$B$43-B1428)&lt;=0,0,(INT(MAX(0,Inputs!$B$43-B1428)/(IF(Inputs!$B$38="pvp",15,MAX(0.1,Skills!E8-IF(TRUE=TRUE,Inputs!$B$32,0)))*(1-IF(AND(ArtifactsInput!$M$27,Inputs!$B$4="Chapter Hunt"),CHOOSE(ArtifactsInput!$N$27+1,20,24,28,32,36,40),0)/100)))+1)),0)</f>
        <v>2</v>
      </c>
      <c r="S1398">
        <f>IF(C1398,(H1398*N1398*IF(AND(Inputs!$B$38&lt;&gt;"pvp",Inputs!$B$43&gt;0),((Skills!G8*((R1398-1)*IF(Skills!H8&gt;0,Skills!I8/Skills!H8,1)+IF(Skills!H8&gt;0,MIN(Skills!I8,MAX(0,MAX(0,Inputs!$B$43-B1428)-((R1398-1)*(IF(Inputs!$B$38="pvp",15,MAX(0.1,Skills!E8-IF(TRUE=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390773456967302</v>
      </c>
      <c r="U1398">
        <f>IF(C1398,(H1398*N1398*IF(AND(Inputs!$B$38&lt;&gt;"pvp",Inputs!$B$43&gt;0),((Skills!G8*((R1398-1)*IF(Skills!H8&gt;0,Skills!I8/Skills!H8,1)+IF(Skills!H8&gt;0,MIN(Skills!I8,MAX(0,MAX(0,Inputs!$B$43-B1428)-((R1398-1)*(IF(Inputs!$B$38="pvp",15,MAX(0.1,Skills!E8-IF(TRUE=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3710498755430848.5</v>
      </c>
    </row>
    <row r="1399" spans="1:26" x14ac:dyDescent="0.2">
      <c r="A1399" t="str">
        <f>Skills!A9</f>
        <v>MIST_ERUPTION</v>
      </c>
      <c r="B1399" t="str">
        <f>Skills!B9</f>
        <v>Mist Eruption</v>
      </c>
      <c r="C1399" t="b">
        <f>Inputs!$B$3&gt;=103</f>
        <v>1</v>
      </c>
      <c r="D1399">
        <f>IF(Skills!C9=1,60+Inputs!$B$25+Inputs!$B$29,IF(Skills!C9=2,90+Inputs!$B$26+Inputs!$B$29,IF(Skills!C9=3,120+Inputs!$B$27+Inputs!$B$29,MAX(0,(Inputs!$B$3-100)*3)+Inputs!$B$28+Inputs!$B$29)))</f>
        <v>185</v>
      </c>
      <c r="E1399">
        <f>INDEX(FactorTable!$B$2:$Y$301, MATCH(ROUND(MIN(300,MAX(1,D1399)),0), FactorTable!$A$2:$A$301,0), Skills!M9+1)</f>
        <v>1925</v>
      </c>
      <c r="F1399">
        <f>IF(Skills!N9=TRUE,(Skills!L9/10)*(E1399/1000),Skills!L9/10)+Skills!O9</f>
        <v>5775</v>
      </c>
      <c r="G1399">
        <f>Calc!G9</f>
        <v>2.5</v>
      </c>
      <c r="H1399">
        <f>Calc!H9</f>
        <v>1</v>
      </c>
      <c r="I1399">
        <f>IF(Skills!X9&lt;&gt;"",1+(Skills!X9/10)*(Z1393/1000)/100,1)</f>
        <v>1</v>
      </c>
      <c r="J1399">
        <f>((Inputs!$B$6*(1+Inputs!$B$7/100))+(((Inputs!$B$12*(1+Inputs!$B$13/100))-(Inputs!$B$12*(1+Inputs!$B$13/100)))+0.25*(Inputs!$B$14-Inputs!$B$14))*(1+Inputs!$B$7/100))*(F1399/100)</f>
        <v>20855518610.330254</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92328992540160.297</v>
      </c>
      <c r="L1399">
        <f>K1399*(MIN(Inputs!$B$22+(F1412-Calc!F22),(Inputs!$B$23+(IF(ArtifactsInput!$M$15,CHOOSE(ArtifactsInput!$N$15+1,25,30,35,40,45,50)/100*(Inputs!$B$11-Inputs!$B$11),0))))/100+(Inputs!$B$23+(IF(ArtifactsInput!$M$15,CHOOSE(ArtifactsInput!$N$15+1,25,30,35,40,45,50)/100*(Inputs!$B$11-Inputs!$B$11),0)))/100)/2</f>
        <v>306993900196033</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1448704215025079.5</v>
      </c>
      <c r="N1399">
        <f>L1399*(1-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1448704215025079.5</v>
      </c>
      <c r="O1399">
        <f>(1-Summary!$B$11)*S1399+Summary!$B$11*U1399</f>
        <v>3012399327117774.5</v>
      </c>
      <c r="P1399">
        <f>IF(B1431=0,0,O1399/B1431)</f>
        <v>0.10333633101673266</v>
      </c>
      <c r="Q1399">
        <f>IFERROR(1/(IF(Inputs!$B$38="pvp",15,MAX(0.1,Skills!E9-IF(TRUE=TRUE,Inputs!$B$32,0)))*(1-IF(AND(ArtifactsInput!$M$27,Inputs!$B$4="Chapter Hunt"),CHOOSE(ArtifactsInput!$N$27+1,20,24,28,32,36,40),0)/100)),0)</f>
        <v>4.0816326530612242E-2</v>
      </c>
      <c r="R1399">
        <f>IF(AND(Inputs!$B$38&lt;&gt;"pvp",Inputs!$B$43&gt;0),IF(MAX(0,Inputs!$B$43-B1428)&lt;=0,0,(INT(MAX(0,Inputs!$B$43-B1428)/(IF(Inputs!$B$38="pvp",15,MAX(0.1,Skills!E9-IF(TRUE=TRUE,Inputs!$B$32,0)))*(1-IF(AND(ArtifactsInput!$M$27,Inputs!$B$4="Chapter Hunt"),CHOOSE(ArtifactsInput!$N$27+1,20,24,28,32,36,40),0)/100)))+1)),0)</f>
        <v>2</v>
      </c>
      <c r="S1399">
        <f>IF(C1399,(H1399*N1399*IF(AND(Inputs!$B$38&lt;&gt;"pvp",Inputs!$B$43&gt;0),((Skills!G9*((R1399-1)*IF(Skills!H9&gt;0,Skills!I9/Skills!H9,1)+IF(Skills!H9&gt;0,MIN(Skills!I9,MAX(0,MAX(0,Inputs!$B$43-B1428)-((R1399-1)*(IF(Inputs!$B$38="pvp",15,MAX(0.1,Skills!E9-IF(TRUE=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574049045203687.75</v>
      </c>
      <c r="U1399">
        <f>IF(C1399,(H1399*N1399*IF(AND(Inputs!$B$38&lt;&gt;"pvp",Inputs!$B$43&gt;0),((Skills!G9*((R1399-1)*IF(Skills!H9&gt;0,Skills!I9/Skills!H9,1)+IF(Skills!H9&gt;0,MIN(Skills!I9,MAX(0,MAX(0,Inputs!$B$43-B1428)-((R1399-1)*(IF(Inputs!$B$38="pvp",15,MAX(0.1,Skills!E9-IF(TRUE=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5450749609031861</v>
      </c>
    </row>
    <row r="1400" spans="1:26" x14ac:dyDescent="0.2">
      <c r="A1400" t="str">
        <f>Skills!A10</f>
        <v>CREEPING_TOXIN</v>
      </c>
      <c r="B1400" t="str">
        <f>Skills!B10</f>
        <v>Creeping Toxin</v>
      </c>
      <c r="C1400" t="b">
        <f>TRUE</f>
        <v>1</v>
      </c>
      <c r="D1400">
        <f>IF(Skills!C10=1,60+Inputs!$B$25+Inputs!$B$29,IF(Skills!C10=2,90+Inputs!$B$26+Inputs!$B$29,IF(Skills!C10=3,120+Inputs!$B$27+Inputs!$B$29,MAX(0,(Inputs!$B$3-100)*3)+Inputs!$B$28+Inputs!$B$29)))</f>
        <v>184</v>
      </c>
      <c r="E1400">
        <f>INDEX(FactorTable!$B$2:$Y$301, MATCH(ROUND(MIN(300,MAX(1,D1400)),0), FactorTable!$A$2:$A$301,0), Skills!M10+1)</f>
        <v>1920</v>
      </c>
      <c r="F1400">
        <f>IF(Skills!N10=TRUE,(Skills!L10/10)*(E1400/1000),Skills!L10/10)+Skills!O10</f>
        <v>280.39999999999998</v>
      </c>
      <c r="G1400">
        <f>Calc!G10</f>
        <v>15</v>
      </c>
      <c r="H1400">
        <f>Calc!H10</f>
        <v>1</v>
      </c>
      <c r="I1400">
        <f>IF(Skills!X10&lt;&gt;"",1+(Skills!X10/10)*(Z1393/1000)/100,1)</f>
        <v>1.7650000000000001</v>
      </c>
      <c r="J1400">
        <f>((Inputs!$B$6*(1+Inputs!$B$7/100))+(((Inputs!$B$12*(1+Inputs!$B$13/100))-(Inputs!$B$12*(1+Inputs!$B$13/100)))+0.25*(Inputs!$B$14-Inputs!$B$14))*(1+Inputs!$B$7/100))*(F1400/100)</f>
        <v>1012621197.9803641</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7912410802091.874</v>
      </c>
      <c r="L1400">
        <f>K1400*(MIN(Inputs!$B$22+(F1412-Calc!F22),(Inputs!$B$23+(IF(ArtifactsInput!$M$15,CHOOSE(ArtifactsInput!$N$15+1,25,30,35,40,45,50)/100*(Inputs!$B$11-Inputs!$B$11),0))))/100+(Inputs!$B$23+(IF(ArtifactsInput!$M$15,CHOOSE(ArtifactsInput!$N$15+1,25,30,35,40,45,50)/100*(Inputs!$B$11-Inputs!$B$11),0)))/100)/2</f>
        <v>26308765916955.484</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124151066362112.92</v>
      </c>
      <c r="N1400">
        <f>L1400*(1-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124151066362112.92</v>
      </c>
      <c r="O1400">
        <f>(1-Summary!$B$11)*S1400+Summary!$B$11*U1400</f>
        <v>285747537981569.75</v>
      </c>
      <c r="P1400">
        <f>IF(B1431=0,0,O1400/B1431)</f>
        <v>9.8021872154419824E-3</v>
      </c>
      <c r="Q1400">
        <f>IFERROR(1/(IF(Inputs!$B$38="pvp",15,MAX(0.1,Skills!E10-IF(TRUE=TRUE,Inputs!$B$32,0)))*(1-IF(AND(ArtifactsInput!$M$27,Inputs!$B$4="Chapter Hunt"),CHOOSE(ArtifactsInput!$N$27+1,20,24,28,32,36,40),0)/100)),0)</f>
        <v>3.7037037037037035E-2</v>
      </c>
      <c r="R1400">
        <f>IF(AND(Inputs!$B$38&lt;&gt;"pvp",Inputs!$B$43&gt;0),IF(MAX(0,Inputs!$B$43-B1428)&lt;=0,0,(INT(MAX(0,Inputs!$B$43-B1428)/(IF(Inputs!$B$38="pvp",15,MAX(0.1,Skills!E10-IF(TRUE=TRUE,Inputs!$B$32,0)))*(1-IF(AND(ArtifactsInput!$M$27,Inputs!$B$4="Chapter Hunt"),CHOOSE(ArtifactsInput!$N$27+1,20,24,28,32,36,40),0)/100)))+1)),0)</f>
        <v>2</v>
      </c>
      <c r="S1400">
        <f>IF(C1400,(H1400*N1400*IF(AND(Inputs!$B$38&lt;&gt;"pvp",Inputs!$B$43&gt;0),((Skills!G10*((R1400-1)*IF(Skills!H10&gt;0,Skills!I10/Skills!H10,1)+IF(Skills!H10&gt;0,MIN(Skills!I10,MAX(0,MAX(0,Inputs!$B$43-B1428)-((R1400-1)*(IF(Inputs!$B$38="pvp",15,MAX(0.1,Skills!E10-IF(TRUE=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252317463900160.47</v>
      </c>
      <c r="U1400">
        <f>IF(C1400,(H1400*N1400*IF(AND(Inputs!$B$38&lt;&gt;"pvp",Inputs!$B$43&gt;0),((Skills!G10*((R1400-1)*IF(Skills!H10&gt;0,Skills!I10/Skills!H10,1)+IF(Skills!H10&gt;0,MIN(Skills!I10,MAX(0,MAX(0,Inputs!$B$43-B1428)-((R1400-1)*(IF(Inputs!$B$38="pvp",15,MAX(0.1,Skills!E10-IF(TRUE=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319177612062979</v>
      </c>
    </row>
    <row r="1401" spans="1:26" x14ac:dyDescent="0.2">
      <c r="A1401" t="str">
        <f>Skills!A11</f>
        <v>BURNING_MAGIC</v>
      </c>
      <c r="B1401" t="str">
        <f>Skills!B11</f>
        <v>Burning Magic</v>
      </c>
      <c r="C1401" t="b">
        <f>TRUE</f>
        <v>1</v>
      </c>
      <c r="D1401">
        <f>IF(Skills!C11=1,60+Inputs!$B$25+Inputs!$B$29,IF(Skills!C11=2,90+Inputs!$B$26+Inputs!$B$29,IF(Skills!C11=3,120+Inputs!$B$27+Inputs!$B$29,MAX(0,(Inputs!$B$3-100)*3)+Inputs!$B$28+Inputs!$B$29)))</f>
        <v>184</v>
      </c>
      <c r="E1401">
        <f>INDEX(FactorTable!$B$2:$Y$301, MATCH(ROUND(MIN(300,MAX(1,D1401)),0), FactorTable!$A$2:$A$301,0), Skills!M11+1)</f>
        <v>0</v>
      </c>
      <c r="F1401">
        <f>IF(Skills!N11=TRUE,(Skills!L11/10)*(E1401/1000),Skills!L11/10)+Skills!O11</f>
        <v>5</v>
      </c>
      <c r="G1401">
        <f>Calc!G11</f>
        <v>1</v>
      </c>
      <c r="H1401">
        <f>Calc!H11</f>
        <v>1</v>
      </c>
      <c r="I1401">
        <f>IF(Skills!X11&lt;&gt;"",1+(Skills!X11/10)*(Z1393/1000)/100,1)</f>
        <v>1</v>
      </c>
      <c r="O1401">
        <f>(1-Summary!$B$11)*S1401+Summary!$B$11*U1401</f>
        <v>0</v>
      </c>
      <c r="P1401">
        <f>IF(B1431=0,0,O1401/B1431)</f>
        <v>0</v>
      </c>
      <c r="Q1401">
        <f>IFERROR(1/(IF(Inputs!$B$38="pvp",15,MAX(0.1,Skills!E11-IF(TRUE=TRUE,Inputs!$B$32,0)))*(1-IF(AND(ArtifactsInput!$M$27,Inputs!$B$4="Chapter Hunt"),CHOOSE(ArtifactsInput!$N$27+1,20,24,28,32,36,40),0)/100)),0)</f>
        <v>10</v>
      </c>
      <c r="R1401">
        <v>0</v>
      </c>
      <c r="S1401">
        <v>0</v>
      </c>
      <c r="U1401">
        <v>0</v>
      </c>
    </row>
    <row r="1402" spans="1:26" x14ac:dyDescent="0.2">
      <c r="A1402" t="str">
        <f>Skills!A12</f>
        <v>ELEMENTAL_DECREASE</v>
      </c>
      <c r="B1402" t="str">
        <f>Skills!B12</f>
        <v>Elemental Decrease</v>
      </c>
      <c r="C1402" t="b">
        <f>TRUE</f>
        <v>1</v>
      </c>
      <c r="D1402">
        <f>IF(Skills!C12=1,60+Inputs!$B$25+Inputs!$B$29,IF(Skills!C12=2,90+Inputs!$B$26+Inputs!$B$29,IF(Skills!C12=3,120+Inputs!$B$27+Inputs!$B$29,MAX(0,(Inputs!$B$3-100)*3)+Inputs!$B$28+Inputs!$B$29)))</f>
        <v>184</v>
      </c>
      <c r="E1402">
        <f>INDEX(FactorTable!$B$2:$Y$301, MATCH(ROUND(MIN(300,MAX(1,D1402)),0), FactorTable!$A$2:$A$301,0), Skills!M12+1)</f>
        <v>1552</v>
      </c>
      <c r="F1402">
        <f>IF(Skills!N12=TRUE,(Skills!L12/10)*(E1402/1000),Skills!L12/10)+Skills!O12</f>
        <v>18.624000000000002</v>
      </c>
      <c r="G1402">
        <f>Calc!G12</f>
        <v>1</v>
      </c>
      <c r="H1402">
        <f>Calc!H12</f>
        <v>0.5</v>
      </c>
      <c r="I1402">
        <f>IF(Skills!X12&lt;&gt;"",1+(Skills!X12/10)*(Z1393/1000)/100,1)</f>
        <v>1</v>
      </c>
      <c r="O1402">
        <f>(1-Summary!$B$11)*S1402+Summary!$B$11*U1402</f>
        <v>0</v>
      </c>
      <c r="P1402">
        <f>IF(B1431=0,0,O1402/B1431)</f>
        <v>0</v>
      </c>
      <c r="Q1402">
        <f>IFERROR(1/(IF(Inputs!$B$38="pvp",15,MAX(0.1,Skills!E12-IF(TRUE=TRUE,Inputs!$B$32,0)))*(1-IF(AND(ArtifactsInput!$M$27,Inputs!$B$4="Chapter Hunt"),CHOOSE(ArtifactsInput!$N$27+1,20,24,28,32,36,40),0)/100)),0)</f>
        <v>10</v>
      </c>
      <c r="R1402">
        <v>0</v>
      </c>
      <c r="S1402">
        <v>0</v>
      </c>
      <c r="U1402">
        <v>0</v>
      </c>
    </row>
    <row r="1403" spans="1:26" x14ac:dyDescent="0.2">
      <c r="A1403" t="str">
        <f>Skills!A13</f>
        <v>METEOR_SHOWER_BURST</v>
      </c>
      <c r="B1403" t="str">
        <f>Skills!B13</f>
        <v>Meteor Shower (burst)</v>
      </c>
      <c r="C1403" t="b">
        <f>Inputs!$B$3&gt;=105</f>
        <v>1</v>
      </c>
      <c r="D1403">
        <f>IF(Skills!C13=1,60+Inputs!$B$25+Inputs!$B$29,IF(Skills!C13=2,90+Inputs!$B$26+Inputs!$B$29,IF(Skills!C13=3,120+Inputs!$B$27+Inputs!$B$29,MAX(0,(Inputs!$B$3-100)*3)+Inputs!$B$28+Inputs!$B$29)))</f>
        <v>185</v>
      </c>
      <c r="E1403">
        <f>INDEX(FactorTable!$B$2:$Y$301, MATCH(ROUND(MIN(300,MAX(1,D1403)),0), FactorTable!$A$2:$A$301,0), Skills!M13+1)</f>
        <v>1925</v>
      </c>
      <c r="F1403">
        <f>IF(Skills!N13=TRUE,(Skills!L13/10)*(E1403/1000),Skills!L13/10)+Skills!O13</f>
        <v>1155</v>
      </c>
      <c r="G1403">
        <f>Calc!G13</f>
        <v>9</v>
      </c>
      <c r="H1403">
        <f>Calc!H13</f>
        <v>1</v>
      </c>
      <c r="I1403">
        <f>IF(Skills!X13&lt;&gt;"",1+(Skills!X13/10)*(Z1393/1000)/100,1)</f>
        <v>1</v>
      </c>
      <c r="J1403">
        <f>((Inputs!$B$6*(1+Inputs!$B$7/100))+(((Inputs!$B$12*(1+Inputs!$B$13/100))-(Inputs!$B$12*(1+Inputs!$B$13/100)))+0.25*(Inputs!$B$14-Inputs!$B$14))*(1+Inputs!$B$7/100))*(F1403/100)</f>
        <v>4171103722.0660505</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18465798508032.062</v>
      </c>
      <c r="L1403">
        <f>K1403*(MIN(Inputs!$B$22+(F1412-Calc!F22),(Inputs!$B$23+(IF(ArtifactsInput!$M$15,CHOOSE(ArtifactsInput!$N$15+1,25,30,35,40,45,50)/100*(Inputs!$B$11-Inputs!$B$11),0))))/100+(Inputs!$B$23+(IF(ArtifactsInput!$M$15,CHOOSE(ArtifactsInput!$N$15+1,25,30,35,40,45,50)/100*(Inputs!$B$11-Inputs!$B$11),0)))/100)/2</f>
        <v>61398780039206.609</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289740843005015.94</v>
      </c>
      <c r="N1403">
        <f>L1403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289740843005015.94</v>
      </c>
      <c r="O1403">
        <f>(1-Summary!$B$11)*S1403+Summary!$B$11*U1403</f>
        <v>1580246557749357</v>
      </c>
      <c r="P1403">
        <f>IF(B1431=0,0,O1403/B1431)</f>
        <v>5.4208245204954382E-2</v>
      </c>
      <c r="Q1403">
        <f>IFERROR(1/(IF(Inputs!$B$38="pvp",15,MAX(0.1,Skills!E13-IF(TRUE=TRUE,Inputs!$B$32,0)))*(1-IF(AND(ArtifactsInput!$M$27,Inputs!$B$4="Chapter Hunt"),CHOOSE(ArtifactsInput!$N$27+1,20,24,28,32,36,40),0)/100)),0)</f>
        <v>3.0303030303030304E-2</v>
      </c>
      <c r="R1403">
        <f>IF(AND(Inputs!$B$38&lt;&gt;"pvp",Inputs!$B$43&gt;0),IF(MAX(0,Inputs!$B$43-B1428)&lt;=0,0,(INT(MAX(0,Inputs!$B$43-B1428)/(IF(Inputs!$B$38="pvp",15,MAX(0.1,Skills!E13-IF(TRUE=TRUE,Inputs!$B$32,0)))*(1-IF(AND(ArtifactsInput!$M$27,Inputs!$B$4="Chapter Hunt"),CHOOSE(ArtifactsInput!$N$27+1,20,24,28,32,36,40),0)/100)))+1)),0)</f>
        <v>2</v>
      </c>
      <c r="S1403">
        <f>IF(C1403,(H1403*N1403*IF(AND(Inputs!$B$38&lt;&gt;"pvp",Inputs!$B$43&gt;0),((Skills!G13*((R1403-1)*IF(Skills!H13&gt;0,Skills!I13/Skills!H13,1)+IF(Skills!H13&gt;0,MIN(Skills!I13,MAX(0,MAX(0,Inputs!$B$43-B1428)-((R1403-1)*(IF(Inputs!$B$38="pvp",15,MAX(0.1,Skills!E13-IF(TRUE=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413315312546655.25</v>
      </c>
      <c r="U1403">
        <f>IF(C1403,(H1403*N1403*IF(AND(Inputs!$B$38&lt;&gt;"pvp",Inputs!$B$43&gt;0),((Skills!G13*((R1403-1)*IF(Skills!H13&gt;0,Skills!I13/Skills!H13,1)+IF(Skills!H13&gt;0,MIN(Skills!I13,MAX(0,MAX(0,Inputs!$B$43-B1428)-((R1403-1)*(IF(Inputs!$B$38="pvp",15,MAX(0.1,Skills!E13-IF(TRUE=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2747177802952058.5</v>
      </c>
    </row>
    <row r="1404" spans="1:26" x14ac:dyDescent="0.2">
      <c r="A1404" t="str">
        <f>Skills!A14</f>
        <v>METEOR_PROC</v>
      </c>
      <c r="B1404" t="str">
        <f>Skills!B14</f>
        <v>Meteor Proc (30% on-hit, 1s ICD)</v>
      </c>
      <c r="C1404" t="b">
        <f>Inputs!$B$3&gt;=113</f>
        <v>1</v>
      </c>
      <c r="D1404">
        <f>IF(Skills!C14=1,60+Inputs!$B$25+Inputs!$B$29,IF(Skills!C14=2,90+Inputs!$B$26+Inputs!$B$29,IF(Skills!C14=3,120+Inputs!$B$27+Inputs!$B$29,MAX(0,(Inputs!$B$3-100)*3)+Inputs!$B$28+Inputs!$B$29)))</f>
        <v>185</v>
      </c>
      <c r="E1404">
        <f>INDEX(FactorTable!$B$2:$Y$301, MATCH(ROUND(MIN(300,MAX(1,D1404)),0), FactorTable!$A$2:$A$301,0), Skills!M14+1)</f>
        <v>1740</v>
      </c>
      <c r="F1404">
        <f>IF(Skills!N14=TRUE,(Skills!L14/10)*(E1404/1000),Skills!L14/10)+Skills!O14</f>
        <v>1653</v>
      </c>
      <c r="G1404">
        <f>Calc!G14</f>
        <v>0</v>
      </c>
      <c r="H1404">
        <f>Calc!H14</f>
        <v>0.30000000000000004</v>
      </c>
      <c r="I1404">
        <f>IF(Skills!X14&lt;&gt;"",1+(Skills!X14/10)*(Z1393/1000)/100,1)</f>
        <v>1</v>
      </c>
      <c r="J1404">
        <f>((Inputs!$B$6*(1+Inputs!$B$7/100))+(((Inputs!$B$12*(1+Inputs!$B$13/100))-(Inputs!$B$12*(1+Inputs!$B$13/100)))+0.25*(Inputs!$B$14-Inputs!$B$14))*(1+Inputs!$B$7/100))*(F1404/100)</f>
        <v>5969553638.5932312</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26427675267339.383</v>
      </c>
      <c r="L1404">
        <f>K1404*(MIN(Inputs!$B$22+(F1412-Calc!F22),(Inputs!$B$23+(IF(ArtifactsInput!$M$15,CHOOSE(ArtifactsInput!$N$15+1,25,30,35,40,45,50)/100*(Inputs!$B$11-Inputs!$B$11),0))))/100+(Inputs!$B$23+(IF(ArtifactsInput!$M$15,CHOOSE(ArtifactsInput!$N$15+1,25,30,35,40,45,50)/100*(Inputs!$B$11-Inputs!$B$11),0)))/100)/2</f>
        <v>87872020263903.453</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414668063625360.38</v>
      </c>
      <c r="N1404">
        <f>L1404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414668063625360.38</v>
      </c>
      <c r="O1404">
        <f>(1-Summary!$B$11)*S1404+Summary!$B$11*U1404</f>
        <v>406394887703885.69</v>
      </c>
      <c r="P1404">
        <f>IF(B1431=0,0,O1404/B1431)</f>
        <v>1.3940833229257574E-2</v>
      </c>
      <c r="Q1404">
        <f>IFERROR(1/(IF(Inputs!$B$38="pvp",15,MAX(0.1,Skills!E14-IF(TRUE=TRUE,Inputs!$B$32,0)))*(1-IF(AND(ArtifactsInput!$M$27,Inputs!$B$4="Chapter Hunt"),CHOOSE(ArtifactsInput!$N$27+1,20,24,28,32,36,40),0)/100)),0)</f>
        <v>10</v>
      </c>
      <c r="R1404">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416916438194601.19</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395873337213170.19</v>
      </c>
    </row>
    <row r="1405" spans="1:26" x14ac:dyDescent="0.2">
      <c r="A1405" t="str">
        <f>Skills!A15</f>
        <v>FLAME_HAZE_BURST</v>
      </c>
      <c r="B1405" t="str">
        <f>Skills!B15</f>
        <v>Flame Haze (burst)</v>
      </c>
      <c r="C1405" t="b">
        <f>Inputs!$B$3&gt;=107</f>
        <v>1</v>
      </c>
      <c r="D1405">
        <f>IF(Skills!C15=1,60+Inputs!$B$25+Inputs!$B$29,IF(Skills!C15=2,90+Inputs!$B$26+Inputs!$B$29,IF(Skills!C15=3,120+Inputs!$B$27+Inputs!$B$29,MAX(0,(Inputs!$B$3-100)*3)+Inputs!$B$28+Inputs!$B$29)))</f>
        <v>185</v>
      </c>
      <c r="E1405">
        <f>INDEX(FactorTable!$B$2:$Y$301, MATCH(ROUND(MIN(300,MAX(1,D1405)),0), FactorTable!$A$2:$A$301,0), Skills!M15+1)</f>
        <v>1925</v>
      </c>
      <c r="F1405">
        <f>IF(Skills!N15=TRUE,(Skills!L15/10)*(E1405/1000),Skills!L15/10)+Skills!O15</f>
        <v>2310</v>
      </c>
      <c r="G1405">
        <f>Calc!G15</f>
        <v>3</v>
      </c>
      <c r="H1405">
        <f>Calc!H15</f>
        <v>1</v>
      </c>
      <c r="I1405">
        <f>IF(Skills!X15&lt;&gt;"",1+(Skills!X15/10)*(Z1393/1000)/100,1)</f>
        <v>1</v>
      </c>
      <c r="J1405">
        <f>((Inputs!$B$6*(1+Inputs!$B$7/100))+(((Inputs!$B$12*(1+Inputs!$B$13/100))-(Inputs!$B$12*(1+Inputs!$B$13/100)))+0.25*(Inputs!$B$14-Inputs!$B$14))*(1+Inputs!$B$7/100))*(F1405/100)</f>
        <v>8342207444.1321011</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36931597016064.125</v>
      </c>
      <c r="L1405">
        <f>K1405*(MIN(Inputs!$B$22+(F1412-Calc!F22),(Inputs!$B$23+(IF(ArtifactsInput!$M$15,CHOOSE(ArtifactsInput!$N$15+1,25,30,35,40,45,50)/100*(Inputs!$B$11-Inputs!$B$11),0))))/100+(Inputs!$B$23+(IF(ArtifactsInput!$M$15,CHOOSE(ArtifactsInput!$N$15+1,25,30,35,40,45,50)/100*(Inputs!$B$11-Inputs!$B$11),0)))/100)/2</f>
        <v>122797560078413.22</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579481686010031.88</v>
      </c>
      <c r="N1405">
        <f>L1405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579481686010031.88</v>
      </c>
      <c r="O1405">
        <f>(1-Summary!$B$11)*S1405+Summary!$B$11*U1405</f>
        <v>1445951677016531.8</v>
      </c>
      <c r="P1405">
        <f>IF(B1431=0,0,O1405/B1431)</f>
        <v>4.9601438888031681E-2</v>
      </c>
      <c r="Q1405">
        <f>IFERROR(1/(IF(Inputs!$B$38="pvp",15,MAX(0.1,Skills!E15-IF(TRUE=TRUE,Inputs!$B$32,0)))*(1-IF(AND(ArtifactsInput!$M$27,Inputs!$B$4="Chapter Hunt"),CHOOSE(ArtifactsInput!$N$27+1,20,24,28,32,36,40),0)/100)),0)</f>
        <v>0.04</v>
      </c>
      <c r="R1405">
        <f>IF(AND(Inputs!$B$38&lt;&gt;"pvp",Inputs!$B$43&gt;0),IF(MAX(0,Inputs!$B$43-B1428)&lt;=0,0,(INT(MAX(0,Inputs!$B$43-B1428)/(IF(Inputs!$B$38="pvp",15,MAX(0.1,Skills!E15-IF(TRUE=TRUE,Inputs!$B$32,0)))*(1-IF(AND(ArtifactsInput!$M$27,Inputs!$B$4="Chapter Hunt"),CHOOSE(ArtifactsInput!$N$27+1,20,24,28,32,36,40),0)/100)))+1)),0)</f>
        <v>2</v>
      </c>
      <c r="S1405">
        <f>IF(C1405,(H1405*N1405*IF(AND(Inputs!$B$38&lt;&gt;"pvp",Inputs!$B$43&gt;0),((Skills!G15*((R1405-1)*IF(Skills!H15&gt;0,Skills!I15/Skills!H15,1)+IF(Skills!H15&gt;0,MIN(Skills!I15,MAX(0,MAX(0,Inputs!$B$43-B1428)-((R1405-1)*(IF(Inputs!$B$38="pvp",15,MAX(0.1,Skills!E15-IF(TRUE=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275543541697770.16</v>
      </c>
      <c r="U1405">
        <f>IF(C1405,(H1405*N1405*IF(AND(Inputs!$B$38&lt;&gt;"pvp",Inputs!$B$43&gt;0),((Skills!G15*((R1405-1)*IF(Skills!H15&gt;0,Skills!I15/Skills!H15,1)+IF(Skills!H15&gt;0,MIN(Skills!I15,MAX(0,MAX(0,Inputs!$B$43-B1428)-((R1405-1)*(IF(Inputs!$B$38="pvp",15,MAX(0.1,Skills!E15-IF(TRUE=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2616359812335293.5</v>
      </c>
    </row>
    <row r="1406" spans="1:26" x14ac:dyDescent="0.2">
      <c r="A1406" t="str">
        <f>Skills!A16</f>
        <v>FLAME_HAZE_DOT</v>
      </c>
      <c r="B1406" t="str">
        <f>Skills!B16</f>
        <v>Flame Haze (burn DoT)</v>
      </c>
      <c r="C1406" t="b">
        <f>Inputs!$B$3&gt;=107</f>
        <v>1</v>
      </c>
      <c r="D1406">
        <f>IF(Skills!C16=1,60+Inputs!$B$25+Inputs!$B$29,IF(Skills!C16=2,90+Inputs!$B$26+Inputs!$B$29,IF(Skills!C16=3,120+Inputs!$B$27+Inputs!$B$29,MAX(0,(Inputs!$B$3-100)*3)+Inputs!$B$28+Inputs!$B$29)))</f>
        <v>185</v>
      </c>
      <c r="E1406">
        <f>INDEX(FactorTable!$B$2:$Y$301, MATCH(ROUND(MIN(300,MAX(1,D1406)),0), FactorTable!$A$2:$A$301,0), Skills!M16+1)</f>
        <v>1925</v>
      </c>
      <c r="F1406">
        <f>IF(Skills!N16=TRUE,(Skills!L16/10)*(E1406/1000),Skills!L16/10)+Skills!O16</f>
        <v>288.75</v>
      </c>
      <c r="G1406">
        <f>Calc!G16</f>
        <v>30</v>
      </c>
      <c r="H1406">
        <f>Calc!H16</f>
        <v>1</v>
      </c>
      <c r="I1406">
        <f>IF(Skills!X16&lt;&gt;"",1+(Skills!X16/10)*(Z1393/1000)/100,1)</f>
        <v>1</v>
      </c>
      <c r="J1406">
        <f>((Inputs!$B$6*(1+Inputs!$B$7/100))+(((Inputs!$B$12*(1+Inputs!$B$13/100))-(Inputs!$B$12*(1+Inputs!$B$13/100)))+0.25*(Inputs!$B$14-Inputs!$B$14))*(1+Inputs!$B$7/100))*(F1406/100)</f>
        <v>1042775930.5165126</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4616449627008.0156</v>
      </c>
      <c r="L1406">
        <f>K1406*(MIN(Inputs!$B$22+(F1412-Calc!F22),(Inputs!$B$23+(IF(ArtifactsInput!$M$15,CHOOSE(ArtifactsInput!$N$15+1,25,30,35,40,45,50)/100*(Inputs!$B$11-Inputs!$B$11),0))))/100+(Inputs!$B$23+(IF(ArtifactsInput!$M$15,CHOOSE(ArtifactsInput!$N$15+1,25,30,35,40,45,50)/100*(Inputs!$B$11-Inputs!$B$11),0)))/100)/2</f>
        <v>15349695009801.652</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72435210751253.984</v>
      </c>
      <c r="N1406">
        <f>L1406*(1-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72435210751253.984</v>
      </c>
      <c r="O1406">
        <f>(1-Summary!$B$11)*S1406+Summary!$B$11*U1406</f>
        <v>1665537381399288.5</v>
      </c>
      <c r="P1406">
        <f>IF(B1431=0,0,O1406/B1431)</f>
        <v>5.7134032867313167E-2</v>
      </c>
      <c r="Q1406">
        <f>IFERROR(1/(IF(Inputs!$B$38="pvp",15,MAX(0.1,Skills!E16-IF(TRUE=TRUE,Inputs!$B$32,0)))*(1-IF(AND(ArtifactsInput!$M$27,Inputs!$B$4="Chapter Hunt"),CHOOSE(ArtifactsInput!$N$27+1,20,24,28,32,36,40),0)/100)),0)</f>
        <v>0.04</v>
      </c>
      <c r="R1406">
        <f>IF(AND(Inputs!$B$38&lt;&gt;"pvp",Inputs!$B$43&gt;0),IF(MAX(0,Inputs!$B$43-B1428)&lt;=0,0,(INT(MAX(0,Inputs!$B$43-B1428)/(IF(Inputs!$B$38="pvp",15,MAX(0.1,Skills!E16-IF(TRUE=TRUE,Inputs!$B$32,0)))*(1-IF(AND(ArtifactsInput!$M$27,Inputs!$B$4="Chapter Hunt"),CHOOSE(ArtifactsInput!$N$27+1,20,24,28,32,36,40),0)/100)))+1)),0)</f>
        <v>2</v>
      </c>
      <c r="S1406">
        <f>IF(C1406,(H1406*N1406*IF(AND(Inputs!$B$38&lt;&gt;"pvp",Inputs!$B$43&gt;0),((Skills!G16*((R1406-1)*IF(Skills!H16&gt;0,Skills!I16/Skills!H16,1)+IF(Skills!H16&gt;0,MIN(Skills!I16,MAX(0,MAX(0,Inputs!$B$43-B1428)-((R1406-1)*(IF(Inputs!$B$38="pvp",15,MAX(0.1,Skills!E16-IF(TRUE=TRUE,Inputs!$B$32,0)))*(1-IF(AND(ArtifactsInput!$M$27,Inputs!$B$4="Chapter Hunt"),CHOOSE(ArtifactsInput!$N$27+1,20,24,28,32,36,40),0)/100)))))/Skills!H16,1)))/Inputs!$B$43),G1406*Q1406)*(1+IF(Inputs!$B$3&gt;=126,0.05*(B1426+Q1403+(H1404*B1427)/(1+Skills!H14*H1404*B1427)+Q1414),0)*(1/Q1405)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317388247612608.69</v>
      </c>
      <c r="U1406">
        <f>IF(C1406,(H1406*N1406*IF(AND(Inputs!$B$38&lt;&gt;"pvp",Inputs!$B$43&gt;0),((Skills!G16*((R1406-1)*IF(Skills!H16&gt;0,Skills!I16/Skills!H16,1)+IF(Skills!H16&gt;0,MIN(Skills!I16,MAX(0,MAX(0,Inputs!$B$43-B1428)-((R1406-1)*(IF(Inputs!$B$38="pvp",15,MAX(0.1,Skills!E16-IF(TRUE=TRUE,Inputs!$B$32,0)))*(1-IF(AND(ArtifactsInput!$M$27,Inputs!$B$4="Chapter Hunt"),CHOOSE(ArtifactsInput!$N$27+1,20,24,28,32,36,40),0)/100)))))/Skills!H16,1)))/Inputs!$B$43),G1406*Q1406)*(1+IF(Inputs!$B$3&gt;=126,0.05*(B1426+Q1403+(H1404*B1427)/(1+Skills!H14*H1404*B1427)+Q1414),0)*(1/Q1405)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3013686515185968.5</v>
      </c>
    </row>
    <row r="1407" spans="1:26" x14ac:dyDescent="0.2">
      <c r="A1407" t="str">
        <f>Skills!A17</f>
        <v>MAGIC_GUARD</v>
      </c>
      <c r="B1407" t="str">
        <f>Skills!B17</f>
        <v>Magic Guard</v>
      </c>
      <c r="C1407" t="b">
        <f>TRUE</f>
        <v>1</v>
      </c>
      <c r="D1407">
        <f>IF(Skills!C17=1,60+Inputs!$B$25+Inputs!$B$29,IF(Skills!C17=2,90+Inputs!$B$26+Inputs!$B$29,IF(Skills!C17=3,120+Inputs!$B$27+Inputs!$B$29,MAX(0,(Inputs!$B$3-100)*3)+Inputs!$B$28+Inputs!$B$29)))</f>
        <v>127</v>
      </c>
      <c r="E1407">
        <f>INDEX(FactorTable!$B$2:$Y$301, MATCH(ROUND(MIN(300,MAX(1,D1407)),0), FactorTable!$A$2:$A$301,0), Skills!M17+1)</f>
        <v>1508</v>
      </c>
      <c r="F1407">
        <f>IF(Skills!N17=TRUE,(Skills!L17/10)*(E1407/1000),Skills!L17/10)+Skills!O17</f>
        <v>18.096</v>
      </c>
      <c r="G1407">
        <f>Calc!G17</f>
        <v>1</v>
      </c>
      <c r="H1407">
        <f>Calc!H17</f>
        <v>1</v>
      </c>
      <c r="I1407">
        <f>IF(Skills!X17&lt;&gt;"",1+(Skills!X17/10)*(Z1393/1000)/100,1)</f>
        <v>1</v>
      </c>
      <c r="O1407">
        <f>(1-Summary!$B$11)*S1407+Summary!$B$11*U1407</f>
        <v>0</v>
      </c>
      <c r="P1407">
        <f>IF(B1431=0,0,O1407/B1431)</f>
        <v>0</v>
      </c>
      <c r="Q1407">
        <f>IFERROR(1/(IF(Inputs!$B$38="pvp",15,MAX(0.1,Skills!E17-IF(TRUE=TRUE,Inputs!$B$32,0)))*(1-IF(AND(ArtifactsInput!$M$27,Inputs!$B$4="Chapter Hunt"),CHOOSE(ArtifactsInput!$N$27+1,20,24,28,32,36,40),0)/100)),0)</f>
        <v>4.7619047619047616E-2</v>
      </c>
      <c r="R1407">
        <f>IF(AND(Inputs!$B$38&lt;&gt;"pvp",Inputs!$B$43&gt;0),IF(Inputs!$B$43&lt;=0,0,(INT(Inputs!$B$43/(IF(Inputs!$B$38="pvp",15,MAX(0.1,Skills!E17-IF(TRUE=TRUE,Inputs!$B$32,0)))*(1-IF(AND(ArtifactsInput!$M$27,Inputs!$B$4="Chapter Hunt"),CHOOSE(ArtifactsInput!$N$27+1,20,24,28,32,36,40),0)/100)))+1)),0)</f>
        <v>2</v>
      </c>
      <c r="S1407">
        <v>0</v>
      </c>
      <c r="U1407">
        <v>0</v>
      </c>
    </row>
    <row r="1408" spans="1:26" x14ac:dyDescent="0.2">
      <c r="A1408" t="str">
        <f>Skills!A18</f>
        <v>NIMBLE_FEET</v>
      </c>
      <c r="B1408" t="str">
        <f>Skills!B18</f>
        <v>Nimble Feet</v>
      </c>
      <c r="C1408" t="b">
        <f>TRUE</f>
        <v>1</v>
      </c>
      <c r="D1408">
        <f>IF(Skills!C18=1,60+Inputs!$B$25+Inputs!$B$29,IF(Skills!C18=2,90+Inputs!$B$26+Inputs!$B$29,IF(Skills!C18=3,120+Inputs!$B$27+Inputs!$B$29,MAX(0,(Inputs!$B$3-100)*3)+Inputs!$B$28+Inputs!$B$29)))</f>
        <v>127</v>
      </c>
      <c r="E1408">
        <f>INDEX(FactorTable!$B$2:$Y$301, MATCH(ROUND(MIN(300,MAX(1,D1408)),0), FactorTable!$A$2:$A$301,0), Skills!M18+1)</f>
        <v>0</v>
      </c>
      <c r="F1408">
        <f>IF(Skills!N18=TRUE,(Skills!L18/10)*(E1408/1000),Skills!L18/10)+Skills!O18</f>
        <v>15</v>
      </c>
      <c r="G1408">
        <f>Calc!G18</f>
        <v>1</v>
      </c>
      <c r="H1408">
        <f>Calc!H18</f>
        <v>1</v>
      </c>
      <c r="I1408">
        <f>IF(Skills!X18&lt;&gt;"",1+(Skills!X18/10)*(Z1393/1000)/100,1)</f>
        <v>1</v>
      </c>
      <c r="O1408">
        <f>(1-Summary!$B$11)*S1408+Summary!$B$11*U1408</f>
        <v>0</v>
      </c>
      <c r="P1408">
        <f>IF(B1431=0,0,O1408/B1431)</f>
        <v>0</v>
      </c>
      <c r="Q1408">
        <f>IFERROR(1/(IF(Inputs!$B$38="pvp",15,MAX(0.1,Skills!E18-IF(TRUE=TRUE,Inputs!$B$32,0)))*(1-IF(AND(ArtifactsInput!$M$27,Inputs!$B$4="Chapter Hunt"),CHOOSE(ArtifactsInput!$N$27+1,20,24,28,32,36,40),0)/100)),0)</f>
        <v>1.6666666666666666E-2</v>
      </c>
      <c r="R1408">
        <f>IF(AND(Inputs!$B$38&lt;&gt;"pvp",Inputs!$B$43&gt;0),IF(Inputs!$B$43&lt;=0,0,(INT(Inputs!$B$43/(IF(Inputs!$B$38="pvp",15,MAX(0.1,Skills!E18-IF(TRUE=TRUE,Inputs!$B$32,0)))*(1-IF(AND(ArtifactsInput!$M$27,Inputs!$B$4="Chapter Hunt"),CHOOSE(ArtifactsInput!$N$27+1,20,24,28,32,36,40),0)/100)))+1)),0)</f>
        <v>1</v>
      </c>
      <c r="S1408">
        <v>0</v>
      </c>
      <c r="U1408">
        <v>0</v>
      </c>
    </row>
    <row r="1409" spans="1:21" x14ac:dyDescent="0.2">
      <c r="A1409" t="str">
        <f>Skills!A19</f>
        <v>INFINITY</v>
      </c>
      <c r="B1409" t="str">
        <f>Skills!B19</f>
        <v>Infinity</v>
      </c>
      <c r="C1409" t="b">
        <f>Inputs!$B$3&gt;=110</f>
        <v>1</v>
      </c>
      <c r="D1409">
        <f>IF(Skills!C19=1,60+Inputs!$B$25+Inputs!$B$29,IF(Skills!C19=2,90+Inputs!$B$26+Inputs!$B$29,IF(Skills!C19=3,120+Inputs!$B$27+Inputs!$B$29,MAX(0,(Inputs!$B$3-100)*3)+Inputs!$B$28+Inputs!$B$29)))</f>
        <v>185</v>
      </c>
      <c r="E1409">
        <f>INDEX(FactorTable!$B$2:$Y$301, MATCH(ROUND(MIN(300,MAX(1,D1409)),0), FactorTable!$A$2:$A$301,0), Skills!M19+1)</f>
        <v>1740</v>
      </c>
      <c r="F1409">
        <f>IF(Skills!N19=TRUE,(Skills!L19/10)*(E1409/1000),Skills!L19/10)+Skills!O19</f>
        <v>37.700579999999995</v>
      </c>
      <c r="G1409">
        <f>Calc!G19</f>
        <v>1</v>
      </c>
      <c r="H1409">
        <f>Calc!H19</f>
        <v>1</v>
      </c>
      <c r="I1409">
        <f>IF(Skills!X19&lt;&gt;"",1+(Skills!X19/10)*(Z1393/1000)/100,1)</f>
        <v>1</v>
      </c>
      <c r="O1409">
        <f>(1-Summary!$B$11)*S1409+Summary!$B$11*U1409</f>
        <v>0</v>
      </c>
      <c r="P1409">
        <f>IF(B1431=0,0,O1409/B1431)</f>
        <v>0</v>
      </c>
      <c r="Q1409">
        <f>IFERROR(1/(IF(Inputs!$B$38="pvp",15,MAX(0.1,Skills!E19-IF(TRUE=TRUE,Inputs!$B$32,0)))*(1-IF(AND(ArtifactsInput!$M$27,Inputs!$B$4="Chapter Hunt"),CHOOSE(ArtifactsInput!$N$27+1,20,24,28,32,36,40),0)/100)),0)</f>
        <v>3.3333333333333333E-2</v>
      </c>
      <c r="R1409">
        <f>IF(AND(Inputs!$B$38&lt;&gt;"pvp",Inputs!$B$43&gt;0),IF(Inputs!$B$43&lt;=0,0,(INT(Inputs!$B$43/(IF(Inputs!$B$38="pvp",15,MAX(0.1,Skills!E19-IF(TRUE=TRUE,Inputs!$B$32,0)))*(1-IF(AND(ArtifactsInput!$M$27,Inputs!$B$4="Chapter Hunt"),CHOOSE(ArtifactsInput!$N$27+1,20,24,28,32,36,40),0)/100)))+1)),0)</f>
        <v>2</v>
      </c>
      <c r="S1409">
        <v>0</v>
      </c>
      <c r="U1409">
        <v>0</v>
      </c>
    </row>
    <row r="1410" spans="1:21" x14ac:dyDescent="0.2">
      <c r="A1410" t="str">
        <f>Skills!A20</f>
        <v>MAGIC_CRITICAL_RATE</v>
      </c>
      <c r="B1410" t="str">
        <f>Skills!B20</f>
        <v>Magic Critical (Crit Rate)</v>
      </c>
      <c r="C1410" t="b">
        <f>TRUE</f>
        <v>1</v>
      </c>
      <c r="D1410">
        <f>IF(Skills!C20=1,60+Inputs!$B$25+Inputs!$B$29,IF(Skills!C20=2,90+Inputs!$B$26+Inputs!$B$29,IF(Skills!C20=3,120+Inputs!$B$27+Inputs!$B$29,MAX(0,(Inputs!$B$3-100)*3)+Inputs!$B$28+Inputs!$B$29)))</f>
        <v>184</v>
      </c>
      <c r="E1410">
        <f>INDEX(FactorTable!$B$2:$Y$301, MATCH(ROUND(MIN(300,MAX(1,D1410)),0), FactorTable!$A$2:$A$301,0), Skills!M20+1)</f>
        <v>1552</v>
      </c>
      <c r="F1410">
        <f>IF(Skills!N20=TRUE,(Skills!L20/10)*(E1410/1000),Skills!L20/10)+Skills!O20</f>
        <v>12.416</v>
      </c>
      <c r="G1410">
        <f>Calc!G20</f>
        <v>1</v>
      </c>
      <c r="H1410">
        <f>Calc!H20</f>
        <v>1</v>
      </c>
      <c r="I1410">
        <f>IF(Skills!X20&lt;&gt;"",1+(Skills!X20/10)*(Z1393/1000)/100,1)</f>
        <v>1</v>
      </c>
      <c r="O1410">
        <f>(1-Summary!$B$11)*S1410+Summary!$B$11*U1410</f>
        <v>0</v>
      </c>
      <c r="P1410">
        <f>IF(B1431=0,0,O1410/B1431)</f>
        <v>0</v>
      </c>
      <c r="Q1410">
        <f>IFERROR(1/(IF(Inputs!$B$38="pvp",15,MAX(0.1,Skills!E20-IF(TRUE=TRUE,Inputs!$B$32,0)))*(1-IF(AND(ArtifactsInput!$M$27,Inputs!$B$4="Chapter Hunt"),CHOOSE(ArtifactsInput!$N$27+1,20,24,28,32,36,40),0)/100)),0)</f>
        <v>10</v>
      </c>
      <c r="R1410">
        <v>0</v>
      </c>
      <c r="S1410">
        <v>0</v>
      </c>
      <c r="U1410">
        <v>0</v>
      </c>
    </row>
    <row r="1411" spans="1:21" x14ac:dyDescent="0.2">
      <c r="A1411" t="str">
        <f>Skills!A21</f>
        <v>MAGIC_CRITICAL_DAMAGE</v>
      </c>
      <c r="B1411" t="str">
        <f>Skills!B21</f>
        <v>Magic Critical (Crit Damage)</v>
      </c>
      <c r="C1411" t="b">
        <f>TRUE</f>
        <v>1</v>
      </c>
      <c r="D1411">
        <f>IF(Skills!C21=1,60+Inputs!$B$25+Inputs!$B$29,IF(Skills!C21=2,90+Inputs!$B$26+Inputs!$B$29,IF(Skills!C21=3,120+Inputs!$B$27+Inputs!$B$29,MAX(0,(Inputs!$B$3-100)*3)+Inputs!$B$28+Inputs!$B$29)))</f>
        <v>184</v>
      </c>
      <c r="E1411">
        <f>INDEX(FactorTable!$B$2:$Y$301, MATCH(ROUND(MIN(300,MAX(1,D1411)),0), FactorTable!$A$2:$A$301,0), Skills!M21+1)</f>
        <v>1552</v>
      </c>
      <c r="F1411">
        <f>IF(Skills!N21=TRUE,(Skills!L21/10)*(E1411/1000),Skills!L21/10)+Skills!O21</f>
        <v>18.624000000000002</v>
      </c>
      <c r="G1411">
        <f>Calc!G21</f>
        <v>1</v>
      </c>
      <c r="H1411">
        <f>Calc!H21</f>
        <v>1</v>
      </c>
      <c r="I1411">
        <f>IF(Skills!X21&lt;&gt;"",1+(Skills!X21/10)*(Z1393/1000)/100,1)</f>
        <v>1</v>
      </c>
      <c r="O1411">
        <f>(1-Summary!$B$11)*S1411+Summary!$B$11*U1411</f>
        <v>0</v>
      </c>
      <c r="P1411">
        <f>IF(B1431=0,0,O1411/B1431)</f>
        <v>0</v>
      </c>
      <c r="Q1411">
        <f>IFERROR(1/(IF(Inputs!$B$38="pvp",15,MAX(0.1,Skills!E21-IF(TRUE=TRUE,Inputs!$B$32,0)))*(1-IF(AND(ArtifactsInput!$M$27,Inputs!$B$4="Chapter Hunt"),CHOOSE(ArtifactsInput!$N$27+1,20,24,28,32,36,40),0)/100)),0)</f>
        <v>10</v>
      </c>
      <c r="R1411">
        <v>0</v>
      </c>
      <c r="S1411">
        <v>0</v>
      </c>
      <c r="U1411">
        <v>0</v>
      </c>
    </row>
    <row r="1412" spans="1:21" x14ac:dyDescent="0.2">
      <c r="A1412" t="str">
        <f>Skills!A22</f>
        <v>SPELL_MASTERY</v>
      </c>
      <c r="B1412" t="str">
        <f>Skills!B22</f>
        <v>Spell Mastery</v>
      </c>
      <c r="C1412" t="b">
        <f>TRUE</f>
        <v>1</v>
      </c>
      <c r="D1412">
        <f>IF(Skills!C22=1,60+Inputs!$B$25+Inputs!$B$29,IF(Skills!C22=2,90+Inputs!$B$26+Inputs!$B$29,IF(Skills!C22=3,120+Inputs!$B$27+Inputs!$B$29,MAX(0,(Inputs!$B$3-100)*3)+Inputs!$B$28+Inputs!$B$29)))</f>
        <v>168</v>
      </c>
      <c r="E1412">
        <f>INDEX(FactorTable!$B$2:$Y$301, MATCH(ROUND(MIN(300,MAX(1,D1412)),0), FactorTable!$A$2:$A$301,0), Skills!M22+1)</f>
        <v>1504</v>
      </c>
      <c r="F1412">
        <f>IF(Skills!N22=TRUE,(Skills!L22/10)*(E1412/1000),Skills!L22/10)+Skills!O22</f>
        <v>22.56</v>
      </c>
      <c r="G1412">
        <f>Calc!G22</f>
        <v>1</v>
      </c>
      <c r="H1412">
        <f>Calc!H22</f>
        <v>1</v>
      </c>
      <c r="I1412">
        <f>IF(Skills!X22&lt;&gt;"",1+(Skills!X22/10)*(Z1393/1000)/100,1)</f>
        <v>1</v>
      </c>
      <c r="O1412">
        <f>(1-Summary!$B$11)*S1412+Summary!$B$11*U1412</f>
        <v>0</v>
      </c>
      <c r="P1412">
        <f>IF(B1431=0,0,O1412/B1431)</f>
        <v>0</v>
      </c>
      <c r="Q1412">
        <f>IFERROR(1/(IF(Inputs!$B$38="pvp",15,MAX(0.1,Skills!E22-IF(TRUE=TRUE,Inputs!$B$32,0)))*(1-IF(AND(ArtifactsInput!$M$27,Inputs!$B$4="Chapter Hunt"),CHOOSE(ArtifactsInput!$N$27+1,20,24,28,32,36,40),0)/100)),0)</f>
        <v>10</v>
      </c>
      <c r="R1412">
        <v>0</v>
      </c>
      <c r="S1412">
        <v>0</v>
      </c>
      <c r="U1412">
        <v>0</v>
      </c>
    </row>
    <row r="1413" spans="1:21" x14ac:dyDescent="0.2">
      <c r="A1413" t="str">
        <f>Skills!A23</f>
        <v>ELEMENT_AMPLIFICATION</v>
      </c>
      <c r="B1413" t="str">
        <f>Skills!B23</f>
        <v>Element Amplification</v>
      </c>
      <c r="C1413" t="b">
        <f>TRUE</f>
        <v>1</v>
      </c>
      <c r="D1413">
        <f>IF(Skills!C23=1,60+Inputs!$B$25+Inputs!$B$29,IF(Skills!C23=2,90+Inputs!$B$26+Inputs!$B$29,IF(Skills!C23=3,120+Inputs!$B$27+Inputs!$B$29,MAX(0,(Inputs!$B$3-100)*3)+Inputs!$B$28+Inputs!$B$29)))</f>
        <v>185</v>
      </c>
      <c r="E1413">
        <f>INDEX(FactorTable!$B$2:$Y$301, MATCH(ROUND(MIN(300,MAX(1,D1413)),0), FactorTable!$A$2:$A$301,0), Skills!M23+1)</f>
        <v>1555</v>
      </c>
      <c r="F1413">
        <f>IF(Skills!N23=TRUE,(Skills!L23/10)*(E1413/1000),Skills!L23/10)+Skills!O23</f>
        <v>23.324999999999999</v>
      </c>
      <c r="G1413">
        <f>Calc!G23</f>
        <v>1</v>
      </c>
      <c r="H1413">
        <f>Calc!H23</f>
        <v>1</v>
      </c>
      <c r="I1413">
        <f>IF(Skills!X23&lt;&gt;"",1+(Skills!X23/10)*(Z1393/1000)/100,1)</f>
        <v>1</v>
      </c>
      <c r="O1413">
        <f>(1-Summary!$B$11)*S1413+Summary!$B$11*U1413</f>
        <v>0</v>
      </c>
      <c r="P1413">
        <f>IF(B1431=0,0,O1413/B1431)</f>
        <v>0</v>
      </c>
      <c r="Q1413">
        <f>IFERROR(1/(IF(Inputs!$B$38="pvp",15,MAX(0.1,Skills!E23-IF(TRUE=TRUE,Inputs!$B$32,0)))*(1-IF(AND(ArtifactsInput!$M$27,Inputs!$B$4="Chapter Hunt"),CHOOSE(ArtifactsInput!$N$27+1,20,24,28,32,36,40),0)/100)),0)</f>
        <v>10</v>
      </c>
      <c r="R1413">
        <v>0</v>
      </c>
      <c r="S1413">
        <v>0</v>
      </c>
      <c r="U1413">
        <v>0</v>
      </c>
    </row>
    <row r="1414" spans="1:21" x14ac:dyDescent="0.2">
      <c r="A1414" t="str">
        <f>Skills!A24</f>
        <v>IFRIT</v>
      </c>
      <c r="B1414" t="str">
        <f>Skills!B24</f>
        <v>Ifrit</v>
      </c>
      <c r="C1414" t="b">
        <f>Inputs!$B$3&gt;=115</f>
        <v>1</v>
      </c>
      <c r="D1414">
        <f>IF(Skills!C24=1,60+Inputs!$B$25+Inputs!$B$29,IF(Skills!C24=2,90+Inputs!$B$26+Inputs!$B$29,IF(Skills!C24=3,120+Inputs!$B$27+Inputs!$B$29,MAX(0,(Inputs!$B$3-100)*3)+Inputs!$B$28+Inputs!$B$29)))</f>
        <v>185</v>
      </c>
      <c r="E1414">
        <f>INDEX(FactorTable!$B$2:$Y$301, MATCH(ROUND(MIN(300,MAX(1,D1414)),0), FactorTable!$A$2:$A$301,0), Skills!M24+1)</f>
        <v>1925</v>
      </c>
      <c r="F1414">
        <f>IF(Skills!N24=TRUE,(Skills!L24/10)*(E1414/1000),Skills!L24/10)+Skills!O24</f>
        <v>6737.5</v>
      </c>
      <c r="G1414">
        <f>Calc!G24</f>
        <v>7.5</v>
      </c>
      <c r="H1414">
        <f>Calc!H24</f>
        <v>1</v>
      </c>
      <c r="I1414">
        <f>IF(Skills!X24&lt;&gt;"",1+(Skills!X24/10)*(Z1393/1000)/100,1)</f>
        <v>1</v>
      </c>
      <c r="J1414">
        <f>((Inputs!$B$6*(1+Inputs!$B$7/100))+(((Inputs!$B$12*(1+Inputs!$B$13/100))-(Inputs!$B$12*(1+Inputs!$B$13/100)))+0.25*(Inputs!$B$14-Inputs!$B$14))*(1+Inputs!$B$7/100))*(F1414/100)</f>
        <v>24331438378.718628</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107717157963520.36</v>
      </c>
      <c r="L1414">
        <f>K1414*(MIN(Inputs!$B$22+(F1412-Calc!F22),(Inputs!$B$23+(IF(ArtifactsInput!$M$15,CHOOSE(ArtifactsInput!$N$15+1,25,30,35,40,45,50)/100*(Inputs!$B$11-Inputs!$B$11),0))))/100+(Inputs!$B$23+(IF(ArtifactsInput!$M$15,CHOOSE(ArtifactsInput!$N$15+1,25,30,35,40,45,50)/100*(Inputs!$B$11-Inputs!$B$11),0)))/100)/2</f>
        <v>358159550228705.19</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1690154917529259.5</v>
      </c>
      <c r="N1414">
        <f>L1414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1690154917529259.5</v>
      </c>
      <c r="O1414">
        <f>(1-Summary!$B$11)*S1414+Summary!$B$11*U1414</f>
        <v>1933114686924090.2</v>
      </c>
      <c r="P1414">
        <f>IF(B1431=0,0,O1414/B1431)</f>
        <v>6.6312914553869617E-2</v>
      </c>
      <c r="Q1414">
        <f>IFERROR(1/(IF(Inputs!$B$38="pvp",15,MAX(0.1,Skills!E24-IF(TRUE=TRUE,Inputs!$B$32,0)))*(1-IF(AND(ArtifactsInput!$M$27,Inputs!$B$4="Chapter Hunt"),CHOOSE(ArtifactsInput!$N$27+1,20,24,28,32,36,40),0)/100)),0)</f>
        <v>1.2500000000000001E-2</v>
      </c>
      <c r="R1414">
        <f>IF(AND(Inputs!$B$38&lt;&gt;"pvp",Inputs!$B$43&gt;0),IF(MAX(0,Inputs!$B$43-B1428)&lt;=0,0,(INT(MAX(0,Inputs!$B$43-B1428)/(IF(Inputs!$B$38="pvp",15,MAX(0.1,Skills!E24-IF(TRUE=TRUE,Inputs!$B$32,0)))*(1-IF(AND(ArtifactsInput!$M$27,Inputs!$B$4="Chapter Hunt"),CHOOSE(ArtifactsInput!$N$27+1,20,24,28,32,36,40),0)/100)))+1)),0)</f>
        <v>1</v>
      </c>
      <c r="S1414">
        <f>IF(C1414,(H1414*N1414*IF(AND(Inputs!$B$38&lt;&gt;"pvp",Inputs!$B$43&gt;0),((Skills!G24*((R1414-1)*IF(Skills!H24&gt;0,Skills!I24/Skills!H24,1)+IF(Skills!H24&gt;0,MIN(Skills!I24,MAX(0,MAX(0,Inputs!$B$43-B1428)-((R1414-1)*(IF(Inputs!$B$38="pvp",15,MAX(0.1,Skills!E24-IF(TRUE=TRUE,Inputs!$B$32,0)))*(1-IF(AND(ArtifactsInput!$M$27,Inputs!$B$4="Chapter Hunt"),CHOOSE(ArtifactsInput!$N$27+1,20,24,28,32,36,40),0)/100)))))/Skills!H24,1)))/Inputs!$B$43),G1414*Q1414)*(1+IF(Inputs!$B$3&gt;=130,0.2*(Skills!I16/(1/Q1405)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1004585829106453.5</v>
      </c>
      <c r="U1414">
        <f>IF(C1414,(H1414*N1414*IF(AND(Inputs!$B$38&lt;&gt;"pvp",Inputs!$B$43&gt;0),((Skills!G24*((R1414-1)*IF(Skills!H24&gt;0,Skills!I24/Skills!H24,1)+IF(Skills!H24&gt;0,MIN(Skills!I24,MAX(0,MAX(0,Inputs!$B$43-B1428)-((R1414-1)*(IF(Inputs!$B$38="pvp",15,MAX(0.1,Skills!E24-IF(TRUE=TRUE,Inputs!$B$32,0)))*(1-IF(AND(ArtifactsInput!$M$27,Inputs!$B$4="Chapter Hunt"),CHOOSE(ArtifactsInput!$N$27+1,20,24,28,32,36,40),0)/100)))))/Skills!H24,1)))/Inputs!$B$43),G1414*Q1414)*(1+IF(Inputs!$B$3&gt;=130,0.2*(Skills!I16/(1/Q1405)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2861643544741727</v>
      </c>
    </row>
    <row r="1415" spans="1:21" x14ac:dyDescent="0.2">
      <c r="A1415" t="str">
        <f>Skills!A25</f>
        <v>BUFF_MASTERY</v>
      </c>
      <c r="B1415" t="str">
        <f>Skills!B25</f>
        <v>Buff Mastery</v>
      </c>
      <c r="C1415" t="b">
        <f>Inputs!$B$3&gt;=117</f>
        <v>1</v>
      </c>
      <c r="D1415">
        <f>IF(Skills!C25=1,60+Inputs!$B$25+Inputs!$B$29,IF(Skills!C25=2,90+Inputs!$B$26+Inputs!$B$29,IF(Skills!C25=3,120+Inputs!$B$27+Inputs!$B$29,MAX(0,(Inputs!$B$3-100)*3)+Inputs!$B$28+Inputs!$B$29)))</f>
        <v>185</v>
      </c>
      <c r="E1415">
        <f>INDEX(FactorTable!$B$2:$Y$301, MATCH(ROUND(MIN(300,MAX(1,D1415)),0), FactorTable!$A$2:$A$301,0), Skills!M25+1)</f>
        <v>1555</v>
      </c>
      <c r="F1415">
        <f>IF(Skills!N25=TRUE,(Skills!L25/10)*(E1415/1000),Skills!L25/10)+Skills!O25</f>
        <v>15.549999999999999</v>
      </c>
      <c r="G1415">
        <f>Calc!G25</f>
        <v>1</v>
      </c>
      <c r="H1415">
        <f>Calc!H25</f>
        <v>1</v>
      </c>
      <c r="I1415">
        <f>IF(Skills!X25&lt;&gt;"",1+(Skills!X25/10)*(Z1393/1000)/100,1)</f>
        <v>1</v>
      </c>
      <c r="O1415">
        <f>(1-Summary!$B$11)*S1415+Summary!$B$11*U1415</f>
        <v>0</v>
      </c>
      <c r="P1415">
        <f>IF(B1431=0,0,O1415/B1431)</f>
        <v>0</v>
      </c>
      <c r="Q1415">
        <f>IFERROR(1/(IF(Inputs!$B$38="pvp",15,MAX(0.1,Skills!E25-IF(TRUE=TRUE,Inputs!$B$32,0)))*(1-IF(AND(ArtifactsInput!$M$27,Inputs!$B$4="Chapter Hunt"),CHOOSE(ArtifactsInput!$N$27+1,20,24,28,32,36,40),0)/100)),0)</f>
        <v>10</v>
      </c>
      <c r="R1415">
        <v>0</v>
      </c>
      <c r="S1415">
        <v>0</v>
      </c>
      <c r="U1415">
        <v>0</v>
      </c>
    </row>
    <row r="1416" spans="1:21" x14ac:dyDescent="0.2">
      <c r="A1416" t="str">
        <f>Skills!A26</f>
        <v>ARCANE_AIM</v>
      </c>
      <c r="B1416" t="str">
        <f>Skills!B26</f>
        <v>Arcane Aim</v>
      </c>
      <c r="C1416" t="b">
        <f>Inputs!$B$3&gt;=120</f>
        <v>0</v>
      </c>
      <c r="D1416">
        <f>IF(Skills!C26=1,60+Inputs!$B$25+Inputs!$B$29,IF(Skills!C26=2,90+Inputs!$B$26+Inputs!$B$29,IF(Skills!C26=3,120+Inputs!$B$27+Inputs!$B$29,MAX(0,(Inputs!$B$3-100)*3)+Inputs!$B$28+Inputs!$B$29)))</f>
        <v>185</v>
      </c>
      <c r="E1416">
        <f>INDEX(FactorTable!$B$2:$Y$301, MATCH(ROUND(MIN(300,MAX(1,D1416)),0), FactorTable!$A$2:$A$301,0), Skills!M26+1)</f>
        <v>1555</v>
      </c>
      <c r="F1416">
        <f>IF(Skills!N26=TRUE,(Skills!L26/10)*(E1416/1000),Skills!L26/10)+Skills!O26</f>
        <v>4.665</v>
      </c>
      <c r="G1416">
        <f>Calc!G26</f>
        <v>1</v>
      </c>
      <c r="H1416">
        <f>Calc!H26</f>
        <v>1</v>
      </c>
      <c r="I1416">
        <f>IF(Skills!X26&lt;&gt;"",1+(Skills!X26/10)*(Z1393/1000)/100,1)</f>
        <v>1</v>
      </c>
      <c r="O1416">
        <f>(1-Summary!$B$11)*S1416+Summary!$B$11*U1416</f>
        <v>0</v>
      </c>
      <c r="P1416">
        <f>IF(B1431=0,0,O1416/B1431)</f>
        <v>0</v>
      </c>
      <c r="Q1416">
        <f>IFERROR(1/(IF(Inputs!$B$38="pvp",15,MAX(0.1,Skills!E26-IF(TRUE=TRUE,Inputs!$B$32,0)))*(1-IF(AND(ArtifactsInput!$M$27,Inputs!$B$4="Chapter Hunt"),CHOOSE(ArtifactsInput!$N$27+1,20,24,28,32,36,40),0)/100)),0)</f>
        <v>10</v>
      </c>
      <c r="R1416">
        <v>0</v>
      </c>
      <c r="S1416">
        <v>0</v>
      </c>
      <c r="U1416">
        <v>0</v>
      </c>
    </row>
    <row r="1417" spans="1:21" x14ac:dyDescent="0.2">
      <c r="A1417" t="str">
        <f>Skills!A27</f>
        <v>FERVENT_DRAIN</v>
      </c>
      <c r="B1417" t="str">
        <f>Skills!B27</f>
        <v>Fervent Drain</v>
      </c>
      <c r="C1417" t="b">
        <f>Inputs!$B$3&gt;=125</f>
        <v>0</v>
      </c>
      <c r="D1417">
        <f>IF(Skills!C27=1,60+Inputs!$B$25+Inputs!$B$29,IF(Skills!C27=2,90+Inputs!$B$26+Inputs!$B$29,IF(Skills!C27=3,120+Inputs!$B$27+Inputs!$B$29,MAX(0,(Inputs!$B$3-100)*3)+Inputs!$B$28+Inputs!$B$29)))</f>
        <v>185</v>
      </c>
      <c r="E1417">
        <f>INDEX(FactorTable!$B$2:$Y$301, MATCH(ROUND(MIN(300,MAX(1,D1417)),0), FactorTable!$A$2:$A$301,0), Skills!M27+1)</f>
        <v>1555</v>
      </c>
      <c r="F1417">
        <f>IF(Skills!N27=TRUE,(Skills!L27/10)*(E1417/1000),Skills!L27/10)+Skills!O27</f>
        <v>6.22</v>
      </c>
      <c r="G1417">
        <f>Calc!G27</f>
        <v>1</v>
      </c>
      <c r="H1417">
        <f>Calc!H27</f>
        <v>1</v>
      </c>
      <c r="I1417">
        <f>IF(Skills!X27&lt;&gt;"",1+(Skills!X27/10)*(Z1393/1000)/100,1)</f>
        <v>1</v>
      </c>
      <c r="O1417">
        <f>(1-Summary!$B$11)*S1417+Summary!$B$11*U1417</f>
        <v>0</v>
      </c>
      <c r="P1417">
        <f>IF(B1431=0,0,O1417/B1431)</f>
        <v>0</v>
      </c>
      <c r="Q1417">
        <f>IFERROR(1/(IF(Inputs!$B$38="pvp",15,MAX(0.1,Skills!E27-IF(TRUE=TRUE,Inputs!$B$32,0)))*(1-IF(AND(ArtifactsInput!$M$27,Inputs!$B$4="Chapter Hunt"),CHOOSE(ArtifactsInput!$N$27+1,20,24,28,32,36,40),0)/100)),0)</f>
        <v>10</v>
      </c>
      <c r="R1417">
        <v>0</v>
      </c>
      <c r="S1417">
        <v>0</v>
      </c>
      <c r="U1417">
        <v>0</v>
      </c>
    </row>
    <row r="1418" spans="1:21" x14ac:dyDescent="0.2">
      <c r="A1418" t="str">
        <f>Skills!A28</f>
        <v>FLAME_HAZE_FOG</v>
      </c>
      <c r="B1418" t="str">
        <f>Skills!B28</f>
        <v>Flame Haze (poison fog DoT)</v>
      </c>
      <c r="C1418" t="b">
        <f>Inputs!$B$3&gt;=118</f>
        <v>0</v>
      </c>
      <c r="D1418">
        <f>IF(Skills!C28=1,60+Inputs!$B$25+Inputs!$B$29,IF(Skills!C28=2,90+Inputs!$B$26+Inputs!$B$29,IF(Skills!C28=3,120+Inputs!$B$27+Inputs!$B$29,MAX(0,(Inputs!$B$3-100)*3)+Inputs!$B$28+Inputs!$B$29)))</f>
        <v>185</v>
      </c>
      <c r="E1418">
        <f>INDEX(FactorTable!$B$2:$Y$301, MATCH(ROUND(MIN(300,MAX(1,D1418)),0), FactorTable!$A$2:$A$301,0), Skills!M28+1)</f>
        <v>1925</v>
      </c>
      <c r="F1418">
        <f>IF(Skills!N28=TRUE,(Skills!L28/10)*(E1418/1000),Skills!L28/10)+Skills!O28</f>
        <v>134.75</v>
      </c>
      <c r="G1418">
        <f>Calc!G28</f>
        <v>50</v>
      </c>
      <c r="H1418">
        <f>Calc!H28</f>
        <v>1</v>
      </c>
      <c r="I1418">
        <f>IF(Skills!X28&lt;&gt;"",1+(Skills!X28/10)*(Z1393/1000)/100,1)</f>
        <v>1</v>
      </c>
      <c r="J1418">
        <f>((Inputs!$B$6*(1+Inputs!$B$7/100))+(((Inputs!$B$12*(1+Inputs!$B$13/100))-(Inputs!$B$12*(1+Inputs!$B$13/100)))+0.25*(Inputs!$B$14-Inputs!$B$14))*(1+Inputs!$B$7/100))*(F1418/100)</f>
        <v>486628767.57437253</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2154343159270.4067</v>
      </c>
      <c r="L1418">
        <f>K1418*(MIN(Inputs!$B$22+(F1412-Calc!F22),(Inputs!$B$23+(IF(ArtifactsInput!$M$15,CHOOSE(ArtifactsInput!$N$15+1,25,30,35,40,45,50)/100*(Inputs!$B$11-Inputs!$B$11),0))))/100+(Inputs!$B$23+(IF(ArtifactsInput!$M$15,CHOOSE(ArtifactsInput!$N$15+1,25,30,35,40,45,50)/100*(Inputs!$B$11-Inputs!$B$11),0)))/100)/2</f>
        <v>7163191004574.1025</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33803098350585.188</v>
      </c>
      <c r="N1418">
        <f>L1418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33803098350585.188</v>
      </c>
      <c r="O1418">
        <f>(1-Summary!$B$11)*S1418+Summary!$B$11*U1418</f>
        <v>0</v>
      </c>
      <c r="P1418">
        <f>IF(B1431=0,0,O1418/B1431)</f>
        <v>0</v>
      </c>
      <c r="Q1418">
        <f>IFERROR(1/(IF(Inputs!$B$38="pvp",15,MAX(0.1,Skills!E28-IF(TRUE=TRUE,Inputs!$B$32,0)))*(1-IF(AND(ArtifactsInput!$M$27,Inputs!$B$4="Chapter Hunt"),CHOOSE(ArtifactsInput!$N$27+1,20,24,28,32,36,40),0)/100)),0)</f>
        <v>0.04</v>
      </c>
      <c r="R1418">
        <f>IF(AND(Inputs!$B$38&lt;&gt;"pvp",Inputs!$B$43&gt;0),IF(MAX(0,Inputs!$B$43-B1428)&lt;=0,0,(INT(MAX(0,Inputs!$B$43-B1428)/(IF(Inputs!$B$38="pvp",15,MAX(0.1,Skills!E28-IF(TRUE=TRUE,Inputs!$B$32,0)))*(1-IF(AND(ArtifactsInput!$M$27,Inputs!$B$4="Chapter Hunt"),CHOOSE(ArtifactsInput!$N$27+1,20,24,28,32,36,40),0)/100)))+1)),0)</f>
        <v>2</v>
      </c>
      <c r="S1418">
        <f>IF(C1418,(H1418*N1418*IF(AND(Inputs!$B$38&lt;&gt;"pvp",Inputs!$B$43&gt;0),((Skills!G28*((R1418-1)*IF(Skills!H28&gt;0,Skills!I28/Skills!H28,1)+IF(Skills!H28&gt;0,MIN(Skills!I28,MAX(0,MAX(0,Inputs!$B$43-B1428)-((R1418-1)*(IF(Inputs!$B$38="pvp",15,MAX(0.1,Skills!E28-IF(TRUE=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18">
        <f>IF(C1418,(H1418*N1418*IF(AND(Inputs!$B$38&lt;&gt;"pvp",Inputs!$B$43&gt;0),((Skills!G28*((R1418-1)*IF(Skills!H28&gt;0,Skills!I28/Skills!H28,1)+IF(Skills!H28&gt;0,MIN(Skills!I28,MAX(0,MAX(0,Inputs!$B$43-B1428)-((R1418-1)*(IF(Inputs!$B$38="pvp",15,MAX(0.1,Skills!E28-IF(TRUE=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20" spans="1:21" x14ac:dyDescent="0.2">
      <c r="A1420" t="s">
        <v>356</v>
      </c>
      <c r="B1420">
        <f>1+(F1401*Skills!Z11)/100</f>
        <v>1.25</v>
      </c>
    </row>
    <row r="1421" spans="1:21" x14ac:dyDescent="0.2">
      <c r="A1421" t="s">
        <v>435</v>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1.18624</v>
      </c>
    </row>
    <row r="1422" spans="1:21" x14ac:dyDescent="0.2">
      <c r="A1422" t="s">
        <v>358</v>
      </c>
      <c r="B1422">
        <f>(1+(F1396*IF(AND(Inputs!$B$38&lt;&gt;"pvp",Inputs!$B$43&gt;0),(((R1396-1)*MIN((Skills!T6*(1+((Inputs!$B$34+(ArtifactsInput!$M$7-ArtifactsInput!$M$7)*CHOOSE(ArtifactsInput!$N$7+1,6,7.2,8.4,9.6,10.8,12)))/100)),(1/Q1396))+MIN((Skills!T6*(1+((Inputs!$B$34+(ArtifactsInput!$M$7-ArtifactsInput!$M$7)*CHOOSE(ArtifactsInput!$N$7+1,6,7.2,8.4,9.6,10.8,12)))/100)),MAX(0,Inputs!$B$43-((R1396-1)*(1/Q1396)))))/Inputs!$B$43),IF(Inputs!$B$38="pvp",MIN((Skills!T6*(1+((Inputs!$B$34+(ArtifactsInput!$M$7-ArtifactsInput!$M$7)*CHOOSE(ArtifactsInput!$N$7+1,6,7.2,8.4,9.6,10.8,12)))/100)),15)/15,MIN(1,(Skills!T6*(1+((Inputs!$B$34+(ArtifactsInput!$M$7-ArtifactsInput!$M$7)*CHOOSE(ArtifactsInput!$N$7+1,6,7.2,8.4,9.6,10.8,12)))/100))/(1/Q1396))))+F1407*IF(AND(Inputs!$B$38&lt;&gt;"pvp",Inputs!$B$43&gt;0),(((R1407-1)*MIN((Skills!T17*(1+((Inputs!$B$34+(ArtifactsInput!$M$7-ArtifactsInput!$M$7)*CHOOSE(ArtifactsInput!$N$7+1,6,7.2,8.4,9.6,10.8,12)))/100)),(1/Q1407))+MIN((Skills!T17*(1+((Inputs!$B$34+(ArtifactsInput!$M$7-ArtifactsInput!$M$7)*CHOOSE(ArtifactsInput!$N$7+1,6,7.2,8.4,9.6,10.8,12)))/100)),MAX(0,Inputs!$B$43-((R1407-1)*(1/Q1407)))))/Inputs!$B$43),IF(Inputs!$B$38="pvp",MIN((Skills!T17*(1+((Inputs!$B$34+(ArtifactsInput!$M$7-ArtifactsInput!$M$7)*CHOOSE(ArtifactsInput!$N$7+1,6,7.2,8.4,9.6,10.8,12)))/100)),15)/15,MIN(1,(Skills!T17*(1+((Inputs!$B$34+(ArtifactsInput!$M$7-ArtifactsInput!$M$7)*CHOOSE(ArtifactsInput!$N$7+1,6,7.2,8.4,9.6,10.8,12)))/100))/(1/Q1407)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MIN((Skills!T19*(1+((Inputs!$B$34+(ArtifactsInput!$M$7-ArtifactsInput!$M$7)*CHOOSE(ArtifactsInput!$N$7+1,6,7.2,8.4,9.6,10.8,12)))/100)),(1/Q1409))+MIN((Skills!T19*(1+((Inputs!$B$34+(ArtifactsInput!$M$7-ArtifactsInput!$M$7)*CHOOSE(ArtifactsInput!$N$7+1,6,7.2,8.4,9.6,10.8,12)))/100)),MAX(0,Inputs!$B$43-((R1409-1)*(1/Q1409)))))/Inputs!$B$43),IF(Inputs!$B$38="pvp",MIN((Skills!T19*(1+((Inputs!$B$34+(ArtifactsInput!$M$7-ArtifactsInput!$M$7)*CHOOSE(ArtifactsInput!$N$7+1,6,7.2,8.4,9.6,10.8,12)))/100)),15)/15,MIN(1,(Skills!T19*(1+((Inputs!$B$34+(ArtifactsInput!$M$7-ArtifactsInput!$M$7)*CHOOSE(ArtifactsInput!$N$7+1,6,7.2,8.4,9.6,10.8,12)))/100))/(1/Q1409))))/100),1)</f>
        <v>1.7965808377980694</v>
      </c>
    </row>
    <row r="1423" spans="1:21" x14ac:dyDescent="0.2">
      <c r="A1423" t="s">
        <v>359</v>
      </c>
      <c r="B1423">
        <f>F1408*IF(AND(Inputs!$B$38&lt;&gt;"pvp",Inputs!$B$43&gt;0),(((R1408-1)*MIN((Skills!T18*(1+((Inputs!$B$34+(ArtifactsInput!$M$7-ArtifactsInput!$M$7)*CHOOSE(ArtifactsInput!$N$7+1,6,7.2,8.4,9.6,10.8,12)))/100)),(1/Q1408))+MIN((Skills!T18*(1+((Inputs!$B$34+(ArtifactsInput!$M$7-ArtifactsInput!$M$7)*CHOOSE(ArtifactsInput!$N$7+1,6,7.2,8.4,9.6,10.8,12)))/100)),MAX(0,Inputs!$B$43-((R1408-1)*(1/Q1408)))))/Inputs!$B$43),IF(Inputs!$B$38="pvp",MIN((Skills!T18*(1+((Inputs!$B$34+(ArtifactsInput!$M$7-ArtifactsInput!$M$7)*CHOOSE(ArtifactsInput!$N$7+1,6,7.2,8.4,9.6,10.8,12)))/100)),15)/15,MIN(1,(Skills!T18*(1+((Inputs!$B$34+(ArtifactsInput!$M$7-ArtifactsInput!$M$7)*CHOOSE(ArtifactsInput!$N$7+1,6,7.2,8.4,9.6,10.8,12)))/100))/(1/Q1408))))</f>
        <v>6.4968749999999993</v>
      </c>
    </row>
    <row r="1424" spans="1:21" x14ac:dyDescent="0.2">
      <c r="A1424" t="s">
        <v>436</v>
      </c>
      <c r="B1424">
        <f>1+MIN(150,150*(1-(1-(Inputs!$B$11+(ArtifactsInput!$M$15-ArtifactsInput!$M$15)*CHOOSE(ArtifactsInput!$N$15+1,8,9.6,11.2,12.8,14.4,16))/150)*(1-B1423/150)))/100</f>
        <v>1.6982958749999999</v>
      </c>
    </row>
    <row r="1425" spans="1:26" x14ac:dyDescent="0.2">
      <c r="A1425" t="s">
        <v>437</v>
      </c>
      <c r="B1425">
        <f>IF(AND(Inputs!$B$38&lt;&gt;"pvp",Inputs!$B$43&gt;0),SUMPRODUCT((Skills!F2:F28=TRUE)*(C1392:C1418=TRUE)*R1392:R1418)/Inputs!$B$43,SUMPRODUCT((Skills!F2:F28=TRUE)*(C1392:C1418=TRUE)*Q1392:Q1418))</f>
        <v>0.47499999999999998</v>
      </c>
    </row>
    <row r="1426" spans="1:26" x14ac:dyDescent="0.2">
      <c r="A1426" t="s">
        <v>362</v>
      </c>
      <c r="B1426">
        <f>MAX(0,B1424-B1425)</f>
        <v>1.2232958749999998</v>
      </c>
    </row>
    <row r="1427" spans="1:26" x14ac:dyDescent="0.2">
      <c r="A1427" t="s">
        <v>438</v>
      </c>
      <c r="B1427">
        <f>IF(AND(Inputs!$B$38&lt;&gt;"pvp",Inputs!$B$43&gt;0),SUMPRODUCT((Skills!V2:V28=TRUE)*(C1392:C1418=TRUE)*R1392:R1418*Skills!W2:W28)/Inputs!$B$43,SUMPRODUCT((Skills!V2:V28=TRUE)*(C1392:C1418=TRUE)*Q1392:Q1418*Skills!W2:W28))+B1426</f>
        <v>1.5482958749999998</v>
      </c>
    </row>
    <row r="1428" spans="1:26" x14ac:dyDescent="0.2">
      <c r="A1428" t="s">
        <v>439</v>
      </c>
      <c r="B1428">
        <f>IF(AND(Inputs!$B$38&lt;&gt;"pvp",Inputs!$B$43&gt;0),SUMPRODUCT((Skills!T2:T28&gt;0)*(Skills!F2:F28=TRUE)*(C1392:C1418=TRUE))/B1424,0)</f>
        <v>2.3553021937358238</v>
      </c>
    </row>
    <row r="1429" spans="1:26" x14ac:dyDescent="0.2">
      <c r="A1429" t="s">
        <v>440</v>
      </c>
      <c r="B1429">
        <f>SUM(S1392:S1418)</f>
        <v>8385253814038142</v>
      </c>
    </row>
    <row r="1430" spans="1:26" x14ac:dyDescent="0.2">
      <c r="A1430" t="s">
        <v>441</v>
      </c>
      <c r="B1430">
        <f>SUM(U1392:U1418)</f>
        <v>4.9917557936264736E+16</v>
      </c>
    </row>
    <row r="1431" spans="1:26" x14ac:dyDescent="0.2">
      <c r="A1431" s="6" t="s">
        <v>348</v>
      </c>
      <c r="B1431" s="6">
        <f>SUM(O1392:O1418)</f>
        <v>2.915140587515144E+16</v>
      </c>
    </row>
    <row r="1434" spans="1:26" x14ac:dyDescent="0.2">
      <c r="A1434" s="6" t="s">
        <v>472</v>
      </c>
    </row>
    <row r="1435" spans="1:26" x14ac:dyDescent="0.2">
      <c r="A1435" s="5" t="s">
        <v>136</v>
      </c>
      <c r="B1435" s="5" t="s">
        <v>137</v>
      </c>
      <c r="C1435" s="5" t="s">
        <v>328</v>
      </c>
      <c r="D1435" s="5" t="s">
        <v>329</v>
      </c>
      <c r="E1435" s="5" t="s">
        <v>330</v>
      </c>
      <c r="F1435" s="5" t="s">
        <v>331</v>
      </c>
      <c r="G1435" s="5" t="s">
        <v>332</v>
      </c>
      <c r="H1435" s="5" t="s">
        <v>333</v>
      </c>
      <c r="I1435" s="5" t="s">
        <v>334</v>
      </c>
      <c r="J1435" s="5" t="s">
        <v>335</v>
      </c>
      <c r="K1435" s="5" t="s">
        <v>336</v>
      </c>
      <c r="L1435" s="5" t="s">
        <v>337</v>
      </c>
      <c r="M1435" s="5" t="s">
        <v>338</v>
      </c>
      <c r="N1435" s="5" t="s">
        <v>339</v>
      </c>
      <c r="O1435" s="5" t="s">
        <v>340</v>
      </c>
      <c r="P1435" s="5" t="s">
        <v>341</v>
      </c>
      <c r="R1435" t="s">
        <v>434</v>
      </c>
    </row>
    <row r="1436" spans="1:26" x14ac:dyDescent="0.2">
      <c r="A1436" t="str">
        <f>Skills!A2</f>
        <v>BASIC_ATTACK</v>
      </c>
      <c r="B1436" t="str">
        <f>Skills!B2</f>
        <v>Basic Attack</v>
      </c>
      <c r="C1436" t="b">
        <f>TRUE</f>
        <v>1</v>
      </c>
      <c r="F1436">
        <f>T1438+Skills!O2</f>
        <v>537.6</v>
      </c>
      <c r="G1436">
        <f>Calc!G2</f>
        <v>5</v>
      </c>
      <c r="H1436">
        <f>Calc!H2</f>
        <v>1</v>
      </c>
      <c r="I1436">
        <f>IF(Skills!X2&lt;&gt;"",1+(Skills!X2/10)*(Z1437/1000)/100,1)</f>
        <v>1</v>
      </c>
      <c r="J1436">
        <f>((Inputs!$B$6*(1+Inputs!$B$7/100))+(((Inputs!$B$12*(1+Inputs!$B$13/100))-(Inputs!$B$12*(1+Inputs!$B$13/100)))+0.25*(Inputs!$B$14-Inputs!$B$14))*(1+Inputs!$B$7/100))*(F1436/100)</f>
        <v>1941459186.9980164</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6620290711466.1074</v>
      </c>
      <c r="L1436">
        <f>K1436*(MIN(Inputs!$B$22+(F1456-Calc!F22),(Inputs!$B$23+(IF(ArtifactsInput!$M$15,CHOOSE(ArtifactsInput!$N$15+1,25,30,35,40,45,50)/100*(Inputs!$B$11-Inputs!$B$11),0))))/100+(Inputs!$B$23+(IF(ArtifactsInput!$M$15,CHOOSE(ArtifactsInput!$N$15+1,25,30,35,40,45,50)/100*(Inputs!$B$11-Inputs!$B$11),0)))/100)/2</f>
        <v>22012466615624.809</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436">
        <f>L1436*(1-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436">
        <f>(1-Summary!$B$11)*S1436+Summary!$B$11*U1436</f>
        <v>1.251342481087288E+16</v>
      </c>
      <c r="P1436">
        <f>IF(B1475=0,0,O1436/B1475)</f>
        <v>0.378199388854495</v>
      </c>
      <c r="Q1436">
        <f>IFERROR(1/(IF(Inputs!$B$38="pvp",15,MAX(0.1,Skills!E2-IF(TRUE=TRUE,Inputs!$B$32,0)))*(1-IF(AND(ArtifactsInput!$M$27,Inputs!$B$4="Chapter Hunt"),CHOOSE(ArtifactsInput!$N$27+1,20,24,28,32,36,40),0)/100)),0)</f>
        <v>10</v>
      </c>
      <c r="R1436">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436">
        <f>MAX(0,(Inputs!$B$3-100)*3)+Inputs!$B$28+Inputs!$B$29</f>
        <v>185</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436">
        <f>MAX(0,(Inputs!$B$3-100)*3)+Inputs!$B$28+Inputs!$B$29</f>
        <v>185</v>
      </c>
    </row>
    <row r="1437" spans="1:26" x14ac:dyDescent="0.2">
      <c r="A1437" t="str">
        <f>Skills!A3</f>
        <v>IGNITE</v>
      </c>
      <c r="B1437" t="str">
        <f>Skills!B3</f>
        <v>Ignite</v>
      </c>
      <c r="C1437" t="b">
        <f>TRUE</f>
        <v>1</v>
      </c>
      <c r="D1437">
        <f>IF(Skills!C3=1,60+Inputs!$B$25+Inputs!$B$29,IF(Skills!C3=2,90+Inputs!$B$26+Inputs!$B$29,IF(Skills!C3=3,120+Inputs!$B$27+Inputs!$B$29,MAX(0,(Inputs!$B$3-100)*3)+Inputs!$B$28+Inputs!$B$29)))</f>
        <v>168</v>
      </c>
      <c r="E1437">
        <f>INDEX(FactorTable!$B$2:$Y$301, MATCH(ROUND(MIN(300,MAX(1,D1437)),0), FactorTable!$A$2:$A$301,0), Skills!M3+1)</f>
        <v>1672</v>
      </c>
      <c r="F1437">
        <f>IF(Skills!N3=TRUE,(Skills!L3/10)*(E1437/1000),Skills!L3/10)+Skills!O3</f>
        <v>121.736</v>
      </c>
      <c r="G1437">
        <f>Calc!G3</f>
        <v>3</v>
      </c>
      <c r="H1437">
        <f>Calc!H3</f>
        <v>1</v>
      </c>
      <c r="I1437">
        <f>IF(Skills!X3&lt;&gt;"",1+(Skills!X3/10)*(Z1437/1000)/100,1)</f>
        <v>4.8250000000000002</v>
      </c>
      <c r="J1437">
        <f>((Inputs!$B$6*(1+Inputs!$B$7/100))+(((Inputs!$B$12*(1+Inputs!$B$13/100))-(Inputs!$B$12*(1+Inputs!$B$13/100)))+0.25*(Inputs!$B$14-Inputs!$B$14))*(1+Inputs!$B$7/100))*(F1437/100)</f>
        <v>439630720.9605478</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10658554617221.965</v>
      </c>
      <c r="L1437">
        <f>K1437*(MIN(Inputs!$B$22+(F1456-Calc!F22),(Inputs!$B$23+(IF(ArtifactsInput!$M$15,CHOOSE(ArtifactsInput!$N$15+1,25,30,35,40,45,50)/100*(Inputs!$B$11-Inputs!$B$11),0))))/100+(Inputs!$B$23+(IF(ArtifactsInput!$M$15,CHOOSE(ArtifactsInput!$N$15+1,25,30,35,40,45,50)/100*(Inputs!$B$11-Inputs!$B$11),0)))/100)/2</f>
        <v>35439694102263.031</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437">
        <f>L1437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437">
        <f>(1-Summary!$B$11)*S1437+Summary!$B$11*U1437</f>
        <v>2907465947806250</v>
      </c>
      <c r="P1437">
        <f>IF(B1475=0,0,O1437/B1475)</f>
        <v>8.7873772463965091E-2</v>
      </c>
      <c r="Q1437">
        <f>IFERROR(1/(IF(Inputs!$B$38="pvp",15,MAX(0.1,Skills!E3-IF(FALSE=TRUE,Inputs!$B$32,0)))*(1-IF(AND(ArtifactsInput!$M$27,Inputs!$B$4="Chapter Hunt"),CHOOSE(ArtifactsInput!$N$27+1,20,24,28,32,36,40),0)/100)),0)</f>
        <v>1</v>
      </c>
      <c r="R1437">
        <f>IF(AND(Inputs!$B$38&lt;&gt;"pvp",Inputs!$B$43&gt;0),IF(MAX(0,Inputs!$B$43-B1472)&lt;=0,0,(INT(MAX(0,Inputs!$B$43-B1472)/(IF(Inputs!$B$38="pvp",15,MAX(0.1,Skills!E3-IF(FALSE=TRUE,Inputs!$B$32,0)))*(1-IF(AND(ArtifactsInput!$M$27,Inputs!$B$4="Chapter Hunt"),CHOOSE(ArtifactsInput!$N$27+1,20,24,28,32,36,40),0)/100)))+1)),0)</f>
        <v>38</v>
      </c>
      <c r="S1437">
        <f>IF(C1437,(H1437*N1437*IF(AND(Inputs!$B$38&lt;&gt;"pvp",Inputs!$B$43&gt;0),((Skills!G3*((R1437-1)*IF(Skills!H3&gt;0,Skills!I3/Skills!H3,1)+IF(Skills!H3&gt;0,MIN(Skills!I3,MAX(0,MAX(0,Inputs!$B$43-B1472)-((R1437-1)*(IF(Inputs!$B$38="pvp",15,MAX(0.1,Skills!E3-IF(FALSE=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437">
        <f>INDEX(FactorTable!$B$2:$Y$301, MATCH(ROUND(MIN(300,MAX(1,T1436)),0), FactorTable!$A$2:$A$301,0), 22)</f>
        <v>1740</v>
      </c>
      <c r="U1437">
        <f>IF(C1437,(H1437*N1437*IF(AND(Inputs!$B$38&lt;&gt;"pvp",Inputs!$B$43&gt;0),((Skills!G3*((R1437-1)*IF(Skills!H3&gt;0,Skills!I3/Skills!H3,1)+IF(Skills!H3&gt;0,MIN(Skills!I3,MAX(0,MAX(0,Inputs!$B$43-B1472)-((R1437-1)*(IF(Inputs!$B$38="pvp",15,MAX(0.1,Skills!E3-IF(FALSE=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437">
        <f>INDEX(FactorTable!$B$2:$Y$301, MATCH(ROUND(MIN(300,MAX(1,Z1436)),0), FactorTable!$A$2:$A$301,0), 24)</f>
        <v>7650</v>
      </c>
    </row>
    <row r="1438" spans="1:26" x14ac:dyDescent="0.2">
      <c r="A1438" t="str">
        <f>Skills!A4</f>
        <v>POISON_BREATH</v>
      </c>
      <c r="B1438" t="str">
        <f>Skills!B4</f>
        <v>Poison Breath</v>
      </c>
      <c r="C1438" t="b">
        <f>TRUE</f>
        <v>1</v>
      </c>
      <c r="D1438">
        <f>IF(Skills!C4=1,60+Inputs!$B$25+Inputs!$B$29,IF(Skills!C4=2,90+Inputs!$B$26+Inputs!$B$29,IF(Skills!C4=3,120+Inputs!$B$27+Inputs!$B$29,MAX(0,(Inputs!$B$3-100)*3)+Inputs!$B$28+Inputs!$B$29)))</f>
        <v>168</v>
      </c>
      <c r="E1438">
        <f>INDEX(FactorTable!$B$2:$Y$301, MATCH(ROUND(MIN(300,MAX(1,D1438)),0), FactorTable!$A$2:$A$301,0), Skills!M4+1)</f>
        <v>1840</v>
      </c>
      <c r="F1438">
        <f>IF(Skills!N4=TRUE,(Skills!L4/10)*(E1438/1000),Skills!L4/10)+Skills!O4</f>
        <v>438</v>
      </c>
      <c r="G1438">
        <f>Calc!G4</f>
        <v>3</v>
      </c>
      <c r="H1438">
        <f>Calc!H4</f>
        <v>1</v>
      </c>
      <c r="I1438">
        <f>IF(Skills!X4&lt;&gt;"",1+(Skills!X4/10)*(Z1437/1000)/100,1)</f>
        <v>7.12</v>
      </c>
      <c r="J1438">
        <f>((Inputs!$B$6*(1+Inputs!$B$7/100))+(((Inputs!$B$12*(1+Inputs!$B$13/100))-(Inputs!$B$12*(1+Inputs!$B$13/100)))+0.25*(Inputs!$B$14-Inputs!$B$14))*(1+Inputs!$B$7/100))*(F1438/100)</f>
        <v>1581769203.69258</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56589528290529.523</v>
      </c>
      <c r="L1438">
        <f>K1438*(MIN(Inputs!$B$22+(F1456-Calc!F22),(Inputs!$B$23+(IF(ArtifactsInput!$M$15,CHOOSE(ArtifactsInput!$N$15+1,25,30,35,40,45,50)/100*(Inputs!$B$11-Inputs!$B$11),0))))/100+(Inputs!$B$23+(IF(ArtifactsInput!$M$15,CHOOSE(ArtifactsInput!$N$15+1,25,30,35,40,45,50)/100*(Inputs!$B$11-Inputs!$B$11),0)))/100)/2</f>
        <v>188160181566010.69</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438">
        <f>L1438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438">
        <f>(1-Summary!$B$11)*S1438+Summary!$B$11*U1438</f>
        <v>2120704790543594.2</v>
      </c>
      <c r="P1438">
        <f>IF(B1475=0,0,O1438/B1475)</f>
        <v>6.4095103286790744E-2</v>
      </c>
      <c r="Q1438">
        <f>IFERROR(1/(IF(Inputs!$B$38="pvp",15,MAX(0.1,Skills!E4-IF(TRUE=TRUE,Inputs!$B$32,0)))*(1-IF(AND(ArtifactsInput!$M$27,Inputs!$B$4="Chapter Hunt"),CHOOSE(ArtifactsInput!$N$27+1,20,24,28,32,36,40),0)/100)),0)</f>
        <v>5.5555555555555552E-2</v>
      </c>
      <c r="R1438">
        <f>IF(AND(Inputs!$B$38&lt;&gt;"pvp",Inputs!$B$43&gt;0),IF(MAX(0,Inputs!$B$43-B1472)&lt;=0,0,(INT(MAX(0,Inputs!$B$43-B1472)/(IF(Inputs!$B$38="pvp",15,MAX(0.1,Skills!E4-IF(TRUE=TRUE,Inputs!$B$32,0)))*(1-IF(AND(ArtifactsInput!$M$27,Inputs!$B$4="Chapter Hunt"),CHOOSE(ArtifactsInput!$N$27+1,20,24,28,32,36,40),0)/100)))+1)),0)</f>
        <v>3</v>
      </c>
      <c r="S1438">
        <f>IF(C1438,(H1438*N1438*IF(AND(Inputs!$B$38&lt;&gt;"pvp",Inputs!$B$43&gt;0),((Skills!G4*((R1438-1)*IF(Skills!H4&gt;0,Skills!I4/Skills!H4,1)+IF(Skills!H4&gt;0,MIN(Skills!I4,MAX(0,MAX(0,Inputs!$B$43-B1472)-((R1438-1)*(IF(Inputs!$B$38="pvp",15,MAX(0.1,Skills!E4-IF(TRUE=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438">
        <f>290*T1437/1000</f>
        <v>504.6</v>
      </c>
      <c r="U1438">
        <f>IF(C1438,(H1438*N1438*IF(AND(Inputs!$B$38&lt;&gt;"pvp",Inputs!$B$43&gt;0),((Skills!G4*((R1438-1)*IF(Skills!H4&gt;0,Skills!I4/Skills!H4,1)+IF(Skills!H4&gt;0,MIN(Skills!I4,MAX(0,MAX(0,Inputs!$B$43-B1472)-((R1438-1)*(IF(Inputs!$B$38="pvp",15,MAX(0.1,Skills!E4-IF(TRUE=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439" spans="1:26" x14ac:dyDescent="0.2">
      <c r="A1439" t="str">
        <f>Skills!A5</f>
        <v>ELEMENTAL_DRAIN</v>
      </c>
      <c r="B1439" t="str">
        <f>Skills!B5</f>
        <v>Elemental Drain</v>
      </c>
      <c r="C1439" t="b">
        <f>TRUE</f>
        <v>1</v>
      </c>
      <c r="D1439">
        <f>IF(Skills!C5=1,60+Inputs!$B$25+Inputs!$B$29,IF(Skills!C5=2,90+Inputs!$B$26+Inputs!$B$29,IF(Skills!C5=3,120+Inputs!$B$27+Inputs!$B$29,MAX(0,(Inputs!$B$3-100)*3)+Inputs!$B$28+Inputs!$B$29)))</f>
        <v>168</v>
      </c>
      <c r="E1439">
        <f>INDEX(FactorTable!$B$2:$Y$301, MATCH(ROUND(MIN(300,MAX(1,D1439)),0), FactorTable!$A$2:$A$301,0), Skills!M5+1)</f>
        <v>1672</v>
      </c>
      <c r="F1439">
        <f>IF(Skills!N5=TRUE,(Skills!L5/10)*(E1439/1000),Skills!L5/10)+Skills!O5</f>
        <v>20.064</v>
      </c>
      <c r="G1439">
        <f>Calc!G5</f>
        <v>5</v>
      </c>
      <c r="H1439">
        <f>Calc!H5</f>
        <v>1</v>
      </c>
      <c r="I1439">
        <f>IF(Skills!X5&lt;&gt;"",1+(Skills!X5/10)*(Z1437/1000)/100,1)</f>
        <v>12.475</v>
      </c>
      <c r="J1439">
        <f>((Inputs!$B$6*(1+Inputs!$B$7/100))+(((Inputs!$B$12*(1+Inputs!$B$13/100))-(Inputs!$B$12*(1+Inputs!$B$13/100)))+0.25*(Inputs!$B$14-Inputs!$B$14))*(1+Inputs!$B$7/100))*(F1439/100)</f>
        <v>72458030.371890247</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4541925884983.542</v>
      </c>
      <c r="L1439">
        <f>K1439*(MIN(Inputs!$B$22+(F1456-Calc!F22),(Inputs!$B$23+(IF(ArtifactsInput!$M$15,CHOOSE(ArtifactsInput!$N$15+1,25,30,35,40,45,50)/100*(Inputs!$B$11-Inputs!$B$11),0))))/100+(Inputs!$B$23+(IF(ArtifactsInput!$M$15,CHOOSE(ArtifactsInput!$N$15+1,25,30,35,40,45,50)/100*(Inputs!$B$11-Inputs!$B$11),0)))/100)/2</f>
        <v>15101903567570.277</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439">
        <f>L1439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439">
        <f>(1-Summary!$B$11)*S1439+Summary!$B$11*U1439</f>
        <v>1046004996783807</v>
      </c>
      <c r="P1439">
        <f>IF(B1475=0,0,O1439/B1475)</f>
        <v>3.1613923166633758E-2</v>
      </c>
      <c r="Q1439">
        <f>IFERROR(1/(IF(Inputs!$B$38="pvp",15,MAX(0.1,Skills!E5-IF(FALSE=TRUE,Inputs!$B$32,0)))*(1-IF(AND(ArtifactsInput!$M$27,Inputs!$B$4="Chapter Hunt"),CHOOSE(ArtifactsInput!$N$27+1,20,24,28,32,36,40),0)/100)),0)</f>
        <v>1</v>
      </c>
      <c r="R1439">
        <f>IF(AND(Inputs!$B$38&lt;&gt;"pvp",Inputs!$B$43&gt;0),IF(MAX(0,Inputs!$B$43-B1472)&lt;=0,0,(INT(MAX(0,Inputs!$B$43-B1472)/(IF(Inputs!$B$38="pvp",15,MAX(0.1,Skills!E5-IF(FALSE=TRUE,Inputs!$B$32,0)))*(1-IF(AND(ArtifactsInput!$M$27,Inputs!$B$4="Chapter Hunt"),CHOOSE(ArtifactsInput!$N$27+1,20,24,28,32,36,40),0)/100)))+1)),0)</f>
        <v>38</v>
      </c>
      <c r="S1439">
        <f>IF(C1439,(H1439*N1439*IF(AND(Inputs!$B$38&lt;&gt;"pvp",Inputs!$B$43&gt;0),((Skills!G5*((R1439-1)*IF(Skills!H5&gt;0,Skills!I5/Skills!H5,1)+IF(Skills!H5&gt;0,MIN(Skills!I5,MAX(0,MAX(0,Inputs!$B$43-B1472)-((R1439-1)*(IF(Inputs!$B$38="pvp",15,MAX(0.1,Skills!E5-IF(FALSE=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439">
        <f>IF(C1439,(H1439*N1439*IF(AND(Inputs!$B$38&lt;&gt;"pvp",Inputs!$B$43&gt;0),((Skills!G5*((R1439-1)*IF(Skills!H5&gt;0,Skills!I5/Skills!H5,1)+IF(Skills!H5&gt;0,MIN(Skills!I5,MAX(0,MAX(0,Inputs!$B$43-B1472)-((R1439-1)*(IF(Inputs!$B$38="pvp",15,MAX(0.1,Skills!E5-IF(FALSE=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440" spans="1:26" x14ac:dyDescent="0.2">
      <c r="A1440" t="str">
        <f>Skills!A6</f>
        <v>MEDITATION</v>
      </c>
      <c r="B1440" t="str">
        <f>Skills!B6</f>
        <v>Meditation</v>
      </c>
      <c r="C1440" t="b">
        <f>TRUE</f>
        <v>1</v>
      </c>
      <c r="D1440">
        <f>IF(Skills!C6=1,60+Inputs!$B$25+Inputs!$B$29,IF(Skills!C6=2,90+Inputs!$B$26+Inputs!$B$29,IF(Skills!C6=3,120+Inputs!$B$27+Inputs!$B$29,MAX(0,(Inputs!$B$3-100)*3)+Inputs!$B$28+Inputs!$B$29)))</f>
        <v>168</v>
      </c>
      <c r="E1440">
        <f>INDEX(FactorTable!$B$2:$Y$301, MATCH(ROUND(MIN(300,MAX(1,D1440)),0), FactorTable!$A$2:$A$301,0), Skills!M6+1)</f>
        <v>1672</v>
      </c>
      <c r="F1440">
        <f>IF(Skills!N6=TRUE,(Skills!L6/10)*(E1440/1000),Skills!L6/10)+Skills!O6</f>
        <v>33.44</v>
      </c>
      <c r="G1440">
        <f>Calc!G6</f>
        <v>1</v>
      </c>
      <c r="H1440">
        <f>Calc!H6</f>
        <v>1</v>
      </c>
      <c r="I1440">
        <f>IF(Skills!X6&lt;&gt;"",1+(Skills!X6/10)*(Z1437/1000)/100,1)</f>
        <v>1</v>
      </c>
      <c r="O1440">
        <f>(1-Summary!$B$11)*S1440+Summary!$B$11*U1440</f>
        <v>0</v>
      </c>
      <c r="P1440">
        <f>IF(B1475=0,0,O1440/B1475)</f>
        <v>0</v>
      </c>
      <c r="Q1440">
        <f>IFERROR(1/(IF(Inputs!$B$38="pvp",15,MAX(0.1,Skills!E6-IF(TRUE=TRUE,Inputs!$B$32,0)))*(1-IF(AND(ArtifactsInput!$M$27,Inputs!$B$4="Chapter Hunt"),CHOOSE(ArtifactsInput!$N$27+1,20,24,28,32,36,40),0)/100)),0)</f>
        <v>3.3333333333333333E-2</v>
      </c>
      <c r="R1440">
        <f>IF(AND(Inputs!$B$38&lt;&gt;"pvp",Inputs!$B$43&gt;0),IF(Inputs!$B$43&lt;=0,0,(INT(Inputs!$B$43/(IF(Inputs!$B$38="pvp",15,MAX(0.1,Skills!E6-IF(TRUE=TRUE,Inputs!$B$32,0)))*(1-IF(AND(ArtifactsInput!$M$27,Inputs!$B$4="Chapter Hunt"),CHOOSE(ArtifactsInput!$N$27+1,20,24,28,32,36,40),0)/100)))+1)),0)</f>
        <v>2</v>
      </c>
      <c r="S1440">
        <v>0</v>
      </c>
      <c r="U1440">
        <v>0</v>
      </c>
    </row>
    <row r="1441" spans="1:21" x14ac:dyDescent="0.2">
      <c r="A1441" t="str">
        <f>Skills!A7</f>
        <v>POISON_MIST_BURST</v>
      </c>
      <c r="B1441" t="str">
        <f>Skills!B7</f>
        <v>Poison Mist (burst)</v>
      </c>
      <c r="C1441" t="b">
        <f>TRUE</f>
        <v>1</v>
      </c>
      <c r="D1441">
        <f>IF(Skills!C7=1,60+Inputs!$B$25+Inputs!$B$29,IF(Skills!C7=2,90+Inputs!$B$26+Inputs!$B$29,IF(Skills!C7=3,120+Inputs!$B$27+Inputs!$B$29,MAX(0,(Inputs!$B$3-100)*3)+Inputs!$B$28+Inputs!$B$29)))</f>
        <v>184</v>
      </c>
      <c r="E1441">
        <f>INDEX(FactorTable!$B$2:$Y$301, MATCH(ROUND(MIN(300,MAX(1,D1441)),0), FactorTable!$A$2:$A$301,0), Skills!M7+1)</f>
        <v>1920</v>
      </c>
      <c r="F1441">
        <f>IF(Skills!N7=TRUE,(Skills!L7/10)*(E1441/1000),Skills!L7/10)+Skills!O7</f>
        <v>357.2</v>
      </c>
      <c r="G1441">
        <f>Calc!G7</f>
        <v>3</v>
      </c>
      <c r="H1441">
        <f>Calc!H7</f>
        <v>1</v>
      </c>
      <c r="I1441">
        <f>IF(Skills!X7&lt;&gt;"",1+(Skills!X7/10)*(Z1437/1000)/100,1)</f>
        <v>1.7650000000000001</v>
      </c>
      <c r="J1441">
        <f>((Inputs!$B$6*(1+Inputs!$B$7/100))+(((Inputs!$B$12*(1+Inputs!$B$13/100))-(Inputs!$B$12*(1+Inputs!$B$13/100)))+0.25*(Inputs!$B$14-Inputs!$B$14))*(1+Inputs!$B$7/100))*(F1441/100)</f>
        <v>1289972510.4086521</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11440318873772.086</v>
      </c>
      <c r="L1441">
        <f>K1441*(MIN(Inputs!$B$22+(F1456-Calc!F22),(Inputs!$B$23+(IF(ArtifactsInput!$M$15,CHOOSE(ArtifactsInput!$N$15+1,25,30,35,40,45,50)/100*(Inputs!$B$11-Inputs!$B$11),0))))/100+(Inputs!$B$23+(IF(ArtifactsInput!$M$15,CHOOSE(ArtifactsInput!$N$15+1,25,30,35,40,45,50)/100*(Inputs!$B$11-Inputs!$B$11),0)))/100)/2</f>
        <v>38039060255292.188</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441">
        <f>L1441*(1-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441">
        <f>(1-Summary!$B$11)*S1441+Summary!$B$11*U1441</f>
        <v>447913158316422</v>
      </c>
      <c r="P1441">
        <f>IF(B1475=0,0,O1441/B1475)</f>
        <v>1.3537499549121505E-2</v>
      </c>
      <c r="Q1441">
        <f>IFERROR(1/(IF(Inputs!$B$38="pvp",15,MAX(0.1,Skills!E7-IF(TRUE=TRUE,Inputs!$B$32,0)))*(1-IF(AND(ArtifactsInput!$M$27,Inputs!$B$4="Chapter Hunt"),CHOOSE(ArtifactsInput!$N$27+1,20,24,28,32,36,40),0)/100)),0)</f>
        <v>4.0816326530612242E-2</v>
      </c>
      <c r="R1441">
        <f>IF(AND(Inputs!$B$38&lt;&gt;"pvp",Inputs!$B$43&gt;0),IF(MAX(0,Inputs!$B$43-B1472)&lt;=0,0,(INT(MAX(0,Inputs!$B$43-B1472)/(IF(Inputs!$B$38="pvp",15,MAX(0.1,Skills!E7-IF(TRUE=TRUE,Inputs!$B$32,0)))*(1-IF(AND(ArtifactsInput!$M$27,Inputs!$B$4="Chapter Hunt"),CHOOSE(ArtifactsInput!$N$27+1,20,24,28,32,36,40),0)/100)))+1)),0)</f>
        <v>2</v>
      </c>
      <c r="S1441">
        <f>IF(C1441,(H1441*N1441*IF(AND(Inputs!$B$38&lt;&gt;"pvp",Inputs!$B$43&gt;0),((Skills!G7*((R1441-1)*IF(Skills!H7&gt;0,Skills!I7/Skills!H7,1)+IF(Skills!H7&gt;0,MIN(Skills!I7,MAX(0,MAX(0,Inputs!$B$43-B1472)-((R1441-1)*(IF(Inputs!$B$38="pvp",15,MAX(0.1,Skills!E7-IF(TRUE=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441">
        <f>IF(C1441,(H1441*N1441*IF(AND(Inputs!$B$38&lt;&gt;"pvp",Inputs!$B$43&gt;0),((Skills!G7*((R1441-1)*IF(Skills!H7&gt;0,Skills!I7/Skills!H7,1)+IF(Skills!H7&gt;0,MIN(Skills!I7,MAX(0,MAX(0,Inputs!$B$43-B1472)-((R1441-1)*(IF(Inputs!$B$38="pvp",15,MAX(0.1,Skills!E7-IF(TRUE=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442" spans="1:21" x14ac:dyDescent="0.2">
      <c r="A1442" t="str">
        <f>Skills!A8</f>
        <v>POISON_MIST_DOT</v>
      </c>
      <c r="B1442" t="str">
        <f>Skills!B8</f>
        <v>Poison Mist (fog DoT)</v>
      </c>
      <c r="C1442" t="b">
        <f>TRUE</f>
        <v>1</v>
      </c>
      <c r="D1442">
        <f>IF(Skills!C8=1,60+Inputs!$B$25+Inputs!$B$29,IF(Skills!C8=2,90+Inputs!$B$26+Inputs!$B$29,IF(Skills!C8=3,120+Inputs!$B$27+Inputs!$B$29,MAX(0,(Inputs!$B$3-100)*3)+Inputs!$B$28+Inputs!$B$29)))</f>
        <v>184</v>
      </c>
      <c r="E1442">
        <f>INDEX(FactorTable!$B$2:$Y$301, MATCH(ROUND(MIN(300,MAX(1,D1442)),0), FactorTable!$A$2:$A$301,0), Skills!M8+1)</f>
        <v>1920</v>
      </c>
      <c r="F1442">
        <f>IF(Skills!N8=TRUE,(Skills!L8/10)*(E1442/1000),Skills!L8/10)+Skills!O8</f>
        <v>134.4</v>
      </c>
      <c r="G1442">
        <f>Calc!G8</f>
        <v>50</v>
      </c>
      <c r="H1442">
        <f>Calc!H8</f>
        <v>1</v>
      </c>
      <c r="I1442">
        <f>IF(Skills!X8&lt;&gt;"",1+(Skills!X8/10)*(Z1437/1000)/100,1)</f>
        <v>1.7650000000000001</v>
      </c>
      <c r="J1442">
        <f>((Inputs!$B$6*(1+Inputs!$B$7/100))+(((Inputs!$B$12*(1+Inputs!$B$13/100))-(Inputs!$B$12*(1+Inputs!$B$13/100)))+0.25*(Inputs!$B$14-Inputs!$B$14))*(1+Inputs!$B$7/100))*(F1442/100)</f>
        <v>485364796.74950409</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4304532073446.1597</v>
      </c>
      <c r="L1442">
        <f>K1442*(MIN(Inputs!$B$22+(F1456-Calc!F22),(Inputs!$B$23+(IF(ArtifactsInput!$M$15,CHOOSE(ArtifactsInput!$N$15+1,25,30,35,40,45,50)/100*(Inputs!$B$11-Inputs!$B$11),0))))/100+(Inputs!$B$23+(IF(ArtifactsInput!$M$15,CHOOSE(ArtifactsInput!$N$15+1,25,30,35,40,45,50)/100*(Inputs!$B$11-Inputs!$B$11),0)))/100)/2</f>
        <v>14312569144208.482</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442">
        <f>L1442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442">
        <f>(1-Summary!$B$11)*S1442+Summary!$B$11*U1442</f>
        <v>2327471980535951</v>
      </c>
      <c r="P1442">
        <f>IF(B1475=0,0,O1442/B1475)</f>
        <v>7.0344329703392813E-2</v>
      </c>
      <c r="Q1442">
        <f>IFERROR(1/(IF(Inputs!$B$38="pvp",15,MAX(0.1,Skills!E8-IF(TRUE=TRUE,Inputs!$B$32,0)))*(1-IF(AND(ArtifactsInput!$M$27,Inputs!$B$4="Chapter Hunt"),CHOOSE(ArtifactsInput!$N$27+1,20,24,28,32,36,40),0)/100)),0)</f>
        <v>4.0816326530612242E-2</v>
      </c>
      <c r="R1442">
        <f>IF(AND(Inputs!$B$38&lt;&gt;"pvp",Inputs!$B$43&gt;0),IF(MAX(0,Inputs!$B$43-B1472)&lt;=0,0,(INT(MAX(0,Inputs!$B$43-B1472)/(IF(Inputs!$B$38="pvp",15,MAX(0.1,Skills!E8-IF(TRUE=TRUE,Inputs!$B$32,0)))*(1-IF(AND(ArtifactsInput!$M$27,Inputs!$B$4="Chapter Hunt"),CHOOSE(ArtifactsInput!$N$27+1,20,24,28,32,36,40),0)/100)))+1)),0)</f>
        <v>2</v>
      </c>
      <c r="S1442">
        <f>IF(C1442,(H1442*N1442*IF(AND(Inputs!$B$38&lt;&gt;"pvp",Inputs!$B$43&gt;0),((Skills!G8*((R1442-1)*IF(Skills!H8&gt;0,Skills!I8/Skills!H8,1)+IF(Skills!H8&gt;0,MIN(Skills!I8,MAX(0,MAX(0,Inputs!$B$43-B1472)-((R1442-1)*(IF(Inputs!$B$38="pvp",15,MAX(0.1,Skills!E8-IF(TRUE=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442">
        <f>IF(C1442,(H1442*N1442*IF(AND(Inputs!$B$38&lt;&gt;"pvp",Inputs!$B$43&gt;0),((Skills!G8*((R1442-1)*IF(Skills!H8&gt;0,Skills!I8/Skills!H8,1)+IF(Skills!H8&gt;0,MIN(Skills!I8,MAX(0,MAX(0,Inputs!$B$43-B1472)-((R1442-1)*(IF(Inputs!$B$38="pvp",15,MAX(0.1,Skills!E8-IF(TRUE=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443" spans="1:21" x14ac:dyDescent="0.2">
      <c r="A1443" t="str">
        <f>Skills!A9</f>
        <v>MIST_ERUPTION</v>
      </c>
      <c r="B1443" t="str">
        <f>Skills!B9</f>
        <v>Mist Eruption</v>
      </c>
      <c r="C1443" t="b">
        <f>Inputs!$B$3&gt;=103</f>
        <v>1</v>
      </c>
      <c r="D1443">
        <f>IF(Skills!C9=1,60+Inputs!$B$25+Inputs!$B$29,IF(Skills!C9=2,90+Inputs!$B$26+Inputs!$B$29,IF(Skills!C9=3,120+Inputs!$B$27+Inputs!$B$29,MAX(0,(Inputs!$B$3-100)*3)+Inputs!$B$28+Inputs!$B$29)))</f>
        <v>185</v>
      </c>
      <c r="E1443">
        <f>INDEX(FactorTable!$B$2:$Y$301, MATCH(ROUND(MIN(300,MAX(1,D1443)),0), FactorTable!$A$2:$A$301,0), Skills!M9+1)</f>
        <v>1925</v>
      </c>
      <c r="F1443">
        <f>IF(Skills!N9=TRUE,(Skills!L9/10)*(E1443/1000),Skills!L9/10)+Skills!O9</f>
        <v>5775</v>
      </c>
      <c r="G1443">
        <f>Calc!G9</f>
        <v>2.5</v>
      </c>
      <c r="H1443">
        <f>Calc!H9</f>
        <v>1</v>
      </c>
      <c r="I1443">
        <f>IF(Skills!X9&lt;&gt;"",1+(Skills!X9/10)*(Z1437/1000)/100,1)</f>
        <v>1</v>
      </c>
      <c r="J1443">
        <f>((Inputs!$B$6*(1+Inputs!$B$7/100))+(((Inputs!$B$12*(1+Inputs!$B$13/100))-(Inputs!$B$12*(1+Inputs!$B$13/100)))+0.25*(Inputs!$B$14-Inputs!$B$14))*(1+Inputs!$B$7/100))*(F1443/100)</f>
        <v>20855518610.330254</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104793406533081.95</v>
      </c>
      <c r="L1443">
        <f>K1443*(MIN(Inputs!$B$22+(F1456-Calc!F22),(Inputs!$B$23+(IF(ArtifactsInput!$M$15,CHOOSE(ArtifactsInput!$N$15+1,25,30,35,40,45,50)/100*(Inputs!$B$11-Inputs!$B$11),0))))/100+(Inputs!$B$23+(IF(ArtifactsInput!$M$15,CHOOSE(ArtifactsInput!$N$15+1,25,30,35,40,45,50)/100*(Inputs!$B$11-Inputs!$B$11),0)))/100)/2</f>
        <v>348438076722497.5</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443">
        <f>L1443*(1-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443">
        <f>(1-Summary!$B$11)*S1443+Summary!$B$11*U1443</f>
        <v>3419073236278675</v>
      </c>
      <c r="P1443">
        <f>IF(B1475=0,0,O1443/B1475)</f>
        <v>0.10333633101673266</v>
      </c>
      <c r="Q1443">
        <f>IFERROR(1/(IF(Inputs!$B$38="pvp",15,MAX(0.1,Skills!E9-IF(TRUE=TRUE,Inputs!$B$32,0)))*(1-IF(AND(ArtifactsInput!$M$27,Inputs!$B$4="Chapter Hunt"),CHOOSE(ArtifactsInput!$N$27+1,20,24,28,32,36,40),0)/100)),0)</f>
        <v>4.0816326530612242E-2</v>
      </c>
      <c r="R1443">
        <f>IF(AND(Inputs!$B$38&lt;&gt;"pvp",Inputs!$B$43&gt;0),IF(MAX(0,Inputs!$B$43-B1472)&lt;=0,0,(INT(MAX(0,Inputs!$B$43-B1472)/(IF(Inputs!$B$38="pvp",15,MAX(0.1,Skills!E9-IF(TRUE=TRUE,Inputs!$B$32,0)))*(1-IF(AND(ArtifactsInput!$M$27,Inputs!$B$4="Chapter Hunt"),CHOOSE(ArtifactsInput!$N$27+1,20,24,28,32,36,40),0)/100)))+1)),0)</f>
        <v>2</v>
      </c>
      <c r="S1443">
        <f>IF(C1443,(H1443*N1443*IF(AND(Inputs!$B$38&lt;&gt;"pvp",Inputs!$B$43&gt;0),((Skills!G9*((R1443-1)*IF(Skills!H9&gt;0,Skills!I9/Skills!H9,1)+IF(Skills!H9&gt;0,MIN(Skills!I9,MAX(0,MAX(0,Inputs!$B$43-B1472)-((R1443-1)*(IF(Inputs!$B$38="pvp",15,MAX(0.1,Skills!E9-IF(TRUE=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443">
        <f>IF(C1443,(H1443*N1443*IF(AND(Inputs!$B$38&lt;&gt;"pvp",Inputs!$B$43&gt;0),((Skills!G9*((R1443-1)*IF(Skills!H9&gt;0,Skills!I9/Skills!H9,1)+IF(Skills!H9&gt;0,MIN(Skills!I9,MAX(0,MAX(0,Inputs!$B$43-B1472)-((R1443-1)*(IF(Inputs!$B$38="pvp",15,MAX(0.1,Skills!E9-IF(TRUE=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444" spans="1:21" x14ac:dyDescent="0.2">
      <c r="A1444" t="str">
        <f>Skills!A10</f>
        <v>CREEPING_TOXIN</v>
      </c>
      <c r="B1444" t="str">
        <f>Skills!B10</f>
        <v>Creeping Toxin</v>
      </c>
      <c r="C1444" t="b">
        <f>TRUE</f>
        <v>1</v>
      </c>
      <c r="D1444">
        <f>IF(Skills!C10=1,60+Inputs!$B$25+Inputs!$B$29,IF(Skills!C10=2,90+Inputs!$B$26+Inputs!$B$29,IF(Skills!C10=3,120+Inputs!$B$27+Inputs!$B$29,MAX(0,(Inputs!$B$3-100)*3)+Inputs!$B$28+Inputs!$B$29)))</f>
        <v>184</v>
      </c>
      <c r="E1444">
        <f>INDEX(FactorTable!$B$2:$Y$301, MATCH(ROUND(MIN(300,MAX(1,D1444)),0), FactorTable!$A$2:$A$301,0), Skills!M10+1)</f>
        <v>1920</v>
      </c>
      <c r="F1444">
        <f>IF(Skills!N10=TRUE,(Skills!L10/10)*(E1444/1000),Skills!L10/10)+Skills!O10</f>
        <v>280.39999999999998</v>
      </c>
      <c r="G1444">
        <f>Calc!G10</f>
        <v>15</v>
      </c>
      <c r="H1444">
        <f>Calc!H10</f>
        <v>1</v>
      </c>
      <c r="I1444">
        <f>IF(Skills!X10&lt;&gt;"",1+(Skills!X10/10)*(Z1437/1000)/100,1)</f>
        <v>1.7650000000000001</v>
      </c>
      <c r="J1444">
        <f>((Inputs!$B$6*(1+Inputs!$B$7/100))+(((Inputs!$B$12*(1+Inputs!$B$13/100))-(Inputs!$B$12*(1+Inputs!$B$13/100)))+0.25*(Inputs!$B$14-Inputs!$B$14))*(1+Inputs!$B$7/100))*(F1444/100)</f>
        <v>1012621197.9803641</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8980586260374.2793</v>
      </c>
      <c r="L1444">
        <f>K1444*(MIN(Inputs!$B$22+(F1456-Calc!F22),(Inputs!$B$23+(IF(ArtifactsInput!$M$15,CHOOSE(ArtifactsInput!$N$15+1,25,30,35,40,45,50)/100*(Inputs!$B$11-Inputs!$B$11),0))))/100+(Inputs!$B$23+(IF(ArtifactsInput!$M$15,CHOOSE(ArtifactsInput!$N$15+1,25,30,35,40,45,50)/100*(Inputs!$B$11-Inputs!$B$11),0)))/100)/2</f>
        <v>29860449315744.48</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444">
        <f>L1444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444">
        <f>(1-Summary!$B$11)*S1444+Summary!$B$11*U1444</f>
        <v>324323455609081.62</v>
      </c>
      <c r="P1444">
        <f>IF(B1475=0,0,O1444/B1475)</f>
        <v>9.8021872154419789E-3</v>
      </c>
      <c r="Q1444">
        <f>IFERROR(1/(IF(Inputs!$B$38="pvp",15,MAX(0.1,Skills!E10-IF(TRUE=TRUE,Inputs!$B$32,0)))*(1-IF(AND(ArtifactsInput!$M$27,Inputs!$B$4="Chapter Hunt"),CHOOSE(ArtifactsInput!$N$27+1,20,24,28,32,36,40),0)/100)),0)</f>
        <v>3.7037037037037035E-2</v>
      </c>
      <c r="R1444">
        <f>IF(AND(Inputs!$B$38&lt;&gt;"pvp",Inputs!$B$43&gt;0),IF(MAX(0,Inputs!$B$43-B1472)&lt;=0,0,(INT(MAX(0,Inputs!$B$43-B1472)/(IF(Inputs!$B$38="pvp",15,MAX(0.1,Skills!E10-IF(TRUE=TRUE,Inputs!$B$32,0)))*(1-IF(AND(ArtifactsInput!$M$27,Inputs!$B$4="Chapter Hunt"),CHOOSE(ArtifactsInput!$N$27+1,20,24,28,32,36,40),0)/100)))+1)),0)</f>
        <v>2</v>
      </c>
      <c r="S1444">
        <f>IF(C1444,(H1444*N1444*IF(AND(Inputs!$B$38&lt;&gt;"pvp",Inputs!$B$43&gt;0),((Skills!G10*((R1444-1)*IF(Skills!H10&gt;0,Skills!I10/Skills!H10,1)+IF(Skills!H10&gt;0,MIN(Skills!I10,MAX(0,MAX(0,Inputs!$B$43-B1472)-((R1444-1)*(IF(Inputs!$B$38="pvp",15,MAX(0.1,Skills!E10-IF(TRUE=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444">
        <f>IF(C1444,(H1444*N1444*IF(AND(Inputs!$B$38&lt;&gt;"pvp",Inputs!$B$43&gt;0),((Skills!G10*((R1444-1)*IF(Skills!H10&gt;0,Skills!I10/Skills!H10,1)+IF(Skills!H10&gt;0,MIN(Skills!I10,MAX(0,MAX(0,Inputs!$B$43-B1472)-((R1444-1)*(IF(Inputs!$B$38="pvp",15,MAX(0.1,Skills!E10-IF(TRUE=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445" spans="1:21" x14ac:dyDescent="0.2">
      <c r="A1445" t="str">
        <f>Skills!A11</f>
        <v>BURNING_MAGIC</v>
      </c>
      <c r="B1445" t="str">
        <f>Skills!B11</f>
        <v>Burning Magic</v>
      </c>
      <c r="C1445" t="b">
        <f>TRUE</f>
        <v>1</v>
      </c>
      <c r="D1445">
        <f>IF(Skills!C11=1,60+Inputs!$B$25+Inputs!$B$29,IF(Skills!C11=2,90+Inputs!$B$26+Inputs!$B$29,IF(Skills!C11=3,120+Inputs!$B$27+Inputs!$B$29,MAX(0,(Inputs!$B$3-100)*3)+Inputs!$B$28+Inputs!$B$29)))</f>
        <v>184</v>
      </c>
      <c r="E1445">
        <f>INDEX(FactorTable!$B$2:$Y$301, MATCH(ROUND(MIN(300,MAX(1,D1445)),0), FactorTable!$A$2:$A$301,0), Skills!M11+1)</f>
        <v>0</v>
      </c>
      <c r="F1445">
        <f>IF(Skills!N11=TRUE,(Skills!L11/10)*(E1445/1000),Skills!L11/10)+Skills!O11</f>
        <v>5</v>
      </c>
      <c r="G1445">
        <f>Calc!G11</f>
        <v>1</v>
      </c>
      <c r="H1445">
        <f>Calc!H11</f>
        <v>1</v>
      </c>
      <c r="I1445">
        <f>IF(Skills!X11&lt;&gt;"",1+(Skills!X11/10)*(Z1437/1000)/100,1)</f>
        <v>1</v>
      </c>
      <c r="O1445">
        <f>(1-Summary!$B$11)*S1445+Summary!$B$11*U1445</f>
        <v>0</v>
      </c>
      <c r="P1445">
        <f>IF(B1475=0,0,O1445/B1475)</f>
        <v>0</v>
      </c>
      <c r="Q1445">
        <f>IFERROR(1/(IF(Inputs!$B$38="pvp",15,MAX(0.1,Skills!E11-IF(TRUE=TRUE,Inputs!$B$32,0)))*(1-IF(AND(ArtifactsInput!$M$27,Inputs!$B$4="Chapter Hunt"),CHOOSE(ArtifactsInput!$N$27+1,20,24,28,32,36,40),0)/100)),0)</f>
        <v>10</v>
      </c>
      <c r="R1445">
        <v>0</v>
      </c>
      <c r="S1445">
        <v>0</v>
      </c>
      <c r="U1445">
        <v>0</v>
      </c>
    </row>
    <row r="1446" spans="1:21" x14ac:dyDescent="0.2">
      <c r="A1446" t="str">
        <f>Skills!A12</f>
        <v>ELEMENTAL_DECREASE</v>
      </c>
      <c r="B1446" t="str">
        <f>Skills!B12</f>
        <v>Elemental Decrease</v>
      </c>
      <c r="C1446" t="b">
        <f>TRUE</f>
        <v>1</v>
      </c>
      <c r="D1446">
        <f>IF(Skills!C12=1,60+Inputs!$B$25+Inputs!$B$29,IF(Skills!C12=2,90+Inputs!$B$26+Inputs!$B$29,IF(Skills!C12=3,120+Inputs!$B$27+Inputs!$B$29,MAX(0,(Inputs!$B$3-100)*3)+Inputs!$B$28+Inputs!$B$29)))</f>
        <v>184</v>
      </c>
      <c r="E1446">
        <f>INDEX(FactorTable!$B$2:$Y$301, MATCH(ROUND(MIN(300,MAX(1,D1446)),0), FactorTable!$A$2:$A$301,0), Skills!M12+1)</f>
        <v>1552</v>
      </c>
      <c r="F1446">
        <f>IF(Skills!N12=TRUE,(Skills!L12/10)*(E1446/1000),Skills!L12/10)+Skills!O12</f>
        <v>18.624000000000002</v>
      </c>
      <c r="G1446">
        <f>Calc!G12</f>
        <v>1</v>
      </c>
      <c r="H1446">
        <f>Calc!H12</f>
        <v>0.5</v>
      </c>
      <c r="I1446">
        <f>IF(Skills!X12&lt;&gt;"",1+(Skills!X12/10)*(Z1437/1000)/100,1)</f>
        <v>1</v>
      </c>
      <c r="O1446">
        <f>(1-Summary!$B$11)*S1446+Summary!$B$11*U1446</f>
        <v>0</v>
      </c>
      <c r="P1446">
        <f>IF(B1475=0,0,O1446/B1475)</f>
        <v>0</v>
      </c>
      <c r="Q1446">
        <f>IFERROR(1/(IF(Inputs!$B$38="pvp",15,MAX(0.1,Skills!E12-IF(TRUE=TRUE,Inputs!$B$32,0)))*(1-IF(AND(ArtifactsInput!$M$27,Inputs!$B$4="Chapter Hunt"),CHOOSE(ArtifactsInput!$N$27+1,20,24,28,32,36,40),0)/100)),0)</f>
        <v>10</v>
      </c>
      <c r="R1446">
        <v>0</v>
      </c>
      <c r="S1446">
        <v>0</v>
      </c>
      <c r="U1446">
        <v>0</v>
      </c>
    </row>
    <row r="1447" spans="1:21" x14ac:dyDescent="0.2">
      <c r="A1447" t="str">
        <f>Skills!A13</f>
        <v>METEOR_SHOWER_BURST</v>
      </c>
      <c r="B1447" t="str">
        <f>Skills!B13</f>
        <v>Meteor Shower (burst)</v>
      </c>
      <c r="C1447" t="b">
        <f>Inputs!$B$3&gt;=105</f>
        <v>1</v>
      </c>
      <c r="D1447">
        <f>IF(Skills!C13=1,60+Inputs!$B$25+Inputs!$B$29,IF(Skills!C13=2,90+Inputs!$B$26+Inputs!$B$29,IF(Skills!C13=3,120+Inputs!$B$27+Inputs!$B$29,MAX(0,(Inputs!$B$3-100)*3)+Inputs!$B$28+Inputs!$B$29)))</f>
        <v>185</v>
      </c>
      <c r="E1447">
        <f>INDEX(FactorTable!$B$2:$Y$301, MATCH(ROUND(MIN(300,MAX(1,D1447)),0), FactorTable!$A$2:$A$301,0), Skills!M13+1)</f>
        <v>1925</v>
      </c>
      <c r="F1447">
        <f>IF(Skills!N13=TRUE,(Skills!L13/10)*(E1447/1000),Skills!L13/10)+Skills!O13</f>
        <v>1155</v>
      </c>
      <c r="G1447">
        <f>Calc!G13</f>
        <v>9</v>
      </c>
      <c r="H1447">
        <f>Calc!H13</f>
        <v>1</v>
      </c>
      <c r="I1447">
        <f>IF(Skills!X13&lt;&gt;"",1+(Skills!X13/10)*(Z1437/1000)/100,1)</f>
        <v>1</v>
      </c>
      <c r="J1447">
        <f>((Inputs!$B$6*(1+Inputs!$B$7/100))+(((Inputs!$B$12*(1+Inputs!$B$13/100))-(Inputs!$B$12*(1+Inputs!$B$13/100)))+0.25*(Inputs!$B$14-Inputs!$B$14))*(1+Inputs!$B$7/100))*(F1447/100)</f>
        <v>4171103722.0660505</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20958681306616.391</v>
      </c>
      <c r="L1447">
        <f>K1447*(MIN(Inputs!$B$22+(F1456-Calc!F22),(Inputs!$B$23+(IF(ArtifactsInput!$M$15,CHOOSE(ArtifactsInput!$N$15+1,25,30,35,40,45,50)/100*(Inputs!$B$11-Inputs!$B$11),0))))/100+(Inputs!$B$23+(IF(ArtifactsInput!$M$15,CHOOSE(ArtifactsInput!$N$15+1,25,30,35,40,45,50)/100*(Inputs!$B$11-Inputs!$B$11),0)))/100)/2</f>
        <v>69687615344499.5</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447">
        <f>L1447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447">
        <f>(1-Summary!$B$11)*S1447+Summary!$B$11*U1447</f>
        <v>1793579843045520.5</v>
      </c>
      <c r="P1447">
        <f>IF(B1475=0,0,O1447/B1475)</f>
        <v>5.4208245204954375E-2</v>
      </c>
      <c r="Q1447">
        <f>IFERROR(1/(IF(Inputs!$B$38="pvp",15,MAX(0.1,Skills!E13-IF(TRUE=TRUE,Inputs!$B$32,0)))*(1-IF(AND(ArtifactsInput!$M$27,Inputs!$B$4="Chapter Hunt"),CHOOSE(ArtifactsInput!$N$27+1,20,24,28,32,36,40),0)/100)),0)</f>
        <v>3.0303030303030304E-2</v>
      </c>
      <c r="R1447">
        <f>IF(AND(Inputs!$B$38&lt;&gt;"pvp",Inputs!$B$43&gt;0),IF(MAX(0,Inputs!$B$43-B1472)&lt;=0,0,(INT(MAX(0,Inputs!$B$43-B1472)/(IF(Inputs!$B$38="pvp",15,MAX(0.1,Skills!E13-IF(TRUE=TRUE,Inputs!$B$32,0)))*(1-IF(AND(ArtifactsInput!$M$27,Inputs!$B$4="Chapter Hunt"),CHOOSE(ArtifactsInput!$N$27+1,20,24,28,32,36,40),0)/100)))+1)),0)</f>
        <v>2</v>
      </c>
      <c r="S1447">
        <f>IF(C1447,(H1447*N1447*IF(AND(Inputs!$B$38&lt;&gt;"pvp",Inputs!$B$43&gt;0),((Skills!G13*((R1447-1)*IF(Skills!H13&gt;0,Skills!I13/Skills!H13,1)+IF(Skills!H13&gt;0,MIN(Skills!I13,MAX(0,MAX(0,Inputs!$B$43-B1472)-((R1447-1)*(IF(Inputs!$B$38="pvp",15,MAX(0.1,Skills!E13-IF(TRUE=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447">
        <f>IF(C1447,(H1447*N1447*IF(AND(Inputs!$B$38&lt;&gt;"pvp",Inputs!$B$43&gt;0),((Skills!G13*((R1447-1)*IF(Skills!H13&gt;0,Skills!I13/Skills!H13,1)+IF(Skills!H13&gt;0,MIN(Skills!I13,MAX(0,MAX(0,Inputs!$B$43-B1472)-((R1447-1)*(IF(Inputs!$B$38="pvp",15,MAX(0.1,Skills!E13-IF(TRUE=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448" spans="1:21" x14ac:dyDescent="0.2">
      <c r="A1448" t="str">
        <f>Skills!A14</f>
        <v>METEOR_PROC</v>
      </c>
      <c r="B1448" t="str">
        <f>Skills!B14</f>
        <v>Meteor Proc (30% on-hit, 1s ICD)</v>
      </c>
      <c r="C1448" t="b">
        <f>Inputs!$B$3&gt;=113</f>
        <v>1</v>
      </c>
      <c r="D1448">
        <f>IF(Skills!C14=1,60+Inputs!$B$25+Inputs!$B$29,IF(Skills!C14=2,90+Inputs!$B$26+Inputs!$B$29,IF(Skills!C14=3,120+Inputs!$B$27+Inputs!$B$29,MAX(0,(Inputs!$B$3-100)*3)+Inputs!$B$28+Inputs!$B$29)))</f>
        <v>185</v>
      </c>
      <c r="E1448">
        <f>INDEX(FactorTable!$B$2:$Y$301, MATCH(ROUND(MIN(300,MAX(1,D1448)),0), FactorTable!$A$2:$A$301,0), Skills!M14+1)</f>
        <v>1740</v>
      </c>
      <c r="F1448">
        <f>IF(Skills!N14=TRUE,(Skills!L14/10)*(E1448/1000),Skills!L14/10)+Skills!O14</f>
        <v>1653</v>
      </c>
      <c r="G1448">
        <f>Calc!G14</f>
        <v>0</v>
      </c>
      <c r="H1448">
        <f>Calc!H14</f>
        <v>0.30000000000000004</v>
      </c>
      <c r="I1448">
        <f>IF(Skills!X14&lt;&gt;"",1+(Skills!X14/10)*(Z1437/1000)/100,1)</f>
        <v>1</v>
      </c>
      <c r="J1448">
        <f>((Inputs!$B$6*(1+Inputs!$B$7/100))+(((Inputs!$B$12*(1+Inputs!$B$13/100))-(Inputs!$B$12*(1+Inputs!$B$13/100)))+0.25*(Inputs!$B$14-Inputs!$B$14))*(1+Inputs!$B$7/100))*(F1448/100)</f>
        <v>5969553638.5932312</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29995411428430.203</v>
      </c>
      <c r="L1448">
        <f>K1448*(MIN(Inputs!$B$22+(F1456-Calc!F22),(Inputs!$B$23+(IF(ArtifactsInput!$M$15,CHOOSE(ArtifactsInput!$N$15+1,25,30,35,40,45,50)/100*(Inputs!$B$11-Inputs!$B$11),0))))/100+(Inputs!$B$23+(IF(ArtifactsInput!$M$15,CHOOSE(ArtifactsInput!$N$15+1,25,30,35,40,45,50)/100*(Inputs!$B$11-Inputs!$B$11),0)))/100)/2</f>
        <v>99734742999530.438</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448">
        <f>L1448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448">
        <f>(1-Summary!$B$11)*S1448+Summary!$B$11*U1448</f>
        <v>461258197543910.38</v>
      </c>
      <c r="P1448">
        <f>IF(B1475=0,0,O1448/B1475)</f>
        <v>1.3940833229257574E-2</v>
      </c>
      <c r="Q1448">
        <f>IFERROR(1/(IF(Inputs!$B$38="pvp",15,MAX(0.1,Skills!E14-IF(TRUE=TRUE,Inputs!$B$32,0)))*(1-IF(AND(ArtifactsInput!$M$27,Inputs!$B$4="Chapter Hunt"),CHOOSE(ArtifactsInput!$N$27+1,20,24,28,32,36,40),0)/100)),0)</f>
        <v>10</v>
      </c>
      <c r="R1448">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449" spans="1:21" x14ac:dyDescent="0.2">
      <c r="A1449" t="str">
        <f>Skills!A15</f>
        <v>FLAME_HAZE_BURST</v>
      </c>
      <c r="B1449" t="str">
        <f>Skills!B15</f>
        <v>Flame Haze (burst)</v>
      </c>
      <c r="C1449" t="b">
        <f>Inputs!$B$3&gt;=107</f>
        <v>1</v>
      </c>
      <c r="D1449">
        <f>IF(Skills!C15=1,60+Inputs!$B$25+Inputs!$B$29,IF(Skills!C15=2,90+Inputs!$B$26+Inputs!$B$29,IF(Skills!C15=3,120+Inputs!$B$27+Inputs!$B$29,MAX(0,(Inputs!$B$3-100)*3)+Inputs!$B$28+Inputs!$B$29)))</f>
        <v>185</v>
      </c>
      <c r="E1449">
        <f>INDEX(FactorTable!$B$2:$Y$301, MATCH(ROUND(MIN(300,MAX(1,D1449)),0), FactorTable!$A$2:$A$301,0), Skills!M15+1)</f>
        <v>1925</v>
      </c>
      <c r="F1449">
        <f>IF(Skills!N15=TRUE,(Skills!L15/10)*(E1449/1000),Skills!L15/10)+Skills!O15</f>
        <v>2310</v>
      </c>
      <c r="G1449">
        <f>Calc!G15</f>
        <v>3</v>
      </c>
      <c r="H1449">
        <f>Calc!H15</f>
        <v>1</v>
      </c>
      <c r="I1449">
        <f>IF(Skills!X15&lt;&gt;"",1+(Skills!X15/10)*(Z1437/1000)/100,1)</f>
        <v>1</v>
      </c>
      <c r="J1449">
        <f>((Inputs!$B$6*(1+Inputs!$B$7/100))+(((Inputs!$B$12*(1+Inputs!$B$13/100))-(Inputs!$B$12*(1+Inputs!$B$13/100)))+0.25*(Inputs!$B$14-Inputs!$B$14))*(1+Inputs!$B$7/100))*(F1449/100)</f>
        <v>8342207444.1321011</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41917362613232.781</v>
      </c>
      <c r="L1449">
        <f>K1449*(MIN(Inputs!$B$22+(F1456-Calc!F22),(Inputs!$B$23+(IF(ArtifactsInput!$M$15,CHOOSE(ArtifactsInput!$N$15+1,25,30,35,40,45,50)/100*(Inputs!$B$11-Inputs!$B$11),0))))/100+(Inputs!$B$23+(IF(ArtifactsInput!$M$15,CHOOSE(ArtifactsInput!$N$15+1,25,30,35,40,45,50)/100*(Inputs!$B$11-Inputs!$B$11),0)))/100)/2</f>
        <v>139375230688999</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449">
        <f>L1449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449">
        <f>(1-Summary!$B$11)*S1449+Summary!$B$11*U1449</f>
        <v>1641155153413763.8</v>
      </c>
      <c r="P1449">
        <f>IF(B1475=0,0,O1449/B1475)</f>
        <v>4.9601438888031674E-2</v>
      </c>
      <c r="Q1449">
        <f>IFERROR(1/(IF(Inputs!$B$38="pvp",15,MAX(0.1,Skills!E15-IF(TRUE=TRUE,Inputs!$B$32,0)))*(1-IF(AND(ArtifactsInput!$M$27,Inputs!$B$4="Chapter Hunt"),CHOOSE(ArtifactsInput!$N$27+1,20,24,28,32,36,40),0)/100)),0)</f>
        <v>0.04</v>
      </c>
      <c r="R1449">
        <f>IF(AND(Inputs!$B$38&lt;&gt;"pvp",Inputs!$B$43&gt;0),IF(MAX(0,Inputs!$B$43-B1472)&lt;=0,0,(INT(MAX(0,Inputs!$B$43-B1472)/(IF(Inputs!$B$38="pvp",15,MAX(0.1,Skills!E15-IF(TRUE=TRUE,Inputs!$B$32,0)))*(1-IF(AND(ArtifactsInput!$M$27,Inputs!$B$4="Chapter Hunt"),CHOOSE(ArtifactsInput!$N$27+1,20,24,28,32,36,40),0)/100)))+1)),0)</f>
        <v>2</v>
      </c>
      <c r="S1449">
        <f>IF(C1449,(H1449*N1449*IF(AND(Inputs!$B$38&lt;&gt;"pvp",Inputs!$B$43&gt;0),((Skills!G15*((R1449-1)*IF(Skills!H15&gt;0,Skills!I15/Skills!H15,1)+IF(Skills!H15&gt;0,MIN(Skills!I15,MAX(0,MAX(0,Inputs!$B$43-B1472)-((R1449-1)*(IF(Inputs!$B$38="pvp",15,MAX(0.1,Skills!E15-IF(TRUE=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449">
        <f>IF(C1449,(H1449*N1449*IF(AND(Inputs!$B$38&lt;&gt;"pvp",Inputs!$B$43&gt;0),((Skills!G15*((R1449-1)*IF(Skills!H15&gt;0,Skills!I15/Skills!H15,1)+IF(Skills!H15&gt;0,MIN(Skills!I15,MAX(0,MAX(0,Inputs!$B$43-B1472)-((R1449-1)*(IF(Inputs!$B$38="pvp",15,MAX(0.1,Skills!E15-IF(TRUE=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450" spans="1:21" x14ac:dyDescent="0.2">
      <c r="A1450" t="str">
        <f>Skills!A16</f>
        <v>FLAME_HAZE_DOT</v>
      </c>
      <c r="B1450" t="str">
        <f>Skills!B16</f>
        <v>Flame Haze (burn DoT)</v>
      </c>
      <c r="C1450" t="b">
        <f>Inputs!$B$3&gt;=107</f>
        <v>1</v>
      </c>
      <c r="D1450">
        <f>IF(Skills!C16=1,60+Inputs!$B$25+Inputs!$B$29,IF(Skills!C16=2,90+Inputs!$B$26+Inputs!$B$29,IF(Skills!C16=3,120+Inputs!$B$27+Inputs!$B$29,MAX(0,(Inputs!$B$3-100)*3)+Inputs!$B$28+Inputs!$B$29)))</f>
        <v>185</v>
      </c>
      <c r="E1450">
        <f>INDEX(FactorTable!$B$2:$Y$301, MATCH(ROUND(MIN(300,MAX(1,D1450)),0), FactorTable!$A$2:$A$301,0), Skills!M16+1)</f>
        <v>1925</v>
      </c>
      <c r="F1450">
        <f>IF(Skills!N16=TRUE,(Skills!L16/10)*(E1450/1000),Skills!L16/10)+Skills!O16</f>
        <v>288.75</v>
      </c>
      <c r="G1450">
        <f>Calc!G16</f>
        <v>30</v>
      </c>
      <c r="H1450">
        <f>Calc!H16</f>
        <v>1</v>
      </c>
      <c r="I1450">
        <f>IF(Skills!X16&lt;&gt;"",1+(Skills!X16/10)*(Z1437/1000)/100,1)</f>
        <v>1</v>
      </c>
      <c r="J1450">
        <f>((Inputs!$B$6*(1+Inputs!$B$7/100))+(((Inputs!$B$12*(1+Inputs!$B$13/100))-(Inputs!$B$12*(1+Inputs!$B$13/100)))+0.25*(Inputs!$B$14-Inputs!$B$14))*(1+Inputs!$B$7/100))*(F1450/100)</f>
        <v>1042775930.5165126</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5239670326654.0977</v>
      </c>
      <c r="L1450">
        <f>K1450*(MIN(Inputs!$B$22+(F1456-Calc!F22),(Inputs!$B$23+(IF(ArtifactsInput!$M$15,CHOOSE(ArtifactsInput!$N$15+1,25,30,35,40,45,50)/100*(Inputs!$B$11-Inputs!$B$11),0))))/100+(Inputs!$B$23+(IF(ArtifactsInput!$M$15,CHOOSE(ArtifactsInput!$N$15+1,25,30,35,40,45,50)/100*(Inputs!$B$11-Inputs!$B$11),0)))/100)/2</f>
        <v>17421903836124.875</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450">
        <f>L1450*(1-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450">
        <f>(1-Summary!$B$11)*S1450+Summary!$B$11*U1450</f>
        <v>1890384927888193</v>
      </c>
      <c r="P1450">
        <f>IF(B1475=0,0,O1450/B1475)</f>
        <v>5.7134032867313167E-2</v>
      </c>
      <c r="Q1450">
        <f>IFERROR(1/(IF(Inputs!$B$38="pvp",15,MAX(0.1,Skills!E16-IF(TRUE=TRUE,Inputs!$B$32,0)))*(1-IF(AND(ArtifactsInput!$M$27,Inputs!$B$4="Chapter Hunt"),CHOOSE(ArtifactsInput!$N$27+1,20,24,28,32,36,40),0)/100)),0)</f>
        <v>0.04</v>
      </c>
      <c r="R1450">
        <f>IF(AND(Inputs!$B$38&lt;&gt;"pvp",Inputs!$B$43&gt;0),IF(MAX(0,Inputs!$B$43-B1472)&lt;=0,0,(INT(MAX(0,Inputs!$B$43-B1472)/(IF(Inputs!$B$38="pvp",15,MAX(0.1,Skills!E16-IF(TRUE=TRUE,Inputs!$B$32,0)))*(1-IF(AND(ArtifactsInput!$M$27,Inputs!$B$4="Chapter Hunt"),CHOOSE(ArtifactsInput!$N$27+1,20,24,28,32,36,40),0)/100)))+1)),0)</f>
        <v>2</v>
      </c>
      <c r="S1450">
        <f>IF(C1450,(H1450*N1450*IF(AND(Inputs!$B$38&lt;&gt;"pvp",Inputs!$B$43&gt;0),((Skills!G16*((R1450-1)*IF(Skills!H16&gt;0,Skills!I16/Skills!H16,1)+IF(Skills!H16&gt;0,MIN(Skills!I16,MAX(0,MAX(0,Inputs!$B$43-B1472)-((R1450-1)*(IF(Inputs!$B$38="pvp",15,MAX(0.1,Skills!E16-IF(TRUE=TRUE,Inputs!$B$32,0)))*(1-IF(AND(ArtifactsInput!$M$27,Inputs!$B$4="Chapter Hunt"),CHOOSE(ArtifactsInput!$N$27+1,20,24,28,32,36,40),0)/100)))))/Skills!H16,1)))/Inputs!$B$43),G1450*Q1450)*(1+IF(Inputs!$B$3&gt;=126,0.05*(B1470+Q1447+(H1448*B1471)/(1+Skills!H14*H1448*B1471)+Q1458),0)*(1/Q1449)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450">
        <f>IF(C1450,(H1450*N1450*IF(AND(Inputs!$B$38&lt;&gt;"pvp",Inputs!$B$43&gt;0),((Skills!G16*((R1450-1)*IF(Skills!H16&gt;0,Skills!I16/Skills!H16,1)+IF(Skills!H16&gt;0,MIN(Skills!I16,MAX(0,MAX(0,Inputs!$B$43-B1472)-((R1450-1)*(IF(Inputs!$B$38="pvp",15,MAX(0.1,Skills!E16-IF(TRUE=TRUE,Inputs!$B$32,0)))*(1-IF(AND(ArtifactsInput!$M$27,Inputs!$B$4="Chapter Hunt"),CHOOSE(ArtifactsInput!$N$27+1,20,24,28,32,36,40),0)/100)))))/Skills!H16,1)))/Inputs!$B$43),G1450*Q1450)*(1+IF(Inputs!$B$3&gt;=126,0.05*(B1470+Q1447+(H1448*B1471)/(1+Skills!H14*H1448*B1471)+Q1458),0)*(1/Q1449)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451" spans="1:21" x14ac:dyDescent="0.2">
      <c r="A1451" t="str">
        <f>Skills!A17</f>
        <v>MAGIC_GUARD</v>
      </c>
      <c r="B1451" t="str">
        <f>Skills!B17</f>
        <v>Magic Guard</v>
      </c>
      <c r="C1451" t="b">
        <f>TRUE</f>
        <v>1</v>
      </c>
      <c r="D1451">
        <f>IF(Skills!C17=1,60+Inputs!$B$25+Inputs!$B$29,IF(Skills!C17=2,90+Inputs!$B$26+Inputs!$B$29,IF(Skills!C17=3,120+Inputs!$B$27+Inputs!$B$29,MAX(0,(Inputs!$B$3-100)*3)+Inputs!$B$28+Inputs!$B$29)))</f>
        <v>127</v>
      </c>
      <c r="E1451">
        <f>INDEX(FactorTable!$B$2:$Y$301, MATCH(ROUND(MIN(300,MAX(1,D1451)),0), FactorTable!$A$2:$A$301,0), Skills!M17+1)</f>
        <v>1508</v>
      </c>
      <c r="F1451">
        <f>IF(Skills!N17=TRUE,(Skills!L17/10)*(E1451/1000),Skills!L17/10)+Skills!O17</f>
        <v>18.096</v>
      </c>
      <c r="G1451">
        <f>Calc!G17</f>
        <v>1</v>
      </c>
      <c r="H1451">
        <f>Calc!H17</f>
        <v>1</v>
      </c>
      <c r="I1451">
        <f>IF(Skills!X17&lt;&gt;"",1+(Skills!X17/10)*(Z1437/1000)/100,1)</f>
        <v>1</v>
      </c>
      <c r="O1451">
        <f>(1-Summary!$B$11)*S1451+Summary!$B$11*U1451</f>
        <v>0</v>
      </c>
      <c r="P1451">
        <f>IF(B1475=0,0,O1451/B1475)</f>
        <v>0</v>
      </c>
      <c r="Q1451">
        <f>IFERROR(1/(IF(Inputs!$B$38="pvp",15,MAX(0.1,Skills!E17-IF(TRUE=TRUE,Inputs!$B$32,0)))*(1-IF(AND(ArtifactsInput!$M$27,Inputs!$B$4="Chapter Hunt"),CHOOSE(ArtifactsInput!$N$27+1,20,24,28,32,36,40),0)/100)),0)</f>
        <v>4.7619047619047616E-2</v>
      </c>
      <c r="R1451">
        <f>IF(AND(Inputs!$B$38&lt;&gt;"pvp",Inputs!$B$43&gt;0),IF(Inputs!$B$43&lt;=0,0,(INT(Inputs!$B$43/(IF(Inputs!$B$38="pvp",15,MAX(0.1,Skills!E17-IF(TRUE=TRUE,Inputs!$B$32,0)))*(1-IF(AND(ArtifactsInput!$M$27,Inputs!$B$4="Chapter Hunt"),CHOOSE(ArtifactsInput!$N$27+1,20,24,28,32,36,40),0)/100)))+1)),0)</f>
        <v>2</v>
      </c>
      <c r="S1451">
        <v>0</v>
      </c>
      <c r="U1451">
        <v>0</v>
      </c>
    </row>
    <row r="1452" spans="1:21" x14ac:dyDescent="0.2">
      <c r="A1452" t="str">
        <f>Skills!A18</f>
        <v>NIMBLE_FEET</v>
      </c>
      <c r="B1452" t="str">
        <f>Skills!B18</f>
        <v>Nimble Feet</v>
      </c>
      <c r="C1452" t="b">
        <f>TRUE</f>
        <v>1</v>
      </c>
      <c r="D1452">
        <f>IF(Skills!C18=1,60+Inputs!$B$25+Inputs!$B$29,IF(Skills!C18=2,90+Inputs!$B$26+Inputs!$B$29,IF(Skills!C18=3,120+Inputs!$B$27+Inputs!$B$29,MAX(0,(Inputs!$B$3-100)*3)+Inputs!$B$28+Inputs!$B$29)))</f>
        <v>127</v>
      </c>
      <c r="E1452">
        <f>INDEX(FactorTable!$B$2:$Y$301, MATCH(ROUND(MIN(300,MAX(1,D1452)),0), FactorTable!$A$2:$A$301,0), Skills!M18+1)</f>
        <v>0</v>
      </c>
      <c r="F1452">
        <f>IF(Skills!N18=TRUE,(Skills!L18/10)*(E1452/1000),Skills!L18/10)+Skills!O18</f>
        <v>15</v>
      </c>
      <c r="G1452">
        <f>Calc!G18</f>
        <v>1</v>
      </c>
      <c r="H1452">
        <f>Calc!H18</f>
        <v>1</v>
      </c>
      <c r="I1452">
        <f>IF(Skills!X18&lt;&gt;"",1+(Skills!X18/10)*(Z1437/1000)/100,1)</f>
        <v>1</v>
      </c>
      <c r="O1452">
        <f>(1-Summary!$B$11)*S1452+Summary!$B$11*U1452</f>
        <v>0</v>
      </c>
      <c r="P1452">
        <f>IF(B1475=0,0,O1452/B1475)</f>
        <v>0</v>
      </c>
      <c r="Q1452">
        <f>IFERROR(1/(IF(Inputs!$B$38="pvp",15,MAX(0.1,Skills!E18-IF(TRUE=TRUE,Inputs!$B$32,0)))*(1-IF(AND(ArtifactsInput!$M$27,Inputs!$B$4="Chapter Hunt"),CHOOSE(ArtifactsInput!$N$27+1,20,24,28,32,36,40),0)/100)),0)</f>
        <v>1.6666666666666666E-2</v>
      </c>
      <c r="R1452">
        <f>IF(AND(Inputs!$B$38&lt;&gt;"pvp",Inputs!$B$43&gt;0),IF(Inputs!$B$43&lt;=0,0,(INT(Inputs!$B$43/(IF(Inputs!$B$38="pvp",15,MAX(0.1,Skills!E18-IF(TRUE=TRUE,Inputs!$B$32,0)))*(1-IF(AND(ArtifactsInput!$M$27,Inputs!$B$4="Chapter Hunt"),CHOOSE(ArtifactsInput!$N$27+1,20,24,28,32,36,40),0)/100)))+1)),0)</f>
        <v>1</v>
      </c>
      <c r="S1452">
        <v>0</v>
      </c>
      <c r="U1452">
        <v>0</v>
      </c>
    </row>
    <row r="1453" spans="1:21" x14ac:dyDescent="0.2">
      <c r="A1453" t="str">
        <f>Skills!A19</f>
        <v>INFINITY</v>
      </c>
      <c r="B1453" t="str">
        <f>Skills!B19</f>
        <v>Infinity</v>
      </c>
      <c r="C1453" t="b">
        <f>Inputs!$B$3&gt;=110</f>
        <v>1</v>
      </c>
      <c r="D1453">
        <f>IF(Skills!C19=1,60+Inputs!$B$25+Inputs!$B$29,IF(Skills!C19=2,90+Inputs!$B$26+Inputs!$B$29,IF(Skills!C19=3,120+Inputs!$B$27+Inputs!$B$29,MAX(0,(Inputs!$B$3-100)*3)+Inputs!$B$28+Inputs!$B$29)))</f>
        <v>185</v>
      </c>
      <c r="E1453">
        <f>INDEX(FactorTable!$B$2:$Y$301, MATCH(ROUND(MIN(300,MAX(1,D1453)),0), FactorTable!$A$2:$A$301,0), Skills!M19+1)</f>
        <v>1740</v>
      </c>
      <c r="F1453">
        <f>IF(Skills!N19=TRUE,(Skills!L19/10)*(E1453/1000),Skills!L19/10)+Skills!O19</f>
        <v>37.700579999999995</v>
      </c>
      <c r="G1453">
        <f>Calc!G19</f>
        <v>1</v>
      </c>
      <c r="H1453">
        <f>Calc!H19</f>
        <v>1</v>
      </c>
      <c r="I1453">
        <f>IF(Skills!X19&lt;&gt;"",1+(Skills!X19/10)*(Z1437/1000)/100,1)</f>
        <v>1</v>
      </c>
      <c r="O1453">
        <f>(1-Summary!$B$11)*S1453+Summary!$B$11*U1453</f>
        <v>0</v>
      </c>
      <c r="P1453">
        <f>IF(B1475=0,0,O1453/B1475)</f>
        <v>0</v>
      </c>
      <c r="Q1453">
        <f>IFERROR(1/(IF(Inputs!$B$38="pvp",15,MAX(0.1,Skills!E19-IF(TRUE=TRUE,Inputs!$B$32,0)))*(1-IF(AND(ArtifactsInput!$M$27,Inputs!$B$4="Chapter Hunt"),CHOOSE(ArtifactsInput!$N$27+1,20,24,28,32,36,40),0)/100)),0)</f>
        <v>3.3333333333333333E-2</v>
      </c>
      <c r="R1453">
        <f>IF(AND(Inputs!$B$38&lt;&gt;"pvp",Inputs!$B$43&gt;0),IF(Inputs!$B$43&lt;=0,0,(INT(Inputs!$B$43/(IF(Inputs!$B$38="pvp",15,MAX(0.1,Skills!E19-IF(TRUE=TRUE,Inputs!$B$32,0)))*(1-IF(AND(ArtifactsInput!$M$27,Inputs!$B$4="Chapter Hunt"),CHOOSE(ArtifactsInput!$N$27+1,20,24,28,32,36,40),0)/100)))+1)),0)</f>
        <v>2</v>
      </c>
      <c r="S1453">
        <v>0</v>
      </c>
      <c r="U1453">
        <v>0</v>
      </c>
    </row>
    <row r="1454" spans="1:21" x14ac:dyDescent="0.2">
      <c r="A1454" t="str">
        <f>Skills!A20</f>
        <v>MAGIC_CRITICAL_RATE</v>
      </c>
      <c r="B1454" t="str">
        <f>Skills!B20</f>
        <v>Magic Critical (Crit Rate)</v>
      </c>
      <c r="C1454" t="b">
        <f>TRUE</f>
        <v>1</v>
      </c>
      <c r="D1454">
        <f>IF(Skills!C20=1,60+Inputs!$B$25+Inputs!$B$29,IF(Skills!C20=2,90+Inputs!$B$26+Inputs!$B$29,IF(Skills!C20=3,120+Inputs!$B$27+Inputs!$B$29,MAX(0,(Inputs!$B$3-100)*3)+Inputs!$B$28+Inputs!$B$29)))</f>
        <v>184</v>
      </c>
      <c r="E1454">
        <f>INDEX(FactorTable!$B$2:$Y$301, MATCH(ROUND(MIN(300,MAX(1,D1454)),0), FactorTable!$A$2:$A$301,0), Skills!M20+1)</f>
        <v>1552</v>
      </c>
      <c r="F1454">
        <f>IF(Skills!N20=TRUE,(Skills!L20/10)*(E1454/1000),Skills!L20/10)+Skills!O20</f>
        <v>12.416</v>
      </c>
      <c r="G1454">
        <f>Calc!G20</f>
        <v>1</v>
      </c>
      <c r="H1454">
        <f>Calc!H20</f>
        <v>1</v>
      </c>
      <c r="I1454">
        <f>IF(Skills!X20&lt;&gt;"",1+(Skills!X20/10)*(Z1437/1000)/100,1)</f>
        <v>1</v>
      </c>
      <c r="O1454">
        <f>(1-Summary!$B$11)*S1454+Summary!$B$11*U1454</f>
        <v>0</v>
      </c>
      <c r="P1454">
        <f>IF(B1475=0,0,O1454/B1475)</f>
        <v>0</v>
      </c>
      <c r="Q1454">
        <f>IFERROR(1/(IF(Inputs!$B$38="pvp",15,MAX(0.1,Skills!E20-IF(TRUE=TRUE,Inputs!$B$32,0)))*(1-IF(AND(ArtifactsInput!$M$27,Inputs!$B$4="Chapter Hunt"),CHOOSE(ArtifactsInput!$N$27+1,20,24,28,32,36,40),0)/100)),0)</f>
        <v>10</v>
      </c>
      <c r="R1454">
        <v>0</v>
      </c>
      <c r="S1454">
        <v>0</v>
      </c>
      <c r="U1454">
        <v>0</v>
      </c>
    </row>
    <row r="1455" spans="1:21" x14ac:dyDescent="0.2">
      <c r="A1455" t="str">
        <f>Skills!A21</f>
        <v>MAGIC_CRITICAL_DAMAGE</v>
      </c>
      <c r="B1455" t="str">
        <f>Skills!B21</f>
        <v>Magic Critical (Crit Damage)</v>
      </c>
      <c r="C1455" t="b">
        <f>TRUE</f>
        <v>1</v>
      </c>
      <c r="D1455">
        <f>IF(Skills!C21=1,60+Inputs!$B$25+Inputs!$B$29,IF(Skills!C21=2,90+Inputs!$B$26+Inputs!$B$29,IF(Skills!C21=3,120+Inputs!$B$27+Inputs!$B$29,MAX(0,(Inputs!$B$3-100)*3)+Inputs!$B$28+Inputs!$B$29)))</f>
        <v>184</v>
      </c>
      <c r="E1455">
        <f>INDEX(FactorTable!$B$2:$Y$301, MATCH(ROUND(MIN(300,MAX(1,D1455)),0), FactorTable!$A$2:$A$301,0), Skills!M21+1)</f>
        <v>1552</v>
      </c>
      <c r="F1455">
        <f>IF(Skills!N21=TRUE,(Skills!L21/10)*(E1455/1000),Skills!L21/10)+Skills!O21</f>
        <v>18.624000000000002</v>
      </c>
      <c r="G1455">
        <f>Calc!G21</f>
        <v>1</v>
      </c>
      <c r="H1455">
        <f>Calc!H21</f>
        <v>1</v>
      </c>
      <c r="I1455">
        <f>IF(Skills!X21&lt;&gt;"",1+(Skills!X21/10)*(Z1437/1000)/100,1)</f>
        <v>1</v>
      </c>
      <c r="O1455">
        <f>(1-Summary!$B$11)*S1455+Summary!$B$11*U1455</f>
        <v>0</v>
      </c>
      <c r="P1455">
        <f>IF(B1475=0,0,O1455/B1475)</f>
        <v>0</v>
      </c>
      <c r="Q1455">
        <f>IFERROR(1/(IF(Inputs!$B$38="pvp",15,MAX(0.1,Skills!E21-IF(TRUE=TRUE,Inputs!$B$32,0)))*(1-IF(AND(ArtifactsInput!$M$27,Inputs!$B$4="Chapter Hunt"),CHOOSE(ArtifactsInput!$N$27+1,20,24,28,32,36,40),0)/100)),0)</f>
        <v>10</v>
      </c>
      <c r="R1455">
        <v>0</v>
      </c>
      <c r="S1455">
        <v>0</v>
      </c>
      <c r="U1455">
        <v>0</v>
      </c>
    </row>
    <row r="1456" spans="1:21" x14ac:dyDescent="0.2">
      <c r="A1456" t="str">
        <f>Skills!A22</f>
        <v>SPELL_MASTERY</v>
      </c>
      <c r="B1456" t="str">
        <f>Skills!B22</f>
        <v>Spell Mastery</v>
      </c>
      <c r="C1456" t="b">
        <f>TRUE</f>
        <v>1</v>
      </c>
      <c r="D1456">
        <f>IF(Skills!C22=1,60+Inputs!$B$25+Inputs!$B$29,IF(Skills!C22=2,90+Inputs!$B$26+Inputs!$B$29,IF(Skills!C22=3,120+Inputs!$B$27+Inputs!$B$29,MAX(0,(Inputs!$B$3-100)*3)+Inputs!$B$28+Inputs!$B$29)))</f>
        <v>168</v>
      </c>
      <c r="E1456">
        <f>INDEX(FactorTable!$B$2:$Y$301, MATCH(ROUND(MIN(300,MAX(1,D1456)),0), FactorTable!$A$2:$A$301,0), Skills!M22+1)</f>
        <v>1504</v>
      </c>
      <c r="F1456">
        <f>IF(Skills!N22=TRUE,(Skills!L22/10)*(E1456/1000),Skills!L22/10)+Skills!O22</f>
        <v>22.56</v>
      </c>
      <c r="G1456">
        <f>Calc!G22</f>
        <v>1</v>
      </c>
      <c r="H1456">
        <f>Calc!H22</f>
        <v>1</v>
      </c>
      <c r="I1456">
        <f>IF(Skills!X22&lt;&gt;"",1+(Skills!X22/10)*(Z1437/1000)/100,1)</f>
        <v>1</v>
      </c>
      <c r="O1456">
        <f>(1-Summary!$B$11)*S1456+Summary!$B$11*U1456</f>
        <v>0</v>
      </c>
      <c r="P1456">
        <f>IF(B1475=0,0,O1456/B1475)</f>
        <v>0</v>
      </c>
      <c r="Q1456">
        <f>IFERROR(1/(IF(Inputs!$B$38="pvp",15,MAX(0.1,Skills!E22-IF(TRUE=TRUE,Inputs!$B$32,0)))*(1-IF(AND(ArtifactsInput!$M$27,Inputs!$B$4="Chapter Hunt"),CHOOSE(ArtifactsInput!$N$27+1,20,24,28,32,36,40),0)/100)),0)</f>
        <v>10</v>
      </c>
      <c r="R1456">
        <v>0</v>
      </c>
      <c r="S1456">
        <v>0</v>
      </c>
      <c r="U1456">
        <v>0</v>
      </c>
    </row>
    <row r="1457" spans="1:21" x14ac:dyDescent="0.2">
      <c r="A1457" t="str">
        <f>Skills!A23</f>
        <v>ELEMENT_AMPLIFICATION</v>
      </c>
      <c r="B1457" t="str">
        <f>Skills!B23</f>
        <v>Element Amplification</v>
      </c>
      <c r="C1457" t="b">
        <f>TRUE</f>
        <v>1</v>
      </c>
      <c r="D1457">
        <f>IF(Skills!C23=1,60+Inputs!$B$25+Inputs!$B$29,IF(Skills!C23=2,90+Inputs!$B$26+Inputs!$B$29,IF(Skills!C23=3,120+Inputs!$B$27+Inputs!$B$29,MAX(0,(Inputs!$B$3-100)*3)+Inputs!$B$28+Inputs!$B$29)))</f>
        <v>185</v>
      </c>
      <c r="E1457">
        <f>INDEX(FactorTable!$B$2:$Y$301, MATCH(ROUND(MIN(300,MAX(1,D1457)),0), FactorTable!$A$2:$A$301,0), Skills!M23+1)</f>
        <v>1555</v>
      </c>
      <c r="F1457">
        <f>IF(Skills!N23=TRUE,(Skills!L23/10)*(E1457/1000),Skills!L23/10)+Skills!O23</f>
        <v>23.324999999999999</v>
      </c>
      <c r="G1457">
        <f>Calc!G23</f>
        <v>1</v>
      </c>
      <c r="H1457">
        <f>Calc!H23</f>
        <v>1</v>
      </c>
      <c r="I1457">
        <f>IF(Skills!X23&lt;&gt;"",1+(Skills!X23/10)*(Z1437/1000)/100,1)</f>
        <v>1</v>
      </c>
      <c r="O1457">
        <f>(1-Summary!$B$11)*S1457+Summary!$B$11*U1457</f>
        <v>0</v>
      </c>
      <c r="P1457">
        <f>IF(B1475=0,0,O1457/B1475)</f>
        <v>0</v>
      </c>
      <c r="Q1457">
        <f>IFERROR(1/(IF(Inputs!$B$38="pvp",15,MAX(0.1,Skills!E23-IF(TRUE=TRUE,Inputs!$B$32,0)))*(1-IF(AND(ArtifactsInput!$M$27,Inputs!$B$4="Chapter Hunt"),CHOOSE(ArtifactsInput!$N$27+1,20,24,28,32,36,40),0)/100)),0)</f>
        <v>10</v>
      </c>
      <c r="R1457">
        <v>0</v>
      </c>
      <c r="S1457">
        <v>0</v>
      </c>
      <c r="U1457">
        <v>0</v>
      </c>
    </row>
    <row r="1458" spans="1:21" x14ac:dyDescent="0.2">
      <c r="A1458" t="str">
        <f>Skills!A24</f>
        <v>IFRIT</v>
      </c>
      <c r="B1458" t="str">
        <f>Skills!B24</f>
        <v>Ifrit</v>
      </c>
      <c r="C1458" t="b">
        <f>Inputs!$B$3&gt;=115</f>
        <v>1</v>
      </c>
      <c r="D1458">
        <f>IF(Skills!C24=1,60+Inputs!$B$25+Inputs!$B$29,IF(Skills!C24=2,90+Inputs!$B$26+Inputs!$B$29,IF(Skills!C24=3,120+Inputs!$B$27+Inputs!$B$29,MAX(0,(Inputs!$B$3-100)*3)+Inputs!$B$28+Inputs!$B$29)))</f>
        <v>185</v>
      </c>
      <c r="E1458">
        <f>INDEX(FactorTable!$B$2:$Y$301, MATCH(ROUND(MIN(300,MAX(1,D1458)),0), FactorTable!$A$2:$A$301,0), Skills!M24+1)</f>
        <v>1925</v>
      </c>
      <c r="F1458">
        <f>IF(Skills!N24=TRUE,(Skills!L24/10)*(E1458/1000),Skills!L24/10)+Skills!O24</f>
        <v>6737.5</v>
      </c>
      <c r="G1458">
        <f>Calc!G24</f>
        <v>7.5</v>
      </c>
      <c r="H1458">
        <f>Calc!H24</f>
        <v>1</v>
      </c>
      <c r="I1458">
        <f>IF(Skills!X24&lt;&gt;"",1+(Skills!X24/10)*(Z1437/1000)/100,1)</f>
        <v>1</v>
      </c>
      <c r="J1458">
        <f>((Inputs!$B$6*(1+Inputs!$B$7/100))+(((Inputs!$B$12*(1+Inputs!$B$13/100))-(Inputs!$B$12*(1+Inputs!$B$13/100)))+0.25*(Inputs!$B$14-Inputs!$B$14))*(1+Inputs!$B$7/100))*(F1458/100)</f>
        <v>24331438378.718628</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122258974288595.61</v>
      </c>
      <c r="L1458">
        <f>K1458*(MIN(Inputs!$B$22+(F1456-Calc!F22),(Inputs!$B$23+(IF(ArtifactsInput!$M$15,CHOOSE(ArtifactsInput!$N$15+1,25,30,35,40,45,50)/100*(Inputs!$B$11-Inputs!$B$11),0))))/100+(Inputs!$B$23+(IF(ArtifactsInput!$M$15,CHOOSE(ArtifactsInput!$N$15+1,25,30,35,40,45,50)/100*(Inputs!$B$11-Inputs!$B$11),0)))/100)/2</f>
        <v>406511089509580.44</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458">
        <f>L1458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458">
        <f>(1-Summary!$B$11)*S1458+Summary!$B$11*U1458</f>
        <v>2194085169658842.8</v>
      </c>
      <c r="P1458">
        <f>IF(B1475=0,0,O1458/B1475)</f>
        <v>6.6312914553869617E-2</v>
      </c>
      <c r="Q1458">
        <f>IFERROR(1/(IF(Inputs!$B$38="pvp",15,MAX(0.1,Skills!E24-IF(TRUE=TRUE,Inputs!$B$32,0)))*(1-IF(AND(ArtifactsInput!$M$27,Inputs!$B$4="Chapter Hunt"),CHOOSE(ArtifactsInput!$N$27+1,20,24,28,32,36,40),0)/100)),0)</f>
        <v>1.2500000000000001E-2</v>
      </c>
      <c r="R1458">
        <f>IF(AND(Inputs!$B$38&lt;&gt;"pvp",Inputs!$B$43&gt;0),IF(MAX(0,Inputs!$B$43-B1472)&lt;=0,0,(INT(MAX(0,Inputs!$B$43-B1472)/(IF(Inputs!$B$38="pvp",15,MAX(0.1,Skills!E24-IF(TRUE=TRUE,Inputs!$B$32,0)))*(1-IF(AND(ArtifactsInput!$M$27,Inputs!$B$4="Chapter Hunt"),CHOOSE(ArtifactsInput!$N$27+1,20,24,28,32,36,40),0)/100)))+1)),0)</f>
        <v>1</v>
      </c>
      <c r="S1458">
        <f>IF(C1458,(H1458*N1458*IF(AND(Inputs!$B$38&lt;&gt;"pvp",Inputs!$B$43&gt;0),((Skills!G24*((R1458-1)*IF(Skills!H24&gt;0,Skills!I24/Skills!H24,1)+IF(Skills!H24&gt;0,MIN(Skills!I24,MAX(0,MAX(0,Inputs!$B$43-B1472)-((R1458-1)*(IF(Inputs!$B$38="pvp",15,MAX(0.1,Skills!E24-IF(TRUE=TRUE,Inputs!$B$32,0)))*(1-IF(AND(ArtifactsInput!$M$27,Inputs!$B$4="Chapter Hunt"),CHOOSE(ArtifactsInput!$N$27+1,20,24,28,32,36,40),0)/100)))))/Skills!H24,1)))/Inputs!$B$43),G1458*Q1458)*(1+IF(Inputs!$B$3&gt;=130,0.2*(Skills!I16/(1/Q1449)+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458">
        <f>IF(C1458,(H1458*N1458*IF(AND(Inputs!$B$38&lt;&gt;"pvp",Inputs!$B$43&gt;0),((Skills!G24*((R1458-1)*IF(Skills!H24&gt;0,Skills!I24/Skills!H24,1)+IF(Skills!H24&gt;0,MIN(Skills!I24,MAX(0,MAX(0,Inputs!$B$43-B1472)-((R1458-1)*(IF(Inputs!$B$38="pvp",15,MAX(0.1,Skills!E24-IF(TRUE=TRUE,Inputs!$B$32,0)))*(1-IF(AND(ArtifactsInput!$M$27,Inputs!$B$4="Chapter Hunt"),CHOOSE(ArtifactsInput!$N$27+1,20,24,28,32,36,40),0)/100)))))/Skills!H24,1)))/Inputs!$B$43),G1458*Q1458)*(1+IF(Inputs!$B$3&gt;=130,0.2*(Skills!I16/(1/Q1449)+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459" spans="1:21" x14ac:dyDescent="0.2">
      <c r="A1459" t="str">
        <f>Skills!A25</f>
        <v>BUFF_MASTERY</v>
      </c>
      <c r="B1459" t="str">
        <f>Skills!B25</f>
        <v>Buff Mastery</v>
      </c>
      <c r="C1459" t="b">
        <f>Inputs!$B$3&gt;=117</f>
        <v>1</v>
      </c>
      <c r="D1459">
        <f>IF(Skills!C25=1,60+Inputs!$B$25+Inputs!$B$29,IF(Skills!C25=2,90+Inputs!$B$26+Inputs!$B$29,IF(Skills!C25=3,120+Inputs!$B$27+Inputs!$B$29,MAX(0,(Inputs!$B$3-100)*3)+Inputs!$B$28+Inputs!$B$29)))</f>
        <v>185</v>
      </c>
      <c r="E1459">
        <f>INDEX(FactorTable!$B$2:$Y$301, MATCH(ROUND(MIN(300,MAX(1,D1459)),0), FactorTable!$A$2:$A$301,0), Skills!M25+1)</f>
        <v>1555</v>
      </c>
      <c r="F1459">
        <f>IF(Skills!N25=TRUE,(Skills!L25/10)*(E1459/1000),Skills!L25/10)+Skills!O25</f>
        <v>15.549999999999999</v>
      </c>
      <c r="G1459">
        <f>Calc!G25</f>
        <v>1</v>
      </c>
      <c r="H1459">
        <f>Calc!H25</f>
        <v>1</v>
      </c>
      <c r="I1459">
        <f>IF(Skills!X25&lt;&gt;"",1+(Skills!X25/10)*(Z1437/1000)/100,1)</f>
        <v>1</v>
      </c>
      <c r="O1459">
        <f>(1-Summary!$B$11)*S1459+Summary!$B$11*U1459</f>
        <v>0</v>
      </c>
      <c r="P1459">
        <f>IF(B1475=0,0,O1459/B1475)</f>
        <v>0</v>
      </c>
      <c r="Q1459">
        <f>IFERROR(1/(IF(Inputs!$B$38="pvp",15,MAX(0.1,Skills!E25-IF(TRUE=TRUE,Inputs!$B$32,0)))*(1-IF(AND(ArtifactsInput!$M$27,Inputs!$B$4="Chapter Hunt"),CHOOSE(ArtifactsInput!$N$27+1,20,24,28,32,36,40),0)/100)),0)</f>
        <v>10</v>
      </c>
      <c r="R1459">
        <v>0</v>
      </c>
      <c r="S1459">
        <v>0</v>
      </c>
      <c r="U1459">
        <v>0</v>
      </c>
    </row>
    <row r="1460" spans="1:21" x14ac:dyDescent="0.2">
      <c r="A1460" t="str">
        <f>Skills!A26</f>
        <v>ARCANE_AIM</v>
      </c>
      <c r="B1460" t="str">
        <f>Skills!B26</f>
        <v>Arcane Aim</v>
      </c>
      <c r="C1460" t="b">
        <f>Inputs!$B$3&gt;=120</f>
        <v>0</v>
      </c>
      <c r="D1460">
        <f>IF(Skills!C26=1,60+Inputs!$B$25+Inputs!$B$29,IF(Skills!C26=2,90+Inputs!$B$26+Inputs!$B$29,IF(Skills!C26=3,120+Inputs!$B$27+Inputs!$B$29,MAX(0,(Inputs!$B$3-100)*3)+Inputs!$B$28+Inputs!$B$29)))</f>
        <v>185</v>
      </c>
      <c r="E1460">
        <f>INDEX(FactorTable!$B$2:$Y$301, MATCH(ROUND(MIN(300,MAX(1,D1460)),0), FactorTable!$A$2:$A$301,0), Skills!M26+1)</f>
        <v>1555</v>
      </c>
      <c r="F1460">
        <f>IF(Skills!N26=TRUE,(Skills!L26/10)*(E1460/1000),Skills!L26/10)+Skills!O26</f>
        <v>4.665</v>
      </c>
      <c r="G1460">
        <f>Calc!G26</f>
        <v>1</v>
      </c>
      <c r="H1460">
        <f>Calc!H26</f>
        <v>1</v>
      </c>
      <c r="I1460">
        <f>IF(Skills!X26&lt;&gt;"",1+(Skills!X26/10)*(Z1437/1000)/100,1)</f>
        <v>1</v>
      </c>
      <c r="O1460">
        <f>(1-Summary!$B$11)*S1460+Summary!$B$11*U1460</f>
        <v>0</v>
      </c>
      <c r="P1460">
        <f>IF(B1475=0,0,O1460/B1475)</f>
        <v>0</v>
      </c>
      <c r="Q1460">
        <f>IFERROR(1/(IF(Inputs!$B$38="pvp",15,MAX(0.1,Skills!E26-IF(TRUE=TRUE,Inputs!$B$32,0)))*(1-IF(AND(ArtifactsInput!$M$27,Inputs!$B$4="Chapter Hunt"),CHOOSE(ArtifactsInput!$N$27+1,20,24,28,32,36,40),0)/100)),0)</f>
        <v>10</v>
      </c>
      <c r="R1460">
        <v>0</v>
      </c>
      <c r="S1460">
        <v>0</v>
      </c>
      <c r="U1460">
        <v>0</v>
      </c>
    </row>
    <row r="1461" spans="1:21" x14ac:dyDescent="0.2">
      <c r="A1461" t="str">
        <f>Skills!A27</f>
        <v>FERVENT_DRAIN</v>
      </c>
      <c r="B1461" t="str">
        <f>Skills!B27</f>
        <v>Fervent Drain</v>
      </c>
      <c r="C1461" t="b">
        <f>Inputs!$B$3&gt;=125</f>
        <v>0</v>
      </c>
      <c r="D1461">
        <f>IF(Skills!C27=1,60+Inputs!$B$25+Inputs!$B$29,IF(Skills!C27=2,90+Inputs!$B$26+Inputs!$B$29,IF(Skills!C27=3,120+Inputs!$B$27+Inputs!$B$29,MAX(0,(Inputs!$B$3-100)*3)+Inputs!$B$28+Inputs!$B$29)))</f>
        <v>185</v>
      </c>
      <c r="E1461">
        <f>INDEX(FactorTable!$B$2:$Y$301, MATCH(ROUND(MIN(300,MAX(1,D1461)),0), FactorTable!$A$2:$A$301,0), Skills!M27+1)</f>
        <v>1555</v>
      </c>
      <c r="F1461">
        <f>IF(Skills!N27=TRUE,(Skills!L27/10)*(E1461/1000),Skills!L27/10)+Skills!O27</f>
        <v>6.22</v>
      </c>
      <c r="G1461">
        <f>Calc!G27</f>
        <v>1</v>
      </c>
      <c r="H1461">
        <f>Calc!H27</f>
        <v>1</v>
      </c>
      <c r="I1461">
        <f>IF(Skills!X27&lt;&gt;"",1+(Skills!X27/10)*(Z1437/1000)/100,1)</f>
        <v>1</v>
      </c>
      <c r="O1461">
        <f>(1-Summary!$B$11)*S1461+Summary!$B$11*U1461</f>
        <v>0</v>
      </c>
      <c r="P1461">
        <f>IF(B1475=0,0,O1461/B1475)</f>
        <v>0</v>
      </c>
      <c r="Q1461">
        <f>IFERROR(1/(IF(Inputs!$B$38="pvp",15,MAX(0.1,Skills!E27-IF(TRUE=TRUE,Inputs!$B$32,0)))*(1-IF(AND(ArtifactsInput!$M$27,Inputs!$B$4="Chapter Hunt"),CHOOSE(ArtifactsInput!$N$27+1,20,24,28,32,36,40),0)/100)),0)</f>
        <v>10</v>
      </c>
      <c r="R1461">
        <v>0</v>
      </c>
      <c r="S1461">
        <v>0</v>
      </c>
      <c r="U1461">
        <v>0</v>
      </c>
    </row>
    <row r="1462" spans="1:21" x14ac:dyDescent="0.2">
      <c r="A1462" t="str">
        <f>Skills!A28</f>
        <v>FLAME_HAZE_FOG</v>
      </c>
      <c r="B1462" t="str">
        <f>Skills!B28</f>
        <v>Flame Haze (poison fog DoT)</v>
      </c>
      <c r="C1462" t="b">
        <f>Inputs!$B$3&gt;=118</f>
        <v>0</v>
      </c>
      <c r="D1462">
        <f>IF(Skills!C28=1,60+Inputs!$B$25+Inputs!$B$29,IF(Skills!C28=2,90+Inputs!$B$26+Inputs!$B$29,IF(Skills!C28=3,120+Inputs!$B$27+Inputs!$B$29,MAX(0,(Inputs!$B$3-100)*3)+Inputs!$B$28+Inputs!$B$29)))</f>
        <v>185</v>
      </c>
      <c r="E1462">
        <f>INDEX(FactorTable!$B$2:$Y$301, MATCH(ROUND(MIN(300,MAX(1,D1462)),0), FactorTable!$A$2:$A$301,0), Skills!M28+1)</f>
        <v>1925</v>
      </c>
      <c r="F1462">
        <f>IF(Skills!N28=TRUE,(Skills!L28/10)*(E1462/1000),Skills!L28/10)+Skills!O28</f>
        <v>134.75</v>
      </c>
      <c r="G1462">
        <f>Calc!G28</f>
        <v>50</v>
      </c>
      <c r="H1462">
        <f>Calc!H28</f>
        <v>1</v>
      </c>
      <c r="I1462">
        <f>IF(Skills!X28&lt;&gt;"",1+(Skills!X28/10)*(Z1437/1000)/100,1)</f>
        <v>1</v>
      </c>
      <c r="J1462">
        <f>((Inputs!$B$6*(1+Inputs!$B$7/100))+(((Inputs!$B$12*(1+Inputs!$B$13/100))-(Inputs!$B$12*(1+Inputs!$B$13/100)))+0.25*(Inputs!$B$14-Inputs!$B$14))*(1+Inputs!$B$7/100))*(F1462/100)</f>
        <v>486628767.57437253</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2445179485771.9116</v>
      </c>
      <c r="L1462">
        <f>K1462*(MIN(Inputs!$B$22+(F1456-Calc!F22),(Inputs!$B$23+(IF(ArtifactsInput!$M$15,CHOOSE(ArtifactsInput!$N$15+1,25,30,35,40,45,50)/100*(Inputs!$B$11-Inputs!$B$11),0))))/100+(Inputs!$B$23+(IF(ArtifactsInput!$M$15,CHOOSE(ArtifactsInput!$N$15+1,25,30,35,40,45,50)/100*(Inputs!$B$11-Inputs!$B$11),0)))/100)/2</f>
        <v>8130221790191.6064</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462">
        <f>L1462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462">
        <f>(1-Summary!$B$11)*S1462+Summary!$B$11*U1462</f>
        <v>0</v>
      </c>
      <c r="P1462">
        <f>IF(B1475=0,0,O1462/B1475)</f>
        <v>0</v>
      </c>
      <c r="Q1462">
        <f>IFERROR(1/(IF(Inputs!$B$38="pvp",15,MAX(0.1,Skills!E28-IF(TRUE=TRUE,Inputs!$B$32,0)))*(1-IF(AND(ArtifactsInput!$M$27,Inputs!$B$4="Chapter Hunt"),CHOOSE(ArtifactsInput!$N$27+1,20,24,28,32,36,40),0)/100)),0)</f>
        <v>0.04</v>
      </c>
      <c r="R1462">
        <f>IF(AND(Inputs!$B$38&lt;&gt;"pvp",Inputs!$B$43&gt;0),IF(MAX(0,Inputs!$B$43-B1472)&lt;=0,0,(INT(MAX(0,Inputs!$B$43-B1472)/(IF(Inputs!$B$38="pvp",15,MAX(0.1,Skills!E28-IF(TRUE=TRUE,Inputs!$B$32,0)))*(1-IF(AND(ArtifactsInput!$M$27,Inputs!$B$4="Chapter Hunt"),CHOOSE(ArtifactsInput!$N$27+1,20,24,28,32,36,40),0)/100)))+1)),0)</f>
        <v>2</v>
      </c>
      <c r="S1462">
        <f>IF(C1462,(H1462*N1462*IF(AND(Inputs!$B$38&lt;&gt;"pvp",Inputs!$B$43&gt;0),((Skills!G28*((R1462-1)*IF(Skills!H28&gt;0,Skills!I28/Skills!H28,1)+IF(Skills!H28&gt;0,MIN(Skills!I28,MAX(0,MAX(0,Inputs!$B$43-B1472)-((R1462-1)*(IF(Inputs!$B$38="pvp",15,MAX(0.1,Skills!E28-IF(TRUE=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62">
        <f>IF(C1462,(H1462*N1462*IF(AND(Inputs!$B$38&lt;&gt;"pvp",Inputs!$B$43&gt;0),((Skills!G28*((R1462-1)*IF(Skills!H28&gt;0,Skills!I28/Skills!H28,1)+IF(Skills!H28&gt;0,MIN(Skills!I28,MAX(0,MAX(0,Inputs!$B$43-B1472)-((R1462-1)*(IF(Inputs!$B$38="pvp",15,MAX(0.1,Skills!E28-IF(TRUE=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64" spans="1:21" x14ac:dyDescent="0.2">
      <c r="A1464" t="s">
        <v>356</v>
      </c>
      <c r="B1464">
        <f>1+(F1445*Skills!Z11)/100</f>
        <v>1.25</v>
      </c>
    </row>
    <row r="1465" spans="1:21" x14ac:dyDescent="0.2">
      <c r="A1465" t="s">
        <v>435</v>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1.18624</v>
      </c>
    </row>
    <row r="1466" spans="1:21" x14ac:dyDescent="0.2">
      <c r="A1466" t="s">
        <v>358</v>
      </c>
      <c r="B1466">
        <f>(1+(F1440*IF(AND(Inputs!$B$38&lt;&gt;"pvp",Inputs!$B$43&gt;0),(((R1440-1)*MIN((Skills!T6*(1+((Inputs!$B$34+(ArtifactsInput!$M$7-ArtifactsInput!$M$7)*CHOOSE(ArtifactsInput!$N$7+1,6,7.2,8.4,9.6,10.8,12)))/100)),(1/Q1440))+MIN((Skills!T6*(1+((Inputs!$B$34+(ArtifactsInput!$M$7-ArtifactsInput!$M$7)*CHOOSE(ArtifactsInput!$N$7+1,6,7.2,8.4,9.6,10.8,12)))/100)),MAX(0,Inputs!$B$43-((R1440-1)*(1/Q1440)))))/Inputs!$B$43),IF(Inputs!$B$38="pvp",MIN((Skills!T6*(1+((Inputs!$B$34+(ArtifactsInput!$M$7-ArtifactsInput!$M$7)*CHOOSE(ArtifactsInput!$N$7+1,6,7.2,8.4,9.6,10.8,12)))/100)),15)/15,MIN(1,(Skills!T6*(1+((Inputs!$B$34+(ArtifactsInput!$M$7-ArtifactsInput!$M$7)*CHOOSE(ArtifactsInput!$N$7+1,6,7.2,8.4,9.6,10.8,12)))/100))/(1/Q1440))))+F1451*IF(AND(Inputs!$B$38&lt;&gt;"pvp",Inputs!$B$43&gt;0),(((R1451-1)*MIN((Skills!T17*(1+((Inputs!$B$34+(ArtifactsInput!$M$7-ArtifactsInput!$M$7)*CHOOSE(ArtifactsInput!$N$7+1,6,7.2,8.4,9.6,10.8,12)))/100)),(1/Q1451))+MIN((Skills!T17*(1+((Inputs!$B$34+(ArtifactsInput!$M$7-ArtifactsInput!$M$7)*CHOOSE(ArtifactsInput!$N$7+1,6,7.2,8.4,9.6,10.8,12)))/100)),MAX(0,Inputs!$B$43-((R1451-1)*(1/Q1451)))))/Inputs!$B$43),IF(Inputs!$B$38="pvp",MIN((Skills!T17*(1+((Inputs!$B$34+(ArtifactsInput!$M$7-ArtifactsInput!$M$7)*CHOOSE(ArtifactsInput!$N$7+1,6,7.2,8.4,9.6,10.8,12)))/100)),15)/15,MIN(1,(Skills!T17*(1+((Inputs!$B$34+(ArtifactsInput!$M$7-ArtifactsInput!$M$7)*CHOOSE(ArtifactsInput!$N$7+1,6,7.2,8.4,9.6,10.8,12)))/100))/(1/Q1451)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MIN((Skills!T19*(1+((Inputs!$B$34+(ArtifactsInput!$M$7-ArtifactsInput!$M$7)*CHOOSE(ArtifactsInput!$N$7+1,6,7.2,8.4,9.6,10.8,12)))/100)),(1/Q1453))+MIN((Skills!T19*(1+((Inputs!$B$34+(ArtifactsInput!$M$7-ArtifactsInput!$M$7)*CHOOSE(ArtifactsInput!$N$7+1,6,7.2,8.4,9.6,10.8,12)))/100)),MAX(0,Inputs!$B$43-((R1453-1)*(1/Q1453)))))/Inputs!$B$43),IF(Inputs!$B$38="pvp",MIN((Skills!T19*(1+((Inputs!$B$34+(ArtifactsInput!$M$7-ArtifactsInput!$M$7)*CHOOSE(ArtifactsInput!$N$7+1,6,7.2,8.4,9.6,10.8,12)))/100)),15)/15,MIN(1,(Skills!T19*(1+((Inputs!$B$34+(ArtifactsInput!$M$7-ArtifactsInput!$M$7)*CHOOSE(ArtifactsInput!$N$7+1,6,7.2,8.4,9.6,10.8,12)))/100))/(1/Q1453))))/100),1)</f>
        <v>1.7965808377980694</v>
      </c>
    </row>
    <row r="1467" spans="1:21" x14ac:dyDescent="0.2">
      <c r="A1467" t="s">
        <v>359</v>
      </c>
      <c r="B1467">
        <f>F1452*IF(AND(Inputs!$B$38&lt;&gt;"pvp",Inputs!$B$43&gt;0),(((R1452-1)*MIN((Skills!T18*(1+((Inputs!$B$34+(ArtifactsInput!$M$7-ArtifactsInput!$M$7)*CHOOSE(ArtifactsInput!$N$7+1,6,7.2,8.4,9.6,10.8,12)))/100)),(1/Q1452))+MIN((Skills!T18*(1+((Inputs!$B$34+(ArtifactsInput!$M$7-ArtifactsInput!$M$7)*CHOOSE(ArtifactsInput!$N$7+1,6,7.2,8.4,9.6,10.8,12)))/100)),MAX(0,Inputs!$B$43-((R1452-1)*(1/Q1452)))))/Inputs!$B$43),IF(Inputs!$B$38="pvp",MIN((Skills!T18*(1+((Inputs!$B$34+(ArtifactsInput!$M$7-ArtifactsInput!$M$7)*CHOOSE(ArtifactsInput!$N$7+1,6,7.2,8.4,9.6,10.8,12)))/100)),15)/15,MIN(1,(Skills!T18*(1+((Inputs!$B$34+(ArtifactsInput!$M$7-ArtifactsInput!$M$7)*CHOOSE(ArtifactsInput!$N$7+1,6,7.2,8.4,9.6,10.8,12)))/100))/(1/Q1452))))</f>
        <v>6.4968749999999993</v>
      </c>
    </row>
    <row r="1468" spans="1:21" x14ac:dyDescent="0.2">
      <c r="A1468" t="s">
        <v>436</v>
      </c>
      <c r="B1468">
        <f>1+MIN(150,150*(1-(1-(Inputs!$B$11+(ArtifactsInput!$M$15-ArtifactsInput!$M$15)*CHOOSE(ArtifactsInput!$N$15+1,8,9.6,11.2,12.8,14.4,16))/150)*(1-B1467/150)))/100</f>
        <v>1.6982958749999999</v>
      </c>
    </row>
    <row r="1469" spans="1:21" x14ac:dyDescent="0.2">
      <c r="A1469" t="s">
        <v>437</v>
      </c>
      <c r="B1469">
        <f>IF(AND(Inputs!$B$38&lt;&gt;"pvp",Inputs!$B$43&gt;0),SUMPRODUCT((Skills!F2:F28=TRUE)*(C1436:C1462=TRUE)*R1436:R1462)/Inputs!$B$43,SUMPRODUCT((Skills!F2:F28=TRUE)*(C1436:C1462=TRUE)*Q1436:Q1462))</f>
        <v>0.47499999999999998</v>
      </c>
    </row>
    <row r="1470" spans="1:21" x14ac:dyDescent="0.2">
      <c r="A1470" t="s">
        <v>362</v>
      </c>
      <c r="B1470">
        <f>MAX(0,B1468-B1469)</f>
        <v>1.2232958749999998</v>
      </c>
    </row>
    <row r="1471" spans="1:21" x14ac:dyDescent="0.2">
      <c r="A1471" t="s">
        <v>438</v>
      </c>
      <c r="B1471">
        <f>IF(AND(Inputs!$B$38&lt;&gt;"pvp",Inputs!$B$43&gt;0),SUMPRODUCT((Skills!V2:V28=TRUE)*(C1436:C1462=TRUE)*R1436:R1462*Skills!W2:W28)/Inputs!$B$43,SUMPRODUCT((Skills!V2:V28=TRUE)*(C1436:C1462=TRUE)*Q1436:Q1462*Skills!W2:W28))+B1470</f>
        <v>1.5482958749999998</v>
      </c>
    </row>
    <row r="1472" spans="1:21" x14ac:dyDescent="0.2">
      <c r="A1472" t="s">
        <v>439</v>
      </c>
      <c r="B1472">
        <f>IF(AND(Inputs!$B$38&lt;&gt;"pvp",Inputs!$B$43&gt;0),SUMPRODUCT((Skills!T2:T28&gt;0)*(Skills!F2:F28=TRUE)*(C1436:C1462=TRUE))/B1468,0)</f>
        <v>2.3553021937358238</v>
      </c>
    </row>
    <row r="1473" spans="1:26" x14ac:dyDescent="0.2">
      <c r="A1473" t="s">
        <v>440</v>
      </c>
      <c r="B1473">
        <f>SUM(S1436:S1462)</f>
        <v>9517263078933292</v>
      </c>
    </row>
    <row r="1474" spans="1:26" x14ac:dyDescent="0.2">
      <c r="A1474" t="s">
        <v>441</v>
      </c>
      <c r="B1474">
        <f>SUM(U1436:U1462)</f>
        <v>5.6656428257660488E+16</v>
      </c>
    </row>
    <row r="1475" spans="1:26" x14ac:dyDescent="0.2">
      <c r="A1475" s="6" t="s">
        <v>348</v>
      </c>
      <c r="B1475" s="6">
        <f>SUM(O1436:O1462)</f>
        <v>3.3086845668296892E+16</v>
      </c>
    </row>
    <row r="1478" spans="1:26" x14ac:dyDescent="0.2">
      <c r="A1478" s="6" t="s">
        <v>473</v>
      </c>
    </row>
    <row r="1479" spans="1:26" x14ac:dyDescent="0.2">
      <c r="A1479" s="5" t="s">
        <v>136</v>
      </c>
      <c r="B1479" s="5" t="s">
        <v>137</v>
      </c>
      <c r="C1479" s="5" t="s">
        <v>328</v>
      </c>
      <c r="D1479" s="5" t="s">
        <v>329</v>
      </c>
      <c r="E1479" s="5" t="s">
        <v>330</v>
      </c>
      <c r="F1479" s="5" t="s">
        <v>331</v>
      </c>
      <c r="G1479" s="5" t="s">
        <v>332</v>
      </c>
      <c r="H1479" s="5" t="s">
        <v>333</v>
      </c>
      <c r="I1479" s="5" t="s">
        <v>334</v>
      </c>
      <c r="J1479" s="5" t="s">
        <v>335</v>
      </c>
      <c r="K1479" s="5" t="s">
        <v>336</v>
      </c>
      <c r="L1479" s="5" t="s">
        <v>337</v>
      </c>
      <c r="M1479" s="5" t="s">
        <v>338</v>
      </c>
      <c r="N1479" s="5" t="s">
        <v>339</v>
      </c>
      <c r="O1479" s="5" t="s">
        <v>340</v>
      </c>
      <c r="P1479" s="5" t="s">
        <v>341</v>
      </c>
      <c r="R1479" t="s">
        <v>434</v>
      </c>
    </row>
    <row r="1480" spans="1:26" x14ac:dyDescent="0.2">
      <c r="A1480" t="str">
        <f>Skills!A2</f>
        <v>BASIC_ATTACK</v>
      </c>
      <c r="B1480" t="str">
        <f>Skills!B2</f>
        <v>Basic Attack</v>
      </c>
      <c r="C1480" t="b">
        <f>TRUE</f>
        <v>1</v>
      </c>
      <c r="F1480">
        <f>T1482+Skills!O2</f>
        <v>537.6</v>
      </c>
      <c r="G1480">
        <f>Calc!G2</f>
        <v>5</v>
      </c>
      <c r="H1480">
        <f>Calc!H2</f>
        <v>1</v>
      </c>
      <c r="I1480">
        <f>IF(Skills!X2&lt;&gt;"",1+(Skills!X2/10)*(Z1481/1000)/100,1)</f>
        <v>1</v>
      </c>
      <c r="J1480">
        <f>((Inputs!$B$6*(1+Inputs!$B$7/100))+(((Inputs!$B$12*(1+Inputs!$B$13/100))-(Inputs!$B$12*(1+Inputs!$B$13/100)))+0.25*(Inputs!$B$14-Inputs!$B$14))*(1+Inputs!$B$7/100))*(F1480/100)</f>
        <v>1941459186.9980164</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6620290711466.1074</v>
      </c>
      <c r="L1480">
        <f>K1480*(MIN(Inputs!$B$22+(F1500-Calc!F22),(Inputs!$B$23+(IF(ArtifactsInput!$M$15,CHOOSE(ArtifactsInput!$N$15+1,25,30,35,40,45,50)/100*(Inputs!$B$11-Inputs!$B$11),0))))/100+(Inputs!$B$23+(IF(ArtifactsInput!$M$15,CHOOSE(ArtifactsInput!$N$15+1,25,30,35,40,45,50)/100*(Inputs!$B$11-Inputs!$B$11),0)))/100)/2</f>
        <v>22012466615624.809</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480">
        <f>L1480*(1-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480">
        <f>(1-Summary!$B$11)*S1480+Summary!$B$11*U1480</f>
        <v>1.251342481087288E+16</v>
      </c>
      <c r="P1480">
        <f>IF(B1519=0,0,O1480/B1519)</f>
        <v>0.378199388854495</v>
      </c>
      <c r="Q1480">
        <f>IFERROR(1/(IF(Inputs!$B$38="pvp",15,MAX(0.1,Skills!E2-IF(TRUE=TRUE,Inputs!$B$32,0)))*(1-IF(AND(ArtifactsInput!$M$27,Inputs!$B$4="Chapter Hunt"),CHOOSE(ArtifactsInput!$N$27+1,20,24,28,32,36,40),0)/100)),0)</f>
        <v>10</v>
      </c>
      <c r="R1480">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480">
        <f>MAX(0,(Inputs!$B$3-100)*3)+Inputs!$B$28+Inputs!$B$29</f>
        <v>185</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480">
        <f>MAX(0,(Inputs!$B$3-100)*3)+Inputs!$B$28+Inputs!$B$29</f>
        <v>185</v>
      </c>
    </row>
    <row r="1481" spans="1:26" x14ac:dyDescent="0.2">
      <c r="A1481" t="str">
        <f>Skills!A3</f>
        <v>IGNITE</v>
      </c>
      <c r="B1481" t="str">
        <f>Skills!B3</f>
        <v>Ignite</v>
      </c>
      <c r="C1481" t="b">
        <f>TRUE</f>
        <v>1</v>
      </c>
      <c r="D1481">
        <f>IF(Skills!C3=1,60+Inputs!$B$25+Inputs!$B$29,IF(Skills!C3=2,90+Inputs!$B$26+Inputs!$B$29,IF(Skills!C3=3,120+Inputs!$B$27+Inputs!$B$29,MAX(0,(Inputs!$B$3-100)*3)+Inputs!$B$28+Inputs!$B$29)))</f>
        <v>168</v>
      </c>
      <c r="E1481">
        <f>INDEX(FactorTable!$B$2:$Y$301, MATCH(ROUND(MIN(300,MAX(1,D1481)),0), FactorTable!$A$2:$A$301,0), Skills!M3+1)</f>
        <v>1672</v>
      </c>
      <c r="F1481">
        <f>IF(Skills!N3=TRUE,(Skills!L3/10)*(E1481/1000),Skills!L3/10)+Skills!O3</f>
        <v>121.736</v>
      </c>
      <c r="G1481">
        <f>Calc!G3</f>
        <v>3</v>
      </c>
      <c r="H1481">
        <f>Calc!H3</f>
        <v>1</v>
      </c>
      <c r="I1481">
        <f>IF(Skills!X3&lt;&gt;"",1+(Skills!X3/10)*(Z1481/1000)/100,1)</f>
        <v>4.8250000000000002</v>
      </c>
      <c r="J1481">
        <f>((Inputs!$B$6*(1+Inputs!$B$7/100))+(((Inputs!$B$12*(1+Inputs!$B$13/100))-(Inputs!$B$12*(1+Inputs!$B$13/100)))+0.25*(Inputs!$B$14-Inputs!$B$14))*(1+Inputs!$B$7/100))*(F1481/100)</f>
        <v>439630720.9605478</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10658554617221.965</v>
      </c>
      <c r="L1481">
        <f>K1481*(MIN(Inputs!$B$22+(F1500-Calc!F22),(Inputs!$B$23+(IF(ArtifactsInput!$M$15,CHOOSE(ArtifactsInput!$N$15+1,25,30,35,40,45,50)/100*(Inputs!$B$11-Inputs!$B$11),0))))/100+(Inputs!$B$23+(IF(ArtifactsInput!$M$15,CHOOSE(ArtifactsInput!$N$15+1,25,30,35,40,45,50)/100*(Inputs!$B$11-Inputs!$B$11),0)))/100)/2</f>
        <v>35439694102263.031</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481">
        <f>L1481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481">
        <f>(1-Summary!$B$11)*S1481+Summary!$B$11*U1481</f>
        <v>2907465947806250</v>
      </c>
      <c r="P1481">
        <f>IF(B1519=0,0,O1481/B1519)</f>
        <v>8.7873772463965091E-2</v>
      </c>
      <c r="Q1481">
        <f>IFERROR(1/(IF(Inputs!$B$38="pvp",15,MAX(0.1,Skills!E3-IF(FALSE=TRUE,Inputs!$B$32,0)))*(1-IF(AND(ArtifactsInput!$M$27,Inputs!$B$4="Chapter Hunt"),CHOOSE(ArtifactsInput!$N$27+1,20,24,28,32,36,40),0)/100)),0)</f>
        <v>1</v>
      </c>
      <c r="R1481">
        <f>IF(AND(Inputs!$B$38&lt;&gt;"pvp",Inputs!$B$43&gt;0),IF(MAX(0,Inputs!$B$43-B1516)&lt;=0,0,(INT(MAX(0,Inputs!$B$43-B1516)/(IF(Inputs!$B$38="pvp",15,MAX(0.1,Skills!E3-IF(FALSE=TRUE,Inputs!$B$32,0)))*(1-IF(AND(ArtifactsInput!$M$27,Inputs!$B$4="Chapter Hunt"),CHOOSE(ArtifactsInput!$N$27+1,20,24,28,32,36,40),0)/100)))+1)),0)</f>
        <v>38</v>
      </c>
      <c r="S1481">
        <f>IF(C1481,(H1481*N1481*IF(AND(Inputs!$B$38&lt;&gt;"pvp",Inputs!$B$43&gt;0),((Skills!G3*((R1481-1)*IF(Skills!H3&gt;0,Skills!I3/Skills!H3,1)+IF(Skills!H3&gt;0,MIN(Skills!I3,MAX(0,MAX(0,Inputs!$B$43-B1516)-((R1481-1)*(IF(Inputs!$B$38="pvp",15,MAX(0.1,Skills!E3-IF(FALSE=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481">
        <f>INDEX(FactorTable!$B$2:$Y$301, MATCH(ROUND(MIN(300,MAX(1,T1480)),0), FactorTable!$A$2:$A$301,0), 22)</f>
        <v>1740</v>
      </c>
      <c r="U1481">
        <f>IF(C1481,(H1481*N1481*IF(AND(Inputs!$B$38&lt;&gt;"pvp",Inputs!$B$43&gt;0),((Skills!G3*((R1481-1)*IF(Skills!H3&gt;0,Skills!I3/Skills!H3,1)+IF(Skills!H3&gt;0,MIN(Skills!I3,MAX(0,MAX(0,Inputs!$B$43-B1516)-((R1481-1)*(IF(Inputs!$B$38="pvp",15,MAX(0.1,Skills!E3-IF(FALSE=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481">
        <f>INDEX(FactorTable!$B$2:$Y$301, MATCH(ROUND(MIN(300,MAX(1,Z1480)),0), FactorTable!$A$2:$A$301,0), 24)</f>
        <v>7650</v>
      </c>
    </row>
    <row r="1482" spans="1:26" x14ac:dyDescent="0.2">
      <c r="A1482" t="str">
        <f>Skills!A4</f>
        <v>POISON_BREATH</v>
      </c>
      <c r="B1482" t="str">
        <f>Skills!B4</f>
        <v>Poison Breath</v>
      </c>
      <c r="C1482" t="b">
        <f>TRUE</f>
        <v>1</v>
      </c>
      <c r="D1482">
        <f>IF(Skills!C4=1,60+Inputs!$B$25+Inputs!$B$29,IF(Skills!C4=2,90+Inputs!$B$26+Inputs!$B$29,IF(Skills!C4=3,120+Inputs!$B$27+Inputs!$B$29,MAX(0,(Inputs!$B$3-100)*3)+Inputs!$B$28+Inputs!$B$29)))</f>
        <v>168</v>
      </c>
      <c r="E1482">
        <f>INDEX(FactorTable!$B$2:$Y$301, MATCH(ROUND(MIN(300,MAX(1,D1482)),0), FactorTable!$A$2:$A$301,0), Skills!M4+1)</f>
        <v>1840</v>
      </c>
      <c r="F1482">
        <f>IF(Skills!N4=TRUE,(Skills!L4/10)*(E1482/1000),Skills!L4/10)+Skills!O4</f>
        <v>438</v>
      </c>
      <c r="G1482">
        <f>Calc!G4</f>
        <v>3</v>
      </c>
      <c r="H1482">
        <f>Calc!H4</f>
        <v>1</v>
      </c>
      <c r="I1482">
        <f>IF(Skills!X4&lt;&gt;"",1+(Skills!X4/10)*(Z1481/1000)/100,1)</f>
        <v>7.12</v>
      </c>
      <c r="J1482">
        <f>((Inputs!$B$6*(1+Inputs!$B$7/100))+(((Inputs!$B$12*(1+Inputs!$B$13/100))-(Inputs!$B$12*(1+Inputs!$B$13/100)))+0.25*(Inputs!$B$14-Inputs!$B$14))*(1+Inputs!$B$7/100))*(F1482/100)</f>
        <v>1581769203.69258</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56589528290529.523</v>
      </c>
      <c r="L1482">
        <f>K1482*(MIN(Inputs!$B$22+(F1500-Calc!F22),(Inputs!$B$23+(IF(ArtifactsInput!$M$15,CHOOSE(ArtifactsInput!$N$15+1,25,30,35,40,45,50)/100*(Inputs!$B$11-Inputs!$B$11),0))))/100+(Inputs!$B$23+(IF(ArtifactsInput!$M$15,CHOOSE(ArtifactsInput!$N$15+1,25,30,35,40,45,50)/100*(Inputs!$B$11-Inputs!$B$11),0)))/100)/2</f>
        <v>188160181566010.69</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482">
        <f>L1482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482">
        <f>(1-Summary!$B$11)*S1482+Summary!$B$11*U1482</f>
        <v>2120704790543594.2</v>
      </c>
      <c r="P1482">
        <f>IF(B1519=0,0,O1482/B1519)</f>
        <v>6.4095103286790744E-2</v>
      </c>
      <c r="Q1482">
        <f>IFERROR(1/(IF(Inputs!$B$38="pvp",15,MAX(0.1,Skills!E4-IF(TRUE=TRUE,Inputs!$B$32,0)))*(1-IF(AND(ArtifactsInput!$M$27,Inputs!$B$4="Chapter Hunt"),CHOOSE(ArtifactsInput!$N$27+1,20,24,28,32,36,40),0)/100)),0)</f>
        <v>5.5555555555555552E-2</v>
      </c>
      <c r="R1482">
        <f>IF(AND(Inputs!$B$38&lt;&gt;"pvp",Inputs!$B$43&gt;0),IF(MAX(0,Inputs!$B$43-B1516)&lt;=0,0,(INT(MAX(0,Inputs!$B$43-B1516)/(IF(Inputs!$B$38="pvp",15,MAX(0.1,Skills!E4-IF(TRUE=TRUE,Inputs!$B$32,0)))*(1-IF(AND(ArtifactsInput!$M$27,Inputs!$B$4="Chapter Hunt"),CHOOSE(ArtifactsInput!$N$27+1,20,24,28,32,36,40),0)/100)))+1)),0)</f>
        <v>3</v>
      </c>
      <c r="S1482">
        <f>IF(C1482,(H1482*N1482*IF(AND(Inputs!$B$38&lt;&gt;"pvp",Inputs!$B$43&gt;0),((Skills!G4*((R1482-1)*IF(Skills!H4&gt;0,Skills!I4/Skills!H4,1)+IF(Skills!H4&gt;0,MIN(Skills!I4,MAX(0,MAX(0,Inputs!$B$43-B1516)-((R1482-1)*(IF(Inputs!$B$38="pvp",15,MAX(0.1,Skills!E4-IF(TRUE=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482">
        <f>290*T1481/1000</f>
        <v>504.6</v>
      </c>
      <c r="U1482">
        <f>IF(C1482,(H1482*N1482*IF(AND(Inputs!$B$38&lt;&gt;"pvp",Inputs!$B$43&gt;0),((Skills!G4*((R1482-1)*IF(Skills!H4&gt;0,Skills!I4/Skills!H4,1)+IF(Skills!H4&gt;0,MIN(Skills!I4,MAX(0,MAX(0,Inputs!$B$43-B1516)-((R1482-1)*(IF(Inputs!$B$38="pvp",15,MAX(0.1,Skills!E4-IF(TRUE=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483" spans="1:26" x14ac:dyDescent="0.2">
      <c r="A1483" t="str">
        <f>Skills!A5</f>
        <v>ELEMENTAL_DRAIN</v>
      </c>
      <c r="B1483" t="str">
        <f>Skills!B5</f>
        <v>Elemental Drain</v>
      </c>
      <c r="C1483" t="b">
        <f>TRUE</f>
        <v>1</v>
      </c>
      <c r="D1483">
        <f>IF(Skills!C5=1,60+Inputs!$B$25+Inputs!$B$29,IF(Skills!C5=2,90+Inputs!$B$26+Inputs!$B$29,IF(Skills!C5=3,120+Inputs!$B$27+Inputs!$B$29,MAX(0,(Inputs!$B$3-100)*3)+Inputs!$B$28+Inputs!$B$29)))</f>
        <v>168</v>
      </c>
      <c r="E1483">
        <f>INDEX(FactorTable!$B$2:$Y$301, MATCH(ROUND(MIN(300,MAX(1,D1483)),0), FactorTable!$A$2:$A$301,0), Skills!M5+1)</f>
        <v>1672</v>
      </c>
      <c r="F1483">
        <f>IF(Skills!N5=TRUE,(Skills!L5/10)*(E1483/1000),Skills!L5/10)+Skills!O5</f>
        <v>20.064</v>
      </c>
      <c r="G1483">
        <f>Calc!G5</f>
        <v>5</v>
      </c>
      <c r="H1483">
        <f>Calc!H5</f>
        <v>1</v>
      </c>
      <c r="I1483">
        <f>IF(Skills!X5&lt;&gt;"",1+(Skills!X5/10)*(Z1481/1000)/100,1)</f>
        <v>12.475</v>
      </c>
      <c r="J1483">
        <f>((Inputs!$B$6*(1+Inputs!$B$7/100))+(((Inputs!$B$12*(1+Inputs!$B$13/100))-(Inputs!$B$12*(1+Inputs!$B$13/100)))+0.25*(Inputs!$B$14-Inputs!$B$14))*(1+Inputs!$B$7/100))*(F1483/100)</f>
        <v>72458030.371890247</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4541925884983.542</v>
      </c>
      <c r="L1483">
        <f>K1483*(MIN(Inputs!$B$22+(F1500-Calc!F22),(Inputs!$B$23+(IF(ArtifactsInput!$M$15,CHOOSE(ArtifactsInput!$N$15+1,25,30,35,40,45,50)/100*(Inputs!$B$11-Inputs!$B$11),0))))/100+(Inputs!$B$23+(IF(ArtifactsInput!$M$15,CHOOSE(ArtifactsInput!$N$15+1,25,30,35,40,45,50)/100*(Inputs!$B$11-Inputs!$B$11),0)))/100)/2</f>
        <v>15101903567570.277</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483">
        <f>L1483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483">
        <f>(1-Summary!$B$11)*S1483+Summary!$B$11*U1483</f>
        <v>1046004996783807</v>
      </c>
      <c r="P1483">
        <f>IF(B1519=0,0,O1483/B1519)</f>
        <v>3.1613923166633758E-2</v>
      </c>
      <c r="Q1483">
        <f>IFERROR(1/(IF(Inputs!$B$38="pvp",15,MAX(0.1,Skills!E5-IF(FALSE=TRUE,Inputs!$B$32,0)))*(1-IF(AND(ArtifactsInput!$M$27,Inputs!$B$4="Chapter Hunt"),CHOOSE(ArtifactsInput!$N$27+1,20,24,28,32,36,40),0)/100)),0)</f>
        <v>1</v>
      </c>
      <c r="R1483">
        <f>IF(AND(Inputs!$B$38&lt;&gt;"pvp",Inputs!$B$43&gt;0),IF(MAX(0,Inputs!$B$43-B1516)&lt;=0,0,(INT(MAX(0,Inputs!$B$43-B1516)/(IF(Inputs!$B$38="pvp",15,MAX(0.1,Skills!E5-IF(FALSE=TRUE,Inputs!$B$32,0)))*(1-IF(AND(ArtifactsInput!$M$27,Inputs!$B$4="Chapter Hunt"),CHOOSE(ArtifactsInput!$N$27+1,20,24,28,32,36,40),0)/100)))+1)),0)</f>
        <v>38</v>
      </c>
      <c r="S1483">
        <f>IF(C1483,(H1483*N1483*IF(AND(Inputs!$B$38&lt;&gt;"pvp",Inputs!$B$43&gt;0),((Skills!G5*((R1483-1)*IF(Skills!H5&gt;0,Skills!I5/Skills!H5,1)+IF(Skills!H5&gt;0,MIN(Skills!I5,MAX(0,MAX(0,Inputs!$B$43-B1516)-((R1483-1)*(IF(Inputs!$B$38="pvp",15,MAX(0.1,Skills!E5-IF(FALSE=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483">
        <f>IF(C1483,(H1483*N1483*IF(AND(Inputs!$B$38&lt;&gt;"pvp",Inputs!$B$43&gt;0),((Skills!G5*((R1483-1)*IF(Skills!H5&gt;0,Skills!I5/Skills!H5,1)+IF(Skills!H5&gt;0,MIN(Skills!I5,MAX(0,MAX(0,Inputs!$B$43-B1516)-((R1483-1)*(IF(Inputs!$B$38="pvp",15,MAX(0.1,Skills!E5-IF(FALSE=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484" spans="1:26" x14ac:dyDescent="0.2">
      <c r="A1484" t="str">
        <f>Skills!A6</f>
        <v>MEDITATION</v>
      </c>
      <c r="B1484" t="str">
        <f>Skills!B6</f>
        <v>Meditation</v>
      </c>
      <c r="C1484" t="b">
        <f>TRUE</f>
        <v>1</v>
      </c>
      <c r="D1484">
        <f>IF(Skills!C6=1,60+Inputs!$B$25+Inputs!$B$29,IF(Skills!C6=2,90+Inputs!$B$26+Inputs!$B$29,IF(Skills!C6=3,120+Inputs!$B$27+Inputs!$B$29,MAX(0,(Inputs!$B$3-100)*3)+Inputs!$B$28+Inputs!$B$29)))</f>
        <v>168</v>
      </c>
      <c r="E1484">
        <f>INDEX(FactorTable!$B$2:$Y$301, MATCH(ROUND(MIN(300,MAX(1,D1484)),0), FactorTable!$A$2:$A$301,0), Skills!M6+1)</f>
        <v>1672</v>
      </c>
      <c r="F1484">
        <f>IF(Skills!N6=TRUE,(Skills!L6/10)*(E1484/1000),Skills!L6/10)+Skills!O6</f>
        <v>33.44</v>
      </c>
      <c r="G1484">
        <f>Calc!G6</f>
        <v>1</v>
      </c>
      <c r="H1484">
        <f>Calc!H6</f>
        <v>1</v>
      </c>
      <c r="I1484">
        <f>IF(Skills!X6&lt;&gt;"",1+(Skills!X6/10)*(Z1481/1000)/100,1)</f>
        <v>1</v>
      </c>
      <c r="O1484">
        <f>(1-Summary!$B$11)*S1484+Summary!$B$11*U1484</f>
        <v>0</v>
      </c>
      <c r="P1484">
        <f>IF(B1519=0,0,O1484/B1519)</f>
        <v>0</v>
      </c>
      <c r="Q1484">
        <f>IFERROR(1/(IF(Inputs!$B$38="pvp",15,MAX(0.1,Skills!E6-IF(TRUE=TRUE,Inputs!$B$32,0)))*(1-IF(AND(ArtifactsInput!$M$27,Inputs!$B$4="Chapter Hunt"),CHOOSE(ArtifactsInput!$N$27+1,20,24,28,32,36,40),0)/100)),0)</f>
        <v>3.3333333333333333E-2</v>
      </c>
      <c r="R1484">
        <f>IF(AND(Inputs!$B$38&lt;&gt;"pvp",Inputs!$B$43&gt;0),IF(Inputs!$B$43&lt;=0,0,(INT(Inputs!$B$43/(IF(Inputs!$B$38="pvp",15,MAX(0.1,Skills!E6-IF(TRUE=TRUE,Inputs!$B$32,0)))*(1-IF(AND(ArtifactsInput!$M$27,Inputs!$B$4="Chapter Hunt"),CHOOSE(ArtifactsInput!$N$27+1,20,24,28,32,36,40),0)/100)))+1)),0)</f>
        <v>2</v>
      </c>
      <c r="S1484">
        <v>0</v>
      </c>
      <c r="U1484">
        <v>0</v>
      </c>
    </row>
    <row r="1485" spans="1:26" x14ac:dyDescent="0.2">
      <c r="A1485" t="str">
        <f>Skills!A7</f>
        <v>POISON_MIST_BURST</v>
      </c>
      <c r="B1485" t="str">
        <f>Skills!B7</f>
        <v>Poison Mist (burst)</v>
      </c>
      <c r="C1485" t="b">
        <f>TRUE</f>
        <v>1</v>
      </c>
      <c r="D1485">
        <f>IF(Skills!C7=1,60+Inputs!$B$25+Inputs!$B$29,IF(Skills!C7=2,90+Inputs!$B$26+Inputs!$B$29,IF(Skills!C7=3,120+Inputs!$B$27+Inputs!$B$29,MAX(0,(Inputs!$B$3-100)*3)+Inputs!$B$28+Inputs!$B$29)))</f>
        <v>184</v>
      </c>
      <c r="E1485">
        <f>INDEX(FactorTable!$B$2:$Y$301, MATCH(ROUND(MIN(300,MAX(1,D1485)),0), FactorTable!$A$2:$A$301,0), Skills!M7+1)</f>
        <v>1920</v>
      </c>
      <c r="F1485">
        <f>IF(Skills!N7=TRUE,(Skills!L7/10)*(E1485/1000),Skills!L7/10)+Skills!O7</f>
        <v>357.2</v>
      </c>
      <c r="G1485">
        <f>Calc!G7</f>
        <v>3</v>
      </c>
      <c r="H1485">
        <f>Calc!H7</f>
        <v>1</v>
      </c>
      <c r="I1485">
        <f>IF(Skills!X7&lt;&gt;"",1+(Skills!X7/10)*(Z1481/1000)/100,1)</f>
        <v>1.7650000000000001</v>
      </c>
      <c r="J1485">
        <f>((Inputs!$B$6*(1+Inputs!$B$7/100))+(((Inputs!$B$12*(1+Inputs!$B$13/100))-(Inputs!$B$12*(1+Inputs!$B$13/100)))+0.25*(Inputs!$B$14-Inputs!$B$14))*(1+Inputs!$B$7/100))*(F1485/100)</f>
        <v>1289972510.4086521</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11440318873772.086</v>
      </c>
      <c r="L1485">
        <f>K1485*(MIN(Inputs!$B$22+(F1500-Calc!F22),(Inputs!$B$23+(IF(ArtifactsInput!$M$15,CHOOSE(ArtifactsInput!$N$15+1,25,30,35,40,45,50)/100*(Inputs!$B$11-Inputs!$B$11),0))))/100+(Inputs!$B$23+(IF(ArtifactsInput!$M$15,CHOOSE(ArtifactsInput!$N$15+1,25,30,35,40,45,50)/100*(Inputs!$B$11-Inputs!$B$11),0)))/100)/2</f>
        <v>38039060255292.188</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485">
        <f>L1485*(1-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485">
        <f>(1-Summary!$B$11)*S1485+Summary!$B$11*U1485</f>
        <v>447913158316422</v>
      </c>
      <c r="P1485">
        <f>IF(B1519=0,0,O1485/B1519)</f>
        <v>1.3537499549121505E-2</v>
      </c>
      <c r="Q1485">
        <f>IFERROR(1/(IF(Inputs!$B$38="pvp",15,MAX(0.1,Skills!E7-IF(TRUE=TRUE,Inputs!$B$32,0)))*(1-IF(AND(ArtifactsInput!$M$27,Inputs!$B$4="Chapter Hunt"),CHOOSE(ArtifactsInput!$N$27+1,20,24,28,32,36,40),0)/100)),0)</f>
        <v>4.0816326530612242E-2</v>
      </c>
      <c r="R1485">
        <f>IF(AND(Inputs!$B$38&lt;&gt;"pvp",Inputs!$B$43&gt;0),IF(MAX(0,Inputs!$B$43-B1516)&lt;=0,0,(INT(MAX(0,Inputs!$B$43-B1516)/(IF(Inputs!$B$38="pvp",15,MAX(0.1,Skills!E7-IF(TRUE=TRUE,Inputs!$B$32,0)))*(1-IF(AND(ArtifactsInput!$M$27,Inputs!$B$4="Chapter Hunt"),CHOOSE(ArtifactsInput!$N$27+1,20,24,28,32,36,40),0)/100)))+1)),0)</f>
        <v>2</v>
      </c>
      <c r="S1485">
        <f>IF(C1485,(H1485*N1485*IF(AND(Inputs!$B$38&lt;&gt;"pvp",Inputs!$B$43&gt;0),((Skills!G7*((R1485-1)*IF(Skills!H7&gt;0,Skills!I7/Skills!H7,1)+IF(Skills!H7&gt;0,MIN(Skills!I7,MAX(0,MAX(0,Inputs!$B$43-B1516)-((R1485-1)*(IF(Inputs!$B$38="pvp",15,MAX(0.1,Skills!E7-IF(TRUE=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485">
        <f>IF(C1485,(H1485*N1485*IF(AND(Inputs!$B$38&lt;&gt;"pvp",Inputs!$B$43&gt;0),((Skills!G7*((R1485-1)*IF(Skills!H7&gt;0,Skills!I7/Skills!H7,1)+IF(Skills!H7&gt;0,MIN(Skills!I7,MAX(0,MAX(0,Inputs!$B$43-B1516)-((R1485-1)*(IF(Inputs!$B$38="pvp",15,MAX(0.1,Skills!E7-IF(TRUE=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486" spans="1:26" x14ac:dyDescent="0.2">
      <c r="A1486" t="str">
        <f>Skills!A8</f>
        <v>POISON_MIST_DOT</v>
      </c>
      <c r="B1486" t="str">
        <f>Skills!B8</f>
        <v>Poison Mist (fog DoT)</v>
      </c>
      <c r="C1486" t="b">
        <f>TRUE</f>
        <v>1</v>
      </c>
      <c r="D1486">
        <f>IF(Skills!C8=1,60+Inputs!$B$25+Inputs!$B$29,IF(Skills!C8=2,90+Inputs!$B$26+Inputs!$B$29,IF(Skills!C8=3,120+Inputs!$B$27+Inputs!$B$29,MAX(0,(Inputs!$B$3-100)*3)+Inputs!$B$28+Inputs!$B$29)))</f>
        <v>184</v>
      </c>
      <c r="E1486">
        <f>INDEX(FactorTable!$B$2:$Y$301, MATCH(ROUND(MIN(300,MAX(1,D1486)),0), FactorTable!$A$2:$A$301,0), Skills!M8+1)</f>
        <v>1920</v>
      </c>
      <c r="F1486">
        <f>IF(Skills!N8=TRUE,(Skills!L8/10)*(E1486/1000),Skills!L8/10)+Skills!O8</f>
        <v>134.4</v>
      </c>
      <c r="G1486">
        <f>Calc!G8</f>
        <v>50</v>
      </c>
      <c r="H1486">
        <f>Calc!H8</f>
        <v>1</v>
      </c>
      <c r="I1486">
        <f>IF(Skills!X8&lt;&gt;"",1+(Skills!X8/10)*(Z1481/1000)/100,1)</f>
        <v>1.7650000000000001</v>
      </c>
      <c r="J1486">
        <f>((Inputs!$B$6*(1+Inputs!$B$7/100))+(((Inputs!$B$12*(1+Inputs!$B$13/100))-(Inputs!$B$12*(1+Inputs!$B$13/100)))+0.25*(Inputs!$B$14-Inputs!$B$14))*(1+Inputs!$B$7/100))*(F1486/100)</f>
        <v>485364796.74950409</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4304532073446.1597</v>
      </c>
      <c r="L1486">
        <f>K1486*(MIN(Inputs!$B$22+(F1500-Calc!F22),(Inputs!$B$23+(IF(ArtifactsInput!$M$15,CHOOSE(ArtifactsInput!$N$15+1,25,30,35,40,45,50)/100*(Inputs!$B$11-Inputs!$B$11),0))))/100+(Inputs!$B$23+(IF(ArtifactsInput!$M$15,CHOOSE(ArtifactsInput!$N$15+1,25,30,35,40,45,50)/100*(Inputs!$B$11-Inputs!$B$11),0)))/100)/2</f>
        <v>14312569144208.482</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486">
        <f>L1486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486">
        <f>(1-Summary!$B$11)*S1486+Summary!$B$11*U1486</f>
        <v>2327471980535951</v>
      </c>
      <c r="P1486">
        <f>IF(B1519=0,0,O1486/B1519)</f>
        <v>7.0344329703392813E-2</v>
      </c>
      <c r="Q1486">
        <f>IFERROR(1/(IF(Inputs!$B$38="pvp",15,MAX(0.1,Skills!E8-IF(TRUE=TRUE,Inputs!$B$32,0)))*(1-IF(AND(ArtifactsInput!$M$27,Inputs!$B$4="Chapter Hunt"),CHOOSE(ArtifactsInput!$N$27+1,20,24,28,32,36,40),0)/100)),0)</f>
        <v>4.0816326530612242E-2</v>
      </c>
      <c r="R1486">
        <f>IF(AND(Inputs!$B$38&lt;&gt;"pvp",Inputs!$B$43&gt;0),IF(MAX(0,Inputs!$B$43-B1516)&lt;=0,0,(INT(MAX(0,Inputs!$B$43-B1516)/(IF(Inputs!$B$38="pvp",15,MAX(0.1,Skills!E8-IF(TRUE=TRUE,Inputs!$B$32,0)))*(1-IF(AND(ArtifactsInput!$M$27,Inputs!$B$4="Chapter Hunt"),CHOOSE(ArtifactsInput!$N$27+1,20,24,28,32,36,40),0)/100)))+1)),0)</f>
        <v>2</v>
      </c>
      <c r="S1486">
        <f>IF(C1486,(H1486*N1486*IF(AND(Inputs!$B$38&lt;&gt;"pvp",Inputs!$B$43&gt;0),((Skills!G8*((R1486-1)*IF(Skills!H8&gt;0,Skills!I8/Skills!H8,1)+IF(Skills!H8&gt;0,MIN(Skills!I8,MAX(0,MAX(0,Inputs!$B$43-B1516)-((R1486-1)*(IF(Inputs!$B$38="pvp",15,MAX(0.1,Skills!E8-IF(TRUE=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486">
        <f>IF(C1486,(H1486*N1486*IF(AND(Inputs!$B$38&lt;&gt;"pvp",Inputs!$B$43&gt;0),((Skills!G8*((R1486-1)*IF(Skills!H8&gt;0,Skills!I8/Skills!H8,1)+IF(Skills!H8&gt;0,MIN(Skills!I8,MAX(0,MAX(0,Inputs!$B$43-B1516)-((R1486-1)*(IF(Inputs!$B$38="pvp",15,MAX(0.1,Skills!E8-IF(TRUE=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487" spans="1:26" x14ac:dyDescent="0.2">
      <c r="A1487" t="str">
        <f>Skills!A9</f>
        <v>MIST_ERUPTION</v>
      </c>
      <c r="B1487" t="str">
        <f>Skills!B9</f>
        <v>Mist Eruption</v>
      </c>
      <c r="C1487" t="b">
        <f>Inputs!$B$3&gt;=103</f>
        <v>1</v>
      </c>
      <c r="D1487">
        <f>IF(Skills!C9=1,60+Inputs!$B$25+Inputs!$B$29,IF(Skills!C9=2,90+Inputs!$B$26+Inputs!$B$29,IF(Skills!C9=3,120+Inputs!$B$27+Inputs!$B$29,MAX(0,(Inputs!$B$3-100)*3)+Inputs!$B$28+Inputs!$B$29)))</f>
        <v>185</v>
      </c>
      <c r="E1487">
        <f>INDEX(FactorTable!$B$2:$Y$301, MATCH(ROUND(MIN(300,MAX(1,D1487)),0), FactorTable!$A$2:$A$301,0), Skills!M9+1)</f>
        <v>1925</v>
      </c>
      <c r="F1487">
        <f>IF(Skills!N9=TRUE,(Skills!L9/10)*(E1487/1000),Skills!L9/10)+Skills!O9</f>
        <v>5775</v>
      </c>
      <c r="G1487">
        <f>Calc!G9</f>
        <v>2.5</v>
      </c>
      <c r="H1487">
        <f>Calc!H9</f>
        <v>1</v>
      </c>
      <c r="I1487">
        <f>IF(Skills!X9&lt;&gt;"",1+(Skills!X9/10)*(Z1481/1000)/100,1)</f>
        <v>1</v>
      </c>
      <c r="J1487">
        <f>((Inputs!$B$6*(1+Inputs!$B$7/100))+(((Inputs!$B$12*(1+Inputs!$B$13/100))-(Inputs!$B$12*(1+Inputs!$B$13/100)))+0.25*(Inputs!$B$14-Inputs!$B$14))*(1+Inputs!$B$7/100))*(F1487/100)</f>
        <v>20855518610.330254</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104793406533081.95</v>
      </c>
      <c r="L1487">
        <f>K1487*(MIN(Inputs!$B$22+(F1500-Calc!F22),(Inputs!$B$23+(IF(ArtifactsInput!$M$15,CHOOSE(ArtifactsInput!$N$15+1,25,30,35,40,45,50)/100*(Inputs!$B$11-Inputs!$B$11),0))))/100+(Inputs!$B$23+(IF(ArtifactsInput!$M$15,CHOOSE(ArtifactsInput!$N$15+1,25,30,35,40,45,50)/100*(Inputs!$B$11-Inputs!$B$11),0)))/100)/2</f>
        <v>348438076722497.5</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487">
        <f>L1487*(1-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487">
        <f>(1-Summary!$B$11)*S1487+Summary!$B$11*U1487</f>
        <v>3419073236278675</v>
      </c>
      <c r="P1487">
        <f>IF(B1519=0,0,O1487/B1519)</f>
        <v>0.10333633101673266</v>
      </c>
      <c r="Q1487">
        <f>IFERROR(1/(IF(Inputs!$B$38="pvp",15,MAX(0.1,Skills!E9-IF(TRUE=TRUE,Inputs!$B$32,0)))*(1-IF(AND(ArtifactsInput!$M$27,Inputs!$B$4="Chapter Hunt"),CHOOSE(ArtifactsInput!$N$27+1,20,24,28,32,36,40),0)/100)),0)</f>
        <v>4.0816326530612242E-2</v>
      </c>
      <c r="R1487">
        <f>IF(AND(Inputs!$B$38&lt;&gt;"pvp",Inputs!$B$43&gt;0),IF(MAX(0,Inputs!$B$43-B1516)&lt;=0,0,(INT(MAX(0,Inputs!$B$43-B1516)/(IF(Inputs!$B$38="pvp",15,MAX(0.1,Skills!E9-IF(TRUE=TRUE,Inputs!$B$32,0)))*(1-IF(AND(ArtifactsInput!$M$27,Inputs!$B$4="Chapter Hunt"),CHOOSE(ArtifactsInput!$N$27+1,20,24,28,32,36,40),0)/100)))+1)),0)</f>
        <v>2</v>
      </c>
      <c r="S1487">
        <f>IF(C1487,(H1487*N1487*IF(AND(Inputs!$B$38&lt;&gt;"pvp",Inputs!$B$43&gt;0),((Skills!G9*((R1487-1)*IF(Skills!H9&gt;0,Skills!I9/Skills!H9,1)+IF(Skills!H9&gt;0,MIN(Skills!I9,MAX(0,MAX(0,Inputs!$B$43-B1516)-((R1487-1)*(IF(Inputs!$B$38="pvp",15,MAX(0.1,Skills!E9-IF(TRUE=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487">
        <f>IF(C1487,(H1487*N1487*IF(AND(Inputs!$B$38&lt;&gt;"pvp",Inputs!$B$43&gt;0),((Skills!G9*((R1487-1)*IF(Skills!H9&gt;0,Skills!I9/Skills!H9,1)+IF(Skills!H9&gt;0,MIN(Skills!I9,MAX(0,MAX(0,Inputs!$B$43-B1516)-((R1487-1)*(IF(Inputs!$B$38="pvp",15,MAX(0.1,Skills!E9-IF(TRUE=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488" spans="1:26" x14ac:dyDescent="0.2">
      <c r="A1488" t="str">
        <f>Skills!A10</f>
        <v>CREEPING_TOXIN</v>
      </c>
      <c r="B1488" t="str">
        <f>Skills!B10</f>
        <v>Creeping Toxin</v>
      </c>
      <c r="C1488" t="b">
        <f>TRUE</f>
        <v>1</v>
      </c>
      <c r="D1488">
        <f>IF(Skills!C10=1,60+Inputs!$B$25+Inputs!$B$29,IF(Skills!C10=2,90+Inputs!$B$26+Inputs!$B$29,IF(Skills!C10=3,120+Inputs!$B$27+Inputs!$B$29,MAX(0,(Inputs!$B$3-100)*3)+Inputs!$B$28+Inputs!$B$29)))</f>
        <v>184</v>
      </c>
      <c r="E1488">
        <f>INDEX(FactorTable!$B$2:$Y$301, MATCH(ROUND(MIN(300,MAX(1,D1488)),0), FactorTable!$A$2:$A$301,0), Skills!M10+1)</f>
        <v>1920</v>
      </c>
      <c r="F1488">
        <f>IF(Skills!N10=TRUE,(Skills!L10/10)*(E1488/1000),Skills!L10/10)+Skills!O10</f>
        <v>280.39999999999998</v>
      </c>
      <c r="G1488">
        <f>Calc!G10</f>
        <v>15</v>
      </c>
      <c r="H1488">
        <f>Calc!H10</f>
        <v>1</v>
      </c>
      <c r="I1488">
        <f>IF(Skills!X10&lt;&gt;"",1+(Skills!X10/10)*(Z1481/1000)/100,1)</f>
        <v>1.7650000000000001</v>
      </c>
      <c r="J1488">
        <f>((Inputs!$B$6*(1+Inputs!$B$7/100))+(((Inputs!$B$12*(1+Inputs!$B$13/100))-(Inputs!$B$12*(1+Inputs!$B$13/100)))+0.25*(Inputs!$B$14-Inputs!$B$14))*(1+Inputs!$B$7/100))*(F1488/100)</f>
        <v>1012621197.9803641</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8980586260374.2793</v>
      </c>
      <c r="L1488">
        <f>K1488*(MIN(Inputs!$B$22+(F1500-Calc!F22),(Inputs!$B$23+(IF(ArtifactsInput!$M$15,CHOOSE(ArtifactsInput!$N$15+1,25,30,35,40,45,50)/100*(Inputs!$B$11-Inputs!$B$11),0))))/100+(Inputs!$B$23+(IF(ArtifactsInput!$M$15,CHOOSE(ArtifactsInput!$N$15+1,25,30,35,40,45,50)/100*(Inputs!$B$11-Inputs!$B$11),0)))/100)/2</f>
        <v>29860449315744.48</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488">
        <f>L1488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488">
        <f>(1-Summary!$B$11)*S1488+Summary!$B$11*U1488</f>
        <v>324323455609081.62</v>
      </c>
      <c r="P1488">
        <f>IF(B1519=0,0,O1488/B1519)</f>
        <v>9.8021872154419789E-3</v>
      </c>
      <c r="Q1488">
        <f>IFERROR(1/(IF(Inputs!$B$38="pvp",15,MAX(0.1,Skills!E10-IF(TRUE=TRUE,Inputs!$B$32,0)))*(1-IF(AND(ArtifactsInput!$M$27,Inputs!$B$4="Chapter Hunt"),CHOOSE(ArtifactsInput!$N$27+1,20,24,28,32,36,40),0)/100)),0)</f>
        <v>3.7037037037037035E-2</v>
      </c>
      <c r="R1488">
        <f>IF(AND(Inputs!$B$38&lt;&gt;"pvp",Inputs!$B$43&gt;0),IF(MAX(0,Inputs!$B$43-B1516)&lt;=0,0,(INT(MAX(0,Inputs!$B$43-B1516)/(IF(Inputs!$B$38="pvp",15,MAX(0.1,Skills!E10-IF(TRUE=TRUE,Inputs!$B$32,0)))*(1-IF(AND(ArtifactsInput!$M$27,Inputs!$B$4="Chapter Hunt"),CHOOSE(ArtifactsInput!$N$27+1,20,24,28,32,36,40),0)/100)))+1)),0)</f>
        <v>2</v>
      </c>
      <c r="S1488">
        <f>IF(C1488,(H1488*N1488*IF(AND(Inputs!$B$38&lt;&gt;"pvp",Inputs!$B$43&gt;0),((Skills!G10*((R1488-1)*IF(Skills!H10&gt;0,Skills!I10/Skills!H10,1)+IF(Skills!H10&gt;0,MIN(Skills!I10,MAX(0,MAX(0,Inputs!$B$43-B1516)-((R1488-1)*(IF(Inputs!$B$38="pvp",15,MAX(0.1,Skills!E10-IF(TRUE=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488">
        <f>IF(C1488,(H1488*N1488*IF(AND(Inputs!$B$38&lt;&gt;"pvp",Inputs!$B$43&gt;0),((Skills!G10*((R1488-1)*IF(Skills!H10&gt;0,Skills!I10/Skills!H10,1)+IF(Skills!H10&gt;0,MIN(Skills!I10,MAX(0,MAX(0,Inputs!$B$43-B1516)-((R1488-1)*(IF(Inputs!$B$38="pvp",15,MAX(0.1,Skills!E10-IF(TRUE=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489" spans="1:21" x14ac:dyDescent="0.2">
      <c r="A1489" t="str">
        <f>Skills!A11</f>
        <v>BURNING_MAGIC</v>
      </c>
      <c r="B1489" t="str">
        <f>Skills!B11</f>
        <v>Burning Magic</v>
      </c>
      <c r="C1489" t="b">
        <f>TRUE</f>
        <v>1</v>
      </c>
      <c r="D1489">
        <f>IF(Skills!C11=1,60+Inputs!$B$25+Inputs!$B$29,IF(Skills!C11=2,90+Inputs!$B$26+Inputs!$B$29,IF(Skills!C11=3,120+Inputs!$B$27+Inputs!$B$29,MAX(0,(Inputs!$B$3-100)*3)+Inputs!$B$28+Inputs!$B$29)))</f>
        <v>184</v>
      </c>
      <c r="E1489">
        <f>INDEX(FactorTable!$B$2:$Y$301, MATCH(ROUND(MIN(300,MAX(1,D1489)),0), FactorTable!$A$2:$A$301,0), Skills!M11+1)</f>
        <v>0</v>
      </c>
      <c r="F1489">
        <f>IF(Skills!N11=TRUE,(Skills!L11/10)*(E1489/1000),Skills!L11/10)+Skills!O11</f>
        <v>5</v>
      </c>
      <c r="G1489">
        <f>Calc!G11</f>
        <v>1</v>
      </c>
      <c r="H1489">
        <f>Calc!H11</f>
        <v>1</v>
      </c>
      <c r="I1489">
        <f>IF(Skills!X11&lt;&gt;"",1+(Skills!X11/10)*(Z1481/1000)/100,1)</f>
        <v>1</v>
      </c>
      <c r="O1489">
        <f>(1-Summary!$B$11)*S1489+Summary!$B$11*U1489</f>
        <v>0</v>
      </c>
      <c r="P1489">
        <f>IF(B1519=0,0,O1489/B1519)</f>
        <v>0</v>
      </c>
      <c r="Q1489">
        <f>IFERROR(1/(IF(Inputs!$B$38="pvp",15,MAX(0.1,Skills!E11-IF(TRUE=TRUE,Inputs!$B$32,0)))*(1-IF(AND(ArtifactsInput!$M$27,Inputs!$B$4="Chapter Hunt"),CHOOSE(ArtifactsInput!$N$27+1,20,24,28,32,36,40),0)/100)),0)</f>
        <v>10</v>
      </c>
      <c r="R1489">
        <v>0</v>
      </c>
      <c r="S1489">
        <v>0</v>
      </c>
      <c r="U1489">
        <v>0</v>
      </c>
    </row>
    <row r="1490" spans="1:21" x14ac:dyDescent="0.2">
      <c r="A1490" t="str">
        <f>Skills!A12</f>
        <v>ELEMENTAL_DECREASE</v>
      </c>
      <c r="B1490" t="str">
        <f>Skills!B12</f>
        <v>Elemental Decrease</v>
      </c>
      <c r="C1490" t="b">
        <f>TRUE</f>
        <v>1</v>
      </c>
      <c r="D1490">
        <f>IF(Skills!C12=1,60+Inputs!$B$25+Inputs!$B$29,IF(Skills!C12=2,90+Inputs!$B$26+Inputs!$B$29,IF(Skills!C12=3,120+Inputs!$B$27+Inputs!$B$29,MAX(0,(Inputs!$B$3-100)*3)+Inputs!$B$28+Inputs!$B$29)))</f>
        <v>184</v>
      </c>
      <c r="E1490">
        <f>INDEX(FactorTable!$B$2:$Y$301, MATCH(ROUND(MIN(300,MAX(1,D1490)),0), FactorTable!$A$2:$A$301,0), Skills!M12+1)</f>
        <v>1552</v>
      </c>
      <c r="F1490">
        <f>IF(Skills!N12=TRUE,(Skills!L12/10)*(E1490/1000),Skills!L12/10)+Skills!O12</f>
        <v>18.624000000000002</v>
      </c>
      <c r="G1490">
        <f>Calc!G12</f>
        <v>1</v>
      </c>
      <c r="H1490">
        <f>Calc!H12</f>
        <v>0.5</v>
      </c>
      <c r="I1490">
        <f>IF(Skills!X12&lt;&gt;"",1+(Skills!X12/10)*(Z1481/1000)/100,1)</f>
        <v>1</v>
      </c>
      <c r="O1490">
        <f>(1-Summary!$B$11)*S1490+Summary!$B$11*U1490</f>
        <v>0</v>
      </c>
      <c r="P1490">
        <f>IF(B1519=0,0,O1490/B1519)</f>
        <v>0</v>
      </c>
      <c r="Q1490">
        <f>IFERROR(1/(IF(Inputs!$B$38="pvp",15,MAX(0.1,Skills!E12-IF(TRUE=TRUE,Inputs!$B$32,0)))*(1-IF(AND(ArtifactsInput!$M$27,Inputs!$B$4="Chapter Hunt"),CHOOSE(ArtifactsInput!$N$27+1,20,24,28,32,36,40),0)/100)),0)</f>
        <v>10</v>
      </c>
      <c r="R1490">
        <v>0</v>
      </c>
      <c r="S1490">
        <v>0</v>
      </c>
      <c r="U1490">
        <v>0</v>
      </c>
    </row>
    <row r="1491" spans="1:21" x14ac:dyDescent="0.2">
      <c r="A1491" t="str">
        <f>Skills!A13</f>
        <v>METEOR_SHOWER_BURST</v>
      </c>
      <c r="B1491" t="str">
        <f>Skills!B13</f>
        <v>Meteor Shower (burst)</v>
      </c>
      <c r="C1491" t="b">
        <f>Inputs!$B$3&gt;=105</f>
        <v>1</v>
      </c>
      <c r="D1491">
        <f>IF(Skills!C13=1,60+Inputs!$B$25+Inputs!$B$29,IF(Skills!C13=2,90+Inputs!$B$26+Inputs!$B$29,IF(Skills!C13=3,120+Inputs!$B$27+Inputs!$B$29,MAX(0,(Inputs!$B$3-100)*3)+Inputs!$B$28+Inputs!$B$29)))</f>
        <v>185</v>
      </c>
      <c r="E1491">
        <f>INDEX(FactorTable!$B$2:$Y$301, MATCH(ROUND(MIN(300,MAX(1,D1491)),0), FactorTable!$A$2:$A$301,0), Skills!M13+1)</f>
        <v>1925</v>
      </c>
      <c r="F1491">
        <f>IF(Skills!N13=TRUE,(Skills!L13/10)*(E1491/1000),Skills!L13/10)+Skills!O13</f>
        <v>1155</v>
      </c>
      <c r="G1491">
        <f>Calc!G13</f>
        <v>9</v>
      </c>
      <c r="H1491">
        <f>Calc!H13</f>
        <v>1</v>
      </c>
      <c r="I1491">
        <f>IF(Skills!X13&lt;&gt;"",1+(Skills!X13/10)*(Z1481/1000)/100,1)</f>
        <v>1</v>
      </c>
      <c r="J1491">
        <f>((Inputs!$B$6*(1+Inputs!$B$7/100))+(((Inputs!$B$12*(1+Inputs!$B$13/100))-(Inputs!$B$12*(1+Inputs!$B$13/100)))+0.25*(Inputs!$B$14-Inputs!$B$14))*(1+Inputs!$B$7/100))*(F1491/100)</f>
        <v>4171103722.0660505</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20958681306616.391</v>
      </c>
      <c r="L1491">
        <f>K1491*(MIN(Inputs!$B$22+(F1500-Calc!F22),(Inputs!$B$23+(IF(ArtifactsInput!$M$15,CHOOSE(ArtifactsInput!$N$15+1,25,30,35,40,45,50)/100*(Inputs!$B$11-Inputs!$B$11),0))))/100+(Inputs!$B$23+(IF(ArtifactsInput!$M$15,CHOOSE(ArtifactsInput!$N$15+1,25,30,35,40,45,50)/100*(Inputs!$B$11-Inputs!$B$11),0)))/100)/2</f>
        <v>69687615344499.5</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491">
        <f>L1491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491">
        <f>(1-Summary!$B$11)*S1491+Summary!$B$11*U1491</f>
        <v>1793579843045520.5</v>
      </c>
      <c r="P1491">
        <f>IF(B1519=0,0,O1491/B1519)</f>
        <v>5.4208245204954375E-2</v>
      </c>
      <c r="Q1491">
        <f>IFERROR(1/(IF(Inputs!$B$38="pvp",15,MAX(0.1,Skills!E13-IF(TRUE=TRUE,Inputs!$B$32,0)))*(1-IF(AND(ArtifactsInput!$M$27,Inputs!$B$4="Chapter Hunt"),CHOOSE(ArtifactsInput!$N$27+1,20,24,28,32,36,40),0)/100)),0)</f>
        <v>3.0303030303030304E-2</v>
      </c>
      <c r="R1491">
        <f>IF(AND(Inputs!$B$38&lt;&gt;"pvp",Inputs!$B$43&gt;0),IF(MAX(0,Inputs!$B$43-B1516)&lt;=0,0,(INT(MAX(0,Inputs!$B$43-B1516)/(IF(Inputs!$B$38="pvp",15,MAX(0.1,Skills!E13-IF(TRUE=TRUE,Inputs!$B$32,0)))*(1-IF(AND(ArtifactsInput!$M$27,Inputs!$B$4="Chapter Hunt"),CHOOSE(ArtifactsInput!$N$27+1,20,24,28,32,36,40),0)/100)))+1)),0)</f>
        <v>2</v>
      </c>
      <c r="S1491">
        <f>IF(C1491,(H1491*N1491*IF(AND(Inputs!$B$38&lt;&gt;"pvp",Inputs!$B$43&gt;0),((Skills!G13*((R1491-1)*IF(Skills!H13&gt;0,Skills!I13/Skills!H13,1)+IF(Skills!H13&gt;0,MIN(Skills!I13,MAX(0,MAX(0,Inputs!$B$43-B1516)-((R1491-1)*(IF(Inputs!$B$38="pvp",15,MAX(0.1,Skills!E13-IF(TRUE=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491">
        <f>IF(C1491,(H1491*N1491*IF(AND(Inputs!$B$38&lt;&gt;"pvp",Inputs!$B$43&gt;0),((Skills!G13*((R1491-1)*IF(Skills!H13&gt;0,Skills!I13/Skills!H13,1)+IF(Skills!H13&gt;0,MIN(Skills!I13,MAX(0,MAX(0,Inputs!$B$43-B1516)-((R1491-1)*(IF(Inputs!$B$38="pvp",15,MAX(0.1,Skills!E13-IF(TRUE=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492" spans="1:21" x14ac:dyDescent="0.2">
      <c r="A1492" t="str">
        <f>Skills!A14</f>
        <v>METEOR_PROC</v>
      </c>
      <c r="B1492" t="str">
        <f>Skills!B14</f>
        <v>Meteor Proc (30% on-hit, 1s ICD)</v>
      </c>
      <c r="C1492" t="b">
        <f>Inputs!$B$3&gt;=113</f>
        <v>1</v>
      </c>
      <c r="D1492">
        <f>IF(Skills!C14=1,60+Inputs!$B$25+Inputs!$B$29,IF(Skills!C14=2,90+Inputs!$B$26+Inputs!$B$29,IF(Skills!C14=3,120+Inputs!$B$27+Inputs!$B$29,MAX(0,(Inputs!$B$3-100)*3)+Inputs!$B$28+Inputs!$B$29)))</f>
        <v>185</v>
      </c>
      <c r="E1492">
        <f>INDEX(FactorTable!$B$2:$Y$301, MATCH(ROUND(MIN(300,MAX(1,D1492)),0), FactorTable!$A$2:$A$301,0), Skills!M14+1)</f>
        <v>1740</v>
      </c>
      <c r="F1492">
        <f>IF(Skills!N14=TRUE,(Skills!L14/10)*(E1492/1000),Skills!L14/10)+Skills!O14</f>
        <v>1653</v>
      </c>
      <c r="G1492">
        <f>Calc!G14</f>
        <v>0</v>
      </c>
      <c r="H1492">
        <f>Calc!H14</f>
        <v>0.30000000000000004</v>
      </c>
      <c r="I1492">
        <f>IF(Skills!X14&lt;&gt;"",1+(Skills!X14/10)*(Z1481/1000)/100,1)</f>
        <v>1</v>
      </c>
      <c r="J1492">
        <f>((Inputs!$B$6*(1+Inputs!$B$7/100))+(((Inputs!$B$12*(1+Inputs!$B$13/100))-(Inputs!$B$12*(1+Inputs!$B$13/100)))+0.25*(Inputs!$B$14-Inputs!$B$14))*(1+Inputs!$B$7/100))*(F1492/100)</f>
        <v>5969553638.5932312</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29995411428430.203</v>
      </c>
      <c r="L1492">
        <f>K1492*(MIN(Inputs!$B$22+(F1500-Calc!F22),(Inputs!$B$23+(IF(ArtifactsInput!$M$15,CHOOSE(ArtifactsInput!$N$15+1,25,30,35,40,45,50)/100*(Inputs!$B$11-Inputs!$B$11),0))))/100+(Inputs!$B$23+(IF(ArtifactsInput!$M$15,CHOOSE(ArtifactsInput!$N$15+1,25,30,35,40,45,50)/100*(Inputs!$B$11-Inputs!$B$11),0)))/100)/2</f>
        <v>99734742999530.438</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492">
        <f>L1492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492">
        <f>(1-Summary!$B$11)*S1492+Summary!$B$11*U1492</f>
        <v>461258197543910.38</v>
      </c>
      <c r="P1492">
        <f>IF(B1519=0,0,O1492/B1519)</f>
        <v>1.3940833229257574E-2</v>
      </c>
      <c r="Q1492">
        <f>IFERROR(1/(IF(Inputs!$B$38="pvp",15,MAX(0.1,Skills!E14-IF(TRUE=TRUE,Inputs!$B$32,0)))*(1-IF(AND(ArtifactsInput!$M$27,Inputs!$B$4="Chapter Hunt"),CHOOSE(ArtifactsInput!$N$27+1,20,24,28,32,36,40),0)/100)),0)</f>
        <v>10</v>
      </c>
      <c r="R1492">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493" spans="1:21" x14ac:dyDescent="0.2">
      <c r="A1493" t="str">
        <f>Skills!A15</f>
        <v>FLAME_HAZE_BURST</v>
      </c>
      <c r="B1493" t="str">
        <f>Skills!B15</f>
        <v>Flame Haze (burst)</v>
      </c>
      <c r="C1493" t="b">
        <f>Inputs!$B$3&gt;=107</f>
        <v>1</v>
      </c>
      <c r="D1493">
        <f>IF(Skills!C15=1,60+Inputs!$B$25+Inputs!$B$29,IF(Skills!C15=2,90+Inputs!$B$26+Inputs!$B$29,IF(Skills!C15=3,120+Inputs!$B$27+Inputs!$B$29,MAX(0,(Inputs!$B$3-100)*3)+Inputs!$B$28+Inputs!$B$29)))</f>
        <v>185</v>
      </c>
      <c r="E1493">
        <f>INDEX(FactorTable!$B$2:$Y$301, MATCH(ROUND(MIN(300,MAX(1,D1493)),0), FactorTable!$A$2:$A$301,0), Skills!M15+1)</f>
        <v>1925</v>
      </c>
      <c r="F1493">
        <f>IF(Skills!N15=TRUE,(Skills!L15/10)*(E1493/1000),Skills!L15/10)+Skills!O15</f>
        <v>2310</v>
      </c>
      <c r="G1493">
        <f>Calc!G15</f>
        <v>3</v>
      </c>
      <c r="H1493">
        <f>Calc!H15</f>
        <v>1</v>
      </c>
      <c r="I1493">
        <f>IF(Skills!X15&lt;&gt;"",1+(Skills!X15/10)*(Z1481/1000)/100,1)</f>
        <v>1</v>
      </c>
      <c r="J1493">
        <f>((Inputs!$B$6*(1+Inputs!$B$7/100))+(((Inputs!$B$12*(1+Inputs!$B$13/100))-(Inputs!$B$12*(1+Inputs!$B$13/100)))+0.25*(Inputs!$B$14-Inputs!$B$14))*(1+Inputs!$B$7/100))*(F1493/100)</f>
        <v>8342207444.1321011</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41917362613232.781</v>
      </c>
      <c r="L1493">
        <f>K1493*(MIN(Inputs!$B$22+(F1500-Calc!F22),(Inputs!$B$23+(IF(ArtifactsInput!$M$15,CHOOSE(ArtifactsInput!$N$15+1,25,30,35,40,45,50)/100*(Inputs!$B$11-Inputs!$B$11),0))))/100+(Inputs!$B$23+(IF(ArtifactsInput!$M$15,CHOOSE(ArtifactsInput!$N$15+1,25,30,35,40,45,50)/100*(Inputs!$B$11-Inputs!$B$11),0)))/100)/2</f>
        <v>139375230688999</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493">
        <f>L1493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493">
        <f>(1-Summary!$B$11)*S1493+Summary!$B$11*U1493</f>
        <v>1641155153413763.8</v>
      </c>
      <c r="P1493">
        <f>IF(B1519=0,0,O1493/B1519)</f>
        <v>4.9601438888031674E-2</v>
      </c>
      <c r="Q1493">
        <f>IFERROR(1/(IF(Inputs!$B$38="pvp",15,MAX(0.1,Skills!E15-IF(TRUE=TRUE,Inputs!$B$32,0)))*(1-IF(AND(ArtifactsInput!$M$27,Inputs!$B$4="Chapter Hunt"),CHOOSE(ArtifactsInput!$N$27+1,20,24,28,32,36,40),0)/100)),0)</f>
        <v>0.04</v>
      </c>
      <c r="R1493">
        <f>IF(AND(Inputs!$B$38&lt;&gt;"pvp",Inputs!$B$43&gt;0),IF(MAX(0,Inputs!$B$43-B1516)&lt;=0,0,(INT(MAX(0,Inputs!$B$43-B1516)/(IF(Inputs!$B$38="pvp",15,MAX(0.1,Skills!E15-IF(TRUE=TRUE,Inputs!$B$32,0)))*(1-IF(AND(ArtifactsInput!$M$27,Inputs!$B$4="Chapter Hunt"),CHOOSE(ArtifactsInput!$N$27+1,20,24,28,32,36,40),0)/100)))+1)),0)</f>
        <v>2</v>
      </c>
      <c r="S1493">
        <f>IF(C1493,(H1493*N1493*IF(AND(Inputs!$B$38&lt;&gt;"pvp",Inputs!$B$43&gt;0),((Skills!G15*((R1493-1)*IF(Skills!H15&gt;0,Skills!I15/Skills!H15,1)+IF(Skills!H15&gt;0,MIN(Skills!I15,MAX(0,MAX(0,Inputs!$B$43-B1516)-((R1493-1)*(IF(Inputs!$B$38="pvp",15,MAX(0.1,Skills!E15-IF(TRUE=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493">
        <f>IF(C1493,(H1493*N1493*IF(AND(Inputs!$B$38&lt;&gt;"pvp",Inputs!$B$43&gt;0),((Skills!G15*((R1493-1)*IF(Skills!H15&gt;0,Skills!I15/Skills!H15,1)+IF(Skills!H15&gt;0,MIN(Skills!I15,MAX(0,MAX(0,Inputs!$B$43-B1516)-((R1493-1)*(IF(Inputs!$B$38="pvp",15,MAX(0.1,Skills!E15-IF(TRUE=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494" spans="1:21" x14ac:dyDescent="0.2">
      <c r="A1494" t="str">
        <f>Skills!A16</f>
        <v>FLAME_HAZE_DOT</v>
      </c>
      <c r="B1494" t="str">
        <f>Skills!B16</f>
        <v>Flame Haze (burn DoT)</v>
      </c>
      <c r="C1494" t="b">
        <f>Inputs!$B$3&gt;=107</f>
        <v>1</v>
      </c>
      <c r="D1494">
        <f>IF(Skills!C16=1,60+Inputs!$B$25+Inputs!$B$29,IF(Skills!C16=2,90+Inputs!$B$26+Inputs!$B$29,IF(Skills!C16=3,120+Inputs!$B$27+Inputs!$B$29,MAX(0,(Inputs!$B$3-100)*3)+Inputs!$B$28+Inputs!$B$29)))</f>
        <v>185</v>
      </c>
      <c r="E1494">
        <f>INDEX(FactorTable!$B$2:$Y$301, MATCH(ROUND(MIN(300,MAX(1,D1494)),0), FactorTable!$A$2:$A$301,0), Skills!M16+1)</f>
        <v>1925</v>
      </c>
      <c r="F1494">
        <f>IF(Skills!N16=TRUE,(Skills!L16/10)*(E1494/1000),Skills!L16/10)+Skills!O16</f>
        <v>288.75</v>
      </c>
      <c r="G1494">
        <f>Calc!G16</f>
        <v>30</v>
      </c>
      <c r="H1494">
        <f>Calc!H16</f>
        <v>1</v>
      </c>
      <c r="I1494">
        <f>IF(Skills!X16&lt;&gt;"",1+(Skills!X16/10)*(Z1481/1000)/100,1)</f>
        <v>1</v>
      </c>
      <c r="J1494">
        <f>((Inputs!$B$6*(1+Inputs!$B$7/100))+(((Inputs!$B$12*(1+Inputs!$B$13/100))-(Inputs!$B$12*(1+Inputs!$B$13/100)))+0.25*(Inputs!$B$14-Inputs!$B$14))*(1+Inputs!$B$7/100))*(F1494/100)</f>
        <v>1042775930.5165126</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5239670326654.0977</v>
      </c>
      <c r="L1494">
        <f>K1494*(MIN(Inputs!$B$22+(F1500-Calc!F22),(Inputs!$B$23+(IF(ArtifactsInput!$M$15,CHOOSE(ArtifactsInput!$N$15+1,25,30,35,40,45,50)/100*(Inputs!$B$11-Inputs!$B$11),0))))/100+(Inputs!$B$23+(IF(ArtifactsInput!$M$15,CHOOSE(ArtifactsInput!$N$15+1,25,30,35,40,45,50)/100*(Inputs!$B$11-Inputs!$B$11),0)))/100)/2</f>
        <v>17421903836124.875</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494">
        <f>L1494*(1-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494">
        <f>(1-Summary!$B$11)*S1494+Summary!$B$11*U1494</f>
        <v>1890384927888193</v>
      </c>
      <c r="P1494">
        <f>IF(B1519=0,0,O1494/B1519)</f>
        <v>5.7134032867313167E-2</v>
      </c>
      <c r="Q1494">
        <f>IFERROR(1/(IF(Inputs!$B$38="pvp",15,MAX(0.1,Skills!E16-IF(TRUE=TRUE,Inputs!$B$32,0)))*(1-IF(AND(ArtifactsInput!$M$27,Inputs!$B$4="Chapter Hunt"),CHOOSE(ArtifactsInput!$N$27+1,20,24,28,32,36,40),0)/100)),0)</f>
        <v>0.04</v>
      </c>
      <c r="R1494">
        <f>IF(AND(Inputs!$B$38&lt;&gt;"pvp",Inputs!$B$43&gt;0),IF(MAX(0,Inputs!$B$43-B1516)&lt;=0,0,(INT(MAX(0,Inputs!$B$43-B1516)/(IF(Inputs!$B$38="pvp",15,MAX(0.1,Skills!E16-IF(TRUE=TRUE,Inputs!$B$32,0)))*(1-IF(AND(ArtifactsInput!$M$27,Inputs!$B$4="Chapter Hunt"),CHOOSE(ArtifactsInput!$N$27+1,20,24,28,32,36,40),0)/100)))+1)),0)</f>
        <v>2</v>
      </c>
      <c r="S1494">
        <f>IF(C1494,(H1494*N1494*IF(AND(Inputs!$B$38&lt;&gt;"pvp",Inputs!$B$43&gt;0),((Skills!G16*((R1494-1)*IF(Skills!H16&gt;0,Skills!I16/Skills!H16,1)+IF(Skills!H16&gt;0,MIN(Skills!I16,MAX(0,MAX(0,Inputs!$B$43-B1516)-((R1494-1)*(IF(Inputs!$B$38="pvp",15,MAX(0.1,Skills!E16-IF(TRUE=TRUE,Inputs!$B$32,0)))*(1-IF(AND(ArtifactsInput!$M$27,Inputs!$B$4="Chapter Hunt"),CHOOSE(ArtifactsInput!$N$27+1,20,24,28,32,36,40),0)/100)))))/Skills!H16,1)))/Inputs!$B$43),G1494*Q1494)*(1+IF(Inputs!$B$3&gt;=126,0.05*(B1514+Q1491+(H1492*B1515)/(1+Skills!H14*H1492*B1515)+Q1502),0)*(1/Q1493)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494">
        <f>IF(C1494,(H1494*N1494*IF(AND(Inputs!$B$38&lt;&gt;"pvp",Inputs!$B$43&gt;0),((Skills!G16*((R1494-1)*IF(Skills!H16&gt;0,Skills!I16/Skills!H16,1)+IF(Skills!H16&gt;0,MIN(Skills!I16,MAX(0,MAX(0,Inputs!$B$43-B1516)-((R1494-1)*(IF(Inputs!$B$38="pvp",15,MAX(0.1,Skills!E16-IF(TRUE=TRUE,Inputs!$B$32,0)))*(1-IF(AND(ArtifactsInput!$M$27,Inputs!$B$4="Chapter Hunt"),CHOOSE(ArtifactsInput!$N$27+1,20,24,28,32,36,40),0)/100)))))/Skills!H16,1)))/Inputs!$B$43),G1494*Q1494)*(1+IF(Inputs!$B$3&gt;=126,0.05*(B1514+Q1491+(H1492*B1515)/(1+Skills!H14*H1492*B1515)+Q1502),0)*(1/Q1493)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495" spans="1:21" x14ac:dyDescent="0.2">
      <c r="A1495" t="str">
        <f>Skills!A17</f>
        <v>MAGIC_GUARD</v>
      </c>
      <c r="B1495" t="str">
        <f>Skills!B17</f>
        <v>Magic Guard</v>
      </c>
      <c r="C1495" t="b">
        <f>TRUE</f>
        <v>1</v>
      </c>
      <c r="D1495">
        <f>IF(Skills!C17=1,60+Inputs!$B$25+Inputs!$B$29,IF(Skills!C17=2,90+Inputs!$B$26+Inputs!$B$29,IF(Skills!C17=3,120+Inputs!$B$27+Inputs!$B$29,MAX(0,(Inputs!$B$3-100)*3)+Inputs!$B$28+Inputs!$B$29)))</f>
        <v>127</v>
      </c>
      <c r="E1495">
        <f>INDEX(FactorTable!$B$2:$Y$301, MATCH(ROUND(MIN(300,MAX(1,D1495)),0), FactorTable!$A$2:$A$301,0), Skills!M17+1)</f>
        <v>1508</v>
      </c>
      <c r="F1495">
        <f>IF(Skills!N17=TRUE,(Skills!L17/10)*(E1495/1000),Skills!L17/10)+Skills!O17</f>
        <v>18.096</v>
      </c>
      <c r="G1495">
        <f>Calc!G17</f>
        <v>1</v>
      </c>
      <c r="H1495">
        <f>Calc!H17</f>
        <v>1</v>
      </c>
      <c r="I1495">
        <f>IF(Skills!X17&lt;&gt;"",1+(Skills!X17/10)*(Z1481/1000)/100,1)</f>
        <v>1</v>
      </c>
      <c r="O1495">
        <f>(1-Summary!$B$11)*S1495+Summary!$B$11*U1495</f>
        <v>0</v>
      </c>
      <c r="P1495">
        <f>IF(B1519=0,0,O1495/B1519)</f>
        <v>0</v>
      </c>
      <c r="Q1495">
        <f>IFERROR(1/(IF(Inputs!$B$38="pvp",15,MAX(0.1,Skills!E17-IF(TRUE=TRUE,Inputs!$B$32,0)))*(1-IF(AND(ArtifactsInput!$M$27,Inputs!$B$4="Chapter Hunt"),CHOOSE(ArtifactsInput!$N$27+1,20,24,28,32,36,40),0)/100)),0)</f>
        <v>4.7619047619047616E-2</v>
      </c>
      <c r="R1495">
        <f>IF(AND(Inputs!$B$38&lt;&gt;"pvp",Inputs!$B$43&gt;0),IF(Inputs!$B$43&lt;=0,0,(INT(Inputs!$B$43/(IF(Inputs!$B$38="pvp",15,MAX(0.1,Skills!E17-IF(TRUE=TRUE,Inputs!$B$32,0)))*(1-IF(AND(ArtifactsInput!$M$27,Inputs!$B$4="Chapter Hunt"),CHOOSE(ArtifactsInput!$N$27+1,20,24,28,32,36,40),0)/100)))+1)),0)</f>
        <v>2</v>
      </c>
      <c r="S1495">
        <v>0</v>
      </c>
      <c r="U1495">
        <v>0</v>
      </c>
    </row>
    <row r="1496" spans="1:21" x14ac:dyDescent="0.2">
      <c r="A1496" t="str">
        <f>Skills!A18</f>
        <v>NIMBLE_FEET</v>
      </c>
      <c r="B1496" t="str">
        <f>Skills!B18</f>
        <v>Nimble Feet</v>
      </c>
      <c r="C1496" t="b">
        <f>TRUE</f>
        <v>1</v>
      </c>
      <c r="D1496">
        <f>IF(Skills!C18=1,60+Inputs!$B$25+Inputs!$B$29,IF(Skills!C18=2,90+Inputs!$B$26+Inputs!$B$29,IF(Skills!C18=3,120+Inputs!$B$27+Inputs!$B$29,MAX(0,(Inputs!$B$3-100)*3)+Inputs!$B$28+Inputs!$B$29)))</f>
        <v>127</v>
      </c>
      <c r="E1496">
        <f>INDEX(FactorTable!$B$2:$Y$301, MATCH(ROUND(MIN(300,MAX(1,D1496)),0), FactorTable!$A$2:$A$301,0), Skills!M18+1)</f>
        <v>0</v>
      </c>
      <c r="F1496">
        <f>IF(Skills!N18=TRUE,(Skills!L18/10)*(E1496/1000),Skills!L18/10)+Skills!O18</f>
        <v>15</v>
      </c>
      <c r="G1496">
        <f>Calc!G18</f>
        <v>1</v>
      </c>
      <c r="H1496">
        <f>Calc!H18</f>
        <v>1</v>
      </c>
      <c r="I1496">
        <f>IF(Skills!X18&lt;&gt;"",1+(Skills!X18/10)*(Z1481/1000)/100,1)</f>
        <v>1</v>
      </c>
      <c r="O1496">
        <f>(1-Summary!$B$11)*S1496+Summary!$B$11*U1496</f>
        <v>0</v>
      </c>
      <c r="P1496">
        <f>IF(B1519=0,0,O1496/B1519)</f>
        <v>0</v>
      </c>
      <c r="Q1496">
        <f>IFERROR(1/(IF(Inputs!$B$38="pvp",15,MAX(0.1,Skills!E18-IF(TRUE=TRUE,Inputs!$B$32,0)))*(1-IF(AND(ArtifactsInput!$M$27,Inputs!$B$4="Chapter Hunt"),CHOOSE(ArtifactsInput!$N$27+1,20,24,28,32,36,40),0)/100)),0)</f>
        <v>1.6666666666666666E-2</v>
      </c>
      <c r="R1496">
        <f>IF(AND(Inputs!$B$38&lt;&gt;"pvp",Inputs!$B$43&gt;0),IF(Inputs!$B$43&lt;=0,0,(INT(Inputs!$B$43/(IF(Inputs!$B$38="pvp",15,MAX(0.1,Skills!E18-IF(TRUE=TRUE,Inputs!$B$32,0)))*(1-IF(AND(ArtifactsInput!$M$27,Inputs!$B$4="Chapter Hunt"),CHOOSE(ArtifactsInput!$N$27+1,20,24,28,32,36,40),0)/100)))+1)),0)</f>
        <v>1</v>
      </c>
      <c r="S1496">
        <v>0</v>
      </c>
      <c r="U1496">
        <v>0</v>
      </c>
    </row>
    <row r="1497" spans="1:21" x14ac:dyDescent="0.2">
      <c r="A1497" t="str">
        <f>Skills!A19</f>
        <v>INFINITY</v>
      </c>
      <c r="B1497" t="str">
        <f>Skills!B19</f>
        <v>Infinity</v>
      </c>
      <c r="C1497" t="b">
        <f>Inputs!$B$3&gt;=110</f>
        <v>1</v>
      </c>
      <c r="D1497">
        <f>IF(Skills!C19=1,60+Inputs!$B$25+Inputs!$B$29,IF(Skills!C19=2,90+Inputs!$B$26+Inputs!$B$29,IF(Skills!C19=3,120+Inputs!$B$27+Inputs!$B$29,MAX(0,(Inputs!$B$3-100)*3)+Inputs!$B$28+Inputs!$B$29)))</f>
        <v>185</v>
      </c>
      <c r="E1497">
        <f>INDEX(FactorTable!$B$2:$Y$301, MATCH(ROUND(MIN(300,MAX(1,D1497)),0), FactorTable!$A$2:$A$301,0), Skills!M19+1)</f>
        <v>1740</v>
      </c>
      <c r="F1497">
        <f>IF(Skills!N19=TRUE,(Skills!L19/10)*(E1497/1000),Skills!L19/10)+Skills!O19</f>
        <v>37.700579999999995</v>
      </c>
      <c r="G1497">
        <f>Calc!G19</f>
        <v>1</v>
      </c>
      <c r="H1497">
        <f>Calc!H19</f>
        <v>1</v>
      </c>
      <c r="I1497">
        <f>IF(Skills!X19&lt;&gt;"",1+(Skills!X19/10)*(Z1481/1000)/100,1)</f>
        <v>1</v>
      </c>
      <c r="O1497">
        <f>(1-Summary!$B$11)*S1497+Summary!$B$11*U1497</f>
        <v>0</v>
      </c>
      <c r="P1497">
        <f>IF(B1519=0,0,O1497/B1519)</f>
        <v>0</v>
      </c>
      <c r="Q1497">
        <f>IFERROR(1/(IF(Inputs!$B$38="pvp",15,MAX(0.1,Skills!E19-IF(TRUE=TRUE,Inputs!$B$32,0)))*(1-IF(AND(ArtifactsInput!$M$27,Inputs!$B$4="Chapter Hunt"),CHOOSE(ArtifactsInput!$N$27+1,20,24,28,32,36,40),0)/100)),0)</f>
        <v>3.3333333333333333E-2</v>
      </c>
      <c r="R1497">
        <f>IF(AND(Inputs!$B$38&lt;&gt;"pvp",Inputs!$B$43&gt;0),IF(Inputs!$B$43&lt;=0,0,(INT(Inputs!$B$43/(IF(Inputs!$B$38="pvp",15,MAX(0.1,Skills!E19-IF(TRUE=TRUE,Inputs!$B$32,0)))*(1-IF(AND(ArtifactsInput!$M$27,Inputs!$B$4="Chapter Hunt"),CHOOSE(ArtifactsInput!$N$27+1,20,24,28,32,36,40),0)/100)))+1)),0)</f>
        <v>2</v>
      </c>
      <c r="S1497">
        <v>0</v>
      </c>
      <c r="U1497">
        <v>0</v>
      </c>
    </row>
    <row r="1498" spans="1:21" x14ac:dyDescent="0.2">
      <c r="A1498" t="str">
        <f>Skills!A20</f>
        <v>MAGIC_CRITICAL_RATE</v>
      </c>
      <c r="B1498" t="str">
        <f>Skills!B20</f>
        <v>Magic Critical (Crit Rate)</v>
      </c>
      <c r="C1498" t="b">
        <f>TRUE</f>
        <v>1</v>
      </c>
      <c r="D1498">
        <f>IF(Skills!C20=1,60+Inputs!$B$25+Inputs!$B$29,IF(Skills!C20=2,90+Inputs!$B$26+Inputs!$B$29,IF(Skills!C20=3,120+Inputs!$B$27+Inputs!$B$29,MAX(0,(Inputs!$B$3-100)*3)+Inputs!$B$28+Inputs!$B$29)))</f>
        <v>184</v>
      </c>
      <c r="E1498">
        <f>INDEX(FactorTable!$B$2:$Y$301, MATCH(ROUND(MIN(300,MAX(1,D1498)),0), FactorTable!$A$2:$A$301,0), Skills!M20+1)</f>
        <v>1552</v>
      </c>
      <c r="F1498">
        <f>IF(Skills!N20=TRUE,(Skills!L20/10)*(E1498/1000),Skills!L20/10)+Skills!O20</f>
        <v>12.416</v>
      </c>
      <c r="G1498">
        <f>Calc!G20</f>
        <v>1</v>
      </c>
      <c r="H1498">
        <f>Calc!H20</f>
        <v>1</v>
      </c>
      <c r="I1498">
        <f>IF(Skills!X20&lt;&gt;"",1+(Skills!X20/10)*(Z1481/1000)/100,1)</f>
        <v>1</v>
      </c>
      <c r="O1498">
        <f>(1-Summary!$B$11)*S1498+Summary!$B$11*U1498</f>
        <v>0</v>
      </c>
      <c r="P1498">
        <f>IF(B1519=0,0,O1498/B1519)</f>
        <v>0</v>
      </c>
      <c r="Q1498">
        <f>IFERROR(1/(IF(Inputs!$B$38="pvp",15,MAX(0.1,Skills!E20-IF(TRUE=TRUE,Inputs!$B$32,0)))*(1-IF(AND(ArtifactsInput!$M$27,Inputs!$B$4="Chapter Hunt"),CHOOSE(ArtifactsInput!$N$27+1,20,24,28,32,36,40),0)/100)),0)</f>
        <v>10</v>
      </c>
      <c r="R1498">
        <v>0</v>
      </c>
      <c r="S1498">
        <v>0</v>
      </c>
      <c r="U1498">
        <v>0</v>
      </c>
    </row>
    <row r="1499" spans="1:21" x14ac:dyDescent="0.2">
      <c r="A1499" t="str">
        <f>Skills!A21</f>
        <v>MAGIC_CRITICAL_DAMAGE</v>
      </c>
      <c r="B1499" t="str">
        <f>Skills!B21</f>
        <v>Magic Critical (Crit Damage)</v>
      </c>
      <c r="C1499" t="b">
        <f>TRUE</f>
        <v>1</v>
      </c>
      <c r="D1499">
        <f>IF(Skills!C21=1,60+Inputs!$B$25+Inputs!$B$29,IF(Skills!C21=2,90+Inputs!$B$26+Inputs!$B$29,IF(Skills!C21=3,120+Inputs!$B$27+Inputs!$B$29,MAX(0,(Inputs!$B$3-100)*3)+Inputs!$B$28+Inputs!$B$29)))</f>
        <v>184</v>
      </c>
      <c r="E1499">
        <f>INDEX(FactorTable!$B$2:$Y$301, MATCH(ROUND(MIN(300,MAX(1,D1499)),0), FactorTable!$A$2:$A$301,0), Skills!M21+1)</f>
        <v>1552</v>
      </c>
      <c r="F1499">
        <f>IF(Skills!N21=TRUE,(Skills!L21/10)*(E1499/1000),Skills!L21/10)+Skills!O21</f>
        <v>18.624000000000002</v>
      </c>
      <c r="G1499">
        <f>Calc!G21</f>
        <v>1</v>
      </c>
      <c r="H1499">
        <f>Calc!H21</f>
        <v>1</v>
      </c>
      <c r="I1499">
        <f>IF(Skills!X21&lt;&gt;"",1+(Skills!X21/10)*(Z1481/1000)/100,1)</f>
        <v>1</v>
      </c>
      <c r="O1499">
        <f>(1-Summary!$B$11)*S1499+Summary!$B$11*U1499</f>
        <v>0</v>
      </c>
      <c r="P1499">
        <f>IF(B1519=0,0,O1499/B1519)</f>
        <v>0</v>
      </c>
      <c r="Q1499">
        <f>IFERROR(1/(IF(Inputs!$B$38="pvp",15,MAX(0.1,Skills!E21-IF(TRUE=TRUE,Inputs!$B$32,0)))*(1-IF(AND(ArtifactsInput!$M$27,Inputs!$B$4="Chapter Hunt"),CHOOSE(ArtifactsInput!$N$27+1,20,24,28,32,36,40),0)/100)),0)</f>
        <v>10</v>
      </c>
      <c r="R1499">
        <v>0</v>
      </c>
      <c r="S1499">
        <v>0</v>
      </c>
      <c r="U1499">
        <v>0</v>
      </c>
    </row>
    <row r="1500" spans="1:21" x14ac:dyDescent="0.2">
      <c r="A1500" t="str">
        <f>Skills!A22</f>
        <v>SPELL_MASTERY</v>
      </c>
      <c r="B1500" t="str">
        <f>Skills!B22</f>
        <v>Spell Mastery</v>
      </c>
      <c r="C1500" t="b">
        <f>TRUE</f>
        <v>1</v>
      </c>
      <c r="D1500">
        <f>IF(Skills!C22=1,60+Inputs!$B$25+Inputs!$B$29,IF(Skills!C22=2,90+Inputs!$B$26+Inputs!$B$29,IF(Skills!C22=3,120+Inputs!$B$27+Inputs!$B$29,MAX(0,(Inputs!$B$3-100)*3)+Inputs!$B$28+Inputs!$B$29)))</f>
        <v>168</v>
      </c>
      <c r="E1500">
        <f>INDEX(FactorTable!$B$2:$Y$301, MATCH(ROUND(MIN(300,MAX(1,D1500)),0), FactorTable!$A$2:$A$301,0), Skills!M22+1)</f>
        <v>1504</v>
      </c>
      <c r="F1500">
        <f>IF(Skills!N22=TRUE,(Skills!L22/10)*(E1500/1000),Skills!L22/10)+Skills!O22</f>
        <v>22.56</v>
      </c>
      <c r="G1500">
        <f>Calc!G22</f>
        <v>1</v>
      </c>
      <c r="H1500">
        <f>Calc!H22</f>
        <v>1</v>
      </c>
      <c r="I1500">
        <f>IF(Skills!X22&lt;&gt;"",1+(Skills!X22/10)*(Z1481/1000)/100,1)</f>
        <v>1</v>
      </c>
      <c r="O1500">
        <f>(1-Summary!$B$11)*S1500+Summary!$B$11*U1500</f>
        <v>0</v>
      </c>
      <c r="P1500">
        <f>IF(B1519=0,0,O1500/B1519)</f>
        <v>0</v>
      </c>
      <c r="Q1500">
        <f>IFERROR(1/(IF(Inputs!$B$38="pvp",15,MAX(0.1,Skills!E22-IF(TRUE=TRUE,Inputs!$B$32,0)))*(1-IF(AND(ArtifactsInput!$M$27,Inputs!$B$4="Chapter Hunt"),CHOOSE(ArtifactsInput!$N$27+1,20,24,28,32,36,40),0)/100)),0)</f>
        <v>10</v>
      </c>
      <c r="R1500">
        <v>0</v>
      </c>
      <c r="S1500">
        <v>0</v>
      </c>
      <c r="U1500">
        <v>0</v>
      </c>
    </row>
    <row r="1501" spans="1:21" x14ac:dyDescent="0.2">
      <c r="A1501" t="str">
        <f>Skills!A23</f>
        <v>ELEMENT_AMPLIFICATION</v>
      </c>
      <c r="B1501" t="str">
        <f>Skills!B23</f>
        <v>Element Amplification</v>
      </c>
      <c r="C1501" t="b">
        <f>TRUE</f>
        <v>1</v>
      </c>
      <c r="D1501">
        <f>IF(Skills!C23=1,60+Inputs!$B$25+Inputs!$B$29,IF(Skills!C23=2,90+Inputs!$B$26+Inputs!$B$29,IF(Skills!C23=3,120+Inputs!$B$27+Inputs!$B$29,MAX(0,(Inputs!$B$3-100)*3)+Inputs!$B$28+Inputs!$B$29)))</f>
        <v>185</v>
      </c>
      <c r="E1501">
        <f>INDEX(FactorTable!$B$2:$Y$301, MATCH(ROUND(MIN(300,MAX(1,D1501)),0), FactorTable!$A$2:$A$301,0), Skills!M23+1)</f>
        <v>1555</v>
      </c>
      <c r="F1501">
        <f>IF(Skills!N23=TRUE,(Skills!L23/10)*(E1501/1000),Skills!L23/10)+Skills!O23</f>
        <v>23.324999999999999</v>
      </c>
      <c r="G1501">
        <f>Calc!G23</f>
        <v>1</v>
      </c>
      <c r="H1501">
        <f>Calc!H23</f>
        <v>1</v>
      </c>
      <c r="I1501">
        <f>IF(Skills!X23&lt;&gt;"",1+(Skills!X23/10)*(Z1481/1000)/100,1)</f>
        <v>1</v>
      </c>
      <c r="O1501">
        <f>(1-Summary!$B$11)*S1501+Summary!$B$11*U1501</f>
        <v>0</v>
      </c>
      <c r="P1501">
        <f>IF(B1519=0,0,O1501/B1519)</f>
        <v>0</v>
      </c>
      <c r="Q1501">
        <f>IFERROR(1/(IF(Inputs!$B$38="pvp",15,MAX(0.1,Skills!E23-IF(TRUE=TRUE,Inputs!$B$32,0)))*(1-IF(AND(ArtifactsInput!$M$27,Inputs!$B$4="Chapter Hunt"),CHOOSE(ArtifactsInput!$N$27+1,20,24,28,32,36,40),0)/100)),0)</f>
        <v>10</v>
      </c>
      <c r="R1501">
        <v>0</v>
      </c>
      <c r="S1501">
        <v>0</v>
      </c>
      <c r="U1501">
        <v>0</v>
      </c>
    </row>
    <row r="1502" spans="1:21" x14ac:dyDescent="0.2">
      <c r="A1502" t="str">
        <f>Skills!A24</f>
        <v>IFRIT</v>
      </c>
      <c r="B1502" t="str">
        <f>Skills!B24</f>
        <v>Ifrit</v>
      </c>
      <c r="C1502" t="b">
        <f>Inputs!$B$3&gt;=115</f>
        <v>1</v>
      </c>
      <c r="D1502">
        <f>IF(Skills!C24=1,60+Inputs!$B$25+Inputs!$B$29,IF(Skills!C24=2,90+Inputs!$B$26+Inputs!$B$29,IF(Skills!C24=3,120+Inputs!$B$27+Inputs!$B$29,MAX(0,(Inputs!$B$3-100)*3)+Inputs!$B$28+Inputs!$B$29)))</f>
        <v>185</v>
      </c>
      <c r="E1502">
        <f>INDEX(FactorTable!$B$2:$Y$301, MATCH(ROUND(MIN(300,MAX(1,D1502)),0), FactorTable!$A$2:$A$301,0), Skills!M24+1)</f>
        <v>1925</v>
      </c>
      <c r="F1502">
        <f>IF(Skills!N24=TRUE,(Skills!L24/10)*(E1502/1000),Skills!L24/10)+Skills!O24</f>
        <v>6737.5</v>
      </c>
      <c r="G1502">
        <f>Calc!G24</f>
        <v>7.5</v>
      </c>
      <c r="H1502">
        <f>Calc!H24</f>
        <v>1</v>
      </c>
      <c r="I1502">
        <f>IF(Skills!X24&lt;&gt;"",1+(Skills!X24/10)*(Z1481/1000)/100,1)</f>
        <v>1</v>
      </c>
      <c r="J1502">
        <f>((Inputs!$B$6*(1+Inputs!$B$7/100))+(((Inputs!$B$12*(1+Inputs!$B$13/100))-(Inputs!$B$12*(1+Inputs!$B$13/100)))+0.25*(Inputs!$B$14-Inputs!$B$14))*(1+Inputs!$B$7/100))*(F1502/100)</f>
        <v>24331438378.718628</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122258974288595.61</v>
      </c>
      <c r="L1502">
        <f>K1502*(MIN(Inputs!$B$22+(F1500-Calc!F22),(Inputs!$B$23+(IF(ArtifactsInput!$M$15,CHOOSE(ArtifactsInput!$N$15+1,25,30,35,40,45,50)/100*(Inputs!$B$11-Inputs!$B$11),0))))/100+(Inputs!$B$23+(IF(ArtifactsInput!$M$15,CHOOSE(ArtifactsInput!$N$15+1,25,30,35,40,45,50)/100*(Inputs!$B$11-Inputs!$B$11),0)))/100)/2</f>
        <v>406511089509580.44</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502">
        <f>L1502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502">
        <f>(1-Summary!$B$11)*S1502+Summary!$B$11*U1502</f>
        <v>2194085169658842.8</v>
      </c>
      <c r="P1502">
        <f>IF(B1519=0,0,O1502/B1519)</f>
        <v>6.6312914553869617E-2</v>
      </c>
      <c r="Q1502">
        <f>IFERROR(1/(IF(Inputs!$B$38="pvp",15,MAX(0.1,Skills!E24-IF(TRUE=TRUE,Inputs!$B$32,0)))*(1-IF(AND(ArtifactsInput!$M$27,Inputs!$B$4="Chapter Hunt"),CHOOSE(ArtifactsInput!$N$27+1,20,24,28,32,36,40),0)/100)),0)</f>
        <v>1.2500000000000001E-2</v>
      </c>
      <c r="R1502">
        <f>IF(AND(Inputs!$B$38&lt;&gt;"pvp",Inputs!$B$43&gt;0),IF(MAX(0,Inputs!$B$43-B1516)&lt;=0,0,(INT(MAX(0,Inputs!$B$43-B1516)/(IF(Inputs!$B$38="pvp",15,MAX(0.1,Skills!E24-IF(TRUE=TRUE,Inputs!$B$32,0)))*(1-IF(AND(ArtifactsInput!$M$27,Inputs!$B$4="Chapter Hunt"),CHOOSE(ArtifactsInput!$N$27+1,20,24,28,32,36,40),0)/100)))+1)),0)</f>
        <v>1</v>
      </c>
      <c r="S1502">
        <f>IF(C1502,(H1502*N1502*IF(AND(Inputs!$B$38&lt;&gt;"pvp",Inputs!$B$43&gt;0),((Skills!G24*((R1502-1)*IF(Skills!H24&gt;0,Skills!I24/Skills!H24,1)+IF(Skills!H24&gt;0,MIN(Skills!I24,MAX(0,MAX(0,Inputs!$B$43-B1516)-((R1502-1)*(IF(Inputs!$B$38="pvp",15,MAX(0.1,Skills!E24-IF(TRUE=TRUE,Inputs!$B$32,0)))*(1-IF(AND(ArtifactsInput!$M$27,Inputs!$B$4="Chapter Hunt"),CHOOSE(ArtifactsInput!$N$27+1,20,24,28,32,36,40),0)/100)))))/Skills!H24,1)))/Inputs!$B$43),G1502*Q1502)*(1+IF(Inputs!$B$3&gt;=130,0.2*(Skills!I16/(1/Q1493)+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502">
        <f>IF(C1502,(H1502*N1502*IF(AND(Inputs!$B$38&lt;&gt;"pvp",Inputs!$B$43&gt;0),((Skills!G24*((R1502-1)*IF(Skills!H24&gt;0,Skills!I24/Skills!H24,1)+IF(Skills!H24&gt;0,MIN(Skills!I24,MAX(0,MAX(0,Inputs!$B$43-B1516)-((R1502-1)*(IF(Inputs!$B$38="pvp",15,MAX(0.1,Skills!E24-IF(TRUE=TRUE,Inputs!$B$32,0)))*(1-IF(AND(ArtifactsInput!$M$27,Inputs!$B$4="Chapter Hunt"),CHOOSE(ArtifactsInput!$N$27+1,20,24,28,32,36,40),0)/100)))))/Skills!H24,1)))/Inputs!$B$43),G1502*Q1502)*(1+IF(Inputs!$B$3&gt;=130,0.2*(Skills!I16/(1/Q1493)+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503" spans="1:21" x14ac:dyDescent="0.2">
      <c r="A1503" t="str">
        <f>Skills!A25</f>
        <v>BUFF_MASTERY</v>
      </c>
      <c r="B1503" t="str">
        <f>Skills!B25</f>
        <v>Buff Mastery</v>
      </c>
      <c r="C1503" t="b">
        <f>Inputs!$B$3&gt;=117</f>
        <v>1</v>
      </c>
      <c r="D1503">
        <f>IF(Skills!C25=1,60+Inputs!$B$25+Inputs!$B$29,IF(Skills!C25=2,90+Inputs!$B$26+Inputs!$B$29,IF(Skills!C25=3,120+Inputs!$B$27+Inputs!$B$29,MAX(0,(Inputs!$B$3-100)*3)+Inputs!$B$28+Inputs!$B$29)))</f>
        <v>185</v>
      </c>
      <c r="E1503">
        <f>INDEX(FactorTable!$B$2:$Y$301, MATCH(ROUND(MIN(300,MAX(1,D1503)),0), FactorTable!$A$2:$A$301,0), Skills!M25+1)</f>
        <v>1555</v>
      </c>
      <c r="F1503">
        <f>IF(Skills!N25=TRUE,(Skills!L25/10)*(E1503/1000),Skills!L25/10)+Skills!O25</f>
        <v>15.549999999999999</v>
      </c>
      <c r="G1503">
        <f>Calc!G25</f>
        <v>1</v>
      </c>
      <c r="H1503">
        <f>Calc!H25</f>
        <v>1</v>
      </c>
      <c r="I1503">
        <f>IF(Skills!X25&lt;&gt;"",1+(Skills!X25/10)*(Z1481/1000)/100,1)</f>
        <v>1</v>
      </c>
      <c r="O1503">
        <f>(1-Summary!$B$11)*S1503+Summary!$B$11*U1503</f>
        <v>0</v>
      </c>
      <c r="P1503">
        <f>IF(B1519=0,0,O1503/B1519)</f>
        <v>0</v>
      </c>
      <c r="Q1503">
        <f>IFERROR(1/(IF(Inputs!$B$38="pvp",15,MAX(0.1,Skills!E25-IF(TRUE=TRUE,Inputs!$B$32,0)))*(1-IF(AND(ArtifactsInput!$M$27,Inputs!$B$4="Chapter Hunt"),CHOOSE(ArtifactsInput!$N$27+1,20,24,28,32,36,40),0)/100)),0)</f>
        <v>10</v>
      </c>
      <c r="R1503">
        <v>0</v>
      </c>
      <c r="S1503">
        <v>0</v>
      </c>
      <c r="U1503">
        <v>0</v>
      </c>
    </row>
    <row r="1504" spans="1:21" x14ac:dyDescent="0.2">
      <c r="A1504" t="str">
        <f>Skills!A26</f>
        <v>ARCANE_AIM</v>
      </c>
      <c r="B1504" t="str">
        <f>Skills!B26</f>
        <v>Arcane Aim</v>
      </c>
      <c r="C1504" t="b">
        <f>Inputs!$B$3&gt;=120</f>
        <v>0</v>
      </c>
      <c r="D1504">
        <f>IF(Skills!C26=1,60+Inputs!$B$25+Inputs!$B$29,IF(Skills!C26=2,90+Inputs!$B$26+Inputs!$B$29,IF(Skills!C26=3,120+Inputs!$B$27+Inputs!$B$29,MAX(0,(Inputs!$B$3-100)*3)+Inputs!$B$28+Inputs!$B$29)))</f>
        <v>185</v>
      </c>
      <c r="E1504">
        <f>INDEX(FactorTable!$B$2:$Y$301, MATCH(ROUND(MIN(300,MAX(1,D1504)),0), FactorTable!$A$2:$A$301,0), Skills!M26+1)</f>
        <v>1555</v>
      </c>
      <c r="F1504">
        <f>IF(Skills!N26=TRUE,(Skills!L26/10)*(E1504/1000),Skills!L26/10)+Skills!O26</f>
        <v>4.665</v>
      </c>
      <c r="G1504">
        <f>Calc!G26</f>
        <v>1</v>
      </c>
      <c r="H1504">
        <f>Calc!H26</f>
        <v>1</v>
      </c>
      <c r="I1504">
        <f>IF(Skills!X26&lt;&gt;"",1+(Skills!X26/10)*(Z1481/1000)/100,1)</f>
        <v>1</v>
      </c>
      <c r="O1504">
        <f>(1-Summary!$B$11)*S1504+Summary!$B$11*U1504</f>
        <v>0</v>
      </c>
      <c r="P1504">
        <f>IF(B1519=0,0,O1504/B1519)</f>
        <v>0</v>
      </c>
      <c r="Q1504">
        <f>IFERROR(1/(IF(Inputs!$B$38="pvp",15,MAX(0.1,Skills!E26-IF(TRUE=TRUE,Inputs!$B$32,0)))*(1-IF(AND(ArtifactsInput!$M$27,Inputs!$B$4="Chapter Hunt"),CHOOSE(ArtifactsInput!$N$27+1,20,24,28,32,36,40),0)/100)),0)</f>
        <v>10</v>
      </c>
      <c r="R1504">
        <v>0</v>
      </c>
      <c r="S1504">
        <v>0</v>
      </c>
      <c r="U1504">
        <v>0</v>
      </c>
    </row>
    <row r="1505" spans="1:21" x14ac:dyDescent="0.2">
      <c r="A1505" t="str">
        <f>Skills!A27</f>
        <v>FERVENT_DRAIN</v>
      </c>
      <c r="B1505" t="str">
        <f>Skills!B27</f>
        <v>Fervent Drain</v>
      </c>
      <c r="C1505" t="b">
        <f>Inputs!$B$3&gt;=125</f>
        <v>0</v>
      </c>
      <c r="D1505">
        <f>IF(Skills!C27=1,60+Inputs!$B$25+Inputs!$B$29,IF(Skills!C27=2,90+Inputs!$B$26+Inputs!$B$29,IF(Skills!C27=3,120+Inputs!$B$27+Inputs!$B$29,MAX(0,(Inputs!$B$3-100)*3)+Inputs!$B$28+Inputs!$B$29)))</f>
        <v>185</v>
      </c>
      <c r="E1505">
        <f>INDEX(FactorTable!$B$2:$Y$301, MATCH(ROUND(MIN(300,MAX(1,D1505)),0), FactorTable!$A$2:$A$301,0), Skills!M27+1)</f>
        <v>1555</v>
      </c>
      <c r="F1505">
        <f>IF(Skills!N27=TRUE,(Skills!L27/10)*(E1505/1000),Skills!L27/10)+Skills!O27</f>
        <v>6.22</v>
      </c>
      <c r="G1505">
        <f>Calc!G27</f>
        <v>1</v>
      </c>
      <c r="H1505">
        <f>Calc!H27</f>
        <v>1</v>
      </c>
      <c r="I1505">
        <f>IF(Skills!X27&lt;&gt;"",1+(Skills!X27/10)*(Z1481/1000)/100,1)</f>
        <v>1</v>
      </c>
      <c r="O1505">
        <f>(1-Summary!$B$11)*S1505+Summary!$B$11*U1505</f>
        <v>0</v>
      </c>
      <c r="P1505">
        <f>IF(B1519=0,0,O1505/B1519)</f>
        <v>0</v>
      </c>
      <c r="Q1505">
        <f>IFERROR(1/(IF(Inputs!$B$38="pvp",15,MAX(0.1,Skills!E27-IF(TRUE=TRUE,Inputs!$B$32,0)))*(1-IF(AND(ArtifactsInput!$M$27,Inputs!$B$4="Chapter Hunt"),CHOOSE(ArtifactsInput!$N$27+1,20,24,28,32,36,40),0)/100)),0)</f>
        <v>10</v>
      </c>
      <c r="R1505">
        <v>0</v>
      </c>
      <c r="S1505">
        <v>0</v>
      </c>
      <c r="U1505">
        <v>0</v>
      </c>
    </row>
    <row r="1506" spans="1:21" x14ac:dyDescent="0.2">
      <c r="A1506" t="str">
        <f>Skills!A28</f>
        <v>FLAME_HAZE_FOG</v>
      </c>
      <c r="B1506" t="str">
        <f>Skills!B28</f>
        <v>Flame Haze (poison fog DoT)</v>
      </c>
      <c r="C1506" t="b">
        <f>Inputs!$B$3&gt;=118</f>
        <v>0</v>
      </c>
      <c r="D1506">
        <f>IF(Skills!C28=1,60+Inputs!$B$25+Inputs!$B$29,IF(Skills!C28=2,90+Inputs!$B$26+Inputs!$B$29,IF(Skills!C28=3,120+Inputs!$B$27+Inputs!$B$29,MAX(0,(Inputs!$B$3-100)*3)+Inputs!$B$28+Inputs!$B$29)))</f>
        <v>185</v>
      </c>
      <c r="E1506">
        <f>INDEX(FactorTable!$B$2:$Y$301, MATCH(ROUND(MIN(300,MAX(1,D1506)),0), FactorTable!$A$2:$A$301,0), Skills!M28+1)</f>
        <v>1925</v>
      </c>
      <c r="F1506">
        <f>IF(Skills!N28=TRUE,(Skills!L28/10)*(E1506/1000),Skills!L28/10)+Skills!O28</f>
        <v>134.75</v>
      </c>
      <c r="G1506">
        <f>Calc!G28</f>
        <v>50</v>
      </c>
      <c r="H1506">
        <f>Calc!H28</f>
        <v>1</v>
      </c>
      <c r="I1506">
        <f>IF(Skills!X28&lt;&gt;"",1+(Skills!X28/10)*(Z1481/1000)/100,1)</f>
        <v>1</v>
      </c>
      <c r="J1506">
        <f>((Inputs!$B$6*(1+Inputs!$B$7/100))+(((Inputs!$B$12*(1+Inputs!$B$13/100))-(Inputs!$B$12*(1+Inputs!$B$13/100)))+0.25*(Inputs!$B$14-Inputs!$B$14))*(1+Inputs!$B$7/100))*(F1506/100)</f>
        <v>486628767.57437253</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2445179485771.9116</v>
      </c>
      <c r="L1506">
        <f>K1506*(MIN(Inputs!$B$22+(F1500-Calc!F22),(Inputs!$B$23+(IF(ArtifactsInput!$M$15,CHOOSE(ArtifactsInput!$N$15+1,25,30,35,40,45,50)/100*(Inputs!$B$11-Inputs!$B$11),0))))/100+(Inputs!$B$23+(IF(ArtifactsInput!$M$15,CHOOSE(ArtifactsInput!$N$15+1,25,30,35,40,45,50)/100*(Inputs!$B$11-Inputs!$B$11),0)))/100)/2</f>
        <v>8130221790191.6064</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506">
        <f>L1506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506">
        <f>(1-Summary!$B$11)*S1506+Summary!$B$11*U1506</f>
        <v>0</v>
      </c>
      <c r="P1506">
        <f>IF(B1519=0,0,O1506/B1519)</f>
        <v>0</v>
      </c>
      <c r="Q1506">
        <f>IFERROR(1/(IF(Inputs!$B$38="pvp",15,MAX(0.1,Skills!E28-IF(TRUE=TRUE,Inputs!$B$32,0)))*(1-IF(AND(ArtifactsInput!$M$27,Inputs!$B$4="Chapter Hunt"),CHOOSE(ArtifactsInput!$N$27+1,20,24,28,32,36,40),0)/100)),0)</f>
        <v>0.04</v>
      </c>
      <c r="R1506">
        <f>IF(AND(Inputs!$B$38&lt;&gt;"pvp",Inputs!$B$43&gt;0),IF(MAX(0,Inputs!$B$43-B1516)&lt;=0,0,(INT(MAX(0,Inputs!$B$43-B1516)/(IF(Inputs!$B$38="pvp",15,MAX(0.1,Skills!E28-IF(TRUE=TRUE,Inputs!$B$32,0)))*(1-IF(AND(ArtifactsInput!$M$27,Inputs!$B$4="Chapter Hunt"),CHOOSE(ArtifactsInput!$N$27+1,20,24,28,32,36,40),0)/100)))+1)),0)</f>
        <v>2</v>
      </c>
      <c r="S1506">
        <f>IF(C1506,(H1506*N1506*IF(AND(Inputs!$B$38&lt;&gt;"pvp",Inputs!$B$43&gt;0),((Skills!G28*((R1506-1)*IF(Skills!H28&gt;0,Skills!I28/Skills!H28,1)+IF(Skills!H28&gt;0,MIN(Skills!I28,MAX(0,MAX(0,Inputs!$B$43-B1516)-((R1506-1)*(IF(Inputs!$B$38="pvp",15,MAX(0.1,Skills!E28-IF(TRUE=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06">
        <f>IF(C1506,(H1506*N1506*IF(AND(Inputs!$B$38&lt;&gt;"pvp",Inputs!$B$43&gt;0),((Skills!G28*((R1506-1)*IF(Skills!H28&gt;0,Skills!I28/Skills!H28,1)+IF(Skills!H28&gt;0,MIN(Skills!I28,MAX(0,MAX(0,Inputs!$B$43-B1516)-((R1506-1)*(IF(Inputs!$B$38="pvp",15,MAX(0.1,Skills!E28-IF(TRUE=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08" spans="1:21" x14ac:dyDescent="0.2">
      <c r="A1508" t="s">
        <v>356</v>
      </c>
      <c r="B1508">
        <f>1+(F1489*Skills!Z11)/100</f>
        <v>1.25</v>
      </c>
    </row>
    <row r="1509" spans="1:21" x14ac:dyDescent="0.2">
      <c r="A1509" t="s">
        <v>435</v>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1.18624</v>
      </c>
    </row>
    <row r="1510" spans="1:21" x14ac:dyDescent="0.2">
      <c r="A1510" t="s">
        <v>358</v>
      </c>
      <c r="B1510">
        <f>(1+(F1484*IF(AND(Inputs!$B$38&lt;&gt;"pvp",Inputs!$B$43&gt;0),(((R1484-1)*MIN((Skills!T6*(1+((Inputs!$B$34+(ArtifactsInput!$M$7-ArtifactsInput!$M$7)*CHOOSE(ArtifactsInput!$N$7+1,6,7.2,8.4,9.6,10.8,12)))/100)),(1/Q1484))+MIN((Skills!T6*(1+((Inputs!$B$34+(ArtifactsInput!$M$7-ArtifactsInput!$M$7)*CHOOSE(ArtifactsInput!$N$7+1,6,7.2,8.4,9.6,10.8,12)))/100)),MAX(0,Inputs!$B$43-((R1484-1)*(1/Q1484)))))/Inputs!$B$43),IF(Inputs!$B$38="pvp",MIN((Skills!T6*(1+((Inputs!$B$34+(ArtifactsInput!$M$7-ArtifactsInput!$M$7)*CHOOSE(ArtifactsInput!$N$7+1,6,7.2,8.4,9.6,10.8,12)))/100)),15)/15,MIN(1,(Skills!T6*(1+((Inputs!$B$34+(ArtifactsInput!$M$7-ArtifactsInput!$M$7)*CHOOSE(ArtifactsInput!$N$7+1,6,7.2,8.4,9.6,10.8,12)))/100))/(1/Q1484))))+F1495*IF(AND(Inputs!$B$38&lt;&gt;"pvp",Inputs!$B$43&gt;0),(((R1495-1)*MIN((Skills!T17*(1+((Inputs!$B$34+(ArtifactsInput!$M$7-ArtifactsInput!$M$7)*CHOOSE(ArtifactsInput!$N$7+1,6,7.2,8.4,9.6,10.8,12)))/100)),(1/Q1495))+MIN((Skills!T17*(1+((Inputs!$B$34+(ArtifactsInput!$M$7-ArtifactsInput!$M$7)*CHOOSE(ArtifactsInput!$N$7+1,6,7.2,8.4,9.6,10.8,12)))/100)),MAX(0,Inputs!$B$43-((R1495-1)*(1/Q1495)))))/Inputs!$B$43),IF(Inputs!$B$38="pvp",MIN((Skills!T17*(1+((Inputs!$B$34+(ArtifactsInput!$M$7-ArtifactsInput!$M$7)*CHOOSE(ArtifactsInput!$N$7+1,6,7.2,8.4,9.6,10.8,12)))/100)),15)/15,MIN(1,(Skills!T17*(1+((Inputs!$B$34+(ArtifactsInput!$M$7-ArtifactsInput!$M$7)*CHOOSE(ArtifactsInput!$N$7+1,6,7.2,8.4,9.6,10.8,12)))/100))/(1/Q1495)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MIN((Skills!T19*(1+((Inputs!$B$34+(ArtifactsInput!$M$7-ArtifactsInput!$M$7)*CHOOSE(ArtifactsInput!$N$7+1,6,7.2,8.4,9.6,10.8,12)))/100)),(1/Q1497))+MIN((Skills!T19*(1+((Inputs!$B$34+(ArtifactsInput!$M$7-ArtifactsInput!$M$7)*CHOOSE(ArtifactsInput!$N$7+1,6,7.2,8.4,9.6,10.8,12)))/100)),MAX(0,Inputs!$B$43-((R1497-1)*(1/Q1497)))))/Inputs!$B$43),IF(Inputs!$B$38="pvp",MIN((Skills!T19*(1+((Inputs!$B$34+(ArtifactsInput!$M$7-ArtifactsInput!$M$7)*CHOOSE(ArtifactsInput!$N$7+1,6,7.2,8.4,9.6,10.8,12)))/100)),15)/15,MIN(1,(Skills!T19*(1+((Inputs!$B$34+(ArtifactsInput!$M$7-ArtifactsInput!$M$7)*CHOOSE(ArtifactsInput!$N$7+1,6,7.2,8.4,9.6,10.8,12)))/100))/(1/Q1497))))/100),1)</f>
        <v>1.7965808377980694</v>
      </c>
    </row>
    <row r="1511" spans="1:21" x14ac:dyDescent="0.2">
      <c r="A1511" t="s">
        <v>359</v>
      </c>
      <c r="B1511">
        <f>F1496*IF(AND(Inputs!$B$38&lt;&gt;"pvp",Inputs!$B$43&gt;0),(((R1496-1)*MIN((Skills!T18*(1+((Inputs!$B$34+(ArtifactsInput!$M$7-ArtifactsInput!$M$7)*CHOOSE(ArtifactsInput!$N$7+1,6,7.2,8.4,9.6,10.8,12)))/100)),(1/Q1496))+MIN((Skills!T18*(1+((Inputs!$B$34+(ArtifactsInput!$M$7-ArtifactsInput!$M$7)*CHOOSE(ArtifactsInput!$N$7+1,6,7.2,8.4,9.6,10.8,12)))/100)),MAX(0,Inputs!$B$43-((R1496-1)*(1/Q1496)))))/Inputs!$B$43),IF(Inputs!$B$38="pvp",MIN((Skills!T18*(1+((Inputs!$B$34+(ArtifactsInput!$M$7-ArtifactsInput!$M$7)*CHOOSE(ArtifactsInput!$N$7+1,6,7.2,8.4,9.6,10.8,12)))/100)),15)/15,MIN(1,(Skills!T18*(1+((Inputs!$B$34+(ArtifactsInput!$M$7-ArtifactsInput!$M$7)*CHOOSE(ArtifactsInput!$N$7+1,6,7.2,8.4,9.6,10.8,12)))/100))/(1/Q1496))))</f>
        <v>6.4968749999999993</v>
      </c>
    </row>
    <row r="1512" spans="1:21" x14ac:dyDescent="0.2">
      <c r="A1512" t="s">
        <v>436</v>
      </c>
      <c r="B1512">
        <f>1+MIN(150,150*(1-(1-(Inputs!$B$11+(ArtifactsInput!$M$15-ArtifactsInput!$M$15)*CHOOSE(ArtifactsInput!$N$15+1,8,9.6,11.2,12.8,14.4,16))/150)*(1-B1511/150)))/100</f>
        <v>1.6982958749999999</v>
      </c>
    </row>
    <row r="1513" spans="1:21" x14ac:dyDescent="0.2">
      <c r="A1513" t="s">
        <v>437</v>
      </c>
      <c r="B1513">
        <f>IF(AND(Inputs!$B$38&lt;&gt;"pvp",Inputs!$B$43&gt;0),SUMPRODUCT((Skills!F2:F28=TRUE)*(C1480:C1506=TRUE)*R1480:R1506)/Inputs!$B$43,SUMPRODUCT((Skills!F2:F28=TRUE)*(C1480:C1506=TRUE)*Q1480:Q1506))</f>
        <v>0.47499999999999998</v>
      </c>
    </row>
    <row r="1514" spans="1:21" x14ac:dyDescent="0.2">
      <c r="A1514" t="s">
        <v>362</v>
      </c>
      <c r="B1514">
        <f>MAX(0,B1512-B1513)</f>
        <v>1.2232958749999998</v>
      </c>
    </row>
    <row r="1515" spans="1:21" x14ac:dyDescent="0.2">
      <c r="A1515" t="s">
        <v>438</v>
      </c>
      <c r="B1515">
        <f>IF(AND(Inputs!$B$38&lt;&gt;"pvp",Inputs!$B$43&gt;0),SUMPRODUCT((Skills!V2:V28=TRUE)*(C1480:C1506=TRUE)*R1480:R1506*Skills!W2:W28)/Inputs!$B$43,SUMPRODUCT((Skills!V2:V28=TRUE)*(C1480:C1506=TRUE)*Q1480:Q1506*Skills!W2:W28))+B1514</f>
        <v>1.5482958749999998</v>
      </c>
    </row>
    <row r="1516" spans="1:21" x14ac:dyDescent="0.2">
      <c r="A1516" t="s">
        <v>439</v>
      </c>
      <c r="B1516">
        <f>IF(AND(Inputs!$B$38&lt;&gt;"pvp",Inputs!$B$43&gt;0),SUMPRODUCT((Skills!T2:T28&gt;0)*(Skills!F2:F28=TRUE)*(C1480:C1506=TRUE))/B1512,0)</f>
        <v>2.3553021937358238</v>
      </c>
    </row>
    <row r="1517" spans="1:21" x14ac:dyDescent="0.2">
      <c r="A1517" t="s">
        <v>440</v>
      </c>
      <c r="B1517">
        <f>SUM(S1480:S1506)</f>
        <v>9517263078933292</v>
      </c>
    </row>
    <row r="1518" spans="1:21" x14ac:dyDescent="0.2">
      <c r="A1518" t="s">
        <v>441</v>
      </c>
      <c r="B1518">
        <f>SUM(U1480:U1506)</f>
        <v>5.6656428257660488E+16</v>
      </c>
    </row>
    <row r="1519" spans="1:21" x14ac:dyDescent="0.2">
      <c r="A1519" s="6" t="s">
        <v>348</v>
      </c>
      <c r="B1519" s="6">
        <f>SUM(O1480:O1506)</f>
        <v>3.3086845668296892E+16</v>
      </c>
    </row>
    <row r="1522" spans="1:26" x14ac:dyDescent="0.2">
      <c r="A1522" s="6" t="s">
        <v>474</v>
      </c>
    </row>
    <row r="1523" spans="1:26" x14ac:dyDescent="0.2">
      <c r="A1523" s="5" t="s">
        <v>136</v>
      </c>
      <c r="B1523" s="5" t="s">
        <v>137</v>
      </c>
      <c r="C1523" s="5" t="s">
        <v>328</v>
      </c>
      <c r="D1523" s="5" t="s">
        <v>329</v>
      </c>
      <c r="E1523" s="5" t="s">
        <v>330</v>
      </c>
      <c r="F1523" s="5" t="s">
        <v>331</v>
      </c>
      <c r="G1523" s="5" t="s">
        <v>332</v>
      </c>
      <c r="H1523" s="5" t="s">
        <v>333</v>
      </c>
      <c r="I1523" s="5" t="s">
        <v>334</v>
      </c>
      <c r="J1523" s="5" t="s">
        <v>335</v>
      </c>
      <c r="K1523" s="5" t="s">
        <v>336</v>
      </c>
      <c r="L1523" s="5" t="s">
        <v>337</v>
      </c>
      <c r="M1523" s="5" t="s">
        <v>338</v>
      </c>
      <c r="N1523" s="5" t="s">
        <v>339</v>
      </c>
      <c r="O1523" s="5" t="s">
        <v>340</v>
      </c>
      <c r="P1523" s="5" t="s">
        <v>341</v>
      </c>
      <c r="R1523" t="s">
        <v>434</v>
      </c>
    </row>
    <row r="1524" spans="1:26" x14ac:dyDescent="0.2">
      <c r="A1524" t="str">
        <f>Skills!A2</f>
        <v>BASIC_ATTACK</v>
      </c>
      <c r="B1524" t="str">
        <f>Skills!B2</f>
        <v>Basic Attack</v>
      </c>
      <c r="C1524" t="b">
        <f>TRUE</f>
        <v>1</v>
      </c>
      <c r="F1524">
        <f>T1526+Skills!O2</f>
        <v>537.6</v>
      </c>
      <c r="G1524">
        <f>Calc!G2</f>
        <v>5</v>
      </c>
      <c r="H1524">
        <f>Calc!H2</f>
        <v>1</v>
      </c>
      <c r="I1524">
        <f>IF(Skills!X2&lt;&gt;"",1+(Skills!X2/10)*(Z1525/1000)/100,1)</f>
        <v>1</v>
      </c>
      <c r="J1524">
        <f>((Inputs!$B$6*(1+Inputs!$B$7/100))+(((Inputs!$B$12*(1+Inputs!$B$13/100))-(Inputs!$B$12*(1+Inputs!$B$13/100)))+0.25*(Inputs!$B$14-Inputs!$B$14))*(1+Inputs!$B$7/100))*(F1524/100)</f>
        <v>1941459186.9980164</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6620290711466.1074</v>
      </c>
      <c r="L1524">
        <f>K1524*(MIN(Inputs!$B$22+(F1544-Calc!F22),(Inputs!$B$23+(IF(ArtifactsInput!$M$15,CHOOSE(ArtifactsInput!$N$15+1,25,30,35,40,45,50)/100*(Inputs!$B$11-Inputs!$B$11),0))))/100+(Inputs!$B$23+(IF(ArtifactsInput!$M$15,CHOOSE(ArtifactsInput!$N$15+1,25,30,35,40,45,50)/100*(Inputs!$B$11-Inputs!$B$11),0)))/100)/2</f>
        <v>22012466615624.809</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524">
        <f>L1524*(1-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524">
        <f>(1-Summary!$B$11)*S1524+Summary!$B$11*U1524</f>
        <v>1.251342481087288E+16</v>
      </c>
      <c r="P1524">
        <f>IF(B1563=0,0,O1524/B1563)</f>
        <v>0.378199388854495</v>
      </c>
      <c r="Q1524">
        <f>IFERROR(1/(IF(Inputs!$B$38="pvp",15,MAX(0.1,Skills!E2-IF(TRUE=TRUE,Inputs!$B$32,0)))*(1-IF(AND(ArtifactsInput!$M$27,Inputs!$B$4="Chapter Hunt"),CHOOSE(ArtifactsInput!$N$27+1,20,24,28,32,36,40),0)/100)),0)</f>
        <v>10</v>
      </c>
      <c r="R1524">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524">
        <f>MAX(0,(Inputs!$B$3-100)*3)+Inputs!$B$28+Inputs!$B$29</f>
        <v>185</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524">
        <f>MAX(0,(Inputs!$B$3-100)*3)+Inputs!$B$28+Inputs!$B$29</f>
        <v>185</v>
      </c>
    </row>
    <row r="1525" spans="1:26" x14ac:dyDescent="0.2">
      <c r="A1525" t="str">
        <f>Skills!A3</f>
        <v>IGNITE</v>
      </c>
      <c r="B1525" t="str">
        <f>Skills!B3</f>
        <v>Ignite</v>
      </c>
      <c r="C1525" t="b">
        <f>TRUE</f>
        <v>1</v>
      </c>
      <c r="D1525">
        <f>IF(Skills!C3=1,60+Inputs!$B$25+Inputs!$B$29,IF(Skills!C3=2,90+Inputs!$B$26+Inputs!$B$29,IF(Skills!C3=3,120+Inputs!$B$27+Inputs!$B$29,MAX(0,(Inputs!$B$3-100)*3)+Inputs!$B$28+Inputs!$B$29)))</f>
        <v>168</v>
      </c>
      <c r="E1525">
        <f>INDEX(FactorTable!$B$2:$Y$301, MATCH(ROUND(MIN(300,MAX(1,D1525)),0), FactorTable!$A$2:$A$301,0), Skills!M3+1)</f>
        <v>1672</v>
      </c>
      <c r="F1525">
        <f>IF(Skills!N3=TRUE,(Skills!L3/10)*(E1525/1000),Skills!L3/10)+Skills!O3</f>
        <v>121.736</v>
      </c>
      <c r="G1525">
        <f>Calc!G3</f>
        <v>3</v>
      </c>
      <c r="H1525">
        <f>Calc!H3</f>
        <v>1</v>
      </c>
      <c r="I1525">
        <f>IF(Skills!X3&lt;&gt;"",1+(Skills!X3/10)*(Z1525/1000)/100,1)</f>
        <v>4.8250000000000002</v>
      </c>
      <c r="J1525">
        <f>((Inputs!$B$6*(1+Inputs!$B$7/100))+(((Inputs!$B$12*(1+Inputs!$B$13/100))-(Inputs!$B$12*(1+Inputs!$B$13/100)))+0.25*(Inputs!$B$14-Inputs!$B$14))*(1+Inputs!$B$7/100))*(F1525/100)</f>
        <v>439630720.9605478</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10658554617221.965</v>
      </c>
      <c r="L1525">
        <f>K1525*(MIN(Inputs!$B$22+(F1544-Calc!F22),(Inputs!$B$23+(IF(ArtifactsInput!$M$15,CHOOSE(ArtifactsInput!$N$15+1,25,30,35,40,45,50)/100*(Inputs!$B$11-Inputs!$B$11),0))))/100+(Inputs!$B$23+(IF(ArtifactsInput!$M$15,CHOOSE(ArtifactsInput!$N$15+1,25,30,35,40,45,50)/100*(Inputs!$B$11-Inputs!$B$11),0)))/100)/2</f>
        <v>35439694102263.031</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525">
        <f>L1525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525">
        <f>(1-Summary!$B$11)*S1525+Summary!$B$11*U1525</f>
        <v>2907465947806250</v>
      </c>
      <c r="P1525">
        <f>IF(B1563=0,0,O1525/B1563)</f>
        <v>8.7873772463965091E-2</v>
      </c>
      <c r="Q1525">
        <f>IFERROR(1/(IF(Inputs!$B$38="pvp",15,MAX(0.1,Skills!E3-IF(FALSE=TRUE,Inputs!$B$32,0)))*(1-IF(AND(ArtifactsInput!$M$27,Inputs!$B$4="Chapter Hunt"),CHOOSE(ArtifactsInput!$N$27+1,20,24,28,32,36,40),0)/100)),0)</f>
        <v>1</v>
      </c>
      <c r="R1525">
        <f>IF(AND(Inputs!$B$38&lt;&gt;"pvp",Inputs!$B$43&gt;0),IF(MAX(0,Inputs!$B$43-B1560)&lt;=0,0,(INT(MAX(0,Inputs!$B$43-B1560)/(IF(Inputs!$B$38="pvp",15,MAX(0.1,Skills!E3-IF(FALSE=TRUE,Inputs!$B$32,0)))*(1-IF(AND(ArtifactsInput!$M$27,Inputs!$B$4="Chapter Hunt"),CHOOSE(ArtifactsInput!$N$27+1,20,24,28,32,36,40),0)/100)))+1)),0)</f>
        <v>38</v>
      </c>
      <c r="S1525">
        <f>IF(C1525,(H1525*N1525*IF(AND(Inputs!$B$38&lt;&gt;"pvp",Inputs!$B$43&gt;0),((Skills!G3*((R1525-1)*IF(Skills!H3&gt;0,Skills!I3/Skills!H3,1)+IF(Skills!H3&gt;0,MIN(Skills!I3,MAX(0,MAX(0,Inputs!$B$43-B1560)-((R1525-1)*(IF(Inputs!$B$38="pvp",15,MAX(0.1,Skills!E3-IF(FALSE=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525">
        <f>INDEX(FactorTable!$B$2:$Y$301, MATCH(ROUND(MIN(300,MAX(1,T1524)),0), FactorTable!$A$2:$A$301,0), 22)</f>
        <v>1740</v>
      </c>
      <c r="U1525">
        <f>IF(C1525,(H1525*N1525*IF(AND(Inputs!$B$38&lt;&gt;"pvp",Inputs!$B$43&gt;0),((Skills!G3*((R1525-1)*IF(Skills!H3&gt;0,Skills!I3/Skills!H3,1)+IF(Skills!H3&gt;0,MIN(Skills!I3,MAX(0,MAX(0,Inputs!$B$43-B1560)-((R1525-1)*(IF(Inputs!$B$38="pvp",15,MAX(0.1,Skills!E3-IF(FALSE=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525">
        <f>INDEX(FactorTable!$B$2:$Y$301, MATCH(ROUND(MIN(300,MAX(1,Z1524)),0), FactorTable!$A$2:$A$301,0), 24)</f>
        <v>7650</v>
      </c>
    </row>
    <row r="1526" spans="1:26" x14ac:dyDescent="0.2">
      <c r="A1526" t="str">
        <f>Skills!A4</f>
        <v>POISON_BREATH</v>
      </c>
      <c r="B1526" t="str">
        <f>Skills!B4</f>
        <v>Poison Breath</v>
      </c>
      <c r="C1526" t="b">
        <f>TRUE</f>
        <v>1</v>
      </c>
      <c r="D1526">
        <f>IF(Skills!C4=1,60+Inputs!$B$25+Inputs!$B$29,IF(Skills!C4=2,90+Inputs!$B$26+Inputs!$B$29,IF(Skills!C4=3,120+Inputs!$B$27+Inputs!$B$29,MAX(0,(Inputs!$B$3-100)*3)+Inputs!$B$28+Inputs!$B$29)))</f>
        <v>168</v>
      </c>
      <c r="E1526">
        <f>INDEX(FactorTable!$B$2:$Y$301, MATCH(ROUND(MIN(300,MAX(1,D1526)),0), FactorTable!$A$2:$A$301,0), Skills!M4+1)</f>
        <v>1840</v>
      </c>
      <c r="F1526">
        <f>IF(Skills!N4=TRUE,(Skills!L4/10)*(E1526/1000),Skills!L4/10)+Skills!O4</f>
        <v>438</v>
      </c>
      <c r="G1526">
        <f>Calc!G4</f>
        <v>3</v>
      </c>
      <c r="H1526">
        <f>Calc!H4</f>
        <v>1</v>
      </c>
      <c r="I1526">
        <f>IF(Skills!X4&lt;&gt;"",1+(Skills!X4/10)*(Z1525/1000)/100,1)</f>
        <v>7.12</v>
      </c>
      <c r="J1526">
        <f>((Inputs!$B$6*(1+Inputs!$B$7/100))+(((Inputs!$B$12*(1+Inputs!$B$13/100))-(Inputs!$B$12*(1+Inputs!$B$13/100)))+0.25*(Inputs!$B$14-Inputs!$B$14))*(1+Inputs!$B$7/100))*(F1526/100)</f>
        <v>1581769203.69258</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56589528290529.523</v>
      </c>
      <c r="L1526">
        <f>K1526*(MIN(Inputs!$B$22+(F1544-Calc!F22),(Inputs!$B$23+(IF(ArtifactsInput!$M$15,CHOOSE(ArtifactsInput!$N$15+1,25,30,35,40,45,50)/100*(Inputs!$B$11-Inputs!$B$11),0))))/100+(Inputs!$B$23+(IF(ArtifactsInput!$M$15,CHOOSE(ArtifactsInput!$N$15+1,25,30,35,40,45,50)/100*(Inputs!$B$11-Inputs!$B$11),0)))/100)/2</f>
        <v>188160181566010.69</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526">
        <f>L1526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526">
        <f>(1-Summary!$B$11)*S1526+Summary!$B$11*U1526</f>
        <v>2120704790543594.2</v>
      </c>
      <c r="P1526">
        <f>IF(B1563=0,0,O1526/B1563)</f>
        <v>6.4095103286790744E-2</v>
      </c>
      <c r="Q1526">
        <f>IFERROR(1/(IF(Inputs!$B$38="pvp",15,MAX(0.1,Skills!E4-IF(TRUE=TRUE,Inputs!$B$32,0)))*(1-IF(AND(ArtifactsInput!$M$27,Inputs!$B$4="Chapter Hunt"),CHOOSE(ArtifactsInput!$N$27+1,20,24,28,32,36,40),0)/100)),0)</f>
        <v>5.5555555555555552E-2</v>
      </c>
      <c r="R1526">
        <f>IF(AND(Inputs!$B$38&lt;&gt;"pvp",Inputs!$B$43&gt;0),IF(MAX(0,Inputs!$B$43-B1560)&lt;=0,0,(INT(MAX(0,Inputs!$B$43-B1560)/(IF(Inputs!$B$38="pvp",15,MAX(0.1,Skills!E4-IF(TRUE=TRUE,Inputs!$B$32,0)))*(1-IF(AND(ArtifactsInput!$M$27,Inputs!$B$4="Chapter Hunt"),CHOOSE(ArtifactsInput!$N$27+1,20,24,28,32,36,40),0)/100)))+1)),0)</f>
        <v>3</v>
      </c>
      <c r="S1526">
        <f>IF(C1526,(H1526*N1526*IF(AND(Inputs!$B$38&lt;&gt;"pvp",Inputs!$B$43&gt;0),((Skills!G4*((R1526-1)*IF(Skills!H4&gt;0,Skills!I4/Skills!H4,1)+IF(Skills!H4&gt;0,MIN(Skills!I4,MAX(0,MAX(0,Inputs!$B$43-B1560)-((R1526-1)*(IF(Inputs!$B$38="pvp",15,MAX(0.1,Skills!E4-IF(TRUE=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526">
        <f>290*T1525/1000</f>
        <v>504.6</v>
      </c>
      <c r="U1526">
        <f>IF(C1526,(H1526*N1526*IF(AND(Inputs!$B$38&lt;&gt;"pvp",Inputs!$B$43&gt;0),((Skills!G4*((R1526-1)*IF(Skills!H4&gt;0,Skills!I4/Skills!H4,1)+IF(Skills!H4&gt;0,MIN(Skills!I4,MAX(0,MAX(0,Inputs!$B$43-B1560)-((R1526-1)*(IF(Inputs!$B$38="pvp",15,MAX(0.1,Skills!E4-IF(TRUE=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527" spans="1:26" x14ac:dyDescent="0.2">
      <c r="A1527" t="str">
        <f>Skills!A5</f>
        <v>ELEMENTAL_DRAIN</v>
      </c>
      <c r="B1527" t="str">
        <f>Skills!B5</f>
        <v>Elemental Drain</v>
      </c>
      <c r="C1527" t="b">
        <f>TRUE</f>
        <v>1</v>
      </c>
      <c r="D1527">
        <f>IF(Skills!C5=1,60+Inputs!$B$25+Inputs!$B$29,IF(Skills!C5=2,90+Inputs!$B$26+Inputs!$B$29,IF(Skills!C5=3,120+Inputs!$B$27+Inputs!$B$29,MAX(0,(Inputs!$B$3-100)*3)+Inputs!$B$28+Inputs!$B$29)))</f>
        <v>168</v>
      </c>
      <c r="E1527">
        <f>INDEX(FactorTable!$B$2:$Y$301, MATCH(ROUND(MIN(300,MAX(1,D1527)),0), FactorTable!$A$2:$A$301,0), Skills!M5+1)</f>
        <v>1672</v>
      </c>
      <c r="F1527">
        <f>IF(Skills!N5=TRUE,(Skills!L5/10)*(E1527/1000),Skills!L5/10)+Skills!O5</f>
        <v>20.064</v>
      </c>
      <c r="G1527">
        <f>Calc!G5</f>
        <v>5</v>
      </c>
      <c r="H1527">
        <f>Calc!H5</f>
        <v>1</v>
      </c>
      <c r="I1527">
        <f>IF(Skills!X5&lt;&gt;"",1+(Skills!X5/10)*(Z1525/1000)/100,1)</f>
        <v>12.475</v>
      </c>
      <c r="J1527">
        <f>((Inputs!$B$6*(1+Inputs!$B$7/100))+(((Inputs!$B$12*(1+Inputs!$B$13/100))-(Inputs!$B$12*(1+Inputs!$B$13/100)))+0.25*(Inputs!$B$14-Inputs!$B$14))*(1+Inputs!$B$7/100))*(F1527/100)</f>
        <v>72458030.371890247</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4541925884983.542</v>
      </c>
      <c r="L1527">
        <f>K1527*(MIN(Inputs!$B$22+(F1544-Calc!F22),(Inputs!$B$23+(IF(ArtifactsInput!$M$15,CHOOSE(ArtifactsInput!$N$15+1,25,30,35,40,45,50)/100*(Inputs!$B$11-Inputs!$B$11),0))))/100+(Inputs!$B$23+(IF(ArtifactsInput!$M$15,CHOOSE(ArtifactsInput!$N$15+1,25,30,35,40,45,50)/100*(Inputs!$B$11-Inputs!$B$11),0)))/100)/2</f>
        <v>15101903567570.277</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527">
        <f>L1527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527">
        <f>(1-Summary!$B$11)*S1527+Summary!$B$11*U1527</f>
        <v>1046004996783807</v>
      </c>
      <c r="P1527">
        <f>IF(B1563=0,0,O1527/B1563)</f>
        <v>3.1613923166633758E-2</v>
      </c>
      <c r="Q1527">
        <f>IFERROR(1/(IF(Inputs!$B$38="pvp",15,MAX(0.1,Skills!E5-IF(FALSE=TRUE,Inputs!$B$32,0)))*(1-IF(AND(ArtifactsInput!$M$27,Inputs!$B$4="Chapter Hunt"),CHOOSE(ArtifactsInput!$N$27+1,20,24,28,32,36,40),0)/100)),0)</f>
        <v>1</v>
      </c>
      <c r="R1527">
        <f>IF(AND(Inputs!$B$38&lt;&gt;"pvp",Inputs!$B$43&gt;0),IF(MAX(0,Inputs!$B$43-B1560)&lt;=0,0,(INT(MAX(0,Inputs!$B$43-B1560)/(IF(Inputs!$B$38="pvp",15,MAX(0.1,Skills!E5-IF(FALSE=TRUE,Inputs!$B$32,0)))*(1-IF(AND(ArtifactsInput!$M$27,Inputs!$B$4="Chapter Hunt"),CHOOSE(ArtifactsInput!$N$27+1,20,24,28,32,36,40),0)/100)))+1)),0)</f>
        <v>38</v>
      </c>
      <c r="S1527">
        <f>IF(C1527,(H1527*N1527*IF(AND(Inputs!$B$38&lt;&gt;"pvp",Inputs!$B$43&gt;0),((Skills!G5*((R1527-1)*IF(Skills!H5&gt;0,Skills!I5/Skills!H5,1)+IF(Skills!H5&gt;0,MIN(Skills!I5,MAX(0,MAX(0,Inputs!$B$43-B1560)-((R1527-1)*(IF(Inputs!$B$38="pvp",15,MAX(0.1,Skills!E5-IF(FALSE=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527">
        <f>IF(C1527,(H1527*N1527*IF(AND(Inputs!$B$38&lt;&gt;"pvp",Inputs!$B$43&gt;0),((Skills!G5*((R1527-1)*IF(Skills!H5&gt;0,Skills!I5/Skills!H5,1)+IF(Skills!H5&gt;0,MIN(Skills!I5,MAX(0,MAX(0,Inputs!$B$43-B1560)-((R1527-1)*(IF(Inputs!$B$38="pvp",15,MAX(0.1,Skills!E5-IF(FALSE=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528" spans="1:26" x14ac:dyDescent="0.2">
      <c r="A1528" t="str">
        <f>Skills!A6</f>
        <v>MEDITATION</v>
      </c>
      <c r="B1528" t="str">
        <f>Skills!B6</f>
        <v>Meditation</v>
      </c>
      <c r="C1528" t="b">
        <f>TRUE</f>
        <v>1</v>
      </c>
      <c r="D1528">
        <f>IF(Skills!C6=1,60+Inputs!$B$25+Inputs!$B$29,IF(Skills!C6=2,90+Inputs!$B$26+Inputs!$B$29,IF(Skills!C6=3,120+Inputs!$B$27+Inputs!$B$29,MAX(0,(Inputs!$B$3-100)*3)+Inputs!$B$28+Inputs!$B$29)))</f>
        <v>168</v>
      </c>
      <c r="E1528">
        <f>INDEX(FactorTable!$B$2:$Y$301, MATCH(ROUND(MIN(300,MAX(1,D1528)),0), FactorTable!$A$2:$A$301,0), Skills!M6+1)</f>
        <v>1672</v>
      </c>
      <c r="F1528">
        <f>IF(Skills!N6=TRUE,(Skills!L6/10)*(E1528/1000),Skills!L6/10)+Skills!O6</f>
        <v>33.44</v>
      </c>
      <c r="G1528">
        <f>Calc!G6</f>
        <v>1</v>
      </c>
      <c r="H1528">
        <f>Calc!H6</f>
        <v>1</v>
      </c>
      <c r="I1528">
        <f>IF(Skills!X6&lt;&gt;"",1+(Skills!X6/10)*(Z1525/1000)/100,1)</f>
        <v>1</v>
      </c>
      <c r="O1528">
        <f>(1-Summary!$B$11)*S1528+Summary!$B$11*U1528</f>
        <v>0</v>
      </c>
      <c r="P1528">
        <f>IF(B1563=0,0,O1528/B1563)</f>
        <v>0</v>
      </c>
      <c r="Q1528">
        <f>IFERROR(1/(IF(Inputs!$B$38="pvp",15,MAX(0.1,Skills!E6-IF(TRUE=TRUE,Inputs!$B$32,0)))*(1-IF(AND(ArtifactsInput!$M$27,Inputs!$B$4="Chapter Hunt"),CHOOSE(ArtifactsInput!$N$27+1,20,24,28,32,36,40),0)/100)),0)</f>
        <v>3.3333333333333333E-2</v>
      </c>
      <c r="R1528">
        <f>IF(AND(Inputs!$B$38&lt;&gt;"pvp",Inputs!$B$43&gt;0),IF(Inputs!$B$43&lt;=0,0,(INT(Inputs!$B$43/(IF(Inputs!$B$38="pvp",15,MAX(0.1,Skills!E6-IF(TRUE=TRUE,Inputs!$B$32,0)))*(1-IF(AND(ArtifactsInput!$M$27,Inputs!$B$4="Chapter Hunt"),CHOOSE(ArtifactsInput!$N$27+1,20,24,28,32,36,40),0)/100)))+1)),0)</f>
        <v>2</v>
      </c>
      <c r="S1528">
        <v>0</v>
      </c>
      <c r="U1528">
        <v>0</v>
      </c>
    </row>
    <row r="1529" spans="1:26" x14ac:dyDescent="0.2">
      <c r="A1529" t="str">
        <f>Skills!A7</f>
        <v>POISON_MIST_BURST</v>
      </c>
      <c r="B1529" t="str">
        <f>Skills!B7</f>
        <v>Poison Mist (burst)</v>
      </c>
      <c r="C1529" t="b">
        <f>TRUE</f>
        <v>1</v>
      </c>
      <c r="D1529">
        <f>IF(Skills!C7=1,60+Inputs!$B$25+Inputs!$B$29,IF(Skills!C7=2,90+Inputs!$B$26+Inputs!$B$29,IF(Skills!C7=3,120+Inputs!$B$27+Inputs!$B$29,MAX(0,(Inputs!$B$3-100)*3)+Inputs!$B$28+Inputs!$B$29)))</f>
        <v>184</v>
      </c>
      <c r="E1529">
        <f>INDEX(FactorTable!$B$2:$Y$301, MATCH(ROUND(MIN(300,MAX(1,D1529)),0), FactorTable!$A$2:$A$301,0), Skills!M7+1)</f>
        <v>1920</v>
      </c>
      <c r="F1529">
        <f>IF(Skills!N7=TRUE,(Skills!L7/10)*(E1529/1000),Skills!L7/10)+Skills!O7</f>
        <v>357.2</v>
      </c>
      <c r="G1529">
        <f>Calc!G7</f>
        <v>3</v>
      </c>
      <c r="H1529">
        <f>Calc!H7</f>
        <v>1</v>
      </c>
      <c r="I1529">
        <f>IF(Skills!X7&lt;&gt;"",1+(Skills!X7/10)*(Z1525/1000)/100,1)</f>
        <v>1.7650000000000001</v>
      </c>
      <c r="J1529">
        <f>((Inputs!$B$6*(1+Inputs!$B$7/100))+(((Inputs!$B$12*(1+Inputs!$B$13/100))-(Inputs!$B$12*(1+Inputs!$B$13/100)))+0.25*(Inputs!$B$14-Inputs!$B$14))*(1+Inputs!$B$7/100))*(F1529/100)</f>
        <v>1289972510.4086521</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11440318873772.086</v>
      </c>
      <c r="L1529">
        <f>K1529*(MIN(Inputs!$B$22+(F1544-Calc!F22),(Inputs!$B$23+(IF(ArtifactsInput!$M$15,CHOOSE(ArtifactsInput!$N$15+1,25,30,35,40,45,50)/100*(Inputs!$B$11-Inputs!$B$11),0))))/100+(Inputs!$B$23+(IF(ArtifactsInput!$M$15,CHOOSE(ArtifactsInput!$N$15+1,25,30,35,40,45,50)/100*(Inputs!$B$11-Inputs!$B$11),0)))/100)/2</f>
        <v>38039060255292.188</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529">
        <f>L1529*(1-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529">
        <f>(1-Summary!$B$11)*S1529+Summary!$B$11*U1529</f>
        <v>447913158316422</v>
      </c>
      <c r="P1529">
        <f>IF(B1563=0,0,O1529/B1563)</f>
        <v>1.3537499549121505E-2</v>
      </c>
      <c r="Q1529">
        <f>IFERROR(1/(IF(Inputs!$B$38="pvp",15,MAX(0.1,Skills!E7-IF(TRUE=TRUE,Inputs!$B$32,0)))*(1-IF(AND(ArtifactsInput!$M$27,Inputs!$B$4="Chapter Hunt"),CHOOSE(ArtifactsInput!$N$27+1,20,24,28,32,36,40),0)/100)),0)</f>
        <v>4.0816326530612242E-2</v>
      </c>
      <c r="R1529">
        <f>IF(AND(Inputs!$B$38&lt;&gt;"pvp",Inputs!$B$43&gt;0),IF(MAX(0,Inputs!$B$43-B1560)&lt;=0,0,(INT(MAX(0,Inputs!$B$43-B1560)/(IF(Inputs!$B$38="pvp",15,MAX(0.1,Skills!E7-IF(TRUE=TRUE,Inputs!$B$32,0)))*(1-IF(AND(ArtifactsInput!$M$27,Inputs!$B$4="Chapter Hunt"),CHOOSE(ArtifactsInput!$N$27+1,20,24,28,32,36,40),0)/100)))+1)),0)</f>
        <v>2</v>
      </c>
      <c r="S1529">
        <f>IF(C1529,(H1529*N1529*IF(AND(Inputs!$B$38&lt;&gt;"pvp",Inputs!$B$43&gt;0),((Skills!G7*((R1529-1)*IF(Skills!H7&gt;0,Skills!I7/Skills!H7,1)+IF(Skills!H7&gt;0,MIN(Skills!I7,MAX(0,MAX(0,Inputs!$B$43-B1560)-((R1529-1)*(IF(Inputs!$B$38="pvp",15,MAX(0.1,Skills!E7-IF(TRUE=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529">
        <f>IF(C1529,(H1529*N1529*IF(AND(Inputs!$B$38&lt;&gt;"pvp",Inputs!$B$43&gt;0),((Skills!G7*((R1529-1)*IF(Skills!H7&gt;0,Skills!I7/Skills!H7,1)+IF(Skills!H7&gt;0,MIN(Skills!I7,MAX(0,MAX(0,Inputs!$B$43-B1560)-((R1529-1)*(IF(Inputs!$B$38="pvp",15,MAX(0.1,Skills!E7-IF(TRUE=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530" spans="1:26" x14ac:dyDescent="0.2">
      <c r="A1530" t="str">
        <f>Skills!A8</f>
        <v>POISON_MIST_DOT</v>
      </c>
      <c r="B1530" t="str">
        <f>Skills!B8</f>
        <v>Poison Mist (fog DoT)</v>
      </c>
      <c r="C1530" t="b">
        <f>TRUE</f>
        <v>1</v>
      </c>
      <c r="D1530">
        <f>IF(Skills!C8=1,60+Inputs!$B$25+Inputs!$B$29,IF(Skills!C8=2,90+Inputs!$B$26+Inputs!$B$29,IF(Skills!C8=3,120+Inputs!$B$27+Inputs!$B$29,MAX(0,(Inputs!$B$3-100)*3)+Inputs!$B$28+Inputs!$B$29)))</f>
        <v>184</v>
      </c>
      <c r="E1530">
        <f>INDEX(FactorTable!$B$2:$Y$301, MATCH(ROUND(MIN(300,MAX(1,D1530)),0), FactorTable!$A$2:$A$301,0), Skills!M8+1)</f>
        <v>1920</v>
      </c>
      <c r="F1530">
        <f>IF(Skills!N8=TRUE,(Skills!L8/10)*(E1530/1000),Skills!L8/10)+Skills!O8</f>
        <v>134.4</v>
      </c>
      <c r="G1530">
        <f>Calc!G8</f>
        <v>50</v>
      </c>
      <c r="H1530">
        <f>Calc!H8</f>
        <v>1</v>
      </c>
      <c r="I1530">
        <f>IF(Skills!X8&lt;&gt;"",1+(Skills!X8/10)*(Z1525/1000)/100,1)</f>
        <v>1.7650000000000001</v>
      </c>
      <c r="J1530">
        <f>((Inputs!$B$6*(1+Inputs!$B$7/100))+(((Inputs!$B$12*(1+Inputs!$B$13/100))-(Inputs!$B$12*(1+Inputs!$B$13/100)))+0.25*(Inputs!$B$14-Inputs!$B$14))*(1+Inputs!$B$7/100))*(F1530/100)</f>
        <v>485364796.74950409</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4304532073446.1597</v>
      </c>
      <c r="L1530">
        <f>K1530*(MIN(Inputs!$B$22+(F1544-Calc!F22),(Inputs!$B$23+(IF(ArtifactsInput!$M$15,CHOOSE(ArtifactsInput!$N$15+1,25,30,35,40,45,50)/100*(Inputs!$B$11-Inputs!$B$11),0))))/100+(Inputs!$B$23+(IF(ArtifactsInput!$M$15,CHOOSE(ArtifactsInput!$N$15+1,25,30,35,40,45,50)/100*(Inputs!$B$11-Inputs!$B$11),0)))/100)/2</f>
        <v>14312569144208.482</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530">
        <f>L1530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530">
        <f>(1-Summary!$B$11)*S1530+Summary!$B$11*U1530</f>
        <v>2327471980535951</v>
      </c>
      <c r="P1530">
        <f>IF(B1563=0,0,O1530/B1563)</f>
        <v>7.0344329703392813E-2</v>
      </c>
      <c r="Q1530">
        <f>IFERROR(1/(IF(Inputs!$B$38="pvp",15,MAX(0.1,Skills!E8-IF(TRUE=TRUE,Inputs!$B$32,0)))*(1-IF(AND(ArtifactsInput!$M$27,Inputs!$B$4="Chapter Hunt"),CHOOSE(ArtifactsInput!$N$27+1,20,24,28,32,36,40),0)/100)),0)</f>
        <v>4.0816326530612242E-2</v>
      </c>
      <c r="R1530">
        <f>IF(AND(Inputs!$B$38&lt;&gt;"pvp",Inputs!$B$43&gt;0),IF(MAX(0,Inputs!$B$43-B1560)&lt;=0,0,(INT(MAX(0,Inputs!$B$43-B1560)/(IF(Inputs!$B$38="pvp",15,MAX(0.1,Skills!E8-IF(TRUE=TRUE,Inputs!$B$32,0)))*(1-IF(AND(ArtifactsInput!$M$27,Inputs!$B$4="Chapter Hunt"),CHOOSE(ArtifactsInput!$N$27+1,20,24,28,32,36,40),0)/100)))+1)),0)</f>
        <v>2</v>
      </c>
      <c r="S1530">
        <f>IF(C1530,(H1530*N1530*IF(AND(Inputs!$B$38&lt;&gt;"pvp",Inputs!$B$43&gt;0),((Skills!G8*((R1530-1)*IF(Skills!H8&gt;0,Skills!I8/Skills!H8,1)+IF(Skills!H8&gt;0,MIN(Skills!I8,MAX(0,MAX(0,Inputs!$B$43-B1560)-((R1530-1)*(IF(Inputs!$B$38="pvp",15,MAX(0.1,Skills!E8-IF(TRUE=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530">
        <f>IF(C1530,(H1530*N1530*IF(AND(Inputs!$B$38&lt;&gt;"pvp",Inputs!$B$43&gt;0),((Skills!G8*((R1530-1)*IF(Skills!H8&gt;0,Skills!I8/Skills!H8,1)+IF(Skills!H8&gt;0,MIN(Skills!I8,MAX(0,MAX(0,Inputs!$B$43-B1560)-((R1530-1)*(IF(Inputs!$B$38="pvp",15,MAX(0.1,Skills!E8-IF(TRUE=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531" spans="1:26" x14ac:dyDescent="0.2">
      <c r="A1531" t="str">
        <f>Skills!A9</f>
        <v>MIST_ERUPTION</v>
      </c>
      <c r="B1531" t="str">
        <f>Skills!B9</f>
        <v>Mist Eruption</v>
      </c>
      <c r="C1531" t="b">
        <f>Inputs!$B$3&gt;=103</f>
        <v>1</v>
      </c>
      <c r="D1531">
        <f>IF(Skills!C9=1,60+Inputs!$B$25+Inputs!$B$29,IF(Skills!C9=2,90+Inputs!$B$26+Inputs!$B$29,IF(Skills!C9=3,120+Inputs!$B$27+Inputs!$B$29,MAX(0,(Inputs!$B$3-100)*3)+Inputs!$B$28+Inputs!$B$29)))</f>
        <v>185</v>
      </c>
      <c r="E1531">
        <f>INDEX(FactorTable!$B$2:$Y$301, MATCH(ROUND(MIN(300,MAX(1,D1531)),0), FactorTable!$A$2:$A$301,0), Skills!M9+1)</f>
        <v>1925</v>
      </c>
      <c r="F1531">
        <f>IF(Skills!N9=TRUE,(Skills!L9/10)*(E1531/1000),Skills!L9/10)+Skills!O9</f>
        <v>5775</v>
      </c>
      <c r="G1531">
        <f>Calc!G9</f>
        <v>2.5</v>
      </c>
      <c r="H1531">
        <f>Calc!H9</f>
        <v>1</v>
      </c>
      <c r="I1531">
        <f>IF(Skills!X9&lt;&gt;"",1+(Skills!X9/10)*(Z1525/1000)/100,1)</f>
        <v>1</v>
      </c>
      <c r="J1531">
        <f>((Inputs!$B$6*(1+Inputs!$B$7/100))+(((Inputs!$B$12*(1+Inputs!$B$13/100))-(Inputs!$B$12*(1+Inputs!$B$13/100)))+0.25*(Inputs!$B$14-Inputs!$B$14))*(1+Inputs!$B$7/100))*(F1531/100)</f>
        <v>20855518610.330254</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104793406533081.95</v>
      </c>
      <c r="L1531">
        <f>K1531*(MIN(Inputs!$B$22+(F1544-Calc!F22),(Inputs!$B$23+(IF(ArtifactsInput!$M$15,CHOOSE(ArtifactsInput!$N$15+1,25,30,35,40,45,50)/100*(Inputs!$B$11-Inputs!$B$11),0))))/100+(Inputs!$B$23+(IF(ArtifactsInput!$M$15,CHOOSE(ArtifactsInput!$N$15+1,25,30,35,40,45,50)/100*(Inputs!$B$11-Inputs!$B$11),0)))/100)/2</f>
        <v>348438076722497.5</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531">
        <f>L1531*(1-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531">
        <f>(1-Summary!$B$11)*S1531+Summary!$B$11*U1531</f>
        <v>3419073236278675</v>
      </c>
      <c r="P1531">
        <f>IF(B1563=0,0,O1531/B1563)</f>
        <v>0.10333633101673266</v>
      </c>
      <c r="Q1531">
        <f>IFERROR(1/(IF(Inputs!$B$38="pvp",15,MAX(0.1,Skills!E9-IF(TRUE=TRUE,Inputs!$B$32,0)))*(1-IF(AND(ArtifactsInput!$M$27,Inputs!$B$4="Chapter Hunt"),CHOOSE(ArtifactsInput!$N$27+1,20,24,28,32,36,40),0)/100)),0)</f>
        <v>4.0816326530612242E-2</v>
      </c>
      <c r="R1531">
        <f>IF(AND(Inputs!$B$38&lt;&gt;"pvp",Inputs!$B$43&gt;0),IF(MAX(0,Inputs!$B$43-B1560)&lt;=0,0,(INT(MAX(0,Inputs!$B$43-B1560)/(IF(Inputs!$B$38="pvp",15,MAX(0.1,Skills!E9-IF(TRUE=TRUE,Inputs!$B$32,0)))*(1-IF(AND(ArtifactsInput!$M$27,Inputs!$B$4="Chapter Hunt"),CHOOSE(ArtifactsInput!$N$27+1,20,24,28,32,36,40),0)/100)))+1)),0)</f>
        <v>2</v>
      </c>
      <c r="S1531">
        <f>IF(C1531,(H1531*N1531*IF(AND(Inputs!$B$38&lt;&gt;"pvp",Inputs!$B$43&gt;0),((Skills!G9*((R1531-1)*IF(Skills!H9&gt;0,Skills!I9/Skills!H9,1)+IF(Skills!H9&gt;0,MIN(Skills!I9,MAX(0,MAX(0,Inputs!$B$43-B1560)-((R1531-1)*(IF(Inputs!$B$38="pvp",15,MAX(0.1,Skills!E9-IF(TRUE=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531">
        <f>IF(C1531,(H1531*N1531*IF(AND(Inputs!$B$38&lt;&gt;"pvp",Inputs!$B$43&gt;0),((Skills!G9*((R1531-1)*IF(Skills!H9&gt;0,Skills!I9/Skills!H9,1)+IF(Skills!H9&gt;0,MIN(Skills!I9,MAX(0,MAX(0,Inputs!$B$43-B1560)-((R1531-1)*(IF(Inputs!$B$38="pvp",15,MAX(0.1,Skills!E9-IF(TRUE=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532" spans="1:26" x14ac:dyDescent="0.2">
      <c r="A1532" t="str">
        <f>Skills!A10</f>
        <v>CREEPING_TOXIN</v>
      </c>
      <c r="B1532" t="str">
        <f>Skills!B10</f>
        <v>Creeping Toxin</v>
      </c>
      <c r="C1532" t="b">
        <f>TRUE</f>
        <v>1</v>
      </c>
      <c r="D1532">
        <f>IF(Skills!C10=1,60+Inputs!$B$25+Inputs!$B$29,IF(Skills!C10=2,90+Inputs!$B$26+Inputs!$B$29,IF(Skills!C10=3,120+Inputs!$B$27+Inputs!$B$29,MAX(0,(Inputs!$B$3-100)*3)+Inputs!$B$28+Inputs!$B$29)))</f>
        <v>184</v>
      </c>
      <c r="E1532">
        <f>INDEX(FactorTable!$B$2:$Y$301, MATCH(ROUND(MIN(300,MAX(1,D1532)),0), FactorTable!$A$2:$A$301,0), Skills!M10+1)</f>
        <v>1920</v>
      </c>
      <c r="F1532">
        <f>IF(Skills!N10=TRUE,(Skills!L10/10)*(E1532/1000),Skills!L10/10)+Skills!O10</f>
        <v>280.39999999999998</v>
      </c>
      <c r="G1532">
        <f>Calc!G10</f>
        <v>15</v>
      </c>
      <c r="H1532">
        <f>Calc!H10</f>
        <v>1</v>
      </c>
      <c r="I1532">
        <f>IF(Skills!X10&lt;&gt;"",1+(Skills!X10/10)*(Z1525/1000)/100,1)</f>
        <v>1.7650000000000001</v>
      </c>
      <c r="J1532">
        <f>((Inputs!$B$6*(1+Inputs!$B$7/100))+(((Inputs!$B$12*(1+Inputs!$B$13/100))-(Inputs!$B$12*(1+Inputs!$B$13/100)))+0.25*(Inputs!$B$14-Inputs!$B$14))*(1+Inputs!$B$7/100))*(F1532/100)</f>
        <v>1012621197.9803641</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8980586260374.2793</v>
      </c>
      <c r="L1532">
        <f>K1532*(MIN(Inputs!$B$22+(F1544-Calc!F22),(Inputs!$B$23+(IF(ArtifactsInput!$M$15,CHOOSE(ArtifactsInput!$N$15+1,25,30,35,40,45,50)/100*(Inputs!$B$11-Inputs!$B$11),0))))/100+(Inputs!$B$23+(IF(ArtifactsInput!$M$15,CHOOSE(ArtifactsInput!$N$15+1,25,30,35,40,45,50)/100*(Inputs!$B$11-Inputs!$B$11),0)))/100)/2</f>
        <v>29860449315744.48</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532">
        <f>L1532*(1-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532">
        <f>(1-Summary!$B$11)*S1532+Summary!$B$11*U1532</f>
        <v>324323455609081.62</v>
      </c>
      <c r="P1532">
        <f>IF(B1563=0,0,O1532/B1563)</f>
        <v>9.8021872154419789E-3</v>
      </c>
      <c r="Q1532">
        <f>IFERROR(1/(IF(Inputs!$B$38="pvp",15,MAX(0.1,Skills!E10-IF(TRUE=TRUE,Inputs!$B$32,0)))*(1-IF(AND(ArtifactsInput!$M$27,Inputs!$B$4="Chapter Hunt"),CHOOSE(ArtifactsInput!$N$27+1,20,24,28,32,36,40),0)/100)),0)</f>
        <v>3.7037037037037035E-2</v>
      </c>
      <c r="R1532">
        <f>IF(AND(Inputs!$B$38&lt;&gt;"pvp",Inputs!$B$43&gt;0),IF(MAX(0,Inputs!$B$43-B1560)&lt;=0,0,(INT(MAX(0,Inputs!$B$43-B1560)/(IF(Inputs!$B$38="pvp",15,MAX(0.1,Skills!E10-IF(TRUE=TRUE,Inputs!$B$32,0)))*(1-IF(AND(ArtifactsInput!$M$27,Inputs!$B$4="Chapter Hunt"),CHOOSE(ArtifactsInput!$N$27+1,20,24,28,32,36,40),0)/100)))+1)),0)</f>
        <v>2</v>
      </c>
      <c r="S1532">
        <f>IF(C1532,(H1532*N1532*IF(AND(Inputs!$B$38&lt;&gt;"pvp",Inputs!$B$43&gt;0),((Skills!G10*((R1532-1)*IF(Skills!H10&gt;0,Skills!I10/Skills!H10,1)+IF(Skills!H10&gt;0,MIN(Skills!I10,MAX(0,MAX(0,Inputs!$B$43-B1560)-((R1532-1)*(IF(Inputs!$B$38="pvp",15,MAX(0.1,Skills!E10-IF(TRUE=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532">
        <f>IF(C1532,(H1532*N1532*IF(AND(Inputs!$B$38&lt;&gt;"pvp",Inputs!$B$43&gt;0),((Skills!G10*((R1532-1)*IF(Skills!H10&gt;0,Skills!I10/Skills!H10,1)+IF(Skills!H10&gt;0,MIN(Skills!I10,MAX(0,MAX(0,Inputs!$B$43-B1560)-((R1532-1)*(IF(Inputs!$B$38="pvp",15,MAX(0.1,Skills!E10-IF(TRUE=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533" spans="1:26" x14ac:dyDescent="0.2">
      <c r="A1533" t="str">
        <f>Skills!A11</f>
        <v>BURNING_MAGIC</v>
      </c>
      <c r="B1533" t="str">
        <f>Skills!B11</f>
        <v>Burning Magic</v>
      </c>
      <c r="C1533" t="b">
        <f>TRUE</f>
        <v>1</v>
      </c>
      <c r="D1533">
        <f>IF(Skills!C11=1,60+Inputs!$B$25+Inputs!$B$29,IF(Skills!C11=2,90+Inputs!$B$26+Inputs!$B$29,IF(Skills!C11=3,120+Inputs!$B$27+Inputs!$B$29,MAX(0,(Inputs!$B$3-100)*3)+Inputs!$B$28+Inputs!$B$29)))</f>
        <v>184</v>
      </c>
      <c r="E1533">
        <f>INDEX(FactorTable!$B$2:$Y$301, MATCH(ROUND(MIN(300,MAX(1,D1533)),0), FactorTable!$A$2:$A$301,0), Skills!M11+1)</f>
        <v>0</v>
      </c>
      <c r="F1533">
        <f>IF(Skills!N11=TRUE,(Skills!L11/10)*(E1533/1000),Skills!L11/10)+Skills!O11</f>
        <v>5</v>
      </c>
      <c r="G1533">
        <f>Calc!G11</f>
        <v>1</v>
      </c>
      <c r="H1533">
        <f>Calc!H11</f>
        <v>1</v>
      </c>
      <c r="I1533">
        <f>IF(Skills!X11&lt;&gt;"",1+(Skills!X11/10)*(Z1525/1000)/100,1)</f>
        <v>1</v>
      </c>
      <c r="O1533">
        <f>(1-Summary!$B$11)*S1533+Summary!$B$11*U1533</f>
        <v>0</v>
      </c>
      <c r="P1533">
        <f>IF(B1563=0,0,O1533/B1563)</f>
        <v>0</v>
      </c>
      <c r="Q1533">
        <f>IFERROR(1/(IF(Inputs!$B$38="pvp",15,MAX(0.1,Skills!E11-IF(TRUE=TRUE,Inputs!$B$32,0)))*(1-IF(AND(ArtifactsInput!$M$27,Inputs!$B$4="Chapter Hunt"),CHOOSE(ArtifactsInput!$N$27+1,20,24,28,32,36,40),0)/100)),0)</f>
        <v>10</v>
      </c>
      <c r="R1533">
        <v>0</v>
      </c>
      <c r="S1533">
        <v>0</v>
      </c>
      <c r="U1533">
        <v>0</v>
      </c>
    </row>
    <row r="1534" spans="1:26" x14ac:dyDescent="0.2">
      <c r="A1534" t="str">
        <f>Skills!A12</f>
        <v>ELEMENTAL_DECREASE</v>
      </c>
      <c r="B1534" t="str">
        <f>Skills!B12</f>
        <v>Elemental Decrease</v>
      </c>
      <c r="C1534" t="b">
        <f>TRUE</f>
        <v>1</v>
      </c>
      <c r="D1534">
        <f>IF(Skills!C12=1,60+Inputs!$B$25+Inputs!$B$29,IF(Skills!C12=2,90+Inputs!$B$26+Inputs!$B$29,IF(Skills!C12=3,120+Inputs!$B$27+Inputs!$B$29,MAX(0,(Inputs!$B$3-100)*3)+Inputs!$B$28+Inputs!$B$29)))</f>
        <v>184</v>
      </c>
      <c r="E1534">
        <f>INDEX(FactorTable!$B$2:$Y$301, MATCH(ROUND(MIN(300,MAX(1,D1534)),0), FactorTable!$A$2:$A$301,0), Skills!M12+1)</f>
        <v>1552</v>
      </c>
      <c r="F1534">
        <f>IF(Skills!N12=TRUE,(Skills!L12/10)*(E1534/1000),Skills!L12/10)+Skills!O12</f>
        <v>18.624000000000002</v>
      </c>
      <c r="G1534">
        <f>Calc!G12</f>
        <v>1</v>
      </c>
      <c r="H1534">
        <f>Calc!H12</f>
        <v>0.5</v>
      </c>
      <c r="I1534">
        <f>IF(Skills!X12&lt;&gt;"",1+(Skills!X12/10)*(Z1525/1000)/100,1)</f>
        <v>1</v>
      </c>
      <c r="O1534">
        <f>(1-Summary!$B$11)*S1534+Summary!$B$11*U1534</f>
        <v>0</v>
      </c>
      <c r="P1534">
        <f>IF(B1563=0,0,O1534/B1563)</f>
        <v>0</v>
      </c>
      <c r="Q1534">
        <f>IFERROR(1/(IF(Inputs!$B$38="pvp",15,MAX(0.1,Skills!E12-IF(TRUE=TRUE,Inputs!$B$32,0)))*(1-IF(AND(ArtifactsInput!$M$27,Inputs!$B$4="Chapter Hunt"),CHOOSE(ArtifactsInput!$N$27+1,20,24,28,32,36,40),0)/100)),0)</f>
        <v>10</v>
      </c>
      <c r="R1534">
        <v>0</v>
      </c>
      <c r="S1534">
        <v>0</v>
      </c>
      <c r="U1534">
        <v>0</v>
      </c>
    </row>
    <row r="1535" spans="1:26" x14ac:dyDescent="0.2">
      <c r="A1535" t="str">
        <f>Skills!A13</f>
        <v>METEOR_SHOWER_BURST</v>
      </c>
      <c r="B1535" t="str">
        <f>Skills!B13</f>
        <v>Meteor Shower (burst)</v>
      </c>
      <c r="C1535" t="b">
        <f>Inputs!$B$3&gt;=105</f>
        <v>1</v>
      </c>
      <c r="D1535">
        <f>IF(Skills!C13=1,60+Inputs!$B$25+Inputs!$B$29,IF(Skills!C13=2,90+Inputs!$B$26+Inputs!$B$29,IF(Skills!C13=3,120+Inputs!$B$27+Inputs!$B$29,MAX(0,(Inputs!$B$3-100)*3)+Inputs!$B$28+Inputs!$B$29)))</f>
        <v>185</v>
      </c>
      <c r="E1535">
        <f>INDEX(FactorTable!$B$2:$Y$301, MATCH(ROUND(MIN(300,MAX(1,D1535)),0), FactorTable!$A$2:$A$301,0), Skills!M13+1)</f>
        <v>1925</v>
      </c>
      <c r="F1535">
        <f>IF(Skills!N13=TRUE,(Skills!L13/10)*(E1535/1000),Skills!L13/10)+Skills!O13</f>
        <v>1155</v>
      </c>
      <c r="G1535">
        <f>Calc!G13</f>
        <v>9</v>
      </c>
      <c r="H1535">
        <f>Calc!H13</f>
        <v>1</v>
      </c>
      <c r="I1535">
        <f>IF(Skills!X13&lt;&gt;"",1+(Skills!X13/10)*(Z1525/1000)/100,1)</f>
        <v>1</v>
      </c>
      <c r="J1535">
        <f>((Inputs!$B$6*(1+Inputs!$B$7/100))+(((Inputs!$B$12*(1+Inputs!$B$13/100))-(Inputs!$B$12*(1+Inputs!$B$13/100)))+0.25*(Inputs!$B$14-Inputs!$B$14))*(1+Inputs!$B$7/100))*(F1535/100)</f>
        <v>4171103722.0660505</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20958681306616.391</v>
      </c>
      <c r="L1535">
        <f>K1535*(MIN(Inputs!$B$22+(F1544-Calc!F22),(Inputs!$B$23+(IF(ArtifactsInput!$M$15,CHOOSE(ArtifactsInput!$N$15+1,25,30,35,40,45,50)/100*(Inputs!$B$11-Inputs!$B$11),0))))/100+(Inputs!$B$23+(IF(ArtifactsInput!$M$15,CHOOSE(ArtifactsInput!$N$15+1,25,30,35,40,45,50)/100*(Inputs!$B$11-Inputs!$B$11),0)))/100)/2</f>
        <v>69687615344499.5</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535">
        <f>L1535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535">
        <f>(1-Summary!$B$11)*S1535+Summary!$B$11*U1535</f>
        <v>1793579843045520.5</v>
      </c>
      <c r="P1535">
        <f>IF(B1563=0,0,O1535/B1563)</f>
        <v>5.4208245204954375E-2</v>
      </c>
      <c r="Q1535">
        <f>IFERROR(1/(IF(Inputs!$B$38="pvp",15,MAX(0.1,Skills!E13-IF(TRUE=TRUE,Inputs!$B$32,0)))*(1-IF(AND(ArtifactsInput!$M$27,Inputs!$B$4="Chapter Hunt"),CHOOSE(ArtifactsInput!$N$27+1,20,24,28,32,36,40),0)/100)),0)</f>
        <v>3.0303030303030304E-2</v>
      </c>
      <c r="R1535">
        <f>IF(AND(Inputs!$B$38&lt;&gt;"pvp",Inputs!$B$43&gt;0),IF(MAX(0,Inputs!$B$43-B1560)&lt;=0,0,(INT(MAX(0,Inputs!$B$43-B1560)/(IF(Inputs!$B$38="pvp",15,MAX(0.1,Skills!E13-IF(TRUE=TRUE,Inputs!$B$32,0)))*(1-IF(AND(ArtifactsInput!$M$27,Inputs!$B$4="Chapter Hunt"),CHOOSE(ArtifactsInput!$N$27+1,20,24,28,32,36,40),0)/100)))+1)),0)</f>
        <v>2</v>
      </c>
      <c r="S1535">
        <f>IF(C1535,(H1535*N1535*IF(AND(Inputs!$B$38&lt;&gt;"pvp",Inputs!$B$43&gt;0),((Skills!G13*((R1535-1)*IF(Skills!H13&gt;0,Skills!I13/Skills!H13,1)+IF(Skills!H13&gt;0,MIN(Skills!I13,MAX(0,MAX(0,Inputs!$B$43-B1560)-((R1535-1)*(IF(Inputs!$B$38="pvp",15,MAX(0.1,Skills!E13-IF(TRUE=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535">
        <f>IF(C1535,(H1535*N1535*IF(AND(Inputs!$B$38&lt;&gt;"pvp",Inputs!$B$43&gt;0),((Skills!G13*((R1535-1)*IF(Skills!H13&gt;0,Skills!I13/Skills!H13,1)+IF(Skills!H13&gt;0,MIN(Skills!I13,MAX(0,MAX(0,Inputs!$B$43-B1560)-((R1535-1)*(IF(Inputs!$B$38="pvp",15,MAX(0.1,Skills!E13-IF(TRUE=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536" spans="1:26" x14ac:dyDescent="0.2">
      <c r="A1536" t="str">
        <f>Skills!A14</f>
        <v>METEOR_PROC</v>
      </c>
      <c r="B1536" t="str">
        <f>Skills!B14</f>
        <v>Meteor Proc (30% on-hit, 1s ICD)</v>
      </c>
      <c r="C1536" t="b">
        <f>Inputs!$B$3&gt;=113</f>
        <v>1</v>
      </c>
      <c r="D1536">
        <f>IF(Skills!C14=1,60+Inputs!$B$25+Inputs!$B$29,IF(Skills!C14=2,90+Inputs!$B$26+Inputs!$B$29,IF(Skills!C14=3,120+Inputs!$B$27+Inputs!$B$29,MAX(0,(Inputs!$B$3-100)*3)+Inputs!$B$28+Inputs!$B$29)))</f>
        <v>185</v>
      </c>
      <c r="E1536">
        <f>INDEX(FactorTable!$B$2:$Y$301, MATCH(ROUND(MIN(300,MAX(1,D1536)),0), FactorTable!$A$2:$A$301,0), Skills!M14+1)</f>
        <v>1740</v>
      </c>
      <c r="F1536">
        <f>IF(Skills!N14=TRUE,(Skills!L14/10)*(E1536/1000),Skills!L14/10)+Skills!O14</f>
        <v>1653</v>
      </c>
      <c r="G1536">
        <f>Calc!G14</f>
        <v>0</v>
      </c>
      <c r="H1536">
        <f>Calc!H14</f>
        <v>0.30000000000000004</v>
      </c>
      <c r="I1536">
        <f>IF(Skills!X14&lt;&gt;"",1+(Skills!X14/10)*(Z1525/1000)/100,1)</f>
        <v>1</v>
      </c>
      <c r="J1536">
        <f>((Inputs!$B$6*(1+Inputs!$B$7/100))+(((Inputs!$B$12*(1+Inputs!$B$13/100))-(Inputs!$B$12*(1+Inputs!$B$13/100)))+0.25*(Inputs!$B$14-Inputs!$B$14))*(1+Inputs!$B$7/100))*(F1536/100)</f>
        <v>5969553638.5932312</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29995411428430.203</v>
      </c>
      <c r="L1536">
        <f>K1536*(MIN(Inputs!$B$22+(F1544-Calc!F22),(Inputs!$B$23+(IF(ArtifactsInput!$M$15,CHOOSE(ArtifactsInput!$N$15+1,25,30,35,40,45,50)/100*(Inputs!$B$11-Inputs!$B$11),0))))/100+(Inputs!$B$23+(IF(ArtifactsInput!$M$15,CHOOSE(ArtifactsInput!$N$15+1,25,30,35,40,45,50)/100*(Inputs!$B$11-Inputs!$B$11),0)))/100)/2</f>
        <v>99734742999530.438</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536">
        <f>L1536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536">
        <f>(1-Summary!$B$11)*S1536+Summary!$B$11*U1536</f>
        <v>461258197543910.38</v>
      </c>
      <c r="P1536">
        <f>IF(B1563=0,0,O1536/B1563)</f>
        <v>1.3940833229257574E-2</v>
      </c>
      <c r="Q1536">
        <f>IFERROR(1/(IF(Inputs!$B$38="pvp",15,MAX(0.1,Skills!E14-IF(TRUE=TRUE,Inputs!$B$32,0)))*(1-IF(AND(ArtifactsInput!$M$27,Inputs!$B$4="Chapter Hunt"),CHOOSE(ArtifactsInput!$N$27+1,20,24,28,32,36,40),0)/100)),0)</f>
        <v>10</v>
      </c>
      <c r="R1536">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537" spans="1:21" x14ac:dyDescent="0.2">
      <c r="A1537" t="str">
        <f>Skills!A15</f>
        <v>FLAME_HAZE_BURST</v>
      </c>
      <c r="B1537" t="str">
        <f>Skills!B15</f>
        <v>Flame Haze (burst)</v>
      </c>
      <c r="C1537" t="b">
        <f>Inputs!$B$3&gt;=107</f>
        <v>1</v>
      </c>
      <c r="D1537">
        <f>IF(Skills!C15=1,60+Inputs!$B$25+Inputs!$B$29,IF(Skills!C15=2,90+Inputs!$B$26+Inputs!$B$29,IF(Skills!C15=3,120+Inputs!$B$27+Inputs!$B$29,MAX(0,(Inputs!$B$3-100)*3)+Inputs!$B$28+Inputs!$B$29)))</f>
        <v>185</v>
      </c>
      <c r="E1537">
        <f>INDEX(FactorTable!$B$2:$Y$301, MATCH(ROUND(MIN(300,MAX(1,D1537)),0), FactorTable!$A$2:$A$301,0), Skills!M15+1)</f>
        <v>1925</v>
      </c>
      <c r="F1537">
        <f>IF(Skills!N15=TRUE,(Skills!L15/10)*(E1537/1000),Skills!L15/10)+Skills!O15</f>
        <v>2310</v>
      </c>
      <c r="G1537">
        <f>Calc!G15</f>
        <v>3</v>
      </c>
      <c r="H1537">
        <f>Calc!H15</f>
        <v>1</v>
      </c>
      <c r="I1537">
        <f>IF(Skills!X15&lt;&gt;"",1+(Skills!X15/10)*(Z1525/1000)/100,1)</f>
        <v>1</v>
      </c>
      <c r="J1537">
        <f>((Inputs!$B$6*(1+Inputs!$B$7/100))+(((Inputs!$B$12*(1+Inputs!$B$13/100))-(Inputs!$B$12*(1+Inputs!$B$13/100)))+0.25*(Inputs!$B$14-Inputs!$B$14))*(1+Inputs!$B$7/100))*(F1537/100)</f>
        <v>8342207444.1321011</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41917362613232.781</v>
      </c>
      <c r="L1537">
        <f>K1537*(MIN(Inputs!$B$22+(F1544-Calc!F22),(Inputs!$B$23+(IF(ArtifactsInput!$M$15,CHOOSE(ArtifactsInput!$N$15+1,25,30,35,40,45,50)/100*(Inputs!$B$11-Inputs!$B$11),0))))/100+(Inputs!$B$23+(IF(ArtifactsInput!$M$15,CHOOSE(ArtifactsInput!$N$15+1,25,30,35,40,45,50)/100*(Inputs!$B$11-Inputs!$B$11),0)))/100)/2</f>
        <v>139375230688999</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537">
        <f>L1537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537">
        <f>(1-Summary!$B$11)*S1537+Summary!$B$11*U1537</f>
        <v>1641155153413763.8</v>
      </c>
      <c r="P1537">
        <f>IF(B1563=0,0,O1537/B1563)</f>
        <v>4.9601438888031674E-2</v>
      </c>
      <c r="Q1537">
        <f>IFERROR(1/(IF(Inputs!$B$38="pvp",15,MAX(0.1,Skills!E15-IF(TRUE=TRUE,Inputs!$B$32,0)))*(1-IF(AND(ArtifactsInput!$M$27,Inputs!$B$4="Chapter Hunt"),CHOOSE(ArtifactsInput!$N$27+1,20,24,28,32,36,40),0)/100)),0)</f>
        <v>0.04</v>
      </c>
      <c r="R1537">
        <f>IF(AND(Inputs!$B$38&lt;&gt;"pvp",Inputs!$B$43&gt;0),IF(MAX(0,Inputs!$B$43-B1560)&lt;=0,0,(INT(MAX(0,Inputs!$B$43-B1560)/(IF(Inputs!$B$38="pvp",15,MAX(0.1,Skills!E15-IF(TRUE=TRUE,Inputs!$B$32,0)))*(1-IF(AND(ArtifactsInput!$M$27,Inputs!$B$4="Chapter Hunt"),CHOOSE(ArtifactsInput!$N$27+1,20,24,28,32,36,40),0)/100)))+1)),0)</f>
        <v>2</v>
      </c>
      <c r="S1537">
        <f>IF(C1537,(H1537*N1537*IF(AND(Inputs!$B$38&lt;&gt;"pvp",Inputs!$B$43&gt;0),((Skills!G15*((R1537-1)*IF(Skills!H15&gt;0,Skills!I15/Skills!H15,1)+IF(Skills!H15&gt;0,MIN(Skills!I15,MAX(0,MAX(0,Inputs!$B$43-B1560)-((R1537-1)*(IF(Inputs!$B$38="pvp",15,MAX(0.1,Skills!E15-IF(TRUE=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537">
        <f>IF(C1537,(H1537*N1537*IF(AND(Inputs!$B$38&lt;&gt;"pvp",Inputs!$B$43&gt;0),((Skills!G15*((R1537-1)*IF(Skills!H15&gt;0,Skills!I15/Skills!H15,1)+IF(Skills!H15&gt;0,MIN(Skills!I15,MAX(0,MAX(0,Inputs!$B$43-B1560)-((R1537-1)*(IF(Inputs!$B$38="pvp",15,MAX(0.1,Skills!E15-IF(TRUE=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538" spans="1:21" x14ac:dyDescent="0.2">
      <c r="A1538" t="str">
        <f>Skills!A16</f>
        <v>FLAME_HAZE_DOT</v>
      </c>
      <c r="B1538" t="str">
        <f>Skills!B16</f>
        <v>Flame Haze (burn DoT)</v>
      </c>
      <c r="C1538" t="b">
        <f>Inputs!$B$3&gt;=107</f>
        <v>1</v>
      </c>
      <c r="D1538">
        <f>IF(Skills!C16=1,60+Inputs!$B$25+Inputs!$B$29,IF(Skills!C16=2,90+Inputs!$B$26+Inputs!$B$29,IF(Skills!C16=3,120+Inputs!$B$27+Inputs!$B$29,MAX(0,(Inputs!$B$3-100)*3)+Inputs!$B$28+Inputs!$B$29)))</f>
        <v>185</v>
      </c>
      <c r="E1538">
        <f>INDEX(FactorTable!$B$2:$Y$301, MATCH(ROUND(MIN(300,MAX(1,D1538)),0), FactorTable!$A$2:$A$301,0), Skills!M16+1)</f>
        <v>1925</v>
      </c>
      <c r="F1538">
        <f>IF(Skills!N16=TRUE,(Skills!L16/10)*(E1538/1000),Skills!L16/10)+Skills!O16</f>
        <v>288.75</v>
      </c>
      <c r="G1538">
        <f>Calc!G16</f>
        <v>30</v>
      </c>
      <c r="H1538">
        <f>Calc!H16</f>
        <v>1</v>
      </c>
      <c r="I1538">
        <f>IF(Skills!X16&lt;&gt;"",1+(Skills!X16/10)*(Z1525/1000)/100,1)</f>
        <v>1</v>
      </c>
      <c r="J1538">
        <f>((Inputs!$B$6*(1+Inputs!$B$7/100))+(((Inputs!$B$12*(1+Inputs!$B$13/100))-(Inputs!$B$12*(1+Inputs!$B$13/100)))+0.25*(Inputs!$B$14-Inputs!$B$14))*(1+Inputs!$B$7/100))*(F1538/100)</f>
        <v>1042775930.5165126</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5239670326654.0977</v>
      </c>
      <c r="L1538">
        <f>K1538*(MIN(Inputs!$B$22+(F1544-Calc!F22),(Inputs!$B$23+(IF(ArtifactsInput!$M$15,CHOOSE(ArtifactsInput!$N$15+1,25,30,35,40,45,50)/100*(Inputs!$B$11-Inputs!$B$11),0))))/100+(Inputs!$B$23+(IF(ArtifactsInput!$M$15,CHOOSE(ArtifactsInput!$N$15+1,25,30,35,40,45,50)/100*(Inputs!$B$11-Inputs!$B$11),0)))/100)/2</f>
        <v>17421903836124.875</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538">
        <f>L1538*(1-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538">
        <f>(1-Summary!$B$11)*S1538+Summary!$B$11*U1538</f>
        <v>1890384927888193</v>
      </c>
      <c r="P1538">
        <f>IF(B1563=0,0,O1538/B1563)</f>
        <v>5.7134032867313167E-2</v>
      </c>
      <c r="Q1538">
        <f>IFERROR(1/(IF(Inputs!$B$38="pvp",15,MAX(0.1,Skills!E16-IF(TRUE=TRUE,Inputs!$B$32,0)))*(1-IF(AND(ArtifactsInput!$M$27,Inputs!$B$4="Chapter Hunt"),CHOOSE(ArtifactsInput!$N$27+1,20,24,28,32,36,40),0)/100)),0)</f>
        <v>0.04</v>
      </c>
      <c r="R1538">
        <f>IF(AND(Inputs!$B$38&lt;&gt;"pvp",Inputs!$B$43&gt;0),IF(MAX(0,Inputs!$B$43-B1560)&lt;=0,0,(INT(MAX(0,Inputs!$B$43-B1560)/(IF(Inputs!$B$38="pvp",15,MAX(0.1,Skills!E16-IF(TRUE=TRUE,Inputs!$B$32,0)))*(1-IF(AND(ArtifactsInput!$M$27,Inputs!$B$4="Chapter Hunt"),CHOOSE(ArtifactsInput!$N$27+1,20,24,28,32,36,40),0)/100)))+1)),0)</f>
        <v>2</v>
      </c>
      <c r="S1538">
        <f>IF(C1538,(H1538*N1538*IF(AND(Inputs!$B$38&lt;&gt;"pvp",Inputs!$B$43&gt;0),((Skills!G16*((R1538-1)*IF(Skills!H16&gt;0,Skills!I16/Skills!H16,1)+IF(Skills!H16&gt;0,MIN(Skills!I16,MAX(0,MAX(0,Inputs!$B$43-B1560)-((R1538-1)*(IF(Inputs!$B$38="pvp",15,MAX(0.1,Skills!E16-IF(TRUE=TRUE,Inputs!$B$32,0)))*(1-IF(AND(ArtifactsInput!$M$27,Inputs!$B$4="Chapter Hunt"),CHOOSE(ArtifactsInput!$N$27+1,20,24,28,32,36,40),0)/100)))))/Skills!H16,1)))/Inputs!$B$43),G1538*Q1538)*(1+IF(Inputs!$B$3&gt;=126,0.05*(B1558+Q1535+(H1536*B1559)/(1+Skills!H14*H1536*B1559)+Q1546),0)*(1/Q1537)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538">
        <f>IF(C1538,(H1538*N1538*IF(AND(Inputs!$B$38&lt;&gt;"pvp",Inputs!$B$43&gt;0),((Skills!G16*((R1538-1)*IF(Skills!H16&gt;0,Skills!I16/Skills!H16,1)+IF(Skills!H16&gt;0,MIN(Skills!I16,MAX(0,MAX(0,Inputs!$B$43-B1560)-((R1538-1)*(IF(Inputs!$B$38="pvp",15,MAX(0.1,Skills!E16-IF(TRUE=TRUE,Inputs!$B$32,0)))*(1-IF(AND(ArtifactsInput!$M$27,Inputs!$B$4="Chapter Hunt"),CHOOSE(ArtifactsInput!$N$27+1,20,24,28,32,36,40),0)/100)))))/Skills!H16,1)))/Inputs!$B$43),G1538*Q1538)*(1+IF(Inputs!$B$3&gt;=126,0.05*(B1558+Q1535+(H1536*B1559)/(1+Skills!H14*H1536*B1559)+Q1546),0)*(1/Q1537)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539" spans="1:21" x14ac:dyDescent="0.2">
      <c r="A1539" t="str">
        <f>Skills!A17</f>
        <v>MAGIC_GUARD</v>
      </c>
      <c r="B1539" t="str">
        <f>Skills!B17</f>
        <v>Magic Guard</v>
      </c>
      <c r="C1539" t="b">
        <f>TRUE</f>
        <v>1</v>
      </c>
      <c r="D1539">
        <f>IF(Skills!C17=1,60+Inputs!$B$25+Inputs!$B$29,IF(Skills!C17=2,90+Inputs!$B$26+Inputs!$B$29,IF(Skills!C17=3,120+Inputs!$B$27+Inputs!$B$29,MAX(0,(Inputs!$B$3-100)*3)+Inputs!$B$28+Inputs!$B$29)))</f>
        <v>127</v>
      </c>
      <c r="E1539">
        <f>INDEX(FactorTable!$B$2:$Y$301, MATCH(ROUND(MIN(300,MAX(1,D1539)),0), FactorTable!$A$2:$A$301,0), Skills!M17+1)</f>
        <v>1508</v>
      </c>
      <c r="F1539">
        <f>IF(Skills!N17=TRUE,(Skills!L17/10)*(E1539/1000),Skills!L17/10)+Skills!O17</f>
        <v>18.096</v>
      </c>
      <c r="G1539">
        <f>Calc!G17</f>
        <v>1</v>
      </c>
      <c r="H1539">
        <f>Calc!H17</f>
        <v>1</v>
      </c>
      <c r="I1539">
        <f>IF(Skills!X17&lt;&gt;"",1+(Skills!X17/10)*(Z1525/1000)/100,1)</f>
        <v>1</v>
      </c>
      <c r="O1539">
        <f>(1-Summary!$B$11)*S1539+Summary!$B$11*U1539</f>
        <v>0</v>
      </c>
      <c r="P1539">
        <f>IF(B1563=0,0,O1539/B1563)</f>
        <v>0</v>
      </c>
      <c r="Q1539">
        <f>IFERROR(1/(IF(Inputs!$B$38="pvp",15,MAX(0.1,Skills!E17-IF(TRUE=TRUE,Inputs!$B$32,0)))*(1-IF(AND(ArtifactsInput!$M$27,Inputs!$B$4="Chapter Hunt"),CHOOSE(ArtifactsInput!$N$27+1,20,24,28,32,36,40),0)/100)),0)</f>
        <v>4.7619047619047616E-2</v>
      </c>
      <c r="R1539">
        <f>IF(AND(Inputs!$B$38&lt;&gt;"pvp",Inputs!$B$43&gt;0),IF(Inputs!$B$43&lt;=0,0,(INT(Inputs!$B$43/(IF(Inputs!$B$38="pvp",15,MAX(0.1,Skills!E17-IF(TRUE=TRUE,Inputs!$B$32,0)))*(1-IF(AND(ArtifactsInput!$M$27,Inputs!$B$4="Chapter Hunt"),CHOOSE(ArtifactsInput!$N$27+1,20,24,28,32,36,40),0)/100)))+1)),0)</f>
        <v>2</v>
      </c>
      <c r="S1539">
        <v>0</v>
      </c>
      <c r="U1539">
        <v>0</v>
      </c>
    </row>
    <row r="1540" spans="1:21" x14ac:dyDescent="0.2">
      <c r="A1540" t="str">
        <f>Skills!A18</f>
        <v>NIMBLE_FEET</v>
      </c>
      <c r="B1540" t="str">
        <f>Skills!B18</f>
        <v>Nimble Feet</v>
      </c>
      <c r="C1540" t="b">
        <f>TRUE</f>
        <v>1</v>
      </c>
      <c r="D1540">
        <f>IF(Skills!C18=1,60+Inputs!$B$25+Inputs!$B$29,IF(Skills!C18=2,90+Inputs!$B$26+Inputs!$B$29,IF(Skills!C18=3,120+Inputs!$B$27+Inputs!$B$29,MAX(0,(Inputs!$B$3-100)*3)+Inputs!$B$28+Inputs!$B$29)))</f>
        <v>127</v>
      </c>
      <c r="E1540">
        <f>INDEX(FactorTable!$B$2:$Y$301, MATCH(ROUND(MIN(300,MAX(1,D1540)),0), FactorTable!$A$2:$A$301,0), Skills!M18+1)</f>
        <v>0</v>
      </c>
      <c r="F1540">
        <f>IF(Skills!N18=TRUE,(Skills!L18/10)*(E1540/1000),Skills!L18/10)+Skills!O18</f>
        <v>15</v>
      </c>
      <c r="G1540">
        <f>Calc!G18</f>
        <v>1</v>
      </c>
      <c r="H1540">
        <f>Calc!H18</f>
        <v>1</v>
      </c>
      <c r="I1540">
        <f>IF(Skills!X18&lt;&gt;"",1+(Skills!X18/10)*(Z1525/1000)/100,1)</f>
        <v>1</v>
      </c>
      <c r="O1540">
        <f>(1-Summary!$B$11)*S1540+Summary!$B$11*U1540</f>
        <v>0</v>
      </c>
      <c r="P1540">
        <f>IF(B1563=0,0,O1540/B1563)</f>
        <v>0</v>
      </c>
      <c r="Q1540">
        <f>IFERROR(1/(IF(Inputs!$B$38="pvp",15,MAX(0.1,Skills!E18-IF(TRUE=TRUE,Inputs!$B$32,0)))*(1-IF(AND(ArtifactsInput!$M$27,Inputs!$B$4="Chapter Hunt"),CHOOSE(ArtifactsInput!$N$27+1,20,24,28,32,36,40),0)/100)),0)</f>
        <v>1.6666666666666666E-2</v>
      </c>
      <c r="R1540">
        <f>IF(AND(Inputs!$B$38&lt;&gt;"pvp",Inputs!$B$43&gt;0),IF(Inputs!$B$43&lt;=0,0,(INT(Inputs!$B$43/(IF(Inputs!$B$38="pvp",15,MAX(0.1,Skills!E18-IF(TRUE=TRUE,Inputs!$B$32,0)))*(1-IF(AND(ArtifactsInput!$M$27,Inputs!$B$4="Chapter Hunt"),CHOOSE(ArtifactsInput!$N$27+1,20,24,28,32,36,40),0)/100)))+1)),0)</f>
        <v>1</v>
      </c>
      <c r="S1540">
        <v>0</v>
      </c>
      <c r="U1540">
        <v>0</v>
      </c>
    </row>
    <row r="1541" spans="1:21" x14ac:dyDescent="0.2">
      <c r="A1541" t="str">
        <f>Skills!A19</f>
        <v>INFINITY</v>
      </c>
      <c r="B1541" t="str">
        <f>Skills!B19</f>
        <v>Infinity</v>
      </c>
      <c r="C1541" t="b">
        <f>Inputs!$B$3&gt;=110</f>
        <v>1</v>
      </c>
      <c r="D1541">
        <f>IF(Skills!C19=1,60+Inputs!$B$25+Inputs!$B$29,IF(Skills!C19=2,90+Inputs!$B$26+Inputs!$B$29,IF(Skills!C19=3,120+Inputs!$B$27+Inputs!$B$29,MAX(0,(Inputs!$B$3-100)*3)+Inputs!$B$28+Inputs!$B$29)))</f>
        <v>185</v>
      </c>
      <c r="E1541">
        <f>INDEX(FactorTable!$B$2:$Y$301, MATCH(ROUND(MIN(300,MAX(1,D1541)),0), FactorTable!$A$2:$A$301,0), Skills!M19+1)</f>
        <v>1740</v>
      </c>
      <c r="F1541">
        <f>IF(Skills!N19=TRUE,(Skills!L19/10)*(E1541/1000),Skills!L19/10)+Skills!O19</f>
        <v>37.700579999999995</v>
      </c>
      <c r="G1541">
        <f>Calc!G19</f>
        <v>1</v>
      </c>
      <c r="H1541">
        <f>Calc!H19</f>
        <v>1</v>
      </c>
      <c r="I1541">
        <f>IF(Skills!X19&lt;&gt;"",1+(Skills!X19/10)*(Z1525/1000)/100,1)</f>
        <v>1</v>
      </c>
      <c r="O1541">
        <f>(1-Summary!$B$11)*S1541+Summary!$B$11*U1541</f>
        <v>0</v>
      </c>
      <c r="P1541">
        <f>IF(B1563=0,0,O1541/B1563)</f>
        <v>0</v>
      </c>
      <c r="Q1541">
        <f>IFERROR(1/(IF(Inputs!$B$38="pvp",15,MAX(0.1,Skills!E19-IF(TRUE=TRUE,Inputs!$B$32,0)))*(1-IF(AND(ArtifactsInput!$M$27,Inputs!$B$4="Chapter Hunt"),CHOOSE(ArtifactsInput!$N$27+1,20,24,28,32,36,40),0)/100)),0)</f>
        <v>3.3333333333333333E-2</v>
      </c>
      <c r="R1541">
        <f>IF(AND(Inputs!$B$38&lt;&gt;"pvp",Inputs!$B$43&gt;0),IF(Inputs!$B$43&lt;=0,0,(INT(Inputs!$B$43/(IF(Inputs!$B$38="pvp",15,MAX(0.1,Skills!E19-IF(TRUE=TRUE,Inputs!$B$32,0)))*(1-IF(AND(ArtifactsInput!$M$27,Inputs!$B$4="Chapter Hunt"),CHOOSE(ArtifactsInput!$N$27+1,20,24,28,32,36,40),0)/100)))+1)),0)</f>
        <v>2</v>
      </c>
      <c r="S1541">
        <v>0</v>
      </c>
      <c r="U1541">
        <v>0</v>
      </c>
    </row>
    <row r="1542" spans="1:21" x14ac:dyDescent="0.2">
      <c r="A1542" t="str">
        <f>Skills!A20</f>
        <v>MAGIC_CRITICAL_RATE</v>
      </c>
      <c r="B1542" t="str">
        <f>Skills!B20</f>
        <v>Magic Critical (Crit Rate)</v>
      </c>
      <c r="C1542" t="b">
        <f>TRUE</f>
        <v>1</v>
      </c>
      <c r="D1542">
        <f>IF(Skills!C20=1,60+Inputs!$B$25+Inputs!$B$29,IF(Skills!C20=2,90+Inputs!$B$26+Inputs!$B$29,IF(Skills!C20=3,120+Inputs!$B$27+Inputs!$B$29,MAX(0,(Inputs!$B$3-100)*3)+Inputs!$B$28+Inputs!$B$29)))</f>
        <v>184</v>
      </c>
      <c r="E1542">
        <f>INDEX(FactorTable!$B$2:$Y$301, MATCH(ROUND(MIN(300,MAX(1,D1542)),0), FactorTable!$A$2:$A$301,0), Skills!M20+1)</f>
        <v>1552</v>
      </c>
      <c r="F1542">
        <f>IF(Skills!N20=TRUE,(Skills!L20/10)*(E1542/1000),Skills!L20/10)+Skills!O20</f>
        <v>12.416</v>
      </c>
      <c r="G1542">
        <f>Calc!G20</f>
        <v>1</v>
      </c>
      <c r="H1542">
        <f>Calc!H20</f>
        <v>1</v>
      </c>
      <c r="I1542">
        <f>IF(Skills!X20&lt;&gt;"",1+(Skills!X20/10)*(Z1525/1000)/100,1)</f>
        <v>1</v>
      </c>
      <c r="O1542">
        <f>(1-Summary!$B$11)*S1542+Summary!$B$11*U1542</f>
        <v>0</v>
      </c>
      <c r="P1542">
        <f>IF(B1563=0,0,O1542/B1563)</f>
        <v>0</v>
      </c>
      <c r="Q1542">
        <f>IFERROR(1/(IF(Inputs!$B$38="pvp",15,MAX(0.1,Skills!E20-IF(TRUE=TRUE,Inputs!$B$32,0)))*(1-IF(AND(ArtifactsInput!$M$27,Inputs!$B$4="Chapter Hunt"),CHOOSE(ArtifactsInput!$N$27+1,20,24,28,32,36,40),0)/100)),0)</f>
        <v>10</v>
      </c>
      <c r="R1542">
        <v>0</v>
      </c>
      <c r="S1542">
        <v>0</v>
      </c>
      <c r="U1542">
        <v>0</v>
      </c>
    </row>
    <row r="1543" spans="1:21" x14ac:dyDescent="0.2">
      <c r="A1543" t="str">
        <f>Skills!A21</f>
        <v>MAGIC_CRITICAL_DAMAGE</v>
      </c>
      <c r="B1543" t="str">
        <f>Skills!B21</f>
        <v>Magic Critical (Crit Damage)</v>
      </c>
      <c r="C1543" t="b">
        <f>TRUE</f>
        <v>1</v>
      </c>
      <c r="D1543">
        <f>IF(Skills!C21=1,60+Inputs!$B$25+Inputs!$B$29,IF(Skills!C21=2,90+Inputs!$B$26+Inputs!$B$29,IF(Skills!C21=3,120+Inputs!$B$27+Inputs!$B$29,MAX(0,(Inputs!$B$3-100)*3)+Inputs!$B$28+Inputs!$B$29)))</f>
        <v>184</v>
      </c>
      <c r="E1543">
        <f>INDEX(FactorTable!$B$2:$Y$301, MATCH(ROUND(MIN(300,MAX(1,D1543)),0), FactorTable!$A$2:$A$301,0), Skills!M21+1)</f>
        <v>1552</v>
      </c>
      <c r="F1543">
        <f>IF(Skills!N21=TRUE,(Skills!L21/10)*(E1543/1000),Skills!L21/10)+Skills!O21</f>
        <v>18.624000000000002</v>
      </c>
      <c r="G1543">
        <f>Calc!G21</f>
        <v>1</v>
      </c>
      <c r="H1543">
        <f>Calc!H21</f>
        <v>1</v>
      </c>
      <c r="I1543">
        <f>IF(Skills!X21&lt;&gt;"",1+(Skills!X21/10)*(Z1525/1000)/100,1)</f>
        <v>1</v>
      </c>
      <c r="O1543">
        <f>(1-Summary!$B$11)*S1543+Summary!$B$11*U1543</f>
        <v>0</v>
      </c>
      <c r="P1543">
        <f>IF(B1563=0,0,O1543/B1563)</f>
        <v>0</v>
      </c>
      <c r="Q1543">
        <f>IFERROR(1/(IF(Inputs!$B$38="pvp",15,MAX(0.1,Skills!E21-IF(TRUE=TRUE,Inputs!$B$32,0)))*(1-IF(AND(ArtifactsInput!$M$27,Inputs!$B$4="Chapter Hunt"),CHOOSE(ArtifactsInput!$N$27+1,20,24,28,32,36,40),0)/100)),0)</f>
        <v>10</v>
      </c>
      <c r="R1543">
        <v>0</v>
      </c>
      <c r="S1543">
        <v>0</v>
      </c>
      <c r="U1543">
        <v>0</v>
      </c>
    </row>
    <row r="1544" spans="1:21" x14ac:dyDescent="0.2">
      <c r="A1544" t="str">
        <f>Skills!A22</f>
        <v>SPELL_MASTERY</v>
      </c>
      <c r="B1544" t="str">
        <f>Skills!B22</f>
        <v>Spell Mastery</v>
      </c>
      <c r="C1544" t="b">
        <f>TRUE</f>
        <v>1</v>
      </c>
      <c r="D1544">
        <f>IF(Skills!C22=1,60+Inputs!$B$25+Inputs!$B$29,IF(Skills!C22=2,90+Inputs!$B$26+Inputs!$B$29,IF(Skills!C22=3,120+Inputs!$B$27+Inputs!$B$29,MAX(0,(Inputs!$B$3-100)*3)+Inputs!$B$28+Inputs!$B$29)))</f>
        <v>168</v>
      </c>
      <c r="E1544">
        <f>INDEX(FactorTable!$B$2:$Y$301, MATCH(ROUND(MIN(300,MAX(1,D1544)),0), FactorTable!$A$2:$A$301,0), Skills!M22+1)</f>
        <v>1504</v>
      </c>
      <c r="F1544">
        <f>IF(Skills!N22=TRUE,(Skills!L22/10)*(E1544/1000),Skills!L22/10)+Skills!O22</f>
        <v>22.56</v>
      </c>
      <c r="G1544">
        <f>Calc!G22</f>
        <v>1</v>
      </c>
      <c r="H1544">
        <f>Calc!H22</f>
        <v>1</v>
      </c>
      <c r="I1544">
        <f>IF(Skills!X22&lt;&gt;"",1+(Skills!X22/10)*(Z1525/1000)/100,1)</f>
        <v>1</v>
      </c>
      <c r="O1544">
        <f>(1-Summary!$B$11)*S1544+Summary!$B$11*U1544</f>
        <v>0</v>
      </c>
      <c r="P1544">
        <f>IF(B1563=0,0,O1544/B1563)</f>
        <v>0</v>
      </c>
      <c r="Q1544">
        <f>IFERROR(1/(IF(Inputs!$B$38="pvp",15,MAX(0.1,Skills!E22-IF(TRUE=TRUE,Inputs!$B$32,0)))*(1-IF(AND(ArtifactsInput!$M$27,Inputs!$B$4="Chapter Hunt"),CHOOSE(ArtifactsInput!$N$27+1,20,24,28,32,36,40),0)/100)),0)</f>
        <v>10</v>
      </c>
      <c r="R1544">
        <v>0</v>
      </c>
      <c r="S1544">
        <v>0</v>
      </c>
      <c r="U1544">
        <v>0</v>
      </c>
    </row>
    <row r="1545" spans="1:21" x14ac:dyDescent="0.2">
      <c r="A1545" t="str">
        <f>Skills!A23</f>
        <v>ELEMENT_AMPLIFICATION</v>
      </c>
      <c r="B1545" t="str">
        <f>Skills!B23</f>
        <v>Element Amplification</v>
      </c>
      <c r="C1545" t="b">
        <f>TRUE</f>
        <v>1</v>
      </c>
      <c r="D1545">
        <f>IF(Skills!C23=1,60+Inputs!$B$25+Inputs!$B$29,IF(Skills!C23=2,90+Inputs!$B$26+Inputs!$B$29,IF(Skills!C23=3,120+Inputs!$B$27+Inputs!$B$29,MAX(0,(Inputs!$B$3-100)*3)+Inputs!$B$28+Inputs!$B$29)))</f>
        <v>185</v>
      </c>
      <c r="E1545">
        <f>INDEX(FactorTable!$B$2:$Y$301, MATCH(ROUND(MIN(300,MAX(1,D1545)),0), FactorTable!$A$2:$A$301,0), Skills!M23+1)</f>
        <v>1555</v>
      </c>
      <c r="F1545">
        <f>IF(Skills!N23=TRUE,(Skills!L23/10)*(E1545/1000),Skills!L23/10)+Skills!O23</f>
        <v>23.324999999999999</v>
      </c>
      <c r="G1545">
        <f>Calc!G23</f>
        <v>1</v>
      </c>
      <c r="H1545">
        <f>Calc!H23</f>
        <v>1</v>
      </c>
      <c r="I1545">
        <f>IF(Skills!X23&lt;&gt;"",1+(Skills!X23/10)*(Z1525/1000)/100,1)</f>
        <v>1</v>
      </c>
      <c r="O1545">
        <f>(1-Summary!$B$11)*S1545+Summary!$B$11*U1545</f>
        <v>0</v>
      </c>
      <c r="P1545">
        <f>IF(B1563=0,0,O1545/B1563)</f>
        <v>0</v>
      </c>
      <c r="Q1545">
        <f>IFERROR(1/(IF(Inputs!$B$38="pvp",15,MAX(0.1,Skills!E23-IF(TRUE=TRUE,Inputs!$B$32,0)))*(1-IF(AND(ArtifactsInput!$M$27,Inputs!$B$4="Chapter Hunt"),CHOOSE(ArtifactsInput!$N$27+1,20,24,28,32,36,40),0)/100)),0)</f>
        <v>10</v>
      </c>
      <c r="R1545">
        <v>0</v>
      </c>
      <c r="S1545">
        <v>0</v>
      </c>
      <c r="U1545">
        <v>0</v>
      </c>
    </row>
    <row r="1546" spans="1:21" x14ac:dyDescent="0.2">
      <c r="A1546" t="str">
        <f>Skills!A24</f>
        <v>IFRIT</v>
      </c>
      <c r="B1546" t="str">
        <f>Skills!B24</f>
        <v>Ifrit</v>
      </c>
      <c r="C1546" t="b">
        <f>Inputs!$B$3&gt;=115</f>
        <v>1</v>
      </c>
      <c r="D1546">
        <f>IF(Skills!C24=1,60+Inputs!$B$25+Inputs!$B$29,IF(Skills!C24=2,90+Inputs!$B$26+Inputs!$B$29,IF(Skills!C24=3,120+Inputs!$B$27+Inputs!$B$29,MAX(0,(Inputs!$B$3-100)*3)+Inputs!$B$28+Inputs!$B$29)))</f>
        <v>185</v>
      </c>
      <c r="E1546">
        <f>INDEX(FactorTable!$B$2:$Y$301, MATCH(ROUND(MIN(300,MAX(1,D1546)),0), FactorTable!$A$2:$A$301,0), Skills!M24+1)</f>
        <v>1925</v>
      </c>
      <c r="F1546">
        <f>IF(Skills!N24=TRUE,(Skills!L24/10)*(E1546/1000),Skills!L24/10)+Skills!O24</f>
        <v>6737.5</v>
      </c>
      <c r="G1546">
        <f>Calc!G24</f>
        <v>7.5</v>
      </c>
      <c r="H1546">
        <f>Calc!H24</f>
        <v>1</v>
      </c>
      <c r="I1546">
        <f>IF(Skills!X24&lt;&gt;"",1+(Skills!X24/10)*(Z1525/1000)/100,1)</f>
        <v>1</v>
      </c>
      <c r="J1546">
        <f>((Inputs!$B$6*(1+Inputs!$B$7/100))+(((Inputs!$B$12*(1+Inputs!$B$13/100))-(Inputs!$B$12*(1+Inputs!$B$13/100)))+0.25*(Inputs!$B$14-Inputs!$B$14))*(1+Inputs!$B$7/100))*(F1546/100)</f>
        <v>24331438378.718628</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122258974288595.61</v>
      </c>
      <c r="L1546">
        <f>K1546*(MIN(Inputs!$B$22+(F1544-Calc!F22),(Inputs!$B$23+(IF(ArtifactsInput!$M$15,CHOOSE(ArtifactsInput!$N$15+1,25,30,35,40,45,50)/100*(Inputs!$B$11-Inputs!$B$11),0))))/100+(Inputs!$B$23+(IF(ArtifactsInput!$M$15,CHOOSE(ArtifactsInput!$N$15+1,25,30,35,40,45,50)/100*(Inputs!$B$11-Inputs!$B$11),0)))/100)/2</f>
        <v>406511089509580.44</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546">
        <f>L1546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546">
        <f>(1-Summary!$B$11)*S1546+Summary!$B$11*U1546</f>
        <v>2194085169658842.8</v>
      </c>
      <c r="P1546">
        <f>IF(B1563=0,0,O1546/B1563)</f>
        <v>6.6312914553869617E-2</v>
      </c>
      <c r="Q1546">
        <f>IFERROR(1/(IF(Inputs!$B$38="pvp",15,MAX(0.1,Skills!E24-IF(TRUE=TRUE,Inputs!$B$32,0)))*(1-IF(AND(ArtifactsInput!$M$27,Inputs!$B$4="Chapter Hunt"),CHOOSE(ArtifactsInput!$N$27+1,20,24,28,32,36,40),0)/100)),0)</f>
        <v>1.2500000000000001E-2</v>
      </c>
      <c r="R1546">
        <f>IF(AND(Inputs!$B$38&lt;&gt;"pvp",Inputs!$B$43&gt;0),IF(MAX(0,Inputs!$B$43-B1560)&lt;=0,0,(INT(MAX(0,Inputs!$B$43-B1560)/(IF(Inputs!$B$38="pvp",15,MAX(0.1,Skills!E24-IF(TRUE=TRUE,Inputs!$B$32,0)))*(1-IF(AND(ArtifactsInput!$M$27,Inputs!$B$4="Chapter Hunt"),CHOOSE(ArtifactsInput!$N$27+1,20,24,28,32,36,40),0)/100)))+1)),0)</f>
        <v>1</v>
      </c>
      <c r="S1546">
        <f>IF(C1546,(H1546*N1546*IF(AND(Inputs!$B$38&lt;&gt;"pvp",Inputs!$B$43&gt;0),((Skills!G24*((R1546-1)*IF(Skills!H24&gt;0,Skills!I24/Skills!H24,1)+IF(Skills!H24&gt;0,MIN(Skills!I24,MAX(0,MAX(0,Inputs!$B$43-B1560)-((R1546-1)*(IF(Inputs!$B$38="pvp",15,MAX(0.1,Skills!E24-IF(TRUE=TRUE,Inputs!$B$32,0)))*(1-IF(AND(ArtifactsInput!$M$27,Inputs!$B$4="Chapter Hunt"),CHOOSE(ArtifactsInput!$N$27+1,20,24,28,32,36,40),0)/100)))))/Skills!H24,1)))/Inputs!$B$43),G1546*Q1546)*(1+IF(Inputs!$B$3&gt;=130,0.2*(Skills!I16/(1/Q1537)+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546">
        <f>IF(C1546,(H1546*N1546*IF(AND(Inputs!$B$38&lt;&gt;"pvp",Inputs!$B$43&gt;0),((Skills!G24*((R1546-1)*IF(Skills!H24&gt;0,Skills!I24/Skills!H24,1)+IF(Skills!H24&gt;0,MIN(Skills!I24,MAX(0,MAX(0,Inputs!$B$43-B1560)-((R1546-1)*(IF(Inputs!$B$38="pvp",15,MAX(0.1,Skills!E24-IF(TRUE=TRUE,Inputs!$B$32,0)))*(1-IF(AND(ArtifactsInput!$M$27,Inputs!$B$4="Chapter Hunt"),CHOOSE(ArtifactsInput!$N$27+1,20,24,28,32,36,40),0)/100)))))/Skills!H24,1)))/Inputs!$B$43),G1546*Q1546)*(1+IF(Inputs!$B$3&gt;=130,0.2*(Skills!I16/(1/Q1537)+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547" spans="1:21" x14ac:dyDescent="0.2">
      <c r="A1547" t="str">
        <f>Skills!A25</f>
        <v>BUFF_MASTERY</v>
      </c>
      <c r="B1547" t="str">
        <f>Skills!B25</f>
        <v>Buff Mastery</v>
      </c>
      <c r="C1547" t="b">
        <f>Inputs!$B$3&gt;=117</f>
        <v>1</v>
      </c>
      <c r="D1547">
        <f>IF(Skills!C25=1,60+Inputs!$B$25+Inputs!$B$29,IF(Skills!C25=2,90+Inputs!$B$26+Inputs!$B$29,IF(Skills!C25=3,120+Inputs!$B$27+Inputs!$B$29,MAX(0,(Inputs!$B$3-100)*3)+Inputs!$B$28+Inputs!$B$29)))</f>
        <v>185</v>
      </c>
      <c r="E1547">
        <f>INDEX(FactorTable!$B$2:$Y$301, MATCH(ROUND(MIN(300,MAX(1,D1547)),0), FactorTable!$A$2:$A$301,0), Skills!M25+1)</f>
        <v>1555</v>
      </c>
      <c r="F1547">
        <f>IF(Skills!N25=TRUE,(Skills!L25/10)*(E1547/1000),Skills!L25/10)+Skills!O25</f>
        <v>15.549999999999999</v>
      </c>
      <c r="G1547">
        <f>Calc!G25</f>
        <v>1</v>
      </c>
      <c r="H1547">
        <f>Calc!H25</f>
        <v>1</v>
      </c>
      <c r="I1547">
        <f>IF(Skills!X25&lt;&gt;"",1+(Skills!X25/10)*(Z1525/1000)/100,1)</f>
        <v>1</v>
      </c>
      <c r="O1547">
        <f>(1-Summary!$B$11)*S1547+Summary!$B$11*U1547</f>
        <v>0</v>
      </c>
      <c r="P1547">
        <f>IF(B1563=0,0,O1547/B1563)</f>
        <v>0</v>
      </c>
      <c r="Q1547">
        <f>IFERROR(1/(IF(Inputs!$B$38="pvp",15,MAX(0.1,Skills!E25-IF(TRUE=TRUE,Inputs!$B$32,0)))*(1-IF(AND(ArtifactsInput!$M$27,Inputs!$B$4="Chapter Hunt"),CHOOSE(ArtifactsInput!$N$27+1,20,24,28,32,36,40),0)/100)),0)</f>
        <v>10</v>
      </c>
      <c r="R1547">
        <v>0</v>
      </c>
      <c r="S1547">
        <v>0</v>
      </c>
      <c r="U1547">
        <v>0</v>
      </c>
    </row>
    <row r="1548" spans="1:21" x14ac:dyDescent="0.2">
      <c r="A1548" t="str">
        <f>Skills!A26</f>
        <v>ARCANE_AIM</v>
      </c>
      <c r="B1548" t="str">
        <f>Skills!B26</f>
        <v>Arcane Aim</v>
      </c>
      <c r="C1548" t="b">
        <f>Inputs!$B$3&gt;=120</f>
        <v>0</v>
      </c>
      <c r="D1548">
        <f>IF(Skills!C26=1,60+Inputs!$B$25+Inputs!$B$29,IF(Skills!C26=2,90+Inputs!$B$26+Inputs!$B$29,IF(Skills!C26=3,120+Inputs!$B$27+Inputs!$B$29,MAX(0,(Inputs!$B$3-100)*3)+Inputs!$B$28+Inputs!$B$29)))</f>
        <v>185</v>
      </c>
      <c r="E1548">
        <f>INDEX(FactorTable!$B$2:$Y$301, MATCH(ROUND(MIN(300,MAX(1,D1548)),0), FactorTable!$A$2:$A$301,0), Skills!M26+1)</f>
        <v>1555</v>
      </c>
      <c r="F1548">
        <f>IF(Skills!N26=TRUE,(Skills!L26/10)*(E1548/1000),Skills!L26/10)+Skills!O26</f>
        <v>4.665</v>
      </c>
      <c r="G1548">
        <f>Calc!G26</f>
        <v>1</v>
      </c>
      <c r="H1548">
        <f>Calc!H26</f>
        <v>1</v>
      </c>
      <c r="I1548">
        <f>IF(Skills!X26&lt;&gt;"",1+(Skills!X26/10)*(Z1525/1000)/100,1)</f>
        <v>1</v>
      </c>
      <c r="O1548">
        <f>(1-Summary!$B$11)*S1548+Summary!$B$11*U1548</f>
        <v>0</v>
      </c>
      <c r="P1548">
        <f>IF(B1563=0,0,O1548/B1563)</f>
        <v>0</v>
      </c>
      <c r="Q1548">
        <f>IFERROR(1/(IF(Inputs!$B$38="pvp",15,MAX(0.1,Skills!E26-IF(TRUE=TRUE,Inputs!$B$32,0)))*(1-IF(AND(ArtifactsInput!$M$27,Inputs!$B$4="Chapter Hunt"),CHOOSE(ArtifactsInput!$N$27+1,20,24,28,32,36,40),0)/100)),0)</f>
        <v>10</v>
      </c>
      <c r="R1548">
        <v>0</v>
      </c>
      <c r="S1548">
        <v>0</v>
      </c>
      <c r="U1548">
        <v>0</v>
      </c>
    </row>
    <row r="1549" spans="1:21" x14ac:dyDescent="0.2">
      <c r="A1549" t="str">
        <f>Skills!A27</f>
        <v>FERVENT_DRAIN</v>
      </c>
      <c r="B1549" t="str">
        <f>Skills!B27</f>
        <v>Fervent Drain</v>
      </c>
      <c r="C1549" t="b">
        <f>Inputs!$B$3&gt;=125</f>
        <v>0</v>
      </c>
      <c r="D1549">
        <f>IF(Skills!C27=1,60+Inputs!$B$25+Inputs!$B$29,IF(Skills!C27=2,90+Inputs!$B$26+Inputs!$B$29,IF(Skills!C27=3,120+Inputs!$B$27+Inputs!$B$29,MAX(0,(Inputs!$B$3-100)*3)+Inputs!$B$28+Inputs!$B$29)))</f>
        <v>185</v>
      </c>
      <c r="E1549">
        <f>INDEX(FactorTable!$B$2:$Y$301, MATCH(ROUND(MIN(300,MAX(1,D1549)),0), FactorTable!$A$2:$A$301,0), Skills!M27+1)</f>
        <v>1555</v>
      </c>
      <c r="F1549">
        <f>IF(Skills!N27=TRUE,(Skills!L27/10)*(E1549/1000),Skills!L27/10)+Skills!O27</f>
        <v>6.22</v>
      </c>
      <c r="G1549">
        <f>Calc!G27</f>
        <v>1</v>
      </c>
      <c r="H1549">
        <f>Calc!H27</f>
        <v>1</v>
      </c>
      <c r="I1549">
        <f>IF(Skills!X27&lt;&gt;"",1+(Skills!X27/10)*(Z1525/1000)/100,1)</f>
        <v>1</v>
      </c>
      <c r="O1549">
        <f>(1-Summary!$B$11)*S1549+Summary!$B$11*U1549</f>
        <v>0</v>
      </c>
      <c r="P1549">
        <f>IF(B1563=0,0,O1549/B1563)</f>
        <v>0</v>
      </c>
      <c r="Q1549">
        <f>IFERROR(1/(IF(Inputs!$B$38="pvp",15,MAX(0.1,Skills!E27-IF(TRUE=TRUE,Inputs!$B$32,0)))*(1-IF(AND(ArtifactsInput!$M$27,Inputs!$B$4="Chapter Hunt"),CHOOSE(ArtifactsInput!$N$27+1,20,24,28,32,36,40),0)/100)),0)</f>
        <v>10</v>
      </c>
      <c r="R1549">
        <v>0</v>
      </c>
      <c r="S1549">
        <v>0</v>
      </c>
      <c r="U1549">
        <v>0</v>
      </c>
    </row>
    <row r="1550" spans="1:21" x14ac:dyDescent="0.2">
      <c r="A1550" t="str">
        <f>Skills!A28</f>
        <v>FLAME_HAZE_FOG</v>
      </c>
      <c r="B1550" t="str">
        <f>Skills!B28</f>
        <v>Flame Haze (poison fog DoT)</v>
      </c>
      <c r="C1550" t="b">
        <f>Inputs!$B$3&gt;=118</f>
        <v>0</v>
      </c>
      <c r="D1550">
        <f>IF(Skills!C28=1,60+Inputs!$B$25+Inputs!$B$29,IF(Skills!C28=2,90+Inputs!$B$26+Inputs!$B$29,IF(Skills!C28=3,120+Inputs!$B$27+Inputs!$B$29,MAX(0,(Inputs!$B$3-100)*3)+Inputs!$B$28+Inputs!$B$29)))</f>
        <v>185</v>
      </c>
      <c r="E1550">
        <f>INDEX(FactorTable!$B$2:$Y$301, MATCH(ROUND(MIN(300,MAX(1,D1550)),0), FactorTable!$A$2:$A$301,0), Skills!M28+1)</f>
        <v>1925</v>
      </c>
      <c r="F1550">
        <f>IF(Skills!N28=TRUE,(Skills!L28/10)*(E1550/1000),Skills!L28/10)+Skills!O28</f>
        <v>134.75</v>
      </c>
      <c r="G1550">
        <f>Calc!G28</f>
        <v>50</v>
      </c>
      <c r="H1550">
        <f>Calc!H28</f>
        <v>1</v>
      </c>
      <c r="I1550">
        <f>IF(Skills!X28&lt;&gt;"",1+(Skills!X28/10)*(Z1525/1000)/100,1)</f>
        <v>1</v>
      </c>
      <c r="J1550">
        <f>((Inputs!$B$6*(1+Inputs!$B$7/100))+(((Inputs!$B$12*(1+Inputs!$B$13/100))-(Inputs!$B$12*(1+Inputs!$B$13/100)))+0.25*(Inputs!$B$14-Inputs!$B$14))*(1+Inputs!$B$7/100))*(F1550/100)</f>
        <v>486628767.57437253</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2445179485771.9116</v>
      </c>
      <c r="L1550">
        <f>K1550*(MIN(Inputs!$B$22+(F1544-Calc!F22),(Inputs!$B$23+(IF(ArtifactsInput!$M$15,CHOOSE(ArtifactsInput!$N$15+1,25,30,35,40,45,50)/100*(Inputs!$B$11-Inputs!$B$11),0))))/100+(Inputs!$B$23+(IF(ArtifactsInput!$M$15,CHOOSE(ArtifactsInput!$N$15+1,25,30,35,40,45,50)/100*(Inputs!$B$11-Inputs!$B$11),0)))/100)/2</f>
        <v>8130221790191.6064</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550">
        <f>L1550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550">
        <f>(1-Summary!$B$11)*S1550+Summary!$B$11*U1550</f>
        <v>0</v>
      </c>
      <c r="P1550">
        <f>IF(B1563=0,0,O1550/B1563)</f>
        <v>0</v>
      </c>
      <c r="Q1550">
        <f>IFERROR(1/(IF(Inputs!$B$38="pvp",15,MAX(0.1,Skills!E28-IF(TRUE=TRUE,Inputs!$B$32,0)))*(1-IF(AND(ArtifactsInput!$M$27,Inputs!$B$4="Chapter Hunt"),CHOOSE(ArtifactsInput!$N$27+1,20,24,28,32,36,40),0)/100)),0)</f>
        <v>0.04</v>
      </c>
      <c r="R1550">
        <f>IF(AND(Inputs!$B$38&lt;&gt;"pvp",Inputs!$B$43&gt;0),IF(MAX(0,Inputs!$B$43-B1560)&lt;=0,0,(INT(MAX(0,Inputs!$B$43-B1560)/(IF(Inputs!$B$38="pvp",15,MAX(0.1,Skills!E28-IF(TRUE=TRUE,Inputs!$B$32,0)))*(1-IF(AND(ArtifactsInput!$M$27,Inputs!$B$4="Chapter Hunt"),CHOOSE(ArtifactsInput!$N$27+1,20,24,28,32,36,40),0)/100)))+1)),0)</f>
        <v>2</v>
      </c>
      <c r="S1550">
        <f>IF(C1550,(H1550*N1550*IF(AND(Inputs!$B$38&lt;&gt;"pvp",Inputs!$B$43&gt;0),((Skills!G28*((R1550-1)*IF(Skills!H28&gt;0,Skills!I28/Skills!H28,1)+IF(Skills!H28&gt;0,MIN(Skills!I28,MAX(0,MAX(0,Inputs!$B$43-B1560)-((R1550-1)*(IF(Inputs!$B$38="pvp",15,MAX(0.1,Skills!E28-IF(TRUE=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50">
        <f>IF(C1550,(H1550*N1550*IF(AND(Inputs!$B$38&lt;&gt;"pvp",Inputs!$B$43&gt;0),((Skills!G28*((R1550-1)*IF(Skills!H28&gt;0,Skills!I28/Skills!H28,1)+IF(Skills!H28&gt;0,MIN(Skills!I28,MAX(0,MAX(0,Inputs!$B$43-B1560)-((R1550-1)*(IF(Inputs!$B$38="pvp",15,MAX(0.1,Skills!E28-IF(TRUE=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52" spans="1:21" x14ac:dyDescent="0.2">
      <c r="A1552" t="s">
        <v>356</v>
      </c>
      <c r="B1552">
        <f>1+(F1533*Skills!Z11)/100</f>
        <v>1.25</v>
      </c>
    </row>
    <row r="1553" spans="1:26" x14ac:dyDescent="0.2">
      <c r="A1553" t="s">
        <v>435</v>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1.18624</v>
      </c>
    </row>
    <row r="1554" spans="1:26" x14ac:dyDescent="0.2">
      <c r="A1554" t="s">
        <v>358</v>
      </c>
      <c r="B1554">
        <f>(1+(F1528*IF(AND(Inputs!$B$38&lt;&gt;"pvp",Inputs!$B$43&gt;0),(((R1528-1)*MIN((Skills!T6*(1+((Inputs!$B$34+(ArtifactsInput!$M$7-ArtifactsInput!$M$7)*CHOOSE(ArtifactsInput!$N$7+1,6,7.2,8.4,9.6,10.8,12)))/100)),(1/Q1528))+MIN((Skills!T6*(1+((Inputs!$B$34+(ArtifactsInput!$M$7-ArtifactsInput!$M$7)*CHOOSE(ArtifactsInput!$N$7+1,6,7.2,8.4,9.6,10.8,12)))/100)),MAX(0,Inputs!$B$43-((R1528-1)*(1/Q1528)))))/Inputs!$B$43),IF(Inputs!$B$38="pvp",MIN((Skills!T6*(1+((Inputs!$B$34+(ArtifactsInput!$M$7-ArtifactsInput!$M$7)*CHOOSE(ArtifactsInput!$N$7+1,6,7.2,8.4,9.6,10.8,12)))/100)),15)/15,MIN(1,(Skills!T6*(1+((Inputs!$B$34+(ArtifactsInput!$M$7-ArtifactsInput!$M$7)*CHOOSE(ArtifactsInput!$N$7+1,6,7.2,8.4,9.6,10.8,12)))/100))/(1/Q1528))))+F1539*IF(AND(Inputs!$B$38&lt;&gt;"pvp",Inputs!$B$43&gt;0),(((R1539-1)*MIN((Skills!T17*(1+((Inputs!$B$34+(ArtifactsInput!$M$7-ArtifactsInput!$M$7)*CHOOSE(ArtifactsInput!$N$7+1,6,7.2,8.4,9.6,10.8,12)))/100)),(1/Q1539))+MIN((Skills!T17*(1+((Inputs!$B$34+(ArtifactsInput!$M$7-ArtifactsInput!$M$7)*CHOOSE(ArtifactsInput!$N$7+1,6,7.2,8.4,9.6,10.8,12)))/100)),MAX(0,Inputs!$B$43-((R1539-1)*(1/Q1539)))))/Inputs!$B$43),IF(Inputs!$B$38="pvp",MIN((Skills!T17*(1+((Inputs!$B$34+(ArtifactsInput!$M$7-ArtifactsInput!$M$7)*CHOOSE(ArtifactsInput!$N$7+1,6,7.2,8.4,9.6,10.8,12)))/100)),15)/15,MIN(1,(Skills!T17*(1+((Inputs!$B$34+(ArtifactsInput!$M$7-ArtifactsInput!$M$7)*CHOOSE(ArtifactsInput!$N$7+1,6,7.2,8.4,9.6,10.8,12)))/100))/(1/Q1539)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MIN((Skills!T19*(1+((Inputs!$B$34+(ArtifactsInput!$M$7-ArtifactsInput!$M$7)*CHOOSE(ArtifactsInput!$N$7+1,6,7.2,8.4,9.6,10.8,12)))/100)),(1/Q1541))+MIN((Skills!T19*(1+((Inputs!$B$34+(ArtifactsInput!$M$7-ArtifactsInput!$M$7)*CHOOSE(ArtifactsInput!$N$7+1,6,7.2,8.4,9.6,10.8,12)))/100)),MAX(0,Inputs!$B$43-((R1541-1)*(1/Q1541)))))/Inputs!$B$43),IF(Inputs!$B$38="pvp",MIN((Skills!T19*(1+((Inputs!$B$34+(ArtifactsInput!$M$7-ArtifactsInput!$M$7)*CHOOSE(ArtifactsInput!$N$7+1,6,7.2,8.4,9.6,10.8,12)))/100)),15)/15,MIN(1,(Skills!T19*(1+((Inputs!$B$34+(ArtifactsInput!$M$7-ArtifactsInput!$M$7)*CHOOSE(ArtifactsInput!$N$7+1,6,7.2,8.4,9.6,10.8,12)))/100))/(1/Q1541))))/100),1)</f>
        <v>1.7965808377980694</v>
      </c>
    </row>
    <row r="1555" spans="1:26" x14ac:dyDescent="0.2">
      <c r="A1555" t="s">
        <v>359</v>
      </c>
      <c r="B1555">
        <f>F1540*IF(AND(Inputs!$B$38&lt;&gt;"pvp",Inputs!$B$43&gt;0),(((R1540-1)*MIN((Skills!T18*(1+((Inputs!$B$34+(ArtifactsInput!$M$7-ArtifactsInput!$M$7)*CHOOSE(ArtifactsInput!$N$7+1,6,7.2,8.4,9.6,10.8,12)))/100)),(1/Q1540))+MIN((Skills!T18*(1+((Inputs!$B$34+(ArtifactsInput!$M$7-ArtifactsInput!$M$7)*CHOOSE(ArtifactsInput!$N$7+1,6,7.2,8.4,9.6,10.8,12)))/100)),MAX(0,Inputs!$B$43-((R1540-1)*(1/Q1540)))))/Inputs!$B$43),IF(Inputs!$B$38="pvp",MIN((Skills!T18*(1+((Inputs!$B$34+(ArtifactsInput!$M$7-ArtifactsInput!$M$7)*CHOOSE(ArtifactsInput!$N$7+1,6,7.2,8.4,9.6,10.8,12)))/100)),15)/15,MIN(1,(Skills!T18*(1+((Inputs!$B$34+(ArtifactsInput!$M$7-ArtifactsInput!$M$7)*CHOOSE(ArtifactsInput!$N$7+1,6,7.2,8.4,9.6,10.8,12)))/100))/(1/Q1540))))</f>
        <v>6.4968749999999993</v>
      </c>
    </row>
    <row r="1556" spans="1:26" x14ac:dyDescent="0.2">
      <c r="A1556" t="s">
        <v>436</v>
      </c>
      <c r="B1556">
        <f>1+MIN(150,150*(1-(1-(Inputs!$B$11+(ArtifactsInput!$M$15-ArtifactsInput!$M$15)*CHOOSE(ArtifactsInput!$N$15+1,8,9.6,11.2,12.8,14.4,16))/150)*(1-B1555/150)))/100</f>
        <v>1.6982958749999999</v>
      </c>
    </row>
    <row r="1557" spans="1:26" x14ac:dyDescent="0.2">
      <c r="A1557" t="s">
        <v>437</v>
      </c>
      <c r="B1557">
        <f>IF(AND(Inputs!$B$38&lt;&gt;"pvp",Inputs!$B$43&gt;0),SUMPRODUCT((Skills!F2:F28=TRUE)*(C1524:C1550=TRUE)*R1524:R1550)/Inputs!$B$43,SUMPRODUCT((Skills!F2:F28=TRUE)*(C1524:C1550=TRUE)*Q1524:Q1550))</f>
        <v>0.47499999999999998</v>
      </c>
    </row>
    <row r="1558" spans="1:26" x14ac:dyDescent="0.2">
      <c r="A1558" t="s">
        <v>362</v>
      </c>
      <c r="B1558">
        <f>MAX(0,B1556-B1557)</f>
        <v>1.2232958749999998</v>
      </c>
    </row>
    <row r="1559" spans="1:26" x14ac:dyDescent="0.2">
      <c r="A1559" t="s">
        <v>438</v>
      </c>
      <c r="B1559">
        <f>IF(AND(Inputs!$B$38&lt;&gt;"pvp",Inputs!$B$43&gt;0),SUMPRODUCT((Skills!V2:V28=TRUE)*(C1524:C1550=TRUE)*R1524:R1550*Skills!W2:W28)/Inputs!$B$43,SUMPRODUCT((Skills!V2:V28=TRUE)*(C1524:C1550=TRUE)*Q1524:Q1550*Skills!W2:W28))+B1558</f>
        <v>1.5482958749999998</v>
      </c>
    </row>
    <row r="1560" spans="1:26" x14ac:dyDescent="0.2">
      <c r="A1560" t="s">
        <v>439</v>
      </c>
      <c r="B1560">
        <f>IF(AND(Inputs!$B$38&lt;&gt;"pvp",Inputs!$B$43&gt;0),SUMPRODUCT((Skills!T2:T28&gt;0)*(Skills!F2:F28=TRUE)*(C1524:C1550=TRUE))/B1556,0)</f>
        <v>2.3553021937358238</v>
      </c>
    </row>
    <row r="1561" spans="1:26" x14ac:dyDescent="0.2">
      <c r="A1561" t="s">
        <v>440</v>
      </c>
      <c r="B1561">
        <f>SUM(S1524:S1550)</f>
        <v>9517263078933292</v>
      </c>
    </row>
    <row r="1562" spans="1:26" x14ac:dyDescent="0.2">
      <c r="A1562" t="s">
        <v>441</v>
      </c>
      <c r="B1562">
        <f>SUM(U1524:U1550)</f>
        <v>5.6656428257660488E+16</v>
      </c>
    </row>
    <row r="1563" spans="1:26" x14ac:dyDescent="0.2">
      <c r="A1563" s="6" t="s">
        <v>348</v>
      </c>
      <c r="B1563" s="6">
        <f>SUM(O1524:O1550)</f>
        <v>3.3086845668296892E+16</v>
      </c>
    </row>
    <row r="1566" spans="1:26" x14ac:dyDescent="0.2">
      <c r="A1566" s="6" t="s">
        <v>475</v>
      </c>
    </row>
    <row r="1567" spans="1:26" x14ac:dyDescent="0.2">
      <c r="A1567" s="5" t="s">
        <v>136</v>
      </c>
      <c r="B1567" s="5" t="s">
        <v>137</v>
      </c>
      <c r="C1567" s="5" t="s">
        <v>328</v>
      </c>
      <c r="D1567" s="5" t="s">
        <v>329</v>
      </c>
      <c r="E1567" s="5" t="s">
        <v>330</v>
      </c>
      <c r="F1567" s="5" t="s">
        <v>331</v>
      </c>
      <c r="G1567" s="5" t="s">
        <v>332</v>
      </c>
      <c r="H1567" s="5" t="s">
        <v>333</v>
      </c>
      <c r="I1567" s="5" t="s">
        <v>334</v>
      </c>
      <c r="J1567" s="5" t="s">
        <v>335</v>
      </c>
      <c r="K1567" s="5" t="s">
        <v>336</v>
      </c>
      <c r="L1567" s="5" t="s">
        <v>337</v>
      </c>
      <c r="M1567" s="5" t="s">
        <v>338</v>
      </c>
      <c r="N1567" s="5" t="s">
        <v>339</v>
      </c>
      <c r="O1567" s="5" t="s">
        <v>340</v>
      </c>
      <c r="P1567" s="5" t="s">
        <v>341</v>
      </c>
      <c r="R1567" t="s">
        <v>434</v>
      </c>
    </row>
    <row r="1568" spans="1:26" x14ac:dyDescent="0.2">
      <c r="A1568" t="str">
        <f>Skills!A2</f>
        <v>BASIC_ATTACK</v>
      </c>
      <c r="B1568" t="str">
        <f>Skills!B2</f>
        <v>Basic Attack</v>
      </c>
      <c r="C1568" t="b">
        <f>TRUE</f>
        <v>1</v>
      </c>
      <c r="F1568">
        <f>T1570+Skills!O2</f>
        <v>537.6</v>
      </c>
      <c r="G1568">
        <f>Calc!G2</f>
        <v>5</v>
      </c>
      <c r="H1568">
        <f>Calc!H2</f>
        <v>1</v>
      </c>
      <c r="I1568">
        <f>IF(Skills!X2&lt;&gt;"",1+(Skills!X2/10)*(Z1569/1000)/100,1)</f>
        <v>1</v>
      </c>
      <c r="J1568">
        <f>((Inputs!$B$6*(1+Inputs!$B$7/100))+(((Inputs!$B$12*(1+Inputs!$B$13/100))-(Inputs!$B$12*(1+Inputs!$B$13/100)))+0.25*(Inputs!$B$14-Inputs!$B$14))*(1+Inputs!$B$7/100))*(F1568/100)</f>
        <v>1941459186.9980164</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6627892028473.2646</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20898406354979.051</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98619579589146.125</v>
      </c>
      <c r="N1568">
        <f>L1568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98619579589146.125</v>
      </c>
      <c r="O1568">
        <f>(1-Summary!$B$11)*S1568+Summary!$B$11*U1568</f>
        <v>1.0542221012731594E+16</v>
      </c>
      <c r="P1568">
        <f>IF(B1607=0,0,O1568/B1607)</f>
        <v>0.35124198262528322</v>
      </c>
      <c r="Q1568">
        <f>IFERROR(1/(IF(Inputs!$B$38="pvp",15,MAX(0.1,Skills!E2-IF(TRUE=TRUE,Inputs!$B$32,0)))*(1-IF(AND(ArtifactsInput!$M$27,Inputs!$B$4="Chapter Hunt"),CHOOSE(ArtifactsInput!$N$27+1,20,24,28,32,36,40),0)/100)),0)</f>
        <v>10</v>
      </c>
      <c r="R1568">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1750345910720097.5</v>
      </c>
      <c r="T1568">
        <f>MAX(0,(Inputs!$B$3-100)*3)+Inputs!$B$28+Inputs!$B$29</f>
        <v>185</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1.9334096114743092E+16</v>
      </c>
      <c r="Z1568">
        <f>MAX(0,(Inputs!$B$3-100)*3)+Inputs!$B$28+Inputs!$B$29</f>
        <v>185</v>
      </c>
    </row>
    <row r="1569" spans="1:26" x14ac:dyDescent="0.2">
      <c r="A1569" t="str">
        <f>Skills!A3</f>
        <v>IGNITE</v>
      </c>
      <c r="B1569" t="str">
        <f>Skills!B3</f>
        <v>Ignite</v>
      </c>
      <c r="C1569" t="b">
        <f>TRUE</f>
        <v>1</v>
      </c>
      <c r="D1569">
        <f>IF(Skills!C3=1,60+Inputs!$B$25+Inputs!$B$29,IF(Skills!C3=2,90+Inputs!$B$26+Inputs!$B$29,IF(Skills!C3=3,120+Inputs!$B$27+Inputs!$B$29,MAX(0,(Inputs!$B$3-100)*3)+Inputs!$B$28+Inputs!$B$29)))</f>
        <v>168</v>
      </c>
      <c r="E1569">
        <f>INDEX(FactorTable!$B$2:$Y$301, MATCH(ROUND(MIN(300,MAX(1,D1569)),0), FactorTable!$A$2:$A$301,0), Skills!M3+1)</f>
        <v>1672</v>
      </c>
      <c r="F1569">
        <f>IF(Skills!N3=TRUE,(Skills!L3/10)*(E1569/1000),Skills!L3/10)+Skills!O3</f>
        <v>121.736</v>
      </c>
      <c r="G1569">
        <f>Calc!G3</f>
        <v>3</v>
      </c>
      <c r="H1569">
        <f>Calc!H3</f>
        <v>1</v>
      </c>
      <c r="I1569">
        <f>IF(Skills!X3&lt;&gt;"",1+(Skills!X3/10)*(Z1569/1000)/100,1)</f>
        <v>4.8250000000000002</v>
      </c>
      <c r="J1569">
        <f>((Inputs!$B$6*(1+Inputs!$B$7/100))+(((Inputs!$B$12*(1+Inputs!$B$13/100))-(Inputs!$B$12*(1+Inputs!$B$13/100)))+0.25*(Inputs!$B$14-Inputs!$B$14))*(1+Inputs!$B$7/100))*(F1569/100)</f>
        <v>439630720.9605478</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10669120928096.275</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33640805198380.367</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158750959731156.94</v>
      </c>
      <c r="N1569">
        <f>L1569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158750959731156.94</v>
      </c>
      <c r="O1569">
        <f>(1-Summary!$B$11)*S1569+Summary!$B$11*U1569</f>
        <v>2759885434926163.5</v>
      </c>
      <c r="P1569">
        <f>IF(B1607=0,0,O1569/B1607)</f>
        <v>9.195288457824978E-2</v>
      </c>
      <c r="Q1569">
        <f>IFERROR(1/(IF(Inputs!$B$38="pvp",15,MAX(0.1,Skills!E3-IF(FALSE=TRUE,Inputs!$B$32,0)))*(1-IF(AND(ArtifactsInput!$M$27,Inputs!$B$4="Chapter Hunt"),CHOOSE(ArtifactsInput!$N$27+1,20,24,28,32,36,40),0)/100)),0)</f>
        <v>1</v>
      </c>
      <c r="R1569">
        <f>IF(AND(Inputs!$B$38&lt;&gt;"pvp",Inputs!$B$43&gt;0),IF(MAX(0,Inputs!$B$43-B1604)&lt;=0,0,(INT(MAX(0,Inputs!$B$43-B1604)/(IF(Inputs!$B$38="pvp",15,MAX(0.1,Skills!E3-IF(FALSE=TRUE,Inputs!$B$32,0)))*(1-IF(AND(ArtifactsInput!$M$27,Inputs!$B$4="Chapter Hunt"),CHOOSE(ArtifactsInput!$N$27+1,20,24,28,32,36,40),0)/100)))+1)),0)</f>
        <v>38</v>
      </c>
      <c r="S1569">
        <f>IF(C1569,(H1569*N1569*IF(AND(Inputs!$B$38&lt;&gt;"pvp",Inputs!$B$43&gt;0),((Skills!G3*((R1569-1)*IF(Skills!H3&gt;0,Skills!I3/Skills!H3,1)+IF(Skills!H3&gt;0,MIN(Skills!I3,MAX(0,MAX(0,Inputs!$B$43-B1604)-((R1569-1)*(IF(Inputs!$B$38="pvp",15,MAX(0.1,Skills!E3-IF(FALSE=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1434235545691137.5</v>
      </c>
      <c r="T1569">
        <f>INDEX(FactorTable!$B$2:$Y$301, MATCH(ROUND(MIN(300,MAX(1,T1568)),0), FactorTable!$A$2:$A$301,0), 22)</f>
        <v>1740</v>
      </c>
      <c r="U1569">
        <f>IF(C1569,(H1569*N1569*IF(AND(Inputs!$B$38&lt;&gt;"pvp",Inputs!$B$43&gt;0),((Skills!G3*((R1569-1)*IF(Skills!H3&gt;0,Skills!I3/Skills!H3,1)+IF(Skills!H3&gt;0,MIN(Skills!I3,MAX(0,MAX(0,Inputs!$B$43-B1604)-((R1569-1)*(IF(Inputs!$B$38="pvp",15,MAX(0.1,Skills!E3-IF(FALSE=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4085535324161189.5</v>
      </c>
      <c r="Z1569">
        <f>INDEX(FactorTable!$B$2:$Y$301, MATCH(ROUND(MIN(300,MAX(1,Z1568)),0), FactorTable!$A$2:$A$301,0), 24)</f>
        <v>7650</v>
      </c>
    </row>
    <row r="1570" spans="1:26" x14ac:dyDescent="0.2">
      <c r="A1570" t="str">
        <f>Skills!A4</f>
        <v>POISON_BREATH</v>
      </c>
      <c r="B1570" t="str">
        <f>Skills!B4</f>
        <v>Poison Breath</v>
      </c>
      <c r="C1570" t="b">
        <f>TRUE</f>
        <v>1</v>
      </c>
      <c r="D1570">
        <f>IF(Skills!C4=1,60+Inputs!$B$25+Inputs!$B$29,IF(Skills!C4=2,90+Inputs!$B$26+Inputs!$B$29,IF(Skills!C4=3,120+Inputs!$B$27+Inputs!$B$29,MAX(0,(Inputs!$B$3-100)*3)+Inputs!$B$28+Inputs!$B$29)))</f>
        <v>168</v>
      </c>
      <c r="E1570">
        <f>INDEX(FactorTable!$B$2:$Y$301, MATCH(ROUND(MIN(300,MAX(1,D1570)),0), FactorTable!$A$2:$A$301,0), Skills!M4+1)</f>
        <v>1840</v>
      </c>
      <c r="F1570">
        <f>IF(Skills!N4=TRUE,(Skills!L4/10)*(E1570/1000),Skills!L4/10)+Skills!O4</f>
        <v>438</v>
      </c>
      <c r="G1570">
        <f>Calc!G4</f>
        <v>3</v>
      </c>
      <c r="H1570">
        <f>Calc!H4</f>
        <v>1</v>
      </c>
      <c r="I1570">
        <f>IF(Skills!X4&lt;&gt;"",1+(Skills!X4/10)*(Z1569/1000)/100,1)</f>
        <v>7.12</v>
      </c>
      <c r="J1570">
        <f>((Inputs!$B$6*(1+Inputs!$B$7/100))+(((Inputs!$B$12*(1+Inputs!$B$13/100))-(Inputs!$B$12*(1+Inputs!$B$13/100)))+0.25*(Inputs!$B$14-Inputs!$B$14))*(1+Inputs!$B$7/100))*(F1570/100)</f>
        <v>1581769203.69258</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56645628068559.672</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178609329862975.5</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842857427623381.25</v>
      </c>
      <c r="N1570">
        <f>L1570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842857427623381.25</v>
      </c>
      <c r="O1570">
        <f>(1-Summary!$B$11)*S1570+Summary!$B$11*U1570</f>
        <v>2013059608699993</v>
      </c>
      <c r="P1570">
        <f>IF(B1607=0,0,O1570/B1607)</f>
        <v>6.7070406439852584E-2</v>
      </c>
      <c r="Q1570">
        <f>IFERROR(1/(IF(Inputs!$B$38="pvp",15,MAX(0.1,Skills!E4-IF(TRUE=TRUE,Inputs!$B$32,0)))*(1-IF(AND(ArtifactsInput!$M$27,Inputs!$B$4="Chapter Hunt"),CHOOSE(ArtifactsInput!$N$27+1,20,24,28,32,36,40),0)/100)),0)</f>
        <v>5.5555555555555552E-2</v>
      </c>
      <c r="R1570">
        <f>IF(AND(Inputs!$B$38&lt;&gt;"pvp",Inputs!$B$43&gt;0),IF(MAX(0,Inputs!$B$43-B1604)&lt;=0,0,(INT(MAX(0,Inputs!$B$43-B1604)/(IF(Inputs!$B$38="pvp",15,MAX(0.1,Skills!E4-IF(TRUE=TRUE,Inputs!$B$32,0)))*(1-IF(AND(ArtifactsInput!$M$27,Inputs!$B$4="Chapter Hunt"),CHOOSE(ArtifactsInput!$N$27+1,20,24,28,32,36,40),0)/100)))+1)),0)</f>
        <v>3</v>
      </c>
      <c r="S1570">
        <f>IF(C1570,(H1570*N1570*IF(AND(Inputs!$B$38&lt;&gt;"pvp",Inputs!$B$43&gt;0),((Skills!G4*((R1570-1)*IF(Skills!H4&gt;0,Skills!I4/Skills!H4,1)+IF(Skills!H4&gt;0,MIN(Skills!I4,MAX(0,MAX(0,Inputs!$B$43-B1604)-((R1570-1)*(IF(Inputs!$B$38="pvp",15,MAX(0.1,Skills!E4-IF(TRUE=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601168060252376.62</v>
      </c>
      <c r="T1570">
        <f>290*T1569/1000</f>
        <v>504.6</v>
      </c>
      <c r="U1570">
        <f>IF(C1570,(H1570*N1570*IF(AND(Inputs!$B$38&lt;&gt;"pvp",Inputs!$B$43&gt;0),((Skills!G4*((R1570-1)*IF(Skills!H4&gt;0,Skills!I4/Skills!H4,1)+IF(Skills!H4&gt;0,MIN(Skills!I4,MAX(0,MAX(0,Inputs!$B$43-B1604)-((R1570-1)*(IF(Inputs!$B$38="pvp",15,MAX(0.1,Skills!E4-IF(TRUE=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3424951157147609.5</v>
      </c>
    </row>
    <row r="1571" spans="1:26" x14ac:dyDescent="0.2">
      <c r="A1571" t="str">
        <f>Skills!A5</f>
        <v>ELEMENTAL_DRAIN</v>
      </c>
      <c r="B1571" t="str">
        <f>Skills!B5</f>
        <v>Elemental Drain</v>
      </c>
      <c r="C1571" t="b">
        <f>TRUE</f>
        <v>1</v>
      </c>
      <c r="D1571">
        <f>IF(Skills!C5=1,60+Inputs!$B$25+Inputs!$B$29,IF(Skills!C5=2,90+Inputs!$B$26+Inputs!$B$29,IF(Skills!C5=3,120+Inputs!$B$27+Inputs!$B$29,MAX(0,(Inputs!$B$3-100)*3)+Inputs!$B$28+Inputs!$B$29)))</f>
        <v>168</v>
      </c>
      <c r="E1571">
        <f>INDEX(FactorTable!$B$2:$Y$301, MATCH(ROUND(MIN(300,MAX(1,D1571)),0), FactorTable!$A$2:$A$301,0), Skills!M5+1)</f>
        <v>1672</v>
      </c>
      <c r="F1571">
        <f>IF(Skills!N5=TRUE,(Skills!L5/10)*(E1571/1000),Skills!L5/10)+Skills!O5</f>
        <v>20.064</v>
      </c>
      <c r="G1571">
        <f>Calc!G5</f>
        <v>5</v>
      </c>
      <c r="H1571">
        <f>Calc!H5</f>
        <v>1</v>
      </c>
      <c r="I1571">
        <f>IF(Skills!X5&lt;&gt;"",1+(Skills!X5/10)*(Z1569/1000)/100,1)</f>
        <v>12.475</v>
      </c>
      <c r="J1571">
        <f>((Inputs!$B$6*(1+Inputs!$B$7/100))+(((Inputs!$B$12*(1+Inputs!$B$13/100))-(Inputs!$B$12*(1+Inputs!$B$13/100)))+0.25*(Inputs!$B$14-Inputs!$B$14))*(1+Inputs!$B$7/100))*(F1571/100)</f>
        <v>72458030.371890247</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4546428503076.9248</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14335343713051.854</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67648486981891.688</v>
      </c>
      <c r="N1571">
        <f>L1571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67648486981891.688</v>
      </c>
      <c r="O1571">
        <f>(1-Summary!$B$11)*S1571+Summary!$B$11*U1571</f>
        <v>992910667676715.12</v>
      </c>
      <c r="P1571">
        <f>IF(B1607=0,0,O1571/B1607)</f>
        <v>3.3081445652048423E-2</v>
      </c>
      <c r="Q1571">
        <f>IFERROR(1/(IF(Inputs!$B$38="pvp",15,MAX(0.1,Skills!E5-IF(FALSE=TRUE,Inputs!$B$32,0)))*(1-IF(AND(ArtifactsInput!$M$27,Inputs!$B$4="Chapter Hunt"),CHOOSE(ArtifactsInput!$N$27+1,20,24,28,32,36,40),0)/100)),0)</f>
        <v>1</v>
      </c>
      <c r="R1571">
        <f>IF(AND(Inputs!$B$38&lt;&gt;"pvp",Inputs!$B$43&gt;0),IF(MAX(0,Inputs!$B$43-B1604)&lt;=0,0,(INT(MAX(0,Inputs!$B$43-B1604)/(IF(Inputs!$B$38="pvp",15,MAX(0.1,Skills!E5-IF(FALSE=TRUE,Inputs!$B$32,0)))*(1-IF(AND(ArtifactsInput!$M$27,Inputs!$B$4="Chapter Hunt"),CHOOSE(ArtifactsInput!$N$27+1,20,24,28,32,36,40),0)/100)))+1)),0)</f>
        <v>38</v>
      </c>
      <c r="S1571">
        <f>IF(C1571,(H1571*N1571*IF(AND(Inputs!$B$38&lt;&gt;"pvp",Inputs!$B$43&gt;0),((Skills!G5*((R1571-1)*IF(Skills!H5&gt;0,Skills!I5/Skills!H5,1)+IF(Skills!H5&gt;0,MIN(Skills!I5,MAX(0,MAX(0,Inputs!$B$43-B1604)-((R1571-1)*(IF(Inputs!$B$38="pvp",15,MAX(0.1,Skills!E5-IF(FALSE=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1018617092729834</v>
      </c>
      <c r="U1571">
        <f>IF(C1571,(H1571*N1571*IF(AND(Inputs!$B$38&lt;&gt;"pvp",Inputs!$B$43&gt;0),((Skills!G5*((R1571-1)*IF(Skills!H5&gt;0,Skills!I5/Skills!H5,1)+IF(Skills!H5&gt;0,MIN(Skills!I5,MAX(0,MAX(0,Inputs!$B$43-B1604)-((R1571-1)*(IF(Inputs!$B$38="pvp",15,MAX(0.1,Skills!E5-IF(FALSE=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967204242623596.25</v>
      </c>
    </row>
    <row r="1572" spans="1:26" x14ac:dyDescent="0.2">
      <c r="A1572" t="str">
        <f>Skills!A6</f>
        <v>MEDITATION</v>
      </c>
      <c r="B1572" t="str">
        <f>Skills!B6</f>
        <v>Meditation</v>
      </c>
      <c r="C1572" t="b">
        <f>TRUE</f>
        <v>1</v>
      </c>
      <c r="D1572">
        <f>IF(Skills!C6=1,60+Inputs!$B$25+Inputs!$B$29,IF(Skills!C6=2,90+Inputs!$B$26+Inputs!$B$29,IF(Skills!C6=3,120+Inputs!$B$27+Inputs!$B$29,MAX(0,(Inputs!$B$3-100)*3)+Inputs!$B$28+Inputs!$B$29)))</f>
        <v>168</v>
      </c>
      <c r="E1572">
        <f>INDEX(FactorTable!$B$2:$Y$301, MATCH(ROUND(MIN(300,MAX(1,D1572)),0), FactorTable!$A$2:$A$301,0), Skills!M6+1)</f>
        <v>1672</v>
      </c>
      <c r="F1572">
        <f>IF(Skills!N6=TRUE,(Skills!L6/10)*(E1572/1000),Skills!L6/10)+Skills!O6</f>
        <v>33.44</v>
      </c>
      <c r="G1572">
        <f>Calc!G6</f>
        <v>1</v>
      </c>
      <c r="H1572">
        <f>Calc!H6</f>
        <v>1</v>
      </c>
      <c r="I1572">
        <f>IF(Skills!X6&lt;&gt;"",1+(Skills!X6/10)*(Z1569/1000)/100,1)</f>
        <v>1</v>
      </c>
      <c r="O1572">
        <f>(1-Summary!$B$11)*S1572+Summary!$B$11*U1572</f>
        <v>0</v>
      </c>
      <c r="P1572">
        <f>IF(B1607=0,0,O1572/B1607)</f>
        <v>0</v>
      </c>
      <c r="Q1572">
        <f>IFERROR(1/(IF(Inputs!$B$38="pvp",15,MAX(0.1,Skills!E6-IF(TRUE=TRUE,Inputs!$B$32,0)))*(1-IF(AND(ArtifactsInput!$M$27,Inputs!$B$4="Chapter Hunt"),CHOOSE(ArtifactsInput!$N$27+1,20,24,28,32,36,40),0)/100)),0)</f>
        <v>3.3333333333333333E-2</v>
      </c>
      <c r="R1572">
        <f>IF(AND(Inputs!$B$38&lt;&gt;"pvp",Inputs!$B$43&gt;0),IF(Inputs!$B$43&lt;=0,0,(INT(Inputs!$B$43/(IF(Inputs!$B$38="pvp",15,MAX(0.1,Skills!E6-IF(TRUE=TRUE,Inputs!$B$32,0)))*(1-IF(AND(ArtifactsInput!$M$27,Inputs!$B$4="Chapter Hunt"),CHOOSE(ArtifactsInput!$N$27+1,20,24,28,32,36,40),0)/100)))+1)),0)</f>
        <v>2</v>
      </c>
      <c r="S1572">
        <v>0</v>
      </c>
      <c r="U1572">
        <v>0</v>
      </c>
    </row>
    <row r="1573" spans="1:26" x14ac:dyDescent="0.2">
      <c r="A1573" t="str">
        <f>Skills!A7</f>
        <v>POISON_MIST_BURST</v>
      </c>
      <c r="B1573" t="str">
        <f>Skills!B7</f>
        <v>Poison Mist (burst)</v>
      </c>
      <c r="C1573" t="b">
        <f>TRUE</f>
        <v>1</v>
      </c>
      <c r="D1573">
        <f>IF(Skills!C7=1,60+Inputs!$B$25+Inputs!$B$29,IF(Skills!C7=2,90+Inputs!$B$26+Inputs!$B$29,IF(Skills!C7=3,120+Inputs!$B$27+Inputs!$B$29,MAX(0,(Inputs!$B$3-100)*3)+Inputs!$B$28+Inputs!$B$29)))</f>
        <v>184</v>
      </c>
      <c r="E1573">
        <f>INDEX(FactorTable!$B$2:$Y$301, MATCH(ROUND(MIN(300,MAX(1,D1573)),0), FactorTable!$A$2:$A$301,0), Skills!M7+1)</f>
        <v>1920</v>
      </c>
      <c r="F1573">
        <f>IF(Skills!N7=TRUE,(Skills!L7/10)*(E1573/1000),Skills!L7/10)+Skills!O7</f>
        <v>357.2</v>
      </c>
      <c r="G1573">
        <f>Calc!G7</f>
        <v>3</v>
      </c>
      <c r="H1573">
        <f>Calc!H7</f>
        <v>1</v>
      </c>
      <c r="I1573">
        <f>IF(Skills!X7&lt;&gt;"",1+(Skills!X7/10)*(Z1569/1000)/100,1)</f>
        <v>1.7650000000000001</v>
      </c>
      <c r="J1573">
        <f>((Inputs!$B$6*(1+Inputs!$B$7/100))+(((Inputs!$B$12*(1+Inputs!$B$13/100))-(Inputs!$B$12*(1+Inputs!$B$13/100)))+0.25*(Inputs!$B$14-Inputs!$B$14))*(1+Inputs!$B$7/100))*(F1573/100)</f>
        <v>1289972510.4086521</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11451660183176.852</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36108229723574.93</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170394736065550.06</v>
      </c>
      <c r="N1573">
        <f>L1573*(1-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170394736065550.06</v>
      </c>
      <c r="O1573">
        <f>(1-Summary!$B$11)*S1573+Summary!$B$11*U1573</f>
        <v>425177465167563.69</v>
      </c>
      <c r="P1573">
        <f>IF(B1607=0,0,O1573/B1607)</f>
        <v>1.41659120647056E-2</v>
      </c>
      <c r="Q1573">
        <f>IFERROR(1/(IF(Inputs!$B$38="pvp",15,MAX(0.1,Skills!E7-IF(TRUE=TRUE,Inputs!$B$32,0)))*(1-IF(AND(ArtifactsInput!$M$27,Inputs!$B$4="Chapter Hunt"),CHOOSE(ArtifactsInput!$N$27+1,20,24,28,32,36,40),0)/100)),0)</f>
        <v>4.0816326530612242E-2</v>
      </c>
      <c r="R1573">
        <f>IF(AND(Inputs!$B$38&lt;&gt;"pvp",Inputs!$B$43&gt;0),IF(MAX(0,Inputs!$B$43-B1604)&lt;=0,0,(INT(MAX(0,Inputs!$B$43-B1604)/(IF(Inputs!$B$38="pvp",15,MAX(0.1,Skills!E7-IF(TRUE=TRUE,Inputs!$B$32,0)))*(1-IF(AND(ArtifactsInput!$M$27,Inputs!$B$4="Chapter Hunt"),CHOOSE(ArtifactsInput!$N$27+1,20,24,28,32,36,40),0)/100)))+1)),0)</f>
        <v>2</v>
      </c>
      <c r="S1573">
        <f>IF(C1573,(H1573*N1573*IF(AND(Inputs!$B$38&lt;&gt;"pvp",Inputs!$B$43&gt;0),((Skills!G7*((R1573-1)*IF(Skills!H7&gt;0,Skills!I7/Skills!H7,1)+IF(Skills!H7&gt;0,MIN(Skills!I7,MAX(0,MAX(0,Inputs!$B$43-B1604)-((R1573-1)*(IF(Inputs!$B$38="pvp",15,MAX(0.1,Skills!E7-IF(TRUE=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81022696999169.047</v>
      </c>
      <c r="U1573">
        <f>IF(C1573,(H1573*N1573*IF(AND(Inputs!$B$38&lt;&gt;"pvp",Inputs!$B$43&gt;0),((Skills!G7*((R1573-1)*IF(Skills!H7&gt;0,Skills!I7/Skills!H7,1)+IF(Skills!H7&gt;0,MIN(Skills!I7,MAX(0,MAX(0,Inputs!$B$43-B1604)-((R1573-1)*(IF(Inputs!$B$38="pvp",15,MAX(0.1,Skills!E7-IF(TRUE=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769332233335958.38</v>
      </c>
    </row>
    <row r="1574" spans="1:26" x14ac:dyDescent="0.2">
      <c r="A1574" t="str">
        <f>Skills!A8</f>
        <v>POISON_MIST_DOT</v>
      </c>
      <c r="B1574" t="str">
        <f>Skills!B8</f>
        <v>Poison Mist (fog DoT)</v>
      </c>
      <c r="C1574" t="b">
        <f>TRUE</f>
        <v>1</v>
      </c>
      <c r="D1574">
        <f>IF(Skills!C8=1,60+Inputs!$B$25+Inputs!$B$29,IF(Skills!C8=2,90+Inputs!$B$26+Inputs!$B$29,IF(Skills!C8=3,120+Inputs!$B$27+Inputs!$B$29,MAX(0,(Inputs!$B$3-100)*3)+Inputs!$B$28+Inputs!$B$29)))</f>
        <v>184</v>
      </c>
      <c r="E1574">
        <f>INDEX(FactorTable!$B$2:$Y$301, MATCH(ROUND(MIN(300,MAX(1,D1574)),0), FactorTable!$A$2:$A$301,0), Skills!M8+1)</f>
        <v>1920</v>
      </c>
      <c r="F1574">
        <f>IF(Skills!N8=TRUE,(Skills!L8/10)*(E1574/1000),Skills!L8/10)+Skills!O8</f>
        <v>134.4</v>
      </c>
      <c r="G1574">
        <f>Calc!G8</f>
        <v>50</v>
      </c>
      <c r="H1574">
        <f>Calc!H8</f>
        <v>1</v>
      </c>
      <c r="I1574">
        <f>IF(Skills!X8&lt;&gt;"",1+(Skills!X8/10)*(Z1569/1000)/100,1)</f>
        <v>1.7650000000000001</v>
      </c>
      <c r="J1574">
        <f>((Inputs!$B$6*(1+Inputs!$B$7/100))+(((Inputs!$B$12*(1+Inputs!$B$13/100))-(Inputs!$B$12*(1+Inputs!$B$13/100)))+0.25*(Inputs!$B$14-Inputs!$B$14))*(1+Inputs!$B$7/100))*(F1574/100)</f>
        <v>485364796.74950409</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4308799352236.7554</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13586075237537.715</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64112689045940.469</v>
      </c>
      <c r="N1574">
        <f>L1574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64112689045940.469</v>
      </c>
      <c r="O1574">
        <f>(1-Summary!$B$11)*S1574+Summary!$B$11*U1574</f>
        <v>2195471793589915</v>
      </c>
      <c r="P1574">
        <f>IF(B1607=0,0,O1574/B1607)</f>
        <v>7.3147950953325519E-2</v>
      </c>
      <c r="Q1574">
        <f>IFERROR(1/(IF(Inputs!$B$38="pvp",15,MAX(0.1,Skills!E8-IF(TRUE=TRUE,Inputs!$B$32,0)))*(1-IF(AND(ArtifactsInput!$M$27,Inputs!$B$4="Chapter Hunt"),CHOOSE(ArtifactsInput!$N$27+1,20,24,28,32,36,40),0)/100)),0)</f>
        <v>4.0816326530612242E-2</v>
      </c>
      <c r="R1574">
        <f>IF(AND(Inputs!$B$38&lt;&gt;"pvp",Inputs!$B$43&gt;0),IF(MAX(0,Inputs!$B$43-B1604)&lt;=0,0,(INT(MAX(0,Inputs!$B$43-B1604)/(IF(Inputs!$B$38="pvp",15,MAX(0.1,Skills!E8-IF(TRUE=TRUE,Inputs!$B$32,0)))*(1-IF(AND(ArtifactsInput!$M$27,Inputs!$B$4="Chapter Hunt"),CHOOSE(ArtifactsInput!$N$27+1,20,24,28,32,36,40),0)/100)))+1)),0)</f>
        <v>2</v>
      </c>
      <c r="S1574">
        <f>IF(C1574,(H1574*N1574*IF(AND(Inputs!$B$38&lt;&gt;"pvp",Inputs!$B$43&gt;0),((Skills!G8*((R1574-1)*IF(Skills!H8&gt;0,Skills!I8/Skills!H8,1)+IF(Skills!H8&gt;0,MIN(Skills!I8,MAX(0,MAX(0,Inputs!$B$43-B1604)-((R1574-1)*(IF(Inputs!$B$38="pvp",15,MAX(0.1,Skills!E8-IF(TRUE=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418373645066428.06</v>
      </c>
      <c r="U1574">
        <f>IF(C1574,(H1574*N1574*IF(AND(Inputs!$B$38&lt;&gt;"pvp",Inputs!$B$43&gt;0),((Skills!G8*((R1574-1)*IF(Skills!H8&gt;0,Skills!I8/Skills!H8,1)+IF(Skills!H8&gt;0,MIN(Skills!I8,MAX(0,MAX(0,Inputs!$B$43-B1604)-((R1574-1)*(IF(Inputs!$B$38="pvp",15,MAX(0.1,Skills!E8-IF(TRUE=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3972569942113402</v>
      </c>
    </row>
    <row r="1575" spans="1:26" x14ac:dyDescent="0.2">
      <c r="A1575" t="str">
        <f>Skills!A9</f>
        <v>MIST_ERUPTION</v>
      </c>
      <c r="B1575" t="str">
        <f>Skills!B9</f>
        <v>Mist Eruption</v>
      </c>
      <c r="C1575" t="b">
        <f>Inputs!$B$3&gt;=103</f>
        <v>1</v>
      </c>
      <c r="D1575">
        <f>IF(Skills!C9=1,60+Inputs!$B$25+Inputs!$B$29,IF(Skills!C9=2,90+Inputs!$B$26+Inputs!$B$29,IF(Skills!C9=3,120+Inputs!$B$27+Inputs!$B$29,MAX(0,(Inputs!$B$3-100)*3)+Inputs!$B$28+Inputs!$B$29)))</f>
        <v>185</v>
      </c>
      <c r="E1575">
        <f>INDEX(FactorTable!$B$2:$Y$301, MATCH(ROUND(MIN(300,MAX(1,D1575)),0), FactorTable!$A$2:$A$301,0), Skills!M9+1)</f>
        <v>1925</v>
      </c>
      <c r="F1575">
        <f>IF(Skills!N9=TRUE,(Skills!L9/10)*(E1575/1000),Skills!L9/10)+Skills!O9</f>
        <v>5775</v>
      </c>
      <c r="G1575">
        <f>Calc!G9</f>
        <v>2.5</v>
      </c>
      <c r="H1575">
        <f>Calc!H9</f>
        <v>1</v>
      </c>
      <c r="I1575">
        <f>IF(Skills!X9&lt;&gt;"",1+(Skills!X9/10)*(Z1569/1000)/100,1)</f>
        <v>1</v>
      </c>
      <c r="J1575">
        <f>((Inputs!$B$6*(1+Inputs!$B$7/100))+(((Inputs!$B$12*(1+Inputs!$B$13/100))-(Inputs!$B$12*(1+Inputs!$B$13/100)))+0.25*(Inputs!$B$14-Inputs!$B$14))*(1+Inputs!$B$7/100))*(F1575/100)</f>
        <v>20855518610.330254</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104897293012137.7</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330751654596571.44</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1560817058041220.5</v>
      </c>
      <c r="N1575">
        <f>L1575*(1-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1560817058041220.5</v>
      </c>
      <c r="O1575">
        <f>(1-Summary!$B$11)*S1575+Summary!$B$11*U1575</f>
        <v>3245523970064463</v>
      </c>
      <c r="P1575">
        <f>IF(B1607=0,0,O1575/B1607)</f>
        <v>0.10813321713959649</v>
      </c>
      <c r="Q1575">
        <f>IFERROR(1/(IF(Inputs!$B$38="pvp",15,MAX(0.1,Skills!E9-IF(TRUE=TRUE,Inputs!$B$32,0)))*(1-IF(AND(ArtifactsInput!$M$27,Inputs!$B$4="Chapter Hunt"),CHOOSE(ArtifactsInput!$N$27+1,20,24,28,32,36,40),0)/100)),0)</f>
        <v>4.0816326530612242E-2</v>
      </c>
      <c r="R1575">
        <f>IF(AND(Inputs!$B$38&lt;&gt;"pvp",Inputs!$B$43&gt;0),IF(MAX(0,Inputs!$B$43-B1604)&lt;=0,0,(INT(MAX(0,Inputs!$B$43-B1604)/(IF(Inputs!$B$38="pvp",15,MAX(0.1,Skills!E9-IF(TRUE=TRUE,Inputs!$B$32,0)))*(1-IF(AND(ArtifactsInput!$M$27,Inputs!$B$4="Chapter Hunt"),CHOOSE(ArtifactsInput!$N$27+1,20,24,28,32,36,40),0)/100)))+1)),0)</f>
        <v>2</v>
      </c>
      <c r="S1575">
        <f>IF(C1575,(H1575*N1575*IF(AND(Inputs!$B$38&lt;&gt;"pvp",Inputs!$B$43&gt;0),((Skills!G9*((R1575-1)*IF(Skills!H9&gt;0,Skills!I9/Skills!H9,1)+IF(Skills!H9&gt;0,MIN(Skills!I9,MAX(0,MAX(0,Inputs!$B$43-B1604)-((R1575-1)*(IF(Inputs!$B$38="pvp",15,MAX(0.1,Skills!E9-IF(TRUE=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618473759248833.62</v>
      </c>
      <c r="U1575">
        <f>IF(C1575,(H1575*N1575*IF(AND(Inputs!$B$38&lt;&gt;"pvp",Inputs!$B$43&gt;0),((Skills!G9*((R1575-1)*IF(Skills!H9&gt;0,Skills!I9/Skills!H9,1)+IF(Skills!H9&gt;0,MIN(Skills!I9,MAX(0,MAX(0,Inputs!$B$43-B1604)-((R1575-1)*(IF(Inputs!$B$38="pvp",15,MAX(0.1,Skills!E9-IF(TRUE=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5872574180880092</v>
      </c>
    </row>
    <row r="1576" spans="1:26" x14ac:dyDescent="0.2">
      <c r="A1576" t="str">
        <f>Skills!A10</f>
        <v>CREEPING_TOXIN</v>
      </c>
      <c r="B1576" t="str">
        <f>Skills!B10</f>
        <v>Creeping Toxin</v>
      </c>
      <c r="C1576" t="b">
        <f>TRUE</f>
        <v>1</v>
      </c>
      <c r="D1576">
        <f>IF(Skills!C10=1,60+Inputs!$B$25+Inputs!$B$29,IF(Skills!C10=2,90+Inputs!$B$26+Inputs!$B$29,IF(Skills!C10=3,120+Inputs!$B$27+Inputs!$B$29,MAX(0,(Inputs!$B$3-100)*3)+Inputs!$B$28+Inputs!$B$29)))</f>
        <v>184</v>
      </c>
      <c r="E1576">
        <f>INDEX(FactorTable!$B$2:$Y$301, MATCH(ROUND(MIN(300,MAX(1,D1576)),0), FactorTable!$A$2:$A$301,0), Skills!M10+1)</f>
        <v>1920</v>
      </c>
      <c r="F1576">
        <f>IF(Skills!N10=TRUE,(Skills!L10/10)*(E1576/1000),Skills!L10/10)+Skills!O10</f>
        <v>280.39999999999998</v>
      </c>
      <c r="G1576">
        <f>Calc!G10</f>
        <v>15</v>
      </c>
      <c r="H1576">
        <f>Calc!H10</f>
        <v>1</v>
      </c>
      <c r="I1576">
        <f>IF(Skills!X10&lt;&gt;"",1+(Skills!X10/10)*(Z1569/1000)/100,1)</f>
        <v>1.7650000000000001</v>
      </c>
      <c r="J1576">
        <f>((Inputs!$B$6*(1+Inputs!$B$7/100))+(((Inputs!$B$12*(1+Inputs!$B$13/100))-(Inputs!$B$12*(1+Inputs!$B$13/100)))+0.25*(Inputs!$B$14-Inputs!$B$14))*(1+Inputs!$B$7/100))*(F1576/100)</f>
        <v>1012621197.9803641</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8989489124755.8496</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28344758159267.672</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133758913753584.12</v>
      </c>
      <c r="N1576">
        <f>L1576*(1-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133758913753584.12</v>
      </c>
      <c r="O1576">
        <f>(1-Summary!$B$11)*S1576+Summary!$B$11*U1576</f>
        <v>305364962544243.31</v>
      </c>
      <c r="P1576">
        <f>IF(B1607=0,0,O1576/B1607)</f>
        <v>1.0174041574237876E-2</v>
      </c>
      <c r="Q1576">
        <f>IFERROR(1/(IF(Inputs!$B$38="pvp",15,MAX(0.1,Skills!E10-IF(TRUE=TRUE,Inputs!$B$32,0)))*(1-IF(AND(ArtifactsInput!$M$27,Inputs!$B$4="Chapter Hunt"),CHOOSE(ArtifactsInput!$N$27+1,20,24,28,32,36,40),0)/100)),0)</f>
        <v>3.7037037037037035E-2</v>
      </c>
      <c r="R1576">
        <f>IF(AND(Inputs!$B$38&lt;&gt;"pvp",Inputs!$B$43&gt;0),IF(MAX(0,Inputs!$B$43-B1604)&lt;=0,0,(INT(MAX(0,Inputs!$B$43-B1604)/(IF(Inputs!$B$38="pvp",15,MAX(0.1,Skills!E10-IF(TRUE=TRUE,Inputs!$B$32,0)))*(1-IF(AND(ArtifactsInput!$M$27,Inputs!$B$4="Chapter Hunt"),CHOOSE(ArtifactsInput!$N$27+1,20,24,28,32,36,40),0)/100)))+1)),0)</f>
        <v>2</v>
      </c>
      <c r="S1576">
        <f>IF(C1576,(H1576*N1576*IF(AND(Inputs!$B$38&lt;&gt;"pvp",Inputs!$B$43&gt;0),((Skills!G10*((R1576-1)*IF(Skills!H10&gt;0,Skills!I10/Skills!H10,1)+IF(Skills!H10&gt;0,MIN(Skills!I10,MAX(0,MAX(0,Inputs!$B$43-B1604)-((R1576-1)*(IF(Inputs!$B$38="pvp",15,MAX(0.1,Skills!E10-IF(TRUE=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269639813722911.22</v>
      </c>
      <c r="U1576">
        <f>IF(C1576,(H1576*N1576*IF(AND(Inputs!$B$38&lt;&gt;"pvp",Inputs!$B$43&gt;0),((Skills!G10*((R1576-1)*IF(Skills!H10&gt;0,Skills!I10/Skills!H10,1)+IF(Skills!H10&gt;0,MIN(Skills!I10,MAX(0,MAX(0,Inputs!$B$43-B1604)-((R1576-1)*(IF(Inputs!$B$38="pvp",15,MAX(0.1,Skills!E10-IF(TRUE=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341090111365575.38</v>
      </c>
    </row>
    <row r="1577" spans="1:26" x14ac:dyDescent="0.2">
      <c r="A1577" t="str">
        <f>Skills!A11</f>
        <v>BURNING_MAGIC</v>
      </c>
      <c r="B1577" t="str">
        <f>Skills!B11</f>
        <v>Burning Magic</v>
      </c>
      <c r="C1577" t="b">
        <f>TRUE</f>
        <v>1</v>
      </c>
      <c r="D1577">
        <f>IF(Skills!C11=1,60+Inputs!$B$25+Inputs!$B$29,IF(Skills!C11=2,90+Inputs!$B$26+Inputs!$B$29,IF(Skills!C11=3,120+Inputs!$B$27+Inputs!$B$29,MAX(0,(Inputs!$B$3-100)*3)+Inputs!$B$28+Inputs!$B$29)))</f>
        <v>184</v>
      </c>
      <c r="E1577">
        <f>INDEX(FactorTable!$B$2:$Y$301, MATCH(ROUND(MIN(300,MAX(1,D1577)),0), FactorTable!$A$2:$A$301,0), Skills!M11+1)</f>
        <v>0</v>
      </c>
      <c r="F1577">
        <f>IF(Skills!N11=TRUE,(Skills!L11/10)*(E1577/1000),Skills!L11/10)+Skills!O11</f>
        <v>5</v>
      </c>
      <c r="G1577">
        <f>Calc!G11</f>
        <v>1</v>
      </c>
      <c r="H1577">
        <f>Calc!H11</f>
        <v>1</v>
      </c>
      <c r="I1577">
        <f>IF(Skills!X11&lt;&gt;"",1+(Skills!X11/10)*(Z1569/1000)/100,1)</f>
        <v>1</v>
      </c>
      <c r="O1577">
        <f>(1-Summary!$B$11)*S1577+Summary!$B$11*U1577</f>
        <v>0</v>
      </c>
      <c r="P1577">
        <f>IF(B1607=0,0,O1577/B1607)</f>
        <v>0</v>
      </c>
      <c r="Q1577">
        <f>IFERROR(1/(IF(Inputs!$B$38="pvp",15,MAX(0.1,Skills!E11-IF(TRUE=TRUE,Inputs!$B$32,0)))*(1-IF(AND(ArtifactsInput!$M$27,Inputs!$B$4="Chapter Hunt"),CHOOSE(ArtifactsInput!$N$27+1,20,24,28,32,36,40),0)/100)),0)</f>
        <v>10</v>
      </c>
      <c r="R1577">
        <v>0</v>
      </c>
      <c r="S1577">
        <v>0</v>
      </c>
      <c r="U1577">
        <v>0</v>
      </c>
    </row>
    <row r="1578" spans="1:26" x14ac:dyDescent="0.2">
      <c r="A1578" t="str">
        <f>Skills!A12</f>
        <v>ELEMENTAL_DECREASE</v>
      </c>
      <c r="B1578" t="str">
        <f>Skills!B12</f>
        <v>Elemental Decrease</v>
      </c>
      <c r="C1578" t="b">
        <f>TRUE</f>
        <v>1</v>
      </c>
      <c r="D1578">
        <f>IF(Skills!C12=1,60+Inputs!$B$25+Inputs!$B$29,IF(Skills!C12=2,90+Inputs!$B$26+Inputs!$B$29,IF(Skills!C12=3,120+Inputs!$B$27+Inputs!$B$29,MAX(0,(Inputs!$B$3-100)*3)+Inputs!$B$28+Inputs!$B$29)))</f>
        <v>184</v>
      </c>
      <c r="E1578">
        <f>INDEX(FactorTable!$B$2:$Y$301, MATCH(ROUND(MIN(300,MAX(1,D1578)),0), FactorTable!$A$2:$A$301,0), Skills!M12+1)</f>
        <v>1552</v>
      </c>
      <c r="F1578">
        <f>IF(Skills!N12=TRUE,(Skills!L12/10)*(E1578/1000),Skills!L12/10)+Skills!O12</f>
        <v>18.624000000000002</v>
      </c>
      <c r="G1578">
        <f>Calc!G12</f>
        <v>1</v>
      </c>
      <c r="H1578">
        <f>Calc!H12</f>
        <v>0.5</v>
      </c>
      <c r="I1578">
        <f>IF(Skills!X12&lt;&gt;"",1+(Skills!X12/10)*(Z1569/1000)/100,1)</f>
        <v>1</v>
      </c>
      <c r="O1578">
        <f>(1-Summary!$B$11)*S1578+Summary!$B$11*U1578</f>
        <v>0</v>
      </c>
      <c r="P1578">
        <f>IF(B1607=0,0,O1578/B1607)</f>
        <v>0</v>
      </c>
      <c r="Q1578">
        <f>IFERROR(1/(IF(Inputs!$B$38="pvp",15,MAX(0.1,Skills!E12-IF(TRUE=TRUE,Inputs!$B$32,0)))*(1-IF(AND(ArtifactsInput!$M$27,Inputs!$B$4="Chapter Hunt"),CHOOSE(ArtifactsInput!$N$27+1,20,24,28,32,36,40),0)/100)),0)</f>
        <v>10</v>
      </c>
      <c r="R1578">
        <v>0</v>
      </c>
      <c r="S1578">
        <v>0</v>
      </c>
      <c r="U1578">
        <v>0</v>
      </c>
    </row>
    <row r="1579" spans="1:26" x14ac:dyDescent="0.2">
      <c r="A1579" t="str">
        <f>Skills!A13</f>
        <v>METEOR_SHOWER_BURST</v>
      </c>
      <c r="B1579" t="str">
        <f>Skills!B13</f>
        <v>Meteor Shower (burst)</v>
      </c>
      <c r="C1579" t="b">
        <f>Inputs!$B$3&gt;=105</f>
        <v>1</v>
      </c>
      <c r="D1579">
        <f>IF(Skills!C13=1,60+Inputs!$B$25+Inputs!$B$29,IF(Skills!C13=2,90+Inputs!$B$26+Inputs!$B$29,IF(Skills!C13=3,120+Inputs!$B$27+Inputs!$B$29,MAX(0,(Inputs!$B$3-100)*3)+Inputs!$B$28+Inputs!$B$29)))</f>
        <v>185</v>
      </c>
      <c r="E1579">
        <f>INDEX(FactorTable!$B$2:$Y$301, MATCH(ROUND(MIN(300,MAX(1,D1579)),0), FactorTable!$A$2:$A$301,0), Skills!M13+1)</f>
        <v>1925</v>
      </c>
      <c r="F1579">
        <f>IF(Skills!N13=TRUE,(Skills!L13/10)*(E1579/1000),Skills!L13/10)+Skills!O13</f>
        <v>1155</v>
      </c>
      <c r="G1579">
        <f>Calc!G13</f>
        <v>9</v>
      </c>
      <c r="H1579">
        <f>Calc!H13</f>
        <v>1</v>
      </c>
      <c r="I1579">
        <f>IF(Skills!X13&lt;&gt;"",1+(Skills!X13/10)*(Z1569/1000)/100,1)</f>
        <v>1</v>
      </c>
      <c r="J1579">
        <f>((Inputs!$B$6*(1+Inputs!$B$7/100))+(((Inputs!$B$12*(1+Inputs!$B$13/100))-(Inputs!$B$12*(1+Inputs!$B$13/100)))+0.25*(Inputs!$B$14-Inputs!$B$14))*(1+Inputs!$B$7/100))*(F1579/100)</f>
        <v>4171103722.0660505</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20979458602427.543</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66150330919314.289</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312163411608244.06</v>
      </c>
      <c r="N1579">
        <f>L1579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312163411608244.06</v>
      </c>
      <c r="O1579">
        <f>(1-Summary!$B$11)*S1579+Summary!$B$11*U1579</f>
        <v>1702539246911363</v>
      </c>
      <c r="P1579">
        <f>IF(B1607=0,0,O1579/B1607)</f>
        <v>5.6724599101110586E-2</v>
      </c>
      <c r="Q1579">
        <f>IFERROR(1/(IF(Inputs!$B$38="pvp",15,MAX(0.1,Skills!E13-IF(TRUE=TRUE,Inputs!$B$32,0)))*(1-IF(AND(ArtifactsInput!$M$27,Inputs!$B$4="Chapter Hunt"),CHOOSE(ArtifactsInput!$N$27+1,20,24,28,32,36,40),0)/100)),0)</f>
        <v>3.0303030303030304E-2</v>
      </c>
      <c r="R1579">
        <f>IF(AND(Inputs!$B$38&lt;&gt;"pvp",Inputs!$B$43&gt;0),IF(MAX(0,Inputs!$B$43-B1604)&lt;=0,0,(INT(MAX(0,Inputs!$B$43-B1604)/(IF(Inputs!$B$38="pvp",15,MAX(0.1,Skills!E13-IF(TRUE=TRUE,Inputs!$B$32,0)))*(1-IF(AND(ArtifactsInput!$M$27,Inputs!$B$4="Chapter Hunt"),CHOOSE(ArtifactsInput!$N$27+1,20,24,28,32,36,40),0)/100)))+1)),0)</f>
        <v>2</v>
      </c>
      <c r="S1579">
        <f>IF(C1579,(H1579*N1579*IF(AND(Inputs!$B$38&lt;&gt;"pvp",Inputs!$B$43&gt;0),((Skills!G13*((R1579-1)*IF(Skills!H13&gt;0,Skills!I13/Skills!H13,1)+IF(Skills!H13&gt;0,MIN(Skills!I13,MAX(0,MAX(0,Inputs!$B$43-B1604)-((R1579-1)*(IF(Inputs!$B$38="pvp",15,MAX(0.1,Skills!E13-IF(TRUE=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445301106659160.12</v>
      </c>
      <c r="U1579">
        <f>IF(C1579,(H1579*N1579*IF(AND(Inputs!$B$38&lt;&gt;"pvp",Inputs!$B$43&gt;0),((Skills!G13*((R1579-1)*IF(Skills!H13&gt;0,Skills!I13/Skills!H13,1)+IF(Skills!H13&gt;0,MIN(Skills!I13,MAX(0,MAX(0,Inputs!$B$43-B1604)-((R1579-1)*(IF(Inputs!$B$38="pvp",15,MAX(0.1,Skills!E13-IF(TRUE=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2959777387163566</v>
      </c>
    </row>
    <row r="1580" spans="1:26" x14ac:dyDescent="0.2">
      <c r="A1580" t="str">
        <f>Skills!A14</f>
        <v>METEOR_PROC</v>
      </c>
      <c r="B1580" t="str">
        <f>Skills!B14</f>
        <v>Meteor Proc (30% on-hit, 1s ICD)</v>
      </c>
      <c r="C1580" t="b">
        <f>Inputs!$B$3&gt;=113</f>
        <v>1</v>
      </c>
      <c r="D1580">
        <f>IF(Skills!C14=1,60+Inputs!$B$25+Inputs!$B$29,IF(Skills!C14=2,90+Inputs!$B$26+Inputs!$B$29,IF(Skills!C14=3,120+Inputs!$B$27+Inputs!$B$29,MAX(0,(Inputs!$B$3-100)*3)+Inputs!$B$28+Inputs!$B$29)))</f>
        <v>185</v>
      </c>
      <c r="E1580">
        <f>INDEX(FactorTable!$B$2:$Y$301, MATCH(ROUND(MIN(300,MAX(1,D1580)),0), FactorTable!$A$2:$A$301,0), Skills!M14+1)</f>
        <v>1740</v>
      </c>
      <c r="F1580">
        <f>IF(Skills!N14=TRUE,(Skills!L14/10)*(E1580/1000),Skills!L14/10)+Skills!O14</f>
        <v>1653</v>
      </c>
      <c r="G1580">
        <f>Calc!G14</f>
        <v>0</v>
      </c>
      <c r="H1580">
        <f>Calc!H14</f>
        <v>0.30000000000000004</v>
      </c>
      <c r="I1580">
        <f>IF(Skills!X14&lt;&gt;"",1+(Skills!X14/10)*(Z1569/1000)/100,1)</f>
        <v>1</v>
      </c>
      <c r="J1580">
        <f>((Inputs!$B$6*(1+Inputs!$B$7/100))+(((Inputs!$B$12*(1+Inputs!$B$13/100))-(Inputs!$B$12*(1+Inputs!$B$13/100)))+0.25*(Inputs!$B$14-Inputs!$B$14))*(1+Inputs!$B$7/100))*(F1580/100)</f>
        <v>5969553638.5932312</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30025147246591.098</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94672291783226.391</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446758544925045.31</v>
      </c>
      <c r="N1580">
        <f>L1580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446758544925045.31</v>
      </c>
      <c r="O1580">
        <f>(1-Summary!$B$11)*S1580+Summary!$B$11*U1580</f>
        <v>410470667643111</v>
      </c>
      <c r="P1580">
        <f>IF(B1607=0,0,O1580/B1607)</f>
        <v>1.3675916198149686E-2</v>
      </c>
      <c r="Q1580">
        <f>IFERROR(1/(IF(Inputs!$B$38="pvp",15,MAX(0.1,Skills!E14-IF(TRUE=TRUE,Inputs!$B$32,0)))*(1-IF(AND(ArtifactsInput!$M$27,Inputs!$B$4="Chapter Hunt"),CHOOSE(ArtifactsInput!$N$27+1,20,24,28,32,36,40),0)/100)),0)</f>
        <v>10</v>
      </c>
      <c r="R1580">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421097739944550.81</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399843595341671.25</v>
      </c>
    </row>
    <row r="1581" spans="1:26" x14ac:dyDescent="0.2">
      <c r="A1581" t="str">
        <f>Skills!A15</f>
        <v>FLAME_HAZE_BURST</v>
      </c>
      <c r="B1581" t="str">
        <f>Skills!B15</f>
        <v>Flame Haze (burst)</v>
      </c>
      <c r="C1581" t="b">
        <f>Inputs!$B$3&gt;=107</f>
        <v>1</v>
      </c>
      <c r="D1581">
        <f>IF(Skills!C15=1,60+Inputs!$B$25+Inputs!$B$29,IF(Skills!C15=2,90+Inputs!$B$26+Inputs!$B$29,IF(Skills!C15=3,120+Inputs!$B$27+Inputs!$B$29,MAX(0,(Inputs!$B$3-100)*3)+Inputs!$B$28+Inputs!$B$29)))</f>
        <v>185</v>
      </c>
      <c r="E1581">
        <f>INDEX(FactorTable!$B$2:$Y$301, MATCH(ROUND(MIN(300,MAX(1,D1581)),0), FactorTable!$A$2:$A$301,0), Skills!M15+1)</f>
        <v>1925</v>
      </c>
      <c r="F1581">
        <f>IF(Skills!N15=TRUE,(Skills!L15/10)*(E1581/1000),Skills!L15/10)+Skills!O15</f>
        <v>2310</v>
      </c>
      <c r="G1581">
        <f>Calc!G15</f>
        <v>3</v>
      </c>
      <c r="H1581">
        <f>Calc!H15</f>
        <v>1</v>
      </c>
      <c r="I1581">
        <f>IF(Skills!X15&lt;&gt;"",1+(Skills!X15/10)*(Z1569/1000)/100,1)</f>
        <v>1</v>
      </c>
      <c r="J1581">
        <f>((Inputs!$B$6*(1+Inputs!$B$7/100))+(((Inputs!$B$12*(1+Inputs!$B$13/100))-(Inputs!$B$12*(1+Inputs!$B$13/100)))+0.25*(Inputs!$B$14-Inputs!$B$14))*(1+Inputs!$B$7/100))*(F1581/100)</f>
        <v>8342207444.1321011</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41958917204855.086</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132300661838628.58</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624326823216488.12</v>
      </c>
      <c r="N1581">
        <f>L1581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624326823216488.12</v>
      </c>
      <c r="O1581">
        <f>(1-Summary!$B$11)*S1581+Summary!$B$11*U1581</f>
        <v>1557851505630941.8</v>
      </c>
      <c r="P1581">
        <f>IF(B1607=0,0,O1581/B1607)</f>
        <v>5.1903944227006303E-2</v>
      </c>
      <c r="Q1581">
        <f>IFERROR(1/(IF(Inputs!$B$38="pvp",15,MAX(0.1,Skills!E15-IF(TRUE=TRUE,Inputs!$B$32,0)))*(1-IF(AND(ArtifactsInput!$M$27,Inputs!$B$4="Chapter Hunt"),CHOOSE(ArtifactsInput!$N$27+1,20,24,28,32,36,40),0)/100)),0)</f>
        <v>0.04</v>
      </c>
      <c r="R1581">
        <f>IF(AND(Inputs!$B$38&lt;&gt;"pvp",Inputs!$B$43&gt;0),IF(MAX(0,Inputs!$B$43-B1604)&lt;=0,0,(INT(MAX(0,Inputs!$B$43-B1604)/(IF(Inputs!$B$38="pvp",15,MAX(0.1,Skills!E15-IF(TRUE=TRUE,Inputs!$B$32,0)))*(1-IF(AND(ArtifactsInput!$M$27,Inputs!$B$4="Chapter Hunt"),CHOOSE(ArtifactsInput!$N$27+1,20,24,28,32,36,40),0)/100)))+1)),0)</f>
        <v>2</v>
      </c>
      <c r="S1581">
        <f>IF(C1581,(H1581*N1581*IF(AND(Inputs!$B$38&lt;&gt;"pvp",Inputs!$B$43&gt;0),((Skills!G15*((R1581-1)*IF(Skills!H15&gt;0,Skills!I15/Skills!H15,1)+IF(Skills!H15&gt;0,MIN(Skills!I15,MAX(0,MAX(0,Inputs!$B$43-B1604)-((R1581-1)*(IF(Inputs!$B$38="pvp",15,MAX(0.1,Skills!E15-IF(TRUE=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296867404439440.12</v>
      </c>
      <c r="U1581">
        <f>IF(C1581,(H1581*N1581*IF(AND(Inputs!$B$38&lt;&gt;"pvp",Inputs!$B$43&gt;0),((Skills!G15*((R1581-1)*IF(Skills!H15&gt;0,Skills!I15/Skills!H15,1)+IF(Skills!H15&gt;0,MIN(Skills!I15,MAX(0,MAX(0,Inputs!$B$43-B1604)-((R1581-1)*(IF(Inputs!$B$38="pvp",15,MAX(0.1,Skills!E15-IF(TRUE=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2818835606822443.5</v>
      </c>
    </row>
    <row r="1582" spans="1:26" x14ac:dyDescent="0.2">
      <c r="A1582" t="str">
        <f>Skills!A16</f>
        <v>FLAME_HAZE_DOT</v>
      </c>
      <c r="B1582" t="str">
        <f>Skills!B16</f>
        <v>Flame Haze (burn DoT)</v>
      </c>
      <c r="C1582" t="b">
        <f>Inputs!$B$3&gt;=107</f>
        <v>1</v>
      </c>
      <c r="D1582">
        <f>IF(Skills!C16=1,60+Inputs!$B$25+Inputs!$B$29,IF(Skills!C16=2,90+Inputs!$B$26+Inputs!$B$29,IF(Skills!C16=3,120+Inputs!$B$27+Inputs!$B$29,MAX(0,(Inputs!$B$3-100)*3)+Inputs!$B$28+Inputs!$B$29)))</f>
        <v>185</v>
      </c>
      <c r="E1582">
        <f>INDEX(FactorTable!$B$2:$Y$301, MATCH(ROUND(MIN(300,MAX(1,D1582)),0), FactorTable!$A$2:$A$301,0), Skills!M16+1)</f>
        <v>1925</v>
      </c>
      <c r="F1582">
        <f>IF(Skills!N16=TRUE,(Skills!L16/10)*(E1582/1000),Skills!L16/10)+Skills!O16</f>
        <v>288.75</v>
      </c>
      <c r="G1582">
        <f>Calc!G16</f>
        <v>30</v>
      </c>
      <c r="H1582">
        <f>Calc!H16</f>
        <v>1</v>
      </c>
      <c r="I1582">
        <f>IF(Skills!X16&lt;&gt;"",1+(Skills!X16/10)*(Z1569/1000)/100,1)</f>
        <v>1</v>
      </c>
      <c r="J1582">
        <f>((Inputs!$B$6*(1+Inputs!$B$7/100))+(((Inputs!$B$12*(1+Inputs!$B$13/100))-(Inputs!$B$12*(1+Inputs!$B$13/100)))+0.25*(Inputs!$B$14-Inputs!$B$14))*(1+Inputs!$B$7/100))*(F1582/100)</f>
        <v>1042775930.5165126</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5244864650606.8857</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16537582729828.572</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78040852902061.016</v>
      </c>
      <c r="N1582">
        <f>L1582*(1-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78040852902061.016</v>
      </c>
      <c r="O1582">
        <f>(1-Summary!$B$11)*S1582+Summary!$B$11*U1582</f>
        <v>1780934088637195.8</v>
      </c>
      <c r="P1582">
        <f>IF(B1607=0,0,O1582/B1607)</f>
        <v>5.933653064780485E-2</v>
      </c>
      <c r="Q1582">
        <f>IFERROR(1/(IF(Inputs!$B$38="pvp",15,MAX(0.1,Skills!E16-IF(TRUE=TRUE,Inputs!$B$32,0)))*(1-IF(AND(ArtifactsInput!$M$27,Inputs!$B$4="Chapter Hunt"),CHOOSE(ArtifactsInput!$N$27+1,20,24,28,32,36,40),0)/100)),0)</f>
        <v>0.04</v>
      </c>
      <c r="R1582">
        <f>IF(AND(Inputs!$B$38&lt;&gt;"pvp",Inputs!$B$43&gt;0),IF(MAX(0,Inputs!$B$43-B1604)&lt;=0,0,(INT(MAX(0,Inputs!$B$43-B1604)/(IF(Inputs!$B$38="pvp",15,MAX(0.1,Skills!E16-IF(TRUE=TRUE,Inputs!$B$32,0)))*(1-IF(AND(ArtifactsInput!$M$27,Inputs!$B$4="Chapter Hunt"),CHOOSE(ArtifactsInput!$N$27+1,20,24,28,32,36,40),0)/100)))+1)),0)</f>
        <v>2</v>
      </c>
      <c r="S1582">
        <f>IF(C1582,(H1582*N1582*IF(AND(Inputs!$B$38&lt;&gt;"pvp",Inputs!$B$43&gt;0),((Skills!G16*((R1582-1)*IF(Skills!H16&gt;0,Skills!I16/Skills!H16,1)+IF(Skills!H16&gt;0,MIN(Skills!I16,MAX(0,MAX(0,Inputs!$B$43-B1604)-((R1582-1)*(IF(Inputs!$B$38="pvp",15,MAX(0.1,Skills!E16-IF(TRUE=TRUE,Inputs!$B$32,0)))*(1-IF(AND(ArtifactsInput!$M$27,Inputs!$B$4="Chapter Hunt"),CHOOSE(ArtifactsInput!$N$27+1,20,24,28,32,36,40),0)/100)))))/Skills!H16,1)))/Inputs!$B$43),G1582*Q1582)*(1+IF(Inputs!$B$3&gt;=126,0.05*(B1602+Q1579+(H1580*B1603)/(1+Skills!H14*H1580*B1603)+Q1590),0)*(1/Q1581)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339378482776069.19</v>
      </c>
      <c r="U1582">
        <f>IF(C1582,(H1582*N1582*IF(AND(Inputs!$B$38&lt;&gt;"pvp",Inputs!$B$43&gt;0),((Skills!G16*((R1582-1)*IF(Skills!H16&gt;0,Skills!I16/Skills!H16,1)+IF(Skills!H16&gt;0,MIN(Skills!I16,MAX(0,MAX(0,Inputs!$B$43-B1604)-((R1582-1)*(IF(Inputs!$B$38="pvp",15,MAX(0.1,Skills!E16-IF(TRUE=TRUE,Inputs!$B$32,0)))*(1-IF(AND(ArtifactsInput!$M$27,Inputs!$B$4="Chapter Hunt"),CHOOSE(ArtifactsInput!$N$27+1,20,24,28,32,36,40),0)/100)))))/Skills!H16,1)))/Inputs!$B$43),G1582*Q1582)*(1+IF(Inputs!$B$3&gt;=126,0.05*(B1602+Q1579+(H1580*B1603)/(1+Skills!H14*H1580*B1603)+Q1590),0)*(1/Q1581)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3222489694498322.5</v>
      </c>
    </row>
    <row r="1583" spans="1:26" x14ac:dyDescent="0.2">
      <c r="A1583" t="str">
        <f>Skills!A17</f>
        <v>MAGIC_GUARD</v>
      </c>
      <c r="B1583" t="str">
        <f>Skills!B17</f>
        <v>Magic Guard</v>
      </c>
      <c r="C1583" t="b">
        <f>TRUE</f>
        <v>1</v>
      </c>
      <c r="D1583">
        <f>IF(Skills!C17=1,60+Inputs!$B$25+Inputs!$B$29,IF(Skills!C17=2,90+Inputs!$B$26+Inputs!$B$29,IF(Skills!C17=3,120+Inputs!$B$27+Inputs!$B$29,MAX(0,(Inputs!$B$3-100)*3)+Inputs!$B$28+Inputs!$B$29)))</f>
        <v>127</v>
      </c>
      <c r="E1583">
        <f>INDEX(FactorTable!$B$2:$Y$301, MATCH(ROUND(MIN(300,MAX(1,D1583)),0), FactorTable!$A$2:$A$301,0), Skills!M17+1)</f>
        <v>1508</v>
      </c>
      <c r="F1583">
        <f>IF(Skills!N17=TRUE,(Skills!L17/10)*(E1583/1000),Skills!L17/10)+Skills!O17</f>
        <v>18.096</v>
      </c>
      <c r="G1583">
        <f>Calc!G17</f>
        <v>1</v>
      </c>
      <c r="H1583">
        <f>Calc!H17</f>
        <v>1</v>
      </c>
      <c r="I1583">
        <f>IF(Skills!X17&lt;&gt;"",1+(Skills!X17/10)*(Z1569/1000)/100,1)</f>
        <v>1</v>
      </c>
      <c r="O1583">
        <f>(1-Summary!$B$11)*S1583+Summary!$B$11*U1583</f>
        <v>0</v>
      </c>
      <c r="P1583">
        <f>IF(B1607=0,0,O1583/B1607)</f>
        <v>0</v>
      </c>
      <c r="Q1583">
        <f>IFERROR(1/(IF(Inputs!$B$38="pvp",15,MAX(0.1,Skills!E17-IF(TRUE=TRUE,Inputs!$B$32,0)))*(1-IF(AND(ArtifactsInput!$M$27,Inputs!$B$4="Chapter Hunt"),CHOOSE(ArtifactsInput!$N$27+1,20,24,28,32,36,40),0)/100)),0)</f>
        <v>4.7619047619047616E-2</v>
      </c>
      <c r="R1583">
        <f>IF(AND(Inputs!$B$38&lt;&gt;"pvp",Inputs!$B$43&gt;0),IF(Inputs!$B$43&lt;=0,0,(INT(Inputs!$B$43/(IF(Inputs!$B$38="pvp",15,MAX(0.1,Skills!E17-IF(TRUE=TRUE,Inputs!$B$32,0)))*(1-IF(AND(ArtifactsInput!$M$27,Inputs!$B$4="Chapter Hunt"),CHOOSE(ArtifactsInput!$N$27+1,20,24,28,32,36,40),0)/100)))+1)),0)</f>
        <v>2</v>
      </c>
      <c r="S1583">
        <v>0</v>
      </c>
      <c r="U1583">
        <v>0</v>
      </c>
    </row>
    <row r="1584" spans="1:26" x14ac:dyDescent="0.2">
      <c r="A1584" t="str">
        <f>Skills!A18</f>
        <v>NIMBLE_FEET</v>
      </c>
      <c r="B1584" t="str">
        <f>Skills!B18</f>
        <v>Nimble Feet</v>
      </c>
      <c r="C1584" t="b">
        <f>TRUE</f>
        <v>1</v>
      </c>
      <c r="D1584">
        <f>IF(Skills!C18=1,60+Inputs!$B$25+Inputs!$B$29,IF(Skills!C18=2,90+Inputs!$B$26+Inputs!$B$29,IF(Skills!C18=3,120+Inputs!$B$27+Inputs!$B$29,MAX(0,(Inputs!$B$3-100)*3)+Inputs!$B$28+Inputs!$B$29)))</f>
        <v>127</v>
      </c>
      <c r="E1584">
        <f>INDEX(FactorTable!$B$2:$Y$301, MATCH(ROUND(MIN(300,MAX(1,D1584)),0), FactorTable!$A$2:$A$301,0), Skills!M18+1)</f>
        <v>0</v>
      </c>
      <c r="F1584">
        <f>IF(Skills!N18=TRUE,(Skills!L18/10)*(E1584/1000),Skills!L18/10)+Skills!O18</f>
        <v>15</v>
      </c>
      <c r="G1584">
        <f>Calc!G18</f>
        <v>1</v>
      </c>
      <c r="H1584">
        <f>Calc!H18</f>
        <v>1</v>
      </c>
      <c r="I1584">
        <f>IF(Skills!X18&lt;&gt;"",1+(Skills!X18/10)*(Z1569/1000)/100,1)</f>
        <v>1</v>
      </c>
      <c r="O1584">
        <f>(1-Summary!$B$11)*S1584+Summary!$B$11*U1584</f>
        <v>0</v>
      </c>
      <c r="P1584">
        <f>IF(B1607=0,0,O1584/B1607)</f>
        <v>0</v>
      </c>
      <c r="Q1584">
        <f>IFERROR(1/(IF(Inputs!$B$38="pvp",15,MAX(0.1,Skills!E18-IF(TRUE=TRUE,Inputs!$B$32,0)))*(1-IF(AND(ArtifactsInput!$M$27,Inputs!$B$4="Chapter Hunt"),CHOOSE(ArtifactsInput!$N$27+1,20,24,28,32,36,40),0)/100)),0)</f>
        <v>1.6666666666666666E-2</v>
      </c>
      <c r="R1584">
        <f>IF(AND(Inputs!$B$38&lt;&gt;"pvp",Inputs!$B$43&gt;0),IF(Inputs!$B$43&lt;=0,0,(INT(Inputs!$B$43/(IF(Inputs!$B$38="pvp",15,MAX(0.1,Skills!E18-IF(TRUE=TRUE,Inputs!$B$32,0)))*(1-IF(AND(ArtifactsInput!$M$27,Inputs!$B$4="Chapter Hunt"),CHOOSE(ArtifactsInput!$N$27+1,20,24,28,32,36,40),0)/100)))+1)),0)</f>
        <v>1</v>
      </c>
      <c r="S1584">
        <v>0</v>
      </c>
      <c r="U1584">
        <v>0</v>
      </c>
    </row>
    <row r="1585" spans="1:21" x14ac:dyDescent="0.2">
      <c r="A1585" t="str">
        <f>Skills!A19</f>
        <v>INFINITY</v>
      </c>
      <c r="B1585" t="str">
        <f>Skills!B19</f>
        <v>Infinity</v>
      </c>
      <c r="C1585" t="b">
        <f>Inputs!$B$3&gt;=110</f>
        <v>1</v>
      </c>
      <c r="D1585">
        <f>IF(Skills!C19=1,60+Inputs!$B$25+Inputs!$B$29,IF(Skills!C19=2,90+Inputs!$B$26+Inputs!$B$29,IF(Skills!C19=3,120+Inputs!$B$27+Inputs!$B$29,MAX(0,(Inputs!$B$3-100)*3)+Inputs!$B$28+Inputs!$B$29)))</f>
        <v>185</v>
      </c>
      <c r="E1585">
        <f>INDEX(FactorTable!$B$2:$Y$301, MATCH(ROUND(MIN(300,MAX(1,D1585)),0), FactorTable!$A$2:$A$301,0), Skills!M19+1)</f>
        <v>1740</v>
      </c>
      <c r="F1585">
        <f>IF(Skills!N19=TRUE,(Skills!L19/10)*(E1585/1000),Skills!L19/10)+Skills!O19</f>
        <v>37.700579999999995</v>
      </c>
      <c r="G1585">
        <f>Calc!G19</f>
        <v>1</v>
      </c>
      <c r="H1585">
        <f>Calc!H19</f>
        <v>1</v>
      </c>
      <c r="I1585">
        <f>IF(Skills!X19&lt;&gt;"",1+(Skills!X19/10)*(Z1569/1000)/100,1)</f>
        <v>1</v>
      </c>
      <c r="O1585">
        <f>(1-Summary!$B$11)*S1585+Summary!$B$11*U1585</f>
        <v>0</v>
      </c>
      <c r="P1585">
        <f>IF(B1607=0,0,O1585/B1607)</f>
        <v>0</v>
      </c>
      <c r="Q1585">
        <f>IFERROR(1/(IF(Inputs!$B$38="pvp",15,MAX(0.1,Skills!E19-IF(TRUE=TRUE,Inputs!$B$32,0)))*(1-IF(AND(ArtifactsInput!$M$27,Inputs!$B$4="Chapter Hunt"),CHOOSE(ArtifactsInput!$N$27+1,20,24,28,32,36,40),0)/100)),0)</f>
        <v>3.3333333333333333E-2</v>
      </c>
      <c r="R1585">
        <f>IF(AND(Inputs!$B$38&lt;&gt;"pvp",Inputs!$B$43&gt;0),IF(Inputs!$B$43&lt;=0,0,(INT(Inputs!$B$43/(IF(Inputs!$B$38="pvp",15,MAX(0.1,Skills!E19-IF(TRUE=TRUE,Inputs!$B$32,0)))*(1-IF(AND(ArtifactsInput!$M$27,Inputs!$B$4="Chapter Hunt"),CHOOSE(ArtifactsInput!$N$27+1,20,24,28,32,36,40),0)/100)))+1)),0)</f>
        <v>2</v>
      </c>
      <c r="S1585">
        <v>0</v>
      </c>
      <c r="U1585">
        <v>0</v>
      </c>
    </row>
    <row r="1586" spans="1:21" x14ac:dyDescent="0.2">
      <c r="A1586" t="str">
        <f>Skills!A20</f>
        <v>MAGIC_CRITICAL_RATE</v>
      </c>
      <c r="B1586" t="str">
        <f>Skills!B20</f>
        <v>Magic Critical (Crit Rate)</v>
      </c>
      <c r="C1586" t="b">
        <f>TRUE</f>
        <v>1</v>
      </c>
      <c r="D1586">
        <f>IF(Skills!C20=1,60+Inputs!$B$25+Inputs!$B$29,IF(Skills!C20=2,90+Inputs!$B$26+Inputs!$B$29,IF(Skills!C20=3,120+Inputs!$B$27+Inputs!$B$29,MAX(0,(Inputs!$B$3-100)*3)+Inputs!$B$28+Inputs!$B$29)))</f>
        <v>184</v>
      </c>
      <c r="E1586">
        <f>INDEX(FactorTable!$B$2:$Y$301, MATCH(ROUND(MIN(300,MAX(1,D1586)),0), FactorTable!$A$2:$A$301,0), Skills!M20+1)</f>
        <v>1552</v>
      </c>
      <c r="F1586">
        <f>IF(Skills!N20=TRUE,(Skills!L20/10)*(E1586/1000),Skills!L20/10)+Skills!O20</f>
        <v>12.416</v>
      </c>
      <c r="G1586">
        <f>Calc!G20</f>
        <v>1</v>
      </c>
      <c r="H1586">
        <f>Calc!H20</f>
        <v>1</v>
      </c>
      <c r="I1586">
        <f>IF(Skills!X20&lt;&gt;"",1+(Skills!X20/10)*(Z1569/1000)/100,1)</f>
        <v>1</v>
      </c>
      <c r="O1586">
        <f>(1-Summary!$B$11)*S1586+Summary!$B$11*U1586</f>
        <v>0</v>
      </c>
      <c r="P1586">
        <f>IF(B1607=0,0,O1586/B1607)</f>
        <v>0</v>
      </c>
      <c r="Q1586">
        <f>IFERROR(1/(IF(Inputs!$B$38="pvp",15,MAX(0.1,Skills!E20-IF(TRUE=TRUE,Inputs!$B$32,0)))*(1-IF(AND(ArtifactsInput!$M$27,Inputs!$B$4="Chapter Hunt"),CHOOSE(ArtifactsInput!$N$27+1,20,24,28,32,36,40),0)/100)),0)</f>
        <v>10</v>
      </c>
      <c r="R1586">
        <v>0</v>
      </c>
      <c r="S1586">
        <v>0</v>
      </c>
      <c r="U1586">
        <v>0</v>
      </c>
    </row>
    <row r="1587" spans="1:21" x14ac:dyDescent="0.2">
      <c r="A1587" t="str">
        <f>Skills!A21</f>
        <v>MAGIC_CRITICAL_DAMAGE</v>
      </c>
      <c r="B1587" t="str">
        <f>Skills!B21</f>
        <v>Magic Critical (Crit Damage)</v>
      </c>
      <c r="C1587" t="b">
        <f>TRUE</f>
        <v>1</v>
      </c>
      <c r="D1587">
        <f>IF(Skills!C21=1,60+Inputs!$B$25+Inputs!$B$29,IF(Skills!C21=2,90+Inputs!$B$26+Inputs!$B$29,IF(Skills!C21=3,120+Inputs!$B$27+Inputs!$B$29,MAX(0,(Inputs!$B$3-100)*3)+Inputs!$B$28+Inputs!$B$29)))</f>
        <v>184</v>
      </c>
      <c r="E1587">
        <f>INDEX(FactorTable!$B$2:$Y$301, MATCH(ROUND(MIN(300,MAX(1,D1587)),0), FactorTable!$A$2:$A$301,0), Skills!M21+1)</f>
        <v>1552</v>
      </c>
      <c r="F1587">
        <f>IF(Skills!N21=TRUE,(Skills!L21/10)*(E1587/1000),Skills!L21/10)+Skills!O21</f>
        <v>18.624000000000002</v>
      </c>
      <c r="G1587">
        <f>Calc!G21</f>
        <v>1</v>
      </c>
      <c r="H1587">
        <f>Calc!H21</f>
        <v>1</v>
      </c>
      <c r="I1587">
        <f>IF(Skills!X21&lt;&gt;"",1+(Skills!X21/10)*(Z1569/1000)/100,1)</f>
        <v>1</v>
      </c>
      <c r="O1587">
        <f>(1-Summary!$B$11)*S1587+Summary!$B$11*U1587</f>
        <v>0</v>
      </c>
      <c r="P1587">
        <f>IF(B1607=0,0,O1587/B1607)</f>
        <v>0</v>
      </c>
      <c r="Q1587">
        <f>IFERROR(1/(IF(Inputs!$B$38="pvp",15,MAX(0.1,Skills!E21-IF(TRUE=TRUE,Inputs!$B$32,0)))*(1-IF(AND(ArtifactsInput!$M$27,Inputs!$B$4="Chapter Hunt"),CHOOSE(ArtifactsInput!$N$27+1,20,24,28,32,36,40),0)/100)),0)</f>
        <v>10</v>
      </c>
      <c r="R1587">
        <v>0</v>
      </c>
      <c r="S1587">
        <v>0</v>
      </c>
      <c r="U1587">
        <v>0</v>
      </c>
    </row>
    <row r="1588" spans="1:21" x14ac:dyDescent="0.2">
      <c r="A1588" t="str">
        <f>Skills!A22</f>
        <v>SPELL_MASTERY</v>
      </c>
      <c r="B1588" t="str">
        <f>Skills!B22</f>
        <v>Spell Mastery</v>
      </c>
      <c r="C1588" t="b">
        <f>TRUE</f>
        <v>1</v>
      </c>
      <c r="D1588">
        <f>IF(Skills!C22=1,60+Inputs!$B$25+Inputs!$B$29,IF(Skills!C22=2,90+Inputs!$B$26+Inputs!$B$29,IF(Skills!C22=3,120+Inputs!$B$27+Inputs!$B$29,MAX(0,(Inputs!$B$3-100)*3)+Inputs!$B$28+Inputs!$B$29)))</f>
        <v>168</v>
      </c>
      <c r="E1588">
        <f>INDEX(FactorTable!$B$2:$Y$301, MATCH(ROUND(MIN(300,MAX(1,D1588)),0), FactorTable!$A$2:$A$301,0), Skills!M22+1)</f>
        <v>1504</v>
      </c>
      <c r="F1588">
        <f>IF(Skills!N22=TRUE,(Skills!L22/10)*(E1588/1000),Skills!L22/10)+Skills!O22</f>
        <v>22.56</v>
      </c>
      <c r="G1588">
        <f>Calc!G22</f>
        <v>1</v>
      </c>
      <c r="H1588">
        <f>Calc!H22</f>
        <v>1</v>
      </c>
      <c r="I1588">
        <f>IF(Skills!X22&lt;&gt;"",1+(Skills!X22/10)*(Z1569/1000)/100,1)</f>
        <v>1</v>
      </c>
      <c r="O1588">
        <f>(1-Summary!$B$11)*S1588+Summary!$B$11*U1588</f>
        <v>0</v>
      </c>
      <c r="P1588">
        <f>IF(B1607=0,0,O1588/B1607)</f>
        <v>0</v>
      </c>
      <c r="Q1588">
        <f>IFERROR(1/(IF(Inputs!$B$38="pvp",15,MAX(0.1,Skills!E22-IF(TRUE=TRUE,Inputs!$B$32,0)))*(1-IF(AND(ArtifactsInput!$M$27,Inputs!$B$4="Chapter Hunt"),CHOOSE(ArtifactsInput!$N$27+1,20,24,28,32,36,40),0)/100)),0)</f>
        <v>10</v>
      </c>
      <c r="R1588">
        <v>0</v>
      </c>
      <c r="S1588">
        <v>0</v>
      </c>
      <c r="U1588">
        <v>0</v>
      </c>
    </row>
    <row r="1589" spans="1:21" x14ac:dyDescent="0.2">
      <c r="A1589" t="str">
        <f>Skills!A23</f>
        <v>ELEMENT_AMPLIFICATION</v>
      </c>
      <c r="B1589" t="str">
        <f>Skills!B23</f>
        <v>Element Amplification</v>
      </c>
      <c r="C1589" t="b">
        <f>TRUE</f>
        <v>1</v>
      </c>
      <c r="D1589">
        <f>IF(Skills!C23=1,60+Inputs!$B$25+Inputs!$B$29,IF(Skills!C23=2,90+Inputs!$B$26+Inputs!$B$29,IF(Skills!C23=3,120+Inputs!$B$27+Inputs!$B$29,MAX(0,(Inputs!$B$3-100)*3)+Inputs!$B$28+Inputs!$B$29)))</f>
        <v>185</v>
      </c>
      <c r="E1589">
        <f>INDEX(FactorTable!$B$2:$Y$301, MATCH(ROUND(MIN(300,MAX(1,D1589)),0), FactorTable!$A$2:$A$301,0), Skills!M23+1)</f>
        <v>1555</v>
      </c>
      <c r="F1589">
        <f>IF(Skills!N23=TRUE,(Skills!L23/10)*(E1589/1000),Skills!L23/10)+Skills!O23</f>
        <v>23.324999999999999</v>
      </c>
      <c r="G1589">
        <f>Calc!G23</f>
        <v>1</v>
      </c>
      <c r="H1589">
        <f>Calc!H23</f>
        <v>1</v>
      </c>
      <c r="I1589">
        <f>IF(Skills!X23&lt;&gt;"",1+(Skills!X23/10)*(Z1569/1000)/100,1)</f>
        <v>1</v>
      </c>
      <c r="O1589">
        <f>(1-Summary!$B$11)*S1589+Summary!$B$11*U1589</f>
        <v>0</v>
      </c>
      <c r="P1589">
        <f>IF(B1607=0,0,O1589/B1607)</f>
        <v>0</v>
      </c>
      <c r="Q1589">
        <f>IFERROR(1/(IF(Inputs!$B$38="pvp",15,MAX(0.1,Skills!E23-IF(TRUE=TRUE,Inputs!$B$32,0)))*(1-IF(AND(ArtifactsInput!$M$27,Inputs!$B$4="Chapter Hunt"),CHOOSE(ArtifactsInput!$N$27+1,20,24,28,32,36,40),0)/100)),0)</f>
        <v>10</v>
      </c>
      <c r="R1589">
        <v>0</v>
      </c>
      <c r="S1589">
        <v>0</v>
      </c>
      <c r="U1589">
        <v>0</v>
      </c>
    </row>
    <row r="1590" spans="1:21" x14ac:dyDescent="0.2">
      <c r="A1590" t="str">
        <f>Skills!A24</f>
        <v>IFRIT</v>
      </c>
      <c r="B1590" t="str">
        <f>Skills!B24</f>
        <v>Ifrit</v>
      </c>
      <c r="C1590" t="b">
        <f>Inputs!$B$3&gt;=115</f>
        <v>1</v>
      </c>
      <c r="D1590">
        <f>IF(Skills!C24=1,60+Inputs!$B$25+Inputs!$B$29,IF(Skills!C24=2,90+Inputs!$B$26+Inputs!$B$29,IF(Skills!C24=3,120+Inputs!$B$27+Inputs!$B$29,MAX(0,(Inputs!$B$3-100)*3)+Inputs!$B$28+Inputs!$B$29)))</f>
        <v>185</v>
      </c>
      <c r="E1590">
        <f>INDEX(FactorTable!$B$2:$Y$301, MATCH(ROUND(MIN(300,MAX(1,D1590)),0), FactorTable!$A$2:$A$301,0), Skills!M24+1)</f>
        <v>1925</v>
      </c>
      <c r="F1590">
        <f>IF(Skills!N24=TRUE,(Skills!L24/10)*(E1590/1000),Skills!L24/10)+Skills!O24</f>
        <v>6737.5</v>
      </c>
      <c r="G1590">
        <f>Calc!G24</f>
        <v>7.5</v>
      </c>
      <c r="H1590">
        <f>Calc!H24</f>
        <v>1</v>
      </c>
      <c r="I1590">
        <f>IF(Skills!X24&lt;&gt;"",1+(Skills!X24/10)*(Z1569/1000)/100,1)</f>
        <v>1</v>
      </c>
      <c r="J1590">
        <f>((Inputs!$B$6*(1+Inputs!$B$7/100))+(((Inputs!$B$12*(1+Inputs!$B$13/100))-(Inputs!$B$12*(1+Inputs!$B$13/100)))+0.25*(Inputs!$B$14-Inputs!$B$14))*(1+Inputs!$B$7/100))*(F1590/100)</f>
        <v>24331438378.718628</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122380175180827.33</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385876930362666.69</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1820953234381423.8</v>
      </c>
      <c r="N1590">
        <f>L1590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1820953234381423.8</v>
      </c>
      <c r="O1590">
        <f>(1-Summary!$B$11)*S1590+Summary!$B$11*U1590</f>
        <v>2082715261823753</v>
      </c>
      <c r="P1590">
        <f>IF(B1607=0,0,O1590/B1607)</f>
        <v>6.939116879862893E-2</v>
      </c>
      <c r="Q1590">
        <f>IFERROR(1/(IF(Inputs!$B$38="pvp",15,MAX(0.1,Skills!E24-IF(TRUE=TRUE,Inputs!$B$32,0)))*(1-IF(AND(ArtifactsInput!$M$27,Inputs!$B$4="Chapter Hunt"),CHOOSE(ArtifactsInput!$N$27+1,20,24,28,32,36,40),0)/100)),0)</f>
        <v>1.2500000000000001E-2</v>
      </c>
      <c r="R1590">
        <f>IF(AND(Inputs!$B$38&lt;&gt;"pvp",Inputs!$B$43&gt;0),IF(MAX(0,Inputs!$B$43-B1604)&lt;=0,0,(INT(MAX(0,Inputs!$B$43-B1604)/(IF(Inputs!$B$38="pvp",15,MAX(0.1,Skills!E24-IF(TRUE=TRUE,Inputs!$B$32,0)))*(1-IF(AND(ArtifactsInput!$M$27,Inputs!$B$4="Chapter Hunt"),CHOOSE(ArtifactsInput!$N$27+1,20,24,28,32,36,40),0)/100)))+1)),0)</f>
        <v>1</v>
      </c>
      <c r="S1590">
        <f>IF(C1590,(H1590*N1590*IF(AND(Inputs!$B$38&lt;&gt;"pvp",Inputs!$B$43&gt;0),((Skills!G24*((R1590-1)*IF(Skills!H24&gt;0,Skills!I24/Skills!H24,1)+IF(Skills!H24&gt;0,MIN(Skills!I24,MAX(0,MAX(0,Inputs!$B$43-B1604)-((R1590-1)*(IF(Inputs!$B$38="pvp",15,MAX(0.1,Skills!E24-IF(TRUE=TRUE,Inputs!$B$32,0)))*(1-IF(AND(ArtifactsInput!$M$27,Inputs!$B$4="Chapter Hunt"),CHOOSE(ArtifactsInput!$N$27+1,20,24,28,32,36,40),0)/100)))))/Skills!H24,1)))/Inputs!$B$43),G1590*Q1590)*(1+IF(Inputs!$B$3&gt;=130,0.2*(Skills!I16/(1/Q1581)+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1082329078685458.6</v>
      </c>
      <c r="U1590">
        <f>IF(C1590,(H1590*N1590*IF(AND(Inputs!$B$38&lt;&gt;"pvp",Inputs!$B$43&gt;0),((Skills!G24*((R1590-1)*IF(Skills!H24&gt;0,Skills!I24/Skills!H24,1)+IF(Skills!H24&gt;0,MIN(Skills!I24,MAX(0,MAX(0,Inputs!$B$43-B1604)-((R1590-1)*(IF(Inputs!$B$38="pvp",15,MAX(0.1,Skills!E24-IF(TRUE=TRUE,Inputs!$B$32,0)))*(1-IF(AND(ArtifactsInput!$M$27,Inputs!$B$4="Chapter Hunt"),CHOOSE(ArtifactsInput!$N$27+1,20,24,28,32,36,40),0)/100)))))/Skills!H24,1)))/Inputs!$B$43),G1590*Q1590)*(1+IF(Inputs!$B$3&gt;=130,0.2*(Skills!I16/(1/Q1581)+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3083101444962047.5</v>
      </c>
    </row>
    <row r="1591" spans="1:21" x14ac:dyDescent="0.2">
      <c r="A1591" t="str">
        <f>Skills!A25</f>
        <v>BUFF_MASTERY</v>
      </c>
      <c r="B1591" t="str">
        <f>Skills!B25</f>
        <v>Buff Mastery</v>
      </c>
      <c r="C1591" t="b">
        <f>Inputs!$B$3&gt;=117</f>
        <v>1</v>
      </c>
      <c r="D1591">
        <f>IF(Skills!C25=1,60+Inputs!$B$25+Inputs!$B$29,IF(Skills!C25=2,90+Inputs!$B$26+Inputs!$B$29,IF(Skills!C25=3,120+Inputs!$B$27+Inputs!$B$29,MAX(0,(Inputs!$B$3-100)*3)+Inputs!$B$28+Inputs!$B$29)))</f>
        <v>185</v>
      </c>
      <c r="E1591">
        <f>INDEX(FactorTable!$B$2:$Y$301, MATCH(ROUND(MIN(300,MAX(1,D1591)),0), FactorTable!$A$2:$A$301,0), Skills!M25+1)</f>
        <v>1555</v>
      </c>
      <c r="F1591">
        <f>IF(Skills!N25=TRUE,(Skills!L25/10)*(E1591/1000),Skills!L25/10)+Skills!O25</f>
        <v>15.549999999999999</v>
      </c>
      <c r="G1591">
        <f>Calc!G25</f>
        <v>1</v>
      </c>
      <c r="H1591">
        <f>Calc!H25</f>
        <v>1</v>
      </c>
      <c r="I1591">
        <f>IF(Skills!X25&lt;&gt;"",1+(Skills!X25/10)*(Z1569/1000)/100,1)</f>
        <v>1</v>
      </c>
      <c r="O1591">
        <f>(1-Summary!$B$11)*S1591+Summary!$B$11*U1591</f>
        <v>0</v>
      </c>
      <c r="P1591">
        <f>IF(B1607=0,0,O1591/B1607)</f>
        <v>0</v>
      </c>
      <c r="Q1591">
        <f>IFERROR(1/(IF(Inputs!$B$38="pvp",15,MAX(0.1,Skills!E25-IF(TRUE=TRUE,Inputs!$B$32,0)))*(1-IF(AND(ArtifactsInput!$M$27,Inputs!$B$4="Chapter Hunt"),CHOOSE(ArtifactsInput!$N$27+1,20,24,28,32,36,40),0)/100)),0)</f>
        <v>10</v>
      </c>
      <c r="R1591">
        <v>0</v>
      </c>
      <c r="S1591">
        <v>0</v>
      </c>
      <c r="U1591">
        <v>0</v>
      </c>
    </row>
    <row r="1592" spans="1:21" x14ac:dyDescent="0.2">
      <c r="A1592" t="str">
        <f>Skills!A26</f>
        <v>ARCANE_AIM</v>
      </c>
      <c r="B1592" t="str">
        <f>Skills!B26</f>
        <v>Arcane Aim</v>
      </c>
      <c r="C1592" t="b">
        <f>Inputs!$B$3&gt;=120</f>
        <v>0</v>
      </c>
      <c r="D1592">
        <f>IF(Skills!C26=1,60+Inputs!$B$25+Inputs!$B$29,IF(Skills!C26=2,90+Inputs!$B$26+Inputs!$B$29,IF(Skills!C26=3,120+Inputs!$B$27+Inputs!$B$29,MAX(0,(Inputs!$B$3-100)*3)+Inputs!$B$28+Inputs!$B$29)))</f>
        <v>185</v>
      </c>
      <c r="E1592">
        <f>INDEX(FactorTable!$B$2:$Y$301, MATCH(ROUND(MIN(300,MAX(1,D1592)),0), FactorTable!$A$2:$A$301,0), Skills!M26+1)</f>
        <v>1555</v>
      </c>
      <c r="F1592">
        <f>IF(Skills!N26=TRUE,(Skills!L26/10)*(E1592/1000),Skills!L26/10)+Skills!O26</f>
        <v>4.665</v>
      </c>
      <c r="G1592">
        <f>Calc!G26</f>
        <v>1</v>
      </c>
      <c r="H1592">
        <f>Calc!H26</f>
        <v>1</v>
      </c>
      <c r="I1592">
        <f>IF(Skills!X26&lt;&gt;"",1+(Skills!X26/10)*(Z1569/1000)/100,1)</f>
        <v>1</v>
      </c>
      <c r="O1592">
        <f>(1-Summary!$B$11)*S1592+Summary!$B$11*U1592</f>
        <v>0</v>
      </c>
      <c r="P1592">
        <f>IF(B1607=0,0,O1592/B1607)</f>
        <v>0</v>
      </c>
      <c r="Q1592">
        <f>IFERROR(1/(IF(Inputs!$B$38="pvp",15,MAX(0.1,Skills!E26-IF(TRUE=TRUE,Inputs!$B$32,0)))*(1-IF(AND(ArtifactsInput!$M$27,Inputs!$B$4="Chapter Hunt"),CHOOSE(ArtifactsInput!$N$27+1,20,24,28,32,36,40),0)/100)),0)</f>
        <v>10</v>
      </c>
      <c r="R1592">
        <v>0</v>
      </c>
      <c r="S1592">
        <v>0</v>
      </c>
      <c r="U1592">
        <v>0</v>
      </c>
    </row>
    <row r="1593" spans="1:21" x14ac:dyDescent="0.2">
      <c r="A1593" t="str">
        <f>Skills!A27</f>
        <v>FERVENT_DRAIN</v>
      </c>
      <c r="B1593" t="str">
        <f>Skills!B27</f>
        <v>Fervent Drain</v>
      </c>
      <c r="C1593" t="b">
        <f>Inputs!$B$3&gt;=125</f>
        <v>0</v>
      </c>
      <c r="D1593">
        <f>IF(Skills!C27=1,60+Inputs!$B$25+Inputs!$B$29,IF(Skills!C27=2,90+Inputs!$B$26+Inputs!$B$29,IF(Skills!C27=3,120+Inputs!$B$27+Inputs!$B$29,MAX(0,(Inputs!$B$3-100)*3)+Inputs!$B$28+Inputs!$B$29)))</f>
        <v>185</v>
      </c>
      <c r="E1593">
        <f>INDEX(FactorTable!$B$2:$Y$301, MATCH(ROUND(MIN(300,MAX(1,D1593)),0), FactorTable!$A$2:$A$301,0), Skills!M27+1)</f>
        <v>1555</v>
      </c>
      <c r="F1593">
        <f>IF(Skills!N27=TRUE,(Skills!L27/10)*(E1593/1000),Skills!L27/10)+Skills!O27</f>
        <v>6.22</v>
      </c>
      <c r="G1593">
        <f>Calc!G27</f>
        <v>1</v>
      </c>
      <c r="H1593">
        <f>Calc!H27</f>
        <v>1</v>
      </c>
      <c r="I1593">
        <f>IF(Skills!X27&lt;&gt;"",1+(Skills!X27/10)*(Z1569/1000)/100,1)</f>
        <v>1</v>
      </c>
      <c r="O1593">
        <f>(1-Summary!$B$11)*S1593+Summary!$B$11*U1593</f>
        <v>0</v>
      </c>
      <c r="P1593">
        <f>IF(B1607=0,0,O1593/B1607)</f>
        <v>0</v>
      </c>
      <c r="Q1593">
        <f>IFERROR(1/(IF(Inputs!$B$38="pvp",15,MAX(0.1,Skills!E27-IF(TRUE=TRUE,Inputs!$B$32,0)))*(1-IF(AND(ArtifactsInput!$M$27,Inputs!$B$4="Chapter Hunt"),CHOOSE(ArtifactsInput!$N$27+1,20,24,28,32,36,40),0)/100)),0)</f>
        <v>10</v>
      </c>
      <c r="R1593">
        <v>0</v>
      </c>
      <c r="S1593">
        <v>0</v>
      </c>
      <c r="U1593">
        <v>0</v>
      </c>
    </row>
    <row r="1594" spans="1:21" x14ac:dyDescent="0.2">
      <c r="A1594" t="str">
        <f>Skills!A28</f>
        <v>FLAME_HAZE_FOG</v>
      </c>
      <c r="B1594" t="str">
        <f>Skills!B28</f>
        <v>Flame Haze (poison fog DoT)</v>
      </c>
      <c r="C1594" t="b">
        <f>Inputs!$B$3&gt;=118</f>
        <v>0</v>
      </c>
      <c r="D1594">
        <f>IF(Skills!C28=1,60+Inputs!$B$25+Inputs!$B$29,IF(Skills!C28=2,90+Inputs!$B$26+Inputs!$B$29,IF(Skills!C28=3,120+Inputs!$B$27+Inputs!$B$29,MAX(0,(Inputs!$B$3-100)*3)+Inputs!$B$28+Inputs!$B$29)))</f>
        <v>185</v>
      </c>
      <c r="E1594">
        <f>INDEX(FactorTable!$B$2:$Y$301, MATCH(ROUND(MIN(300,MAX(1,D1594)),0), FactorTable!$A$2:$A$301,0), Skills!M28+1)</f>
        <v>1925</v>
      </c>
      <c r="F1594">
        <f>IF(Skills!N28=TRUE,(Skills!L28/10)*(E1594/1000),Skills!L28/10)+Skills!O28</f>
        <v>134.75</v>
      </c>
      <c r="G1594">
        <f>Calc!G28</f>
        <v>50</v>
      </c>
      <c r="H1594">
        <f>Calc!H28</f>
        <v>1</v>
      </c>
      <c r="I1594">
        <f>IF(Skills!X28&lt;&gt;"",1+(Skills!X28/10)*(Z1569/1000)/100,1)</f>
        <v>1</v>
      </c>
      <c r="J1594">
        <f>((Inputs!$B$6*(1+Inputs!$B$7/100))+(((Inputs!$B$12*(1+Inputs!$B$13/100))-(Inputs!$B$12*(1+Inputs!$B$13/100)))+0.25*(Inputs!$B$14-Inputs!$B$14))*(1+Inputs!$B$7/100))*(F1594/100)</f>
        <v>486628767.57437253</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2447603503616.5459</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7717538607253.3311</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36419064687628.461</v>
      </c>
      <c r="N1594">
        <f>L1594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36419064687628.461</v>
      </c>
      <c r="O1594">
        <f>(1-Summary!$B$11)*S1594+Summary!$B$11*U1594</f>
        <v>0</v>
      </c>
      <c r="P1594">
        <f>IF(B1607=0,0,O1594/B1607)</f>
        <v>0</v>
      </c>
      <c r="Q1594">
        <f>IFERROR(1/(IF(Inputs!$B$38="pvp",15,MAX(0.1,Skills!E28-IF(TRUE=TRUE,Inputs!$B$32,0)))*(1-IF(AND(ArtifactsInput!$M$27,Inputs!$B$4="Chapter Hunt"),CHOOSE(ArtifactsInput!$N$27+1,20,24,28,32,36,40),0)/100)),0)</f>
        <v>0.04</v>
      </c>
      <c r="R1594">
        <f>IF(AND(Inputs!$B$38&lt;&gt;"pvp",Inputs!$B$43&gt;0),IF(MAX(0,Inputs!$B$43-B1604)&lt;=0,0,(INT(MAX(0,Inputs!$B$43-B1604)/(IF(Inputs!$B$38="pvp",15,MAX(0.1,Skills!E28-IF(TRUE=TRUE,Inputs!$B$32,0)))*(1-IF(AND(ArtifactsInput!$M$27,Inputs!$B$4="Chapter Hunt"),CHOOSE(ArtifactsInput!$N$27+1,20,24,28,32,36,40),0)/100)))+1)),0)</f>
        <v>2</v>
      </c>
      <c r="S1594">
        <f>IF(C1594,(H1594*N1594*IF(AND(Inputs!$B$38&lt;&gt;"pvp",Inputs!$B$43&gt;0),((Skills!G28*((R1594-1)*IF(Skills!H28&gt;0,Skills!I28/Skills!H28,1)+IF(Skills!H28&gt;0,MIN(Skills!I28,MAX(0,MAX(0,Inputs!$B$43-B1604)-((R1594-1)*(IF(Inputs!$B$38="pvp",15,MAX(0.1,Skills!E28-IF(TRUE=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94">
        <f>IF(C1594,(H1594*N1594*IF(AND(Inputs!$B$38&lt;&gt;"pvp",Inputs!$B$43&gt;0),((Skills!G28*((R1594-1)*IF(Skills!H28&gt;0,Skills!I28/Skills!H28,1)+IF(Skills!H28&gt;0,MIN(Skills!I28,MAX(0,MAX(0,Inputs!$B$43-B1604)-((R1594-1)*(IF(Inputs!$B$38="pvp",15,MAX(0.1,Skills!E28-IF(TRUE=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96" spans="1:21" x14ac:dyDescent="0.2">
      <c r="A1596" t="s">
        <v>356</v>
      </c>
      <c r="B1596">
        <f>1+(F1577*Skills!Z11)/100</f>
        <v>1.25</v>
      </c>
    </row>
    <row r="1597" spans="1:21" x14ac:dyDescent="0.2">
      <c r="A1597" t="s">
        <v>435</v>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1.18624</v>
      </c>
    </row>
    <row r="1598" spans="1:21" x14ac:dyDescent="0.2">
      <c r="A1598" t="s">
        <v>358</v>
      </c>
      <c r="B1598">
        <f>(1+(F1572*IF(AND(Inputs!$B$38&lt;&gt;"pvp",Inputs!$B$43&gt;0),(((R1572-1)*MIN((Skills!T6*(1+((Inputs!$B$34+(ArtifactsInput!$M$7-ArtifactsInput!$M$7)*CHOOSE(ArtifactsInput!$N$7+1,6,7.2,8.4,9.6,10.8,12)))/100)),(1/Q1572))+MIN((Skills!T6*(1+((Inputs!$B$34+(ArtifactsInput!$M$7-ArtifactsInput!$M$7)*CHOOSE(ArtifactsInput!$N$7+1,6,7.2,8.4,9.6,10.8,12)))/100)),MAX(0,Inputs!$B$43-((R1572-1)*(1/Q1572)))))/Inputs!$B$43),IF(Inputs!$B$38="pvp",MIN((Skills!T6*(1+((Inputs!$B$34+(ArtifactsInput!$M$7-ArtifactsInput!$M$7)*CHOOSE(ArtifactsInput!$N$7+1,6,7.2,8.4,9.6,10.8,12)))/100)),15)/15,MIN(1,(Skills!T6*(1+((Inputs!$B$34+(ArtifactsInput!$M$7-ArtifactsInput!$M$7)*CHOOSE(ArtifactsInput!$N$7+1,6,7.2,8.4,9.6,10.8,12)))/100))/(1/Q1572))))+F1583*IF(AND(Inputs!$B$38&lt;&gt;"pvp",Inputs!$B$43&gt;0),(((R1583-1)*MIN((Skills!T17*(1+((Inputs!$B$34+(ArtifactsInput!$M$7-ArtifactsInput!$M$7)*CHOOSE(ArtifactsInput!$N$7+1,6,7.2,8.4,9.6,10.8,12)))/100)),(1/Q1583))+MIN((Skills!T17*(1+((Inputs!$B$34+(ArtifactsInput!$M$7-ArtifactsInput!$M$7)*CHOOSE(ArtifactsInput!$N$7+1,6,7.2,8.4,9.6,10.8,12)))/100)),MAX(0,Inputs!$B$43-((R1583-1)*(1/Q1583)))))/Inputs!$B$43),IF(Inputs!$B$38="pvp",MIN((Skills!T17*(1+((Inputs!$B$34+(ArtifactsInput!$M$7-ArtifactsInput!$M$7)*CHOOSE(ArtifactsInput!$N$7+1,6,7.2,8.4,9.6,10.8,12)))/100)),15)/15,MIN(1,(Skills!T17*(1+((Inputs!$B$34+(ArtifactsInput!$M$7-ArtifactsInput!$M$7)*CHOOSE(ArtifactsInput!$N$7+1,6,7.2,8.4,9.6,10.8,12)))/100))/(1/Q1583)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MIN((Skills!T19*(1+((Inputs!$B$34+(ArtifactsInput!$M$7-ArtifactsInput!$M$7)*CHOOSE(ArtifactsInput!$N$7+1,6,7.2,8.4,9.6,10.8,12)))/100)),(1/Q1585))+MIN((Skills!T19*(1+((Inputs!$B$34+(ArtifactsInput!$M$7-ArtifactsInput!$M$7)*CHOOSE(ArtifactsInput!$N$7+1,6,7.2,8.4,9.6,10.8,12)))/100)),MAX(0,Inputs!$B$43-((R1585-1)*(1/Q1585)))))/Inputs!$B$43),IF(Inputs!$B$38="pvp",MIN((Skills!T19*(1+((Inputs!$B$34+(ArtifactsInput!$M$7-ArtifactsInput!$M$7)*CHOOSE(ArtifactsInput!$N$7+1,6,7.2,8.4,9.6,10.8,12)))/100)),15)/15,MIN(1,(Skills!T19*(1+((Inputs!$B$34+(ArtifactsInput!$M$7-ArtifactsInput!$M$7)*CHOOSE(ArtifactsInput!$N$7+1,6,7.2,8.4,9.6,10.8,12)))/100))/(1/Q1585))))/100),1)</f>
        <v>1.7965808377980694</v>
      </c>
    </row>
    <row r="1599" spans="1:21" x14ac:dyDescent="0.2">
      <c r="A1599" t="s">
        <v>359</v>
      </c>
      <c r="B1599">
        <f>F1584*IF(AND(Inputs!$B$38&lt;&gt;"pvp",Inputs!$B$43&gt;0),(((R1584-1)*MIN((Skills!T18*(1+((Inputs!$B$34+(ArtifactsInput!$M$7-ArtifactsInput!$M$7)*CHOOSE(ArtifactsInput!$N$7+1,6,7.2,8.4,9.6,10.8,12)))/100)),(1/Q1584))+MIN((Skills!T18*(1+((Inputs!$B$34+(ArtifactsInput!$M$7-ArtifactsInput!$M$7)*CHOOSE(ArtifactsInput!$N$7+1,6,7.2,8.4,9.6,10.8,12)))/100)),MAX(0,Inputs!$B$43-((R1584-1)*(1/Q1584)))))/Inputs!$B$43),IF(Inputs!$B$38="pvp",MIN((Skills!T18*(1+((Inputs!$B$34+(ArtifactsInput!$M$7-ArtifactsInput!$M$7)*CHOOSE(ArtifactsInput!$N$7+1,6,7.2,8.4,9.6,10.8,12)))/100)),15)/15,MIN(1,(Skills!T18*(1+((Inputs!$B$34+(ArtifactsInput!$M$7-ArtifactsInput!$M$7)*CHOOSE(ArtifactsInput!$N$7+1,6,7.2,8.4,9.6,10.8,12)))/100))/(1/Q1584))))</f>
        <v>6.4968749999999993</v>
      </c>
    </row>
    <row r="1600" spans="1:21" x14ac:dyDescent="0.2">
      <c r="A1600" t="s">
        <v>436</v>
      </c>
      <c r="B1600">
        <f>1+MIN(150,150*(1-(1-(Inputs!$B$11+(IF(ArtifactsInput!$M$15,FALSE,TRUE)-ArtifactsInput!$M$15)*CHOOSE(ArtifactsInput!$N$15+1,8,9.6,11.2,12.8,14.4,16))/150)*(1-B1599/150)))/100</f>
        <v>1.5605328749999998</v>
      </c>
    </row>
    <row r="1601" spans="1:26" x14ac:dyDescent="0.2">
      <c r="A1601" t="s">
        <v>437</v>
      </c>
      <c r="B1601">
        <f>IF(AND(Inputs!$B$38&lt;&gt;"pvp",Inputs!$B$43&gt;0),SUMPRODUCT((Skills!F2:F28=TRUE)*(C1568:C1594=TRUE)*R1568:R1594)/Inputs!$B$43,SUMPRODUCT((Skills!F2:F28=TRUE)*(C1568:C1594=TRUE)*Q1568:Q1594))</f>
        <v>0.47499999999999998</v>
      </c>
    </row>
    <row r="1602" spans="1:26" x14ac:dyDescent="0.2">
      <c r="A1602" t="s">
        <v>362</v>
      </c>
      <c r="B1602">
        <f>MAX(0,B1600-B1601)</f>
        <v>1.0855328749999997</v>
      </c>
    </row>
    <row r="1603" spans="1:26" x14ac:dyDescent="0.2">
      <c r="A1603" t="s">
        <v>438</v>
      </c>
      <c r="B1603">
        <f>IF(AND(Inputs!$B$38&lt;&gt;"pvp",Inputs!$B$43&gt;0),SUMPRODUCT((Skills!V2:V28=TRUE)*(C1568:C1594=TRUE)*R1568:R1594*Skills!W2:W28)/Inputs!$B$43,SUMPRODUCT((Skills!V2:V28=TRUE)*(C1568:C1594=TRUE)*Q1568:Q1594*Skills!W2:W28))+B1602</f>
        <v>1.4105328749999997</v>
      </c>
    </row>
    <row r="1604" spans="1:26" x14ac:dyDescent="0.2">
      <c r="A1604" t="s">
        <v>439</v>
      </c>
      <c r="B1604">
        <f>IF(AND(Inputs!$B$38&lt;&gt;"pvp",Inputs!$B$43&gt;0),SUMPRODUCT((Skills!T2:T28&gt;0)*(Skills!F2:F28=TRUE)*(C1568:C1594=TRUE))/B1600,0)</f>
        <v>2.563227000264253</v>
      </c>
    </row>
    <row r="1605" spans="1:26" x14ac:dyDescent="0.2">
      <c r="A1605" t="s">
        <v>440</v>
      </c>
      <c r="B1605">
        <f>SUM(S1568:S1594)</f>
        <v>8776850336935467</v>
      </c>
    </row>
    <row r="1606" spans="1:26" x14ac:dyDescent="0.2">
      <c r="A1606" t="s">
        <v>441</v>
      </c>
      <c r="B1606">
        <f>SUM(U1568:U1594)</f>
        <v>5.1251401035158568E+16</v>
      </c>
    </row>
    <row r="1607" spans="1:26" x14ac:dyDescent="0.2">
      <c r="A1607" s="6" t="s">
        <v>348</v>
      </c>
      <c r="B1607" s="6">
        <f>SUM(O1568:O1594)</f>
        <v>3.001412568604702E+16</v>
      </c>
    </row>
    <row r="1610" spans="1:26" x14ac:dyDescent="0.2">
      <c r="A1610" s="6" t="s">
        <v>476</v>
      </c>
    </row>
    <row r="1611" spans="1:26" x14ac:dyDescent="0.2">
      <c r="A1611" s="5" t="s">
        <v>136</v>
      </c>
      <c r="B1611" s="5" t="s">
        <v>137</v>
      </c>
      <c r="C1611" s="5" t="s">
        <v>328</v>
      </c>
      <c r="D1611" s="5" t="s">
        <v>329</v>
      </c>
      <c r="E1611" s="5" t="s">
        <v>330</v>
      </c>
      <c r="F1611" s="5" t="s">
        <v>331</v>
      </c>
      <c r="G1611" s="5" t="s">
        <v>332</v>
      </c>
      <c r="H1611" s="5" t="s">
        <v>333</v>
      </c>
      <c r="I1611" s="5" t="s">
        <v>334</v>
      </c>
      <c r="J1611" s="5" t="s">
        <v>335</v>
      </c>
      <c r="K1611" s="5" t="s">
        <v>336</v>
      </c>
      <c r="L1611" s="5" t="s">
        <v>337</v>
      </c>
      <c r="M1611" s="5" t="s">
        <v>338</v>
      </c>
      <c r="N1611" s="5" t="s">
        <v>339</v>
      </c>
      <c r="O1611" s="5" t="s">
        <v>340</v>
      </c>
      <c r="P1611" s="5" t="s">
        <v>341</v>
      </c>
      <c r="R1611" t="s">
        <v>434</v>
      </c>
    </row>
    <row r="1612" spans="1:26" x14ac:dyDescent="0.2">
      <c r="A1612" t="str">
        <f>Skills!A2</f>
        <v>BASIC_ATTACK</v>
      </c>
      <c r="B1612" t="str">
        <f>Skills!B2</f>
        <v>Basic Attack</v>
      </c>
      <c r="C1612" t="b">
        <f>TRUE</f>
        <v>1</v>
      </c>
      <c r="F1612">
        <f>T1614+Skills!O2</f>
        <v>537.6</v>
      </c>
      <c r="G1612">
        <f>Calc!G2</f>
        <v>5</v>
      </c>
      <c r="H1612">
        <f>Calc!H2</f>
        <v>1</v>
      </c>
      <c r="I1612">
        <f>IF(Skills!X2&lt;&gt;"",1+(Skills!X2/10)*(Z1613/1000)/100,1)</f>
        <v>1</v>
      </c>
      <c r="J1612">
        <f>((Inputs!$B$6*(1+Inputs!$B$7/100))+(((Inputs!$B$12*(1+Inputs!$B$13/100))-(Inputs!$B$12*(1+Inputs!$B$13/100)))+0.25*(Inputs!$B$14-Inputs!$B$14))*(1+Inputs!$B$7/100))*(F1612/100)</f>
        <v>1941459186.9980164</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6620290711466.1074</v>
      </c>
      <c r="L1612">
        <f>K1612*(MIN(Inputs!$B$22+(F1632-Calc!F22),(Inputs!$B$23+(IF(ArtifactsInput!$M$15,CHOOSE(ArtifactsInput!$N$15+1,25,30,35,40,45,50)/100*(Inputs!$B$11-Inputs!$B$11),0))))/100+(Inputs!$B$23+(IF(ArtifactsInput!$M$15,CHOOSE(ArtifactsInput!$N$15+1,25,30,35,40,45,50)/100*(Inputs!$B$11-Inputs!$B$11),0)))/100)/2</f>
        <v>22012466615624.809</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612">
        <f>L1612*(1-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612">
        <f>(1-Summary!$B$11)*S1612+Summary!$B$11*U1612</f>
        <v>1.251342481087288E+16</v>
      </c>
      <c r="P1612">
        <f>IF(B1651=0,0,O1612/B1651)</f>
        <v>0.378199388854495</v>
      </c>
      <c r="Q1612">
        <f>IFERROR(1/(IF(Inputs!$B$38="pvp",15,MAX(0.1,Skills!E2-IF(TRUE=TRUE,Inputs!$B$32,0)))*(1-IF(AND(ArtifactsInput!$M$27,Inputs!$B$4="Chapter Hunt"),CHOOSE(ArtifactsInput!$N$27+1,20,24,28,32,36,40),0)/100)),0)</f>
        <v>10</v>
      </c>
      <c r="R1612">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612">
        <f>MAX(0,(Inputs!$B$3-100)*3)+Inputs!$B$28+Inputs!$B$29</f>
        <v>185</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612">
        <f>MAX(0,(Inputs!$B$3-100)*3)+Inputs!$B$28+Inputs!$B$29</f>
        <v>185</v>
      </c>
    </row>
    <row r="1613" spans="1:26" x14ac:dyDescent="0.2">
      <c r="A1613" t="str">
        <f>Skills!A3</f>
        <v>IGNITE</v>
      </c>
      <c r="B1613" t="str">
        <f>Skills!B3</f>
        <v>Ignite</v>
      </c>
      <c r="C1613" t="b">
        <f>TRUE</f>
        <v>1</v>
      </c>
      <c r="D1613">
        <f>IF(Skills!C3=1,60+Inputs!$B$25+Inputs!$B$29,IF(Skills!C3=2,90+Inputs!$B$26+Inputs!$B$29,IF(Skills!C3=3,120+Inputs!$B$27+Inputs!$B$29,MAX(0,(Inputs!$B$3-100)*3)+Inputs!$B$28+Inputs!$B$29)))</f>
        <v>168</v>
      </c>
      <c r="E1613">
        <f>INDEX(FactorTable!$B$2:$Y$301, MATCH(ROUND(MIN(300,MAX(1,D1613)),0), FactorTable!$A$2:$A$301,0), Skills!M3+1)</f>
        <v>1672</v>
      </c>
      <c r="F1613">
        <f>IF(Skills!N3=TRUE,(Skills!L3/10)*(E1613/1000),Skills!L3/10)+Skills!O3</f>
        <v>121.736</v>
      </c>
      <c r="G1613">
        <f>Calc!G3</f>
        <v>3</v>
      </c>
      <c r="H1613">
        <f>Calc!H3</f>
        <v>1</v>
      </c>
      <c r="I1613">
        <f>IF(Skills!X3&lt;&gt;"",1+(Skills!X3/10)*(Z1613/1000)/100,1)</f>
        <v>4.8250000000000002</v>
      </c>
      <c r="J1613">
        <f>((Inputs!$B$6*(1+Inputs!$B$7/100))+(((Inputs!$B$12*(1+Inputs!$B$13/100))-(Inputs!$B$12*(1+Inputs!$B$13/100)))+0.25*(Inputs!$B$14-Inputs!$B$14))*(1+Inputs!$B$7/100))*(F1613/100)</f>
        <v>439630720.9605478</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10658554617221.965</v>
      </c>
      <c r="L1613">
        <f>K1613*(MIN(Inputs!$B$22+(F1632-Calc!F22),(Inputs!$B$23+(IF(ArtifactsInput!$M$15,CHOOSE(ArtifactsInput!$N$15+1,25,30,35,40,45,50)/100*(Inputs!$B$11-Inputs!$B$11),0))))/100+(Inputs!$B$23+(IF(ArtifactsInput!$M$15,CHOOSE(ArtifactsInput!$N$15+1,25,30,35,40,45,50)/100*(Inputs!$B$11-Inputs!$B$11),0)))/100)/2</f>
        <v>35439694102263.031</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613">
        <f>L1613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613">
        <f>(1-Summary!$B$11)*S1613+Summary!$B$11*U1613</f>
        <v>2907465947806250</v>
      </c>
      <c r="P1613">
        <f>IF(B1651=0,0,O1613/B1651)</f>
        <v>8.7873772463965091E-2</v>
      </c>
      <c r="Q1613">
        <f>IFERROR(1/(IF(Inputs!$B$38="pvp",15,MAX(0.1,Skills!E3-IF(FALSE=TRUE,Inputs!$B$32,0)))*(1-IF(AND(ArtifactsInput!$M$27,Inputs!$B$4="Chapter Hunt"),CHOOSE(ArtifactsInput!$N$27+1,20,24,28,32,36,40),0)/100)),0)</f>
        <v>1</v>
      </c>
      <c r="R1613">
        <f>IF(AND(Inputs!$B$38&lt;&gt;"pvp",Inputs!$B$43&gt;0),IF(MAX(0,Inputs!$B$43-B1648)&lt;=0,0,(INT(MAX(0,Inputs!$B$43-B1648)/(IF(Inputs!$B$38="pvp",15,MAX(0.1,Skills!E3-IF(FALSE=TRUE,Inputs!$B$32,0)))*(1-IF(AND(ArtifactsInput!$M$27,Inputs!$B$4="Chapter Hunt"),CHOOSE(ArtifactsInput!$N$27+1,20,24,28,32,36,40),0)/100)))+1)),0)</f>
        <v>38</v>
      </c>
      <c r="S1613">
        <f>IF(C1613,(H1613*N1613*IF(AND(Inputs!$B$38&lt;&gt;"pvp",Inputs!$B$43&gt;0),((Skills!G3*((R1613-1)*IF(Skills!H3&gt;0,Skills!I3/Skills!H3,1)+IF(Skills!H3&gt;0,MIN(Skills!I3,MAX(0,MAX(0,Inputs!$B$43-B1648)-((R1613-1)*(IF(Inputs!$B$38="pvp",15,MAX(0.1,Skills!E3-IF(FALSE=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613">
        <f>INDEX(FactorTable!$B$2:$Y$301, MATCH(ROUND(MIN(300,MAX(1,T1612)),0), FactorTable!$A$2:$A$301,0), 22)</f>
        <v>1740</v>
      </c>
      <c r="U1613">
        <f>IF(C1613,(H1613*N1613*IF(AND(Inputs!$B$38&lt;&gt;"pvp",Inputs!$B$43&gt;0),((Skills!G3*((R1613-1)*IF(Skills!H3&gt;0,Skills!I3/Skills!H3,1)+IF(Skills!H3&gt;0,MIN(Skills!I3,MAX(0,MAX(0,Inputs!$B$43-B1648)-((R1613-1)*(IF(Inputs!$B$38="pvp",15,MAX(0.1,Skills!E3-IF(FALSE=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613">
        <f>INDEX(FactorTable!$B$2:$Y$301, MATCH(ROUND(MIN(300,MAX(1,Z1612)),0), FactorTable!$A$2:$A$301,0), 24)</f>
        <v>7650</v>
      </c>
    </row>
    <row r="1614" spans="1:26" x14ac:dyDescent="0.2">
      <c r="A1614" t="str">
        <f>Skills!A4</f>
        <v>POISON_BREATH</v>
      </c>
      <c r="B1614" t="str">
        <f>Skills!B4</f>
        <v>Poison Breath</v>
      </c>
      <c r="C1614" t="b">
        <f>TRUE</f>
        <v>1</v>
      </c>
      <c r="D1614">
        <f>IF(Skills!C4=1,60+Inputs!$B$25+Inputs!$B$29,IF(Skills!C4=2,90+Inputs!$B$26+Inputs!$B$29,IF(Skills!C4=3,120+Inputs!$B$27+Inputs!$B$29,MAX(0,(Inputs!$B$3-100)*3)+Inputs!$B$28+Inputs!$B$29)))</f>
        <v>168</v>
      </c>
      <c r="E1614">
        <f>INDEX(FactorTable!$B$2:$Y$301, MATCH(ROUND(MIN(300,MAX(1,D1614)),0), FactorTable!$A$2:$A$301,0), Skills!M4+1)</f>
        <v>1840</v>
      </c>
      <c r="F1614">
        <f>IF(Skills!N4=TRUE,(Skills!L4/10)*(E1614/1000),Skills!L4/10)+Skills!O4</f>
        <v>438</v>
      </c>
      <c r="G1614">
        <f>Calc!G4</f>
        <v>3</v>
      </c>
      <c r="H1614">
        <f>Calc!H4</f>
        <v>1</v>
      </c>
      <c r="I1614">
        <f>IF(Skills!X4&lt;&gt;"",1+(Skills!X4/10)*(Z1613/1000)/100,1)</f>
        <v>7.12</v>
      </c>
      <c r="J1614">
        <f>((Inputs!$B$6*(1+Inputs!$B$7/100))+(((Inputs!$B$12*(1+Inputs!$B$13/100))-(Inputs!$B$12*(1+Inputs!$B$13/100)))+0.25*(Inputs!$B$14-Inputs!$B$14))*(1+Inputs!$B$7/100))*(F1614/100)</f>
        <v>1581769203.69258</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56589528290529.523</v>
      </c>
      <c r="L1614">
        <f>K1614*(MIN(Inputs!$B$22+(F1632-Calc!F22),(Inputs!$B$23+(IF(ArtifactsInput!$M$15,CHOOSE(ArtifactsInput!$N$15+1,25,30,35,40,45,50)/100*(Inputs!$B$11-Inputs!$B$11),0))))/100+(Inputs!$B$23+(IF(ArtifactsInput!$M$15,CHOOSE(ArtifactsInput!$N$15+1,25,30,35,40,45,50)/100*(Inputs!$B$11-Inputs!$B$11),0)))/100)/2</f>
        <v>188160181566010.69</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614">
        <f>L1614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614">
        <f>(1-Summary!$B$11)*S1614+Summary!$B$11*U1614</f>
        <v>2120704790543594.2</v>
      </c>
      <c r="P1614">
        <f>IF(B1651=0,0,O1614/B1651)</f>
        <v>6.4095103286790744E-2</v>
      </c>
      <c r="Q1614">
        <f>IFERROR(1/(IF(Inputs!$B$38="pvp",15,MAX(0.1,Skills!E4-IF(TRUE=TRUE,Inputs!$B$32,0)))*(1-IF(AND(ArtifactsInput!$M$27,Inputs!$B$4="Chapter Hunt"),CHOOSE(ArtifactsInput!$N$27+1,20,24,28,32,36,40),0)/100)),0)</f>
        <v>5.5555555555555552E-2</v>
      </c>
      <c r="R1614">
        <f>IF(AND(Inputs!$B$38&lt;&gt;"pvp",Inputs!$B$43&gt;0),IF(MAX(0,Inputs!$B$43-B1648)&lt;=0,0,(INT(MAX(0,Inputs!$B$43-B1648)/(IF(Inputs!$B$38="pvp",15,MAX(0.1,Skills!E4-IF(TRUE=TRUE,Inputs!$B$32,0)))*(1-IF(AND(ArtifactsInput!$M$27,Inputs!$B$4="Chapter Hunt"),CHOOSE(ArtifactsInput!$N$27+1,20,24,28,32,36,40),0)/100)))+1)),0)</f>
        <v>3</v>
      </c>
      <c r="S1614">
        <f>IF(C1614,(H1614*N1614*IF(AND(Inputs!$B$38&lt;&gt;"pvp",Inputs!$B$43&gt;0),((Skills!G4*((R1614-1)*IF(Skills!H4&gt;0,Skills!I4/Skills!H4,1)+IF(Skills!H4&gt;0,MIN(Skills!I4,MAX(0,MAX(0,Inputs!$B$43-B1648)-((R1614-1)*(IF(Inputs!$B$38="pvp",15,MAX(0.1,Skills!E4-IF(TRUE=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614">
        <f>290*T1613/1000</f>
        <v>504.6</v>
      </c>
      <c r="U1614">
        <f>IF(C1614,(H1614*N1614*IF(AND(Inputs!$B$38&lt;&gt;"pvp",Inputs!$B$43&gt;0),((Skills!G4*((R1614-1)*IF(Skills!H4&gt;0,Skills!I4/Skills!H4,1)+IF(Skills!H4&gt;0,MIN(Skills!I4,MAX(0,MAX(0,Inputs!$B$43-B1648)-((R1614-1)*(IF(Inputs!$B$38="pvp",15,MAX(0.1,Skills!E4-IF(TRUE=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615" spans="1:26" x14ac:dyDescent="0.2">
      <c r="A1615" t="str">
        <f>Skills!A5</f>
        <v>ELEMENTAL_DRAIN</v>
      </c>
      <c r="B1615" t="str">
        <f>Skills!B5</f>
        <v>Elemental Drain</v>
      </c>
      <c r="C1615" t="b">
        <f>TRUE</f>
        <v>1</v>
      </c>
      <c r="D1615">
        <f>IF(Skills!C5=1,60+Inputs!$B$25+Inputs!$B$29,IF(Skills!C5=2,90+Inputs!$B$26+Inputs!$B$29,IF(Skills!C5=3,120+Inputs!$B$27+Inputs!$B$29,MAX(0,(Inputs!$B$3-100)*3)+Inputs!$B$28+Inputs!$B$29)))</f>
        <v>168</v>
      </c>
      <c r="E1615">
        <f>INDEX(FactorTable!$B$2:$Y$301, MATCH(ROUND(MIN(300,MAX(1,D1615)),0), FactorTable!$A$2:$A$301,0), Skills!M5+1)</f>
        <v>1672</v>
      </c>
      <c r="F1615">
        <f>IF(Skills!N5=TRUE,(Skills!L5/10)*(E1615/1000),Skills!L5/10)+Skills!O5</f>
        <v>20.064</v>
      </c>
      <c r="G1615">
        <f>Calc!G5</f>
        <v>5</v>
      </c>
      <c r="H1615">
        <f>Calc!H5</f>
        <v>1</v>
      </c>
      <c r="I1615">
        <f>IF(Skills!X5&lt;&gt;"",1+(Skills!X5/10)*(Z1613/1000)/100,1)</f>
        <v>12.475</v>
      </c>
      <c r="J1615">
        <f>((Inputs!$B$6*(1+Inputs!$B$7/100))+(((Inputs!$B$12*(1+Inputs!$B$13/100))-(Inputs!$B$12*(1+Inputs!$B$13/100)))+0.25*(Inputs!$B$14-Inputs!$B$14))*(1+Inputs!$B$7/100))*(F1615/100)</f>
        <v>72458030.371890247</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4541925884983.542</v>
      </c>
      <c r="L1615">
        <f>K1615*(MIN(Inputs!$B$22+(F1632-Calc!F22),(Inputs!$B$23+(IF(ArtifactsInput!$M$15,CHOOSE(ArtifactsInput!$N$15+1,25,30,35,40,45,50)/100*(Inputs!$B$11-Inputs!$B$11),0))))/100+(Inputs!$B$23+(IF(ArtifactsInput!$M$15,CHOOSE(ArtifactsInput!$N$15+1,25,30,35,40,45,50)/100*(Inputs!$B$11-Inputs!$B$11),0)))/100)/2</f>
        <v>15101903567570.277</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615">
        <f>L1615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615">
        <f>(1-Summary!$B$11)*S1615+Summary!$B$11*U1615</f>
        <v>1046004996783807</v>
      </c>
      <c r="P1615">
        <f>IF(B1651=0,0,O1615/B1651)</f>
        <v>3.1613923166633758E-2</v>
      </c>
      <c r="Q1615">
        <f>IFERROR(1/(IF(Inputs!$B$38="pvp",15,MAX(0.1,Skills!E5-IF(FALSE=TRUE,Inputs!$B$32,0)))*(1-IF(AND(ArtifactsInput!$M$27,Inputs!$B$4="Chapter Hunt"),CHOOSE(ArtifactsInput!$N$27+1,20,24,28,32,36,40),0)/100)),0)</f>
        <v>1</v>
      </c>
      <c r="R1615">
        <f>IF(AND(Inputs!$B$38&lt;&gt;"pvp",Inputs!$B$43&gt;0),IF(MAX(0,Inputs!$B$43-B1648)&lt;=0,0,(INT(MAX(0,Inputs!$B$43-B1648)/(IF(Inputs!$B$38="pvp",15,MAX(0.1,Skills!E5-IF(FALSE=TRUE,Inputs!$B$32,0)))*(1-IF(AND(ArtifactsInput!$M$27,Inputs!$B$4="Chapter Hunt"),CHOOSE(ArtifactsInput!$N$27+1,20,24,28,32,36,40),0)/100)))+1)),0)</f>
        <v>38</v>
      </c>
      <c r="S1615">
        <f>IF(C1615,(H1615*N1615*IF(AND(Inputs!$B$38&lt;&gt;"pvp",Inputs!$B$43&gt;0),((Skills!G5*((R1615-1)*IF(Skills!H5&gt;0,Skills!I5/Skills!H5,1)+IF(Skills!H5&gt;0,MIN(Skills!I5,MAX(0,MAX(0,Inputs!$B$43-B1648)-((R1615-1)*(IF(Inputs!$B$38="pvp",15,MAX(0.1,Skills!E5-IF(FALSE=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615">
        <f>IF(C1615,(H1615*N1615*IF(AND(Inputs!$B$38&lt;&gt;"pvp",Inputs!$B$43&gt;0),((Skills!G5*((R1615-1)*IF(Skills!H5&gt;0,Skills!I5/Skills!H5,1)+IF(Skills!H5&gt;0,MIN(Skills!I5,MAX(0,MAX(0,Inputs!$B$43-B1648)-((R1615-1)*(IF(Inputs!$B$38="pvp",15,MAX(0.1,Skills!E5-IF(FALSE=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616" spans="1:26" x14ac:dyDescent="0.2">
      <c r="A1616" t="str">
        <f>Skills!A6</f>
        <v>MEDITATION</v>
      </c>
      <c r="B1616" t="str">
        <f>Skills!B6</f>
        <v>Meditation</v>
      </c>
      <c r="C1616" t="b">
        <f>TRUE</f>
        <v>1</v>
      </c>
      <c r="D1616">
        <f>IF(Skills!C6=1,60+Inputs!$B$25+Inputs!$B$29,IF(Skills!C6=2,90+Inputs!$B$26+Inputs!$B$29,IF(Skills!C6=3,120+Inputs!$B$27+Inputs!$B$29,MAX(0,(Inputs!$B$3-100)*3)+Inputs!$B$28+Inputs!$B$29)))</f>
        <v>168</v>
      </c>
      <c r="E1616">
        <f>INDEX(FactorTable!$B$2:$Y$301, MATCH(ROUND(MIN(300,MAX(1,D1616)),0), FactorTable!$A$2:$A$301,0), Skills!M6+1)</f>
        <v>1672</v>
      </c>
      <c r="F1616">
        <f>IF(Skills!N6=TRUE,(Skills!L6/10)*(E1616/1000),Skills!L6/10)+Skills!O6</f>
        <v>33.44</v>
      </c>
      <c r="G1616">
        <f>Calc!G6</f>
        <v>1</v>
      </c>
      <c r="H1616">
        <f>Calc!H6</f>
        <v>1</v>
      </c>
      <c r="I1616">
        <f>IF(Skills!X6&lt;&gt;"",1+(Skills!X6/10)*(Z1613/1000)/100,1)</f>
        <v>1</v>
      </c>
      <c r="O1616">
        <f>(1-Summary!$B$11)*S1616+Summary!$B$11*U1616</f>
        <v>0</v>
      </c>
      <c r="P1616">
        <f>IF(B1651=0,0,O1616/B1651)</f>
        <v>0</v>
      </c>
      <c r="Q1616">
        <f>IFERROR(1/(IF(Inputs!$B$38="pvp",15,MAX(0.1,Skills!E6-IF(TRUE=TRUE,Inputs!$B$32,0)))*(1-IF(AND(ArtifactsInput!$M$27,Inputs!$B$4="Chapter Hunt"),CHOOSE(ArtifactsInput!$N$27+1,20,24,28,32,36,40),0)/100)),0)</f>
        <v>3.3333333333333333E-2</v>
      </c>
      <c r="R1616">
        <f>IF(AND(Inputs!$B$38&lt;&gt;"pvp",Inputs!$B$43&gt;0),IF(Inputs!$B$43&lt;=0,0,(INT(Inputs!$B$43/(IF(Inputs!$B$38="pvp",15,MAX(0.1,Skills!E6-IF(TRUE=TRUE,Inputs!$B$32,0)))*(1-IF(AND(ArtifactsInput!$M$27,Inputs!$B$4="Chapter Hunt"),CHOOSE(ArtifactsInput!$N$27+1,20,24,28,32,36,40),0)/100)))+1)),0)</f>
        <v>2</v>
      </c>
      <c r="S1616">
        <v>0</v>
      </c>
      <c r="U1616">
        <v>0</v>
      </c>
    </row>
    <row r="1617" spans="1:21" x14ac:dyDescent="0.2">
      <c r="A1617" t="str">
        <f>Skills!A7</f>
        <v>POISON_MIST_BURST</v>
      </c>
      <c r="B1617" t="str">
        <f>Skills!B7</f>
        <v>Poison Mist (burst)</v>
      </c>
      <c r="C1617" t="b">
        <f>TRUE</f>
        <v>1</v>
      </c>
      <c r="D1617">
        <f>IF(Skills!C7=1,60+Inputs!$B$25+Inputs!$B$29,IF(Skills!C7=2,90+Inputs!$B$26+Inputs!$B$29,IF(Skills!C7=3,120+Inputs!$B$27+Inputs!$B$29,MAX(0,(Inputs!$B$3-100)*3)+Inputs!$B$28+Inputs!$B$29)))</f>
        <v>184</v>
      </c>
      <c r="E1617">
        <f>INDEX(FactorTable!$B$2:$Y$301, MATCH(ROUND(MIN(300,MAX(1,D1617)),0), FactorTable!$A$2:$A$301,0), Skills!M7+1)</f>
        <v>1920</v>
      </c>
      <c r="F1617">
        <f>IF(Skills!N7=TRUE,(Skills!L7/10)*(E1617/1000),Skills!L7/10)+Skills!O7</f>
        <v>357.2</v>
      </c>
      <c r="G1617">
        <f>Calc!G7</f>
        <v>3</v>
      </c>
      <c r="H1617">
        <f>Calc!H7</f>
        <v>1</v>
      </c>
      <c r="I1617">
        <f>IF(Skills!X7&lt;&gt;"",1+(Skills!X7/10)*(Z1613/1000)/100,1)</f>
        <v>1.7650000000000001</v>
      </c>
      <c r="J1617">
        <f>((Inputs!$B$6*(1+Inputs!$B$7/100))+(((Inputs!$B$12*(1+Inputs!$B$13/100))-(Inputs!$B$12*(1+Inputs!$B$13/100)))+0.25*(Inputs!$B$14-Inputs!$B$14))*(1+Inputs!$B$7/100))*(F1617/100)</f>
        <v>1289972510.4086521</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11440318873772.086</v>
      </c>
      <c r="L1617">
        <f>K1617*(MIN(Inputs!$B$22+(F1632-Calc!F22),(Inputs!$B$23+(IF(ArtifactsInput!$M$15,CHOOSE(ArtifactsInput!$N$15+1,25,30,35,40,45,50)/100*(Inputs!$B$11-Inputs!$B$11),0))))/100+(Inputs!$B$23+(IF(ArtifactsInput!$M$15,CHOOSE(ArtifactsInput!$N$15+1,25,30,35,40,45,50)/100*(Inputs!$B$11-Inputs!$B$11),0)))/100)/2</f>
        <v>38039060255292.188</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617">
        <f>L1617*(1-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617">
        <f>(1-Summary!$B$11)*S1617+Summary!$B$11*U1617</f>
        <v>447913158316422</v>
      </c>
      <c r="P1617">
        <f>IF(B1651=0,0,O1617/B1651)</f>
        <v>1.3537499549121505E-2</v>
      </c>
      <c r="Q1617">
        <f>IFERROR(1/(IF(Inputs!$B$38="pvp",15,MAX(0.1,Skills!E7-IF(TRUE=TRUE,Inputs!$B$32,0)))*(1-IF(AND(ArtifactsInput!$M$27,Inputs!$B$4="Chapter Hunt"),CHOOSE(ArtifactsInput!$N$27+1,20,24,28,32,36,40),0)/100)),0)</f>
        <v>4.0816326530612242E-2</v>
      </c>
      <c r="R1617">
        <f>IF(AND(Inputs!$B$38&lt;&gt;"pvp",Inputs!$B$43&gt;0),IF(MAX(0,Inputs!$B$43-B1648)&lt;=0,0,(INT(MAX(0,Inputs!$B$43-B1648)/(IF(Inputs!$B$38="pvp",15,MAX(0.1,Skills!E7-IF(TRUE=TRUE,Inputs!$B$32,0)))*(1-IF(AND(ArtifactsInput!$M$27,Inputs!$B$4="Chapter Hunt"),CHOOSE(ArtifactsInput!$N$27+1,20,24,28,32,36,40),0)/100)))+1)),0)</f>
        <v>2</v>
      </c>
      <c r="S1617">
        <f>IF(C1617,(H1617*N1617*IF(AND(Inputs!$B$38&lt;&gt;"pvp",Inputs!$B$43&gt;0),((Skills!G7*((R1617-1)*IF(Skills!H7&gt;0,Skills!I7/Skills!H7,1)+IF(Skills!H7&gt;0,MIN(Skills!I7,MAX(0,MAX(0,Inputs!$B$43-B1648)-((R1617-1)*(IF(Inputs!$B$38="pvp",15,MAX(0.1,Skills!E7-IF(TRUE=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617">
        <f>IF(C1617,(H1617*N1617*IF(AND(Inputs!$B$38&lt;&gt;"pvp",Inputs!$B$43&gt;0),((Skills!G7*((R1617-1)*IF(Skills!H7&gt;0,Skills!I7/Skills!H7,1)+IF(Skills!H7&gt;0,MIN(Skills!I7,MAX(0,MAX(0,Inputs!$B$43-B1648)-((R1617-1)*(IF(Inputs!$B$38="pvp",15,MAX(0.1,Skills!E7-IF(TRUE=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618" spans="1:21" x14ac:dyDescent="0.2">
      <c r="A1618" t="str">
        <f>Skills!A8</f>
        <v>POISON_MIST_DOT</v>
      </c>
      <c r="B1618" t="str">
        <f>Skills!B8</f>
        <v>Poison Mist (fog DoT)</v>
      </c>
      <c r="C1618" t="b">
        <f>TRUE</f>
        <v>1</v>
      </c>
      <c r="D1618">
        <f>IF(Skills!C8=1,60+Inputs!$B$25+Inputs!$B$29,IF(Skills!C8=2,90+Inputs!$B$26+Inputs!$B$29,IF(Skills!C8=3,120+Inputs!$B$27+Inputs!$B$29,MAX(0,(Inputs!$B$3-100)*3)+Inputs!$B$28+Inputs!$B$29)))</f>
        <v>184</v>
      </c>
      <c r="E1618">
        <f>INDEX(FactorTable!$B$2:$Y$301, MATCH(ROUND(MIN(300,MAX(1,D1618)),0), FactorTable!$A$2:$A$301,0), Skills!M8+1)</f>
        <v>1920</v>
      </c>
      <c r="F1618">
        <f>IF(Skills!N8=TRUE,(Skills!L8/10)*(E1618/1000),Skills!L8/10)+Skills!O8</f>
        <v>134.4</v>
      </c>
      <c r="G1618">
        <f>Calc!G8</f>
        <v>50</v>
      </c>
      <c r="H1618">
        <f>Calc!H8</f>
        <v>1</v>
      </c>
      <c r="I1618">
        <f>IF(Skills!X8&lt;&gt;"",1+(Skills!X8/10)*(Z1613/1000)/100,1)</f>
        <v>1.7650000000000001</v>
      </c>
      <c r="J1618">
        <f>((Inputs!$B$6*(1+Inputs!$B$7/100))+(((Inputs!$B$12*(1+Inputs!$B$13/100))-(Inputs!$B$12*(1+Inputs!$B$13/100)))+0.25*(Inputs!$B$14-Inputs!$B$14))*(1+Inputs!$B$7/100))*(F1618/100)</f>
        <v>485364796.74950409</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4304532073446.1597</v>
      </c>
      <c r="L1618">
        <f>K1618*(MIN(Inputs!$B$22+(F1632-Calc!F22),(Inputs!$B$23+(IF(ArtifactsInput!$M$15,CHOOSE(ArtifactsInput!$N$15+1,25,30,35,40,45,50)/100*(Inputs!$B$11-Inputs!$B$11),0))))/100+(Inputs!$B$23+(IF(ArtifactsInput!$M$15,CHOOSE(ArtifactsInput!$N$15+1,25,30,35,40,45,50)/100*(Inputs!$B$11-Inputs!$B$11),0)))/100)/2</f>
        <v>14312569144208.482</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618">
        <f>L1618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618">
        <f>(1-Summary!$B$11)*S1618+Summary!$B$11*U1618</f>
        <v>2327471980535951</v>
      </c>
      <c r="P1618">
        <f>IF(B1651=0,0,O1618/B1651)</f>
        <v>7.0344329703392813E-2</v>
      </c>
      <c r="Q1618">
        <f>IFERROR(1/(IF(Inputs!$B$38="pvp",15,MAX(0.1,Skills!E8-IF(TRUE=TRUE,Inputs!$B$32,0)))*(1-IF(AND(ArtifactsInput!$M$27,Inputs!$B$4="Chapter Hunt"),CHOOSE(ArtifactsInput!$N$27+1,20,24,28,32,36,40),0)/100)),0)</f>
        <v>4.0816326530612242E-2</v>
      </c>
      <c r="R1618">
        <f>IF(AND(Inputs!$B$38&lt;&gt;"pvp",Inputs!$B$43&gt;0),IF(MAX(0,Inputs!$B$43-B1648)&lt;=0,0,(INT(MAX(0,Inputs!$B$43-B1648)/(IF(Inputs!$B$38="pvp",15,MAX(0.1,Skills!E8-IF(TRUE=TRUE,Inputs!$B$32,0)))*(1-IF(AND(ArtifactsInput!$M$27,Inputs!$B$4="Chapter Hunt"),CHOOSE(ArtifactsInput!$N$27+1,20,24,28,32,36,40),0)/100)))+1)),0)</f>
        <v>2</v>
      </c>
      <c r="S1618">
        <f>IF(C1618,(H1618*N1618*IF(AND(Inputs!$B$38&lt;&gt;"pvp",Inputs!$B$43&gt;0),((Skills!G8*((R1618-1)*IF(Skills!H8&gt;0,Skills!I8/Skills!H8,1)+IF(Skills!H8&gt;0,MIN(Skills!I8,MAX(0,MAX(0,Inputs!$B$43-B1648)-((R1618-1)*(IF(Inputs!$B$38="pvp",15,MAX(0.1,Skills!E8-IF(TRUE=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618">
        <f>IF(C1618,(H1618*N1618*IF(AND(Inputs!$B$38&lt;&gt;"pvp",Inputs!$B$43&gt;0),((Skills!G8*((R1618-1)*IF(Skills!H8&gt;0,Skills!I8/Skills!H8,1)+IF(Skills!H8&gt;0,MIN(Skills!I8,MAX(0,MAX(0,Inputs!$B$43-B1648)-((R1618-1)*(IF(Inputs!$B$38="pvp",15,MAX(0.1,Skills!E8-IF(TRUE=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619" spans="1:21" x14ac:dyDescent="0.2">
      <c r="A1619" t="str">
        <f>Skills!A9</f>
        <v>MIST_ERUPTION</v>
      </c>
      <c r="B1619" t="str">
        <f>Skills!B9</f>
        <v>Mist Eruption</v>
      </c>
      <c r="C1619" t="b">
        <f>Inputs!$B$3&gt;=103</f>
        <v>1</v>
      </c>
      <c r="D1619">
        <f>IF(Skills!C9=1,60+Inputs!$B$25+Inputs!$B$29,IF(Skills!C9=2,90+Inputs!$B$26+Inputs!$B$29,IF(Skills!C9=3,120+Inputs!$B$27+Inputs!$B$29,MAX(0,(Inputs!$B$3-100)*3)+Inputs!$B$28+Inputs!$B$29)))</f>
        <v>185</v>
      </c>
      <c r="E1619">
        <f>INDEX(FactorTable!$B$2:$Y$301, MATCH(ROUND(MIN(300,MAX(1,D1619)),0), FactorTable!$A$2:$A$301,0), Skills!M9+1)</f>
        <v>1925</v>
      </c>
      <c r="F1619">
        <f>IF(Skills!N9=TRUE,(Skills!L9/10)*(E1619/1000),Skills!L9/10)+Skills!O9</f>
        <v>5775</v>
      </c>
      <c r="G1619">
        <f>Calc!G9</f>
        <v>2.5</v>
      </c>
      <c r="H1619">
        <f>Calc!H9</f>
        <v>1</v>
      </c>
      <c r="I1619">
        <f>IF(Skills!X9&lt;&gt;"",1+(Skills!X9/10)*(Z1613/1000)/100,1)</f>
        <v>1</v>
      </c>
      <c r="J1619">
        <f>((Inputs!$B$6*(1+Inputs!$B$7/100))+(((Inputs!$B$12*(1+Inputs!$B$13/100))-(Inputs!$B$12*(1+Inputs!$B$13/100)))+0.25*(Inputs!$B$14-Inputs!$B$14))*(1+Inputs!$B$7/100))*(F1619/100)</f>
        <v>20855518610.330254</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104793406533081.95</v>
      </c>
      <c r="L1619">
        <f>K1619*(MIN(Inputs!$B$22+(F1632-Calc!F22),(Inputs!$B$23+(IF(ArtifactsInput!$M$15,CHOOSE(ArtifactsInput!$N$15+1,25,30,35,40,45,50)/100*(Inputs!$B$11-Inputs!$B$11),0))))/100+(Inputs!$B$23+(IF(ArtifactsInput!$M$15,CHOOSE(ArtifactsInput!$N$15+1,25,30,35,40,45,50)/100*(Inputs!$B$11-Inputs!$B$11),0)))/100)/2</f>
        <v>348438076722497.5</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619">
        <f>L1619*(1-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619">
        <f>(1-Summary!$B$11)*S1619+Summary!$B$11*U1619</f>
        <v>3419073236278675</v>
      </c>
      <c r="P1619">
        <f>IF(B1651=0,0,O1619/B1651)</f>
        <v>0.10333633101673266</v>
      </c>
      <c r="Q1619">
        <f>IFERROR(1/(IF(Inputs!$B$38="pvp",15,MAX(0.1,Skills!E9-IF(TRUE=TRUE,Inputs!$B$32,0)))*(1-IF(AND(ArtifactsInput!$M$27,Inputs!$B$4="Chapter Hunt"),CHOOSE(ArtifactsInput!$N$27+1,20,24,28,32,36,40),0)/100)),0)</f>
        <v>4.0816326530612242E-2</v>
      </c>
      <c r="R1619">
        <f>IF(AND(Inputs!$B$38&lt;&gt;"pvp",Inputs!$B$43&gt;0),IF(MAX(0,Inputs!$B$43-B1648)&lt;=0,0,(INT(MAX(0,Inputs!$B$43-B1648)/(IF(Inputs!$B$38="pvp",15,MAX(0.1,Skills!E9-IF(TRUE=TRUE,Inputs!$B$32,0)))*(1-IF(AND(ArtifactsInput!$M$27,Inputs!$B$4="Chapter Hunt"),CHOOSE(ArtifactsInput!$N$27+1,20,24,28,32,36,40),0)/100)))+1)),0)</f>
        <v>2</v>
      </c>
      <c r="S1619">
        <f>IF(C1619,(H1619*N1619*IF(AND(Inputs!$B$38&lt;&gt;"pvp",Inputs!$B$43&gt;0),((Skills!G9*((R1619-1)*IF(Skills!H9&gt;0,Skills!I9/Skills!H9,1)+IF(Skills!H9&gt;0,MIN(Skills!I9,MAX(0,MAX(0,Inputs!$B$43-B1648)-((R1619-1)*(IF(Inputs!$B$38="pvp",15,MAX(0.1,Skills!E9-IF(TRUE=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619">
        <f>IF(C1619,(H1619*N1619*IF(AND(Inputs!$B$38&lt;&gt;"pvp",Inputs!$B$43&gt;0),((Skills!G9*((R1619-1)*IF(Skills!H9&gt;0,Skills!I9/Skills!H9,1)+IF(Skills!H9&gt;0,MIN(Skills!I9,MAX(0,MAX(0,Inputs!$B$43-B1648)-((R1619-1)*(IF(Inputs!$B$38="pvp",15,MAX(0.1,Skills!E9-IF(TRUE=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620" spans="1:21" x14ac:dyDescent="0.2">
      <c r="A1620" t="str">
        <f>Skills!A10</f>
        <v>CREEPING_TOXIN</v>
      </c>
      <c r="B1620" t="str">
        <f>Skills!B10</f>
        <v>Creeping Toxin</v>
      </c>
      <c r="C1620" t="b">
        <f>TRUE</f>
        <v>1</v>
      </c>
      <c r="D1620">
        <f>IF(Skills!C10=1,60+Inputs!$B$25+Inputs!$B$29,IF(Skills!C10=2,90+Inputs!$B$26+Inputs!$B$29,IF(Skills!C10=3,120+Inputs!$B$27+Inputs!$B$29,MAX(0,(Inputs!$B$3-100)*3)+Inputs!$B$28+Inputs!$B$29)))</f>
        <v>184</v>
      </c>
      <c r="E1620">
        <f>INDEX(FactorTable!$B$2:$Y$301, MATCH(ROUND(MIN(300,MAX(1,D1620)),0), FactorTable!$A$2:$A$301,0), Skills!M10+1)</f>
        <v>1920</v>
      </c>
      <c r="F1620">
        <f>IF(Skills!N10=TRUE,(Skills!L10/10)*(E1620/1000),Skills!L10/10)+Skills!O10</f>
        <v>280.39999999999998</v>
      </c>
      <c r="G1620">
        <f>Calc!G10</f>
        <v>15</v>
      </c>
      <c r="H1620">
        <f>Calc!H10</f>
        <v>1</v>
      </c>
      <c r="I1620">
        <f>IF(Skills!X10&lt;&gt;"",1+(Skills!X10/10)*(Z1613/1000)/100,1)</f>
        <v>1.7650000000000001</v>
      </c>
      <c r="J1620">
        <f>((Inputs!$B$6*(1+Inputs!$B$7/100))+(((Inputs!$B$12*(1+Inputs!$B$13/100))-(Inputs!$B$12*(1+Inputs!$B$13/100)))+0.25*(Inputs!$B$14-Inputs!$B$14))*(1+Inputs!$B$7/100))*(F1620/100)</f>
        <v>1012621197.9803641</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8980586260374.2793</v>
      </c>
      <c r="L1620">
        <f>K1620*(MIN(Inputs!$B$22+(F1632-Calc!F22),(Inputs!$B$23+(IF(ArtifactsInput!$M$15,CHOOSE(ArtifactsInput!$N$15+1,25,30,35,40,45,50)/100*(Inputs!$B$11-Inputs!$B$11),0))))/100+(Inputs!$B$23+(IF(ArtifactsInput!$M$15,CHOOSE(ArtifactsInput!$N$15+1,25,30,35,40,45,50)/100*(Inputs!$B$11-Inputs!$B$11),0)))/100)/2</f>
        <v>29860449315744.48</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620">
        <f>L1620*(1-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620">
        <f>(1-Summary!$B$11)*S1620+Summary!$B$11*U1620</f>
        <v>324323455609081.62</v>
      </c>
      <c r="P1620">
        <f>IF(B1651=0,0,O1620/B1651)</f>
        <v>9.8021872154419789E-3</v>
      </c>
      <c r="Q1620">
        <f>IFERROR(1/(IF(Inputs!$B$38="pvp",15,MAX(0.1,Skills!E10-IF(TRUE=TRUE,Inputs!$B$32,0)))*(1-IF(AND(ArtifactsInput!$M$27,Inputs!$B$4="Chapter Hunt"),CHOOSE(ArtifactsInput!$N$27+1,20,24,28,32,36,40),0)/100)),0)</f>
        <v>3.7037037037037035E-2</v>
      </c>
      <c r="R1620">
        <f>IF(AND(Inputs!$B$38&lt;&gt;"pvp",Inputs!$B$43&gt;0),IF(MAX(0,Inputs!$B$43-B1648)&lt;=0,0,(INT(MAX(0,Inputs!$B$43-B1648)/(IF(Inputs!$B$38="pvp",15,MAX(0.1,Skills!E10-IF(TRUE=TRUE,Inputs!$B$32,0)))*(1-IF(AND(ArtifactsInput!$M$27,Inputs!$B$4="Chapter Hunt"),CHOOSE(ArtifactsInput!$N$27+1,20,24,28,32,36,40),0)/100)))+1)),0)</f>
        <v>2</v>
      </c>
      <c r="S1620">
        <f>IF(C1620,(H1620*N1620*IF(AND(Inputs!$B$38&lt;&gt;"pvp",Inputs!$B$43&gt;0),((Skills!G10*((R1620-1)*IF(Skills!H10&gt;0,Skills!I10/Skills!H10,1)+IF(Skills!H10&gt;0,MIN(Skills!I10,MAX(0,MAX(0,Inputs!$B$43-B1648)-((R1620-1)*(IF(Inputs!$B$38="pvp",15,MAX(0.1,Skills!E10-IF(TRUE=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620">
        <f>IF(C1620,(H1620*N1620*IF(AND(Inputs!$B$38&lt;&gt;"pvp",Inputs!$B$43&gt;0),((Skills!G10*((R1620-1)*IF(Skills!H10&gt;0,Skills!I10/Skills!H10,1)+IF(Skills!H10&gt;0,MIN(Skills!I10,MAX(0,MAX(0,Inputs!$B$43-B1648)-((R1620-1)*(IF(Inputs!$B$38="pvp",15,MAX(0.1,Skills!E10-IF(TRUE=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621" spans="1:21" x14ac:dyDescent="0.2">
      <c r="A1621" t="str">
        <f>Skills!A11</f>
        <v>BURNING_MAGIC</v>
      </c>
      <c r="B1621" t="str">
        <f>Skills!B11</f>
        <v>Burning Magic</v>
      </c>
      <c r="C1621" t="b">
        <f>TRUE</f>
        <v>1</v>
      </c>
      <c r="D1621">
        <f>IF(Skills!C11=1,60+Inputs!$B$25+Inputs!$B$29,IF(Skills!C11=2,90+Inputs!$B$26+Inputs!$B$29,IF(Skills!C11=3,120+Inputs!$B$27+Inputs!$B$29,MAX(0,(Inputs!$B$3-100)*3)+Inputs!$B$28+Inputs!$B$29)))</f>
        <v>184</v>
      </c>
      <c r="E1621">
        <f>INDEX(FactorTable!$B$2:$Y$301, MATCH(ROUND(MIN(300,MAX(1,D1621)),0), FactorTable!$A$2:$A$301,0), Skills!M11+1)</f>
        <v>0</v>
      </c>
      <c r="F1621">
        <f>IF(Skills!N11=TRUE,(Skills!L11/10)*(E1621/1000),Skills!L11/10)+Skills!O11</f>
        <v>5</v>
      </c>
      <c r="G1621">
        <f>Calc!G11</f>
        <v>1</v>
      </c>
      <c r="H1621">
        <f>Calc!H11</f>
        <v>1</v>
      </c>
      <c r="I1621">
        <f>IF(Skills!X11&lt;&gt;"",1+(Skills!X11/10)*(Z1613/1000)/100,1)</f>
        <v>1</v>
      </c>
      <c r="O1621">
        <f>(1-Summary!$B$11)*S1621+Summary!$B$11*U1621</f>
        <v>0</v>
      </c>
      <c r="P1621">
        <f>IF(B1651=0,0,O1621/B1651)</f>
        <v>0</v>
      </c>
      <c r="Q1621">
        <f>IFERROR(1/(IF(Inputs!$B$38="pvp",15,MAX(0.1,Skills!E11-IF(TRUE=TRUE,Inputs!$B$32,0)))*(1-IF(AND(ArtifactsInput!$M$27,Inputs!$B$4="Chapter Hunt"),CHOOSE(ArtifactsInput!$N$27+1,20,24,28,32,36,40),0)/100)),0)</f>
        <v>10</v>
      </c>
      <c r="R1621">
        <v>0</v>
      </c>
      <c r="S1621">
        <v>0</v>
      </c>
      <c r="U1621">
        <v>0</v>
      </c>
    </row>
    <row r="1622" spans="1:21" x14ac:dyDescent="0.2">
      <c r="A1622" t="str">
        <f>Skills!A12</f>
        <v>ELEMENTAL_DECREASE</v>
      </c>
      <c r="B1622" t="str">
        <f>Skills!B12</f>
        <v>Elemental Decrease</v>
      </c>
      <c r="C1622" t="b">
        <f>TRUE</f>
        <v>1</v>
      </c>
      <c r="D1622">
        <f>IF(Skills!C12=1,60+Inputs!$B$25+Inputs!$B$29,IF(Skills!C12=2,90+Inputs!$B$26+Inputs!$B$29,IF(Skills!C12=3,120+Inputs!$B$27+Inputs!$B$29,MAX(0,(Inputs!$B$3-100)*3)+Inputs!$B$28+Inputs!$B$29)))</f>
        <v>184</v>
      </c>
      <c r="E1622">
        <f>INDEX(FactorTable!$B$2:$Y$301, MATCH(ROUND(MIN(300,MAX(1,D1622)),0), FactorTable!$A$2:$A$301,0), Skills!M12+1)</f>
        <v>1552</v>
      </c>
      <c r="F1622">
        <f>IF(Skills!N12=TRUE,(Skills!L12/10)*(E1622/1000),Skills!L12/10)+Skills!O12</f>
        <v>18.624000000000002</v>
      </c>
      <c r="G1622">
        <f>Calc!G12</f>
        <v>1</v>
      </c>
      <c r="H1622">
        <f>Calc!H12</f>
        <v>0.5</v>
      </c>
      <c r="I1622">
        <f>IF(Skills!X12&lt;&gt;"",1+(Skills!X12/10)*(Z1613/1000)/100,1)</f>
        <v>1</v>
      </c>
      <c r="O1622">
        <f>(1-Summary!$B$11)*S1622+Summary!$B$11*U1622</f>
        <v>0</v>
      </c>
      <c r="P1622">
        <f>IF(B1651=0,0,O1622/B1651)</f>
        <v>0</v>
      </c>
      <c r="Q1622">
        <f>IFERROR(1/(IF(Inputs!$B$38="pvp",15,MAX(0.1,Skills!E12-IF(TRUE=TRUE,Inputs!$B$32,0)))*(1-IF(AND(ArtifactsInput!$M$27,Inputs!$B$4="Chapter Hunt"),CHOOSE(ArtifactsInput!$N$27+1,20,24,28,32,36,40),0)/100)),0)</f>
        <v>10</v>
      </c>
      <c r="R1622">
        <v>0</v>
      </c>
      <c r="S1622">
        <v>0</v>
      </c>
      <c r="U1622">
        <v>0</v>
      </c>
    </row>
    <row r="1623" spans="1:21" x14ac:dyDescent="0.2">
      <c r="A1623" t="str">
        <f>Skills!A13</f>
        <v>METEOR_SHOWER_BURST</v>
      </c>
      <c r="B1623" t="str">
        <f>Skills!B13</f>
        <v>Meteor Shower (burst)</v>
      </c>
      <c r="C1623" t="b">
        <f>Inputs!$B$3&gt;=105</f>
        <v>1</v>
      </c>
      <c r="D1623">
        <f>IF(Skills!C13=1,60+Inputs!$B$25+Inputs!$B$29,IF(Skills!C13=2,90+Inputs!$B$26+Inputs!$B$29,IF(Skills!C13=3,120+Inputs!$B$27+Inputs!$B$29,MAX(0,(Inputs!$B$3-100)*3)+Inputs!$B$28+Inputs!$B$29)))</f>
        <v>185</v>
      </c>
      <c r="E1623">
        <f>INDEX(FactorTable!$B$2:$Y$301, MATCH(ROUND(MIN(300,MAX(1,D1623)),0), FactorTable!$A$2:$A$301,0), Skills!M13+1)</f>
        <v>1925</v>
      </c>
      <c r="F1623">
        <f>IF(Skills!N13=TRUE,(Skills!L13/10)*(E1623/1000),Skills!L13/10)+Skills!O13</f>
        <v>1155</v>
      </c>
      <c r="G1623">
        <f>Calc!G13</f>
        <v>9</v>
      </c>
      <c r="H1623">
        <f>Calc!H13</f>
        <v>1</v>
      </c>
      <c r="I1623">
        <f>IF(Skills!X13&lt;&gt;"",1+(Skills!X13/10)*(Z1613/1000)/100,1)</f>
        <v>1</v>
      </c>
      <c r="J1623">
        <f>((Inputs!$B$6*(1+Inputs!$B$7/100))+(((Inputs!$B$12*(1+Inputs!$B$13/100))-(Inputs!$B$12*(1+Inputs!$B$13/100)))+0.25*(Inputs!$B$14-Inputs!$B$14))*(1+Inputs!$B$7/100))*(F1623/100)</f>
        <v>4171103722.0660505</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20958681306616.391</v>
      </c>
      <c r="L1623">
        <f>K1623*(MIN(Inputs!$B$22+(F1632-Calc!F22),(Inputs!$B$23+(IF(ArtifactsInput!$M$15,CHOOSE(ArtifactsInput!$N$15+1,25,30,35,40,45,50)/100*(Inputs!$B$11-Inputs!$B$11),0))))/100+(Inputs!$B$23+(IF(ArtifactsInput!$M$15,CHOOSE(ArtifactsInput!$N$15+1,25,30,35,40,45,50)/100*(Inputs!$B$11-Inputs!$B$11),0)))/100)/2</f>
        <v>69687615344499.5</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623">
        <f>L1623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623">
        <f>(1-Summary!$B$11)*S1623+Summary!$B$11*U1623</f>
        <v>1793579843045520.5</v>
      </c>
      <c r="P1623">
        <f>IF(B1651=0,0,O1623/B1651)</f>
        <v>5.4208245204954375E-2</v>
      </c>
      <c r="Q1623">
        <f>IFERROR(1/(IF(Inputs!$B$38="pvp",15,MAX(0.1,Skills!E13-IF(TRUE=TRUE,Inputs!$B$32,0)))*(1-IF(AND(ArtifactsInput!$M$27,Inputs!$B$4="Chapter Hunt"),CHOOSE(ArtifactsInput!$N$27+1,20,24,28,32,36,40),0)/100)),0)</f>
        <v>3.0303030303030304E-2</v>
      </c>
      <c r="R1623">
        <f>IF(AND(Inputs!$B$38&lt;&gt;"pvp",Inputs!$B$43&gt;0),IF(MAX(0,Inputs!$B$43-B1648)&lt;=0,0,(INT(MAX(0,Inputs!$B$43-B1648)/(IF(Inputs!$B$38="pvp",15,MAX(0.1,Skills!E13-IF(TRUE=TRUE,Inputs!$B$32,0)))*(1-IF(AND(ArtifactsInput!$M$27,Inputs!$B$4="Chapter Hunt"),CHOOSE(ArtifactsInput!$N$27+1,20,24,28,32,36,40),0)/100)))+1)),0)</f>
        <v>2</v>
      </c>
      <c r="S1623">
        <f>IF(C1623,(H1623*N1623*IF(AND(Inputs!$B$38&lt;&gt;"pvp",Inputs!$B$43&gt;0),((Skills!G13*((R1623-1)*IF(Skills!H13&gt;0,Skills!I13/Skills!H13,1)+IF(Skills!H13&gt;0,MIN(Skills!I13,MAX(0,MAX(0,Inputs!$B$43-B1648)-((R1623-1)*(IF(Inputs!$B$38="pvp",15,MAX(0.1,Skills!E13-IF(TRUE=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623">
        <f>IF(C1623,(H1623*N1623*IF(AND(Inputs!$B$38&lt;&gt;"pvp",Inputs!$B$43&gt;0),((Skills!G13*((R1623-1)*IF(Skills!H13&gt;0,Skills!I13/Skills!H13,1)+IF(Skills!H13&gt;0,MIN(Skills!I13,MAX(0,MAX(0,Inputs!$B$43-B1648)-((R1623-1)*(IF(Inputs!$B$38="pvp",15,MAX(0.1,Skills!E13-IF(TRUE=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624" spans="1:21" x14ac:dyDescent="0.2">
      <c r="A1624" t="str">
        <f>Skills!A14</f>
        <v>METEOR_PROC</v>
      </c>
      <c r="B1624" t="str">
        <f>Skills!B14</f>
        <v>Meteor Proc (30% on-hit, 1s ICD)</v>
      </c>
      <c r="C1624" t="b">
        <f>Inputs!$B$3&gt;=113</f>
        <v>1</v>
      </c>
      <c r="D1624">
        <f>IF(Skills!C14=1,60+Inputs!$B$25+Inputs!$B$29,IF(Skills!C14=2,90+Inputs!$B$26+Inputs!$B$29,IF(Skills!C14=3,120+Inputs!$B$27+Inputs!$B$29,MAX(0,(Inputs!$B$3-100)*3)+Inputs!$B$28+Inputs!$B$29)))</f>
        <v>185</v>
      </c>
      <c r="E1624">
        <f>INDEX(FactorTable!$B$2:$Y$301, MATCH(ROUND(MIN(300,MAX(1,D1624)),0), FactorTable!$A$2:$A$301,0), Skills!M14+1)</f>
        <v>1740</v>
      </c>
      <c r="F1624">
        <f>IF(Skills!N14=TRUE,(Skills!L14/10)*(E1624/1000),Skills!L14/10)+Skills!O14</f>
        <v>1653</v>
      </c>
      <c r="G1624">
        <f>Calc!G14</f>
        <v>0</v>
      </c>
      <c r="H1624">
        <f>Calc!H14</f>
        <v>0.30000000000000004</v>
      </c>
      <c r="I1624">
        <f>IF(Skills!X14&lt;&gt;"",1+(Skills!X14/10)*(Z1613/1000)/100,1)</f>
        <v>1</v>
      </c>
      <c r="J1624">
        <f>((Inputs!$B$6*(1+Inputs!$B$7/100))+(((Inputs!$B$12*(1+Inputs!$B$13/100))-(Inputs!$B$12*(1+Inputs!$B$13/100)))+0.25*(Inputs!$B$14-Inputs!$B$14))*(1+Inputs!$B$7/100))*(F1624/100)</f>
        <v>5969553638.5932312</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29995411428430.203</v>
      </c>
      <c r="L1624">
        <f>K1624*(MIN(Inputs!$B$22+(F1632-Calc!F22),(Inputs!$B$23+(IF(ArtifactsInput!$M$15,CHOOSE(ArtifactsInput!$N$15+1,25,30,35,40,45,50)/100*(Inputs!$B$11-Inputs!$B$11),0))))/100+(Inputs!$B$23+(IF(ArtifactsInput!$M$15,CHOOSE(ArtifactsInput!$N$15+1,25,30,35,40,45,50)/100*(Inputs!$B$11-Inputs!$B$11),0)))/100)/2</f>
        <v>99734742999530.438</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624">
        <f>L1624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624">
        <f>(1-Summary!$B$11)*S1624+Summary!$B$11*U1624</f>
        <v>461258197543910.38</v>
      </c>
      <c r="P1624">
        <f>IF(B1651=0,0,O1624/B1651)</f>
        <v>1.3940833229257574E-2</v>
      </c>
      <c r="Q1624">
        <f>IFERROR(1/(IF(Inputs!$B$38="pvp",15,MAX(0.1,Skills!E14-IF(TRUE=TRUE,Inputs!$B$32,0)))*(1-IF(AND(ArtifactsInput!$M$27,Inputs!$B$4="Chapter Hunt"),CHOOSE(ArtifactsInput!$N$27+1,20,24,28,32,36,40),0)/100)),0)</f>
        <v>10</v>
      </c>
      <c r="R1624">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625" spans="1:21" x14ac:dyDescent="0.2">
      <c r="A1625" t="str">
        <f>Skills!A15</f>
        <v>FLAME_HAZE_BURST</v>
      </c>
      <c r="B1625" t="str">
        <f>Skills!B15</f>
        <v>Flame Haze (burst)</v>
      </c>
      <c r="C1625" t="b">
        <f>Inputs!$B$3&gt;=107</f>
        <v>1</v>
      </c>
      <c r="D1625">
        <f>IF(Skills!C15=1,60+Inputs!$B$25+Inputs!$B$29,IF(Skills!C15=2,90+Inputs!$B$26+Inputs!$B$29,IF(Skills!C15=3,120+Inputs!$B$27+Inputs!$B$29,MAX(0,(Inputs!$B$3-100)*3)+Inputs!$B$28+Inputs!$B$29)))</f>
        <v>185</v>
      </c>
      <c r="E1625">
        <f>INDEX(FactorTable!$B$2:$Y$301, MATCH(ROUND(MIN(300,MAX(1,D1625)),0), FactorTable!$A$2:$A$301,0), Skills!M15+1)</f>
        <v>1925</v>
      </c>
      <c r="F1625">
        <f>IF(Skills!N15=TRUE,(Skills!L15/10)*(E1625/1000),Skills!L15/10)+Skills!O15</f>
        <v>2310</v>
      </c>
      <c r="G1625">
        <f>Calc!G15</f>
        <v>3</v>
      </c>
      <c r="H1625">
        <f>Calc!H15</f>
        <v>1</v>
      </c>
      <c r="I1625">
        <f>IF(Skills!X15&lt;&gt;"",1+(Skills!X15/10)*(Z1613/1000)/100,1)</f>
        <v>1</v>
      </c>
      <c r="J1625">
        <f>((Inputs!$B$6*(1+Inputs!$B$7/100))+(((Inputs!$B$12*(1+Inputs!$B$13/100))-(Inputs!$B$12*(1+Inputs!$B$13/100)))+0.25*(Inputs!$B$14-Inputs!$B$14))*(1+Inputs!$B$7/100))*(F1625/100)</f>
        <v>8342207444.1321011</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41917362613232.781</v>
      </c>
      <c r="L1625">
        <f>K1625*(MIN(Inputs!$B$22+(F1632-Calc!F22),(Inputs!$B$23+(IF(ArtifactsInput!$M$15,CHOOSE(ArtifactsInput!$N$15+1,25,30,35,40,45,50)/100*(Inputs!$B$11-Inputs!$B$11),0))))/100+(Inputs!$B$23+(IF(ArtifactsInput!$M$15,CHOOSE(ArtifactsInput!$N$15+1,25,30,35,40,45,50)/100*(Inputs!$B$11-Inputs!$B$11),0)))/100)/2</f>
        <v>139375230688999</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625">
        <f>L1625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625">
        <f>(1-Summary!$B$11)*S1625+Summary!$B$11*U1625</f>
        <v>1641155153413763.8</v>
      </c>
      <c r="P1625">
        <f>IF(B1651=0,0,O1625/B1651)</f>
        <v>4.9601438888031674E-2</v>
      </c>
      <c r="Q1625">
        <f>IFERROR(1/(IF(Inputs!$B$38="pvp",15,MAX(0.1,Skills!E15-IF(TRUE=TRUE,Inputs!$B$32,0)))*(1-IF(AND(ArtifactsInput!$M$27,Inputs!$B$4="Chapter Hunt"),CHOOSE(ArtifactsInput!$N$27+1,20,24,28,32,36,40),0)/100)),0)</f>
        <v>0.04</v>
      </c>
      <c r="R1625">
        <f>IF(AND(Inputs!$B$38&lt;&gt;"pvp",Inputs!$B$43&gt;0),IF(MAX(0,Inputs!$B$43-B1648)&lt;=0,0,(INT(MAX(0,Inputs!$B$43-B1648)/(IF(Inputs!$B$38="pvp",15,MAX(0.1,Skills!E15-IF(TRUE=TRUE,Inputs!$B$32,0)))*(1-IF(AND(ArtifactsInput!$M$27,Inputs!$B$4="Chapter Hunt"),CHOOSE(ArtifactsInput!$N$27+1,20,24,28,32,36,40),0)/100)))+1)),0)</f>
        <v>2</v>
      </c>
      <c r="S1625">
        <f>IF(C1625,(H1625*N1625*IF(AND(Inputs!$B$38&lt;&gt;"pvp",Inputs!$B$43&gt;0),((Skills!G15*((R1625-1)*IF(Skills!H15&gt;0,Skills!I15/Skills!H15,1)+IF(Skills!H15&gt;0,MIN(Skills!I15,MAX(0,MAX(0,Inputs!$B$43-B1648)-((R1625-1)*(IF(Inputs!$B$38="pvp",15,MAX(0.1,Skills!E15-IF(TRUE=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625">
        <f>IF(C1625,(H1625*N1625*IF(AND(Inputs!$B$38&lt;&gt;"pvp",Inputs!$B$43&gt;0),((Skills!G15*((R1625-1)*IF(Skills!H15&gt;0,Skills!I15/Skills!H15,1)+IF(Skills!H15&gt;0,MIN(Skills!I15,MAX(0,MAX(0,Inputs!$B$43-B1648)-((R1625-1)*(IF(Inputs!$B$38="pvp",15,MAX(0.1,Skills!E15-IF(TRUE=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626" spans="1:21" x14ac:dyDescent="0.2">
      <c r="A1626" t="str">
        <f>Skills!A16</f>
        <v>FLAME_HAZE_DOT</v>
      </c>
      <c r="B1626" t="str">
        <f>Skills!B16</f>
        <v>Flame Haze (burn DoT)</v>
      </c>
      <c r="C1626" t="b">
        <f>Inputs!$B$3&gt;=107</f>
        <v>1</v>
      </c>
      <c r="D1626">
        <f>IF(Skills!C16=1,60+Inputs!$B$25+Inputs!$B$29,IF(Skills!C16=2,90+Inputs!$B$26+Inputs!$B$29,IF(Skills!C16=3,120+Inputs!$B$27+Inputs!$B$29,MAX(0,(Inputs!$B$3-100)*3)+Inputs!$B$28+Inputs!$B$29)))</f>
        <v>185</v>
      </c>
      <c r="E1626">
        <f>INDEX(FactorTable!$B$2:$Y$301, MATCH(ROUND(MIN(300,MAX(1,D1626)),0), FactorTable!$A$2:$A$301,0), Skills!M16+1)</f>
        <v>1925</v>
      </c>
      <c r="F1626">
        <f>IF(Skills!N16=TRUE,(Skills!L16/10)*(E1626/1000),Skills!L16/10)+Skills!O16</f>
        <v>288.75</v>
      </c>
      <c r="G1626">
        <f>Calc!G16</f>
        <v>30</v>
      </c>
      <c r="H1626">
        <f>Calc!H16</f>
        <v>1</v>
      </c>
      <c r="I1626">
        <f>IF(Skills!X16&lt;&gt;"",1+(Skills!X16/10)*(Z1613/1000)/100,1)</f>
        <v>1</v>
      </c>
      <c r="J1626">
        <f>((Inputs!$B$6*(1+Inputs!$B$7/100))+(((Inputs!$B$12*(1+Inputs!$B$13/100))-(Inputs!$B$12*(1+Inputs!$B$13/100)))+0.25*(Inputs!$B$14-Inputs!$B$14))*(1+Inputs!$B$7/100))*(F1626/100)</f>
        <v>1042775930.5165126</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5239670326654.0977</v>
      </c>
      <c r="L1626">
        <f>K1626*(MIN(Inputs!$B$22+(F1632-Calc!F22),(Inputs!$B$23+(IF(ArtifactsInput!$M$15,CHOOSE(ArtifactsInput!$N$15+1,25,30,35,40,45,50)/100*(Inputs!$B$11-Inputs!$B$11),0))))/100+(Inputs!$B$23+(IF(ArtifactsInput!$M$15,CHOOSE(ArtifactsInput!$N$15+1,25,30,35,40,45,50)/100*(Inputs!$B$11-Inputs!$B$11),0)))/100)/2</f>
        <v>17421903836124.875</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626">
        <f>L1626*(1-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626">
        <f>(1-Summary!$B$11)*S1626+Summary!$B$11*U1626</f>
        <v>1890384927888193</v>
      </c>
      <c r="P1626">
        <f>IF(B1651=0,0,O1626/B1651)</f>
        <v>5.7134032867313167E-2</v>
      </c>
      <c r="Q1626">
        <f>IFERROR(1/(IF(Inputs!$B$38="pvp",15,MAX(0.1,Skills!E16-IF(TRUE=TRUE,Inputs!$B$32,0)))*(1-IF(AND(ArtifactsInput!$M$27,Inputs!$B$4="Chapter Hunt"),CHOOSE(ArtifactsInput!$N$27+1,20,24,28,32,36,40),0)/100)),0)</f>
        <v>0.04</v>
      </c>
      <c r="R1626">
        <f>IF(AND(Inputs!$B$38&lt;&gt;"pvp",Inputs!$B$43&gt;0),IF(MAX(0,Inputs!$B$43-B1648)&lt;=0,0,(INT(MAX(0,Inputs!$B$43-B1648)/(IF(Inputs!$B$38="pvp",15,MAX(0.1,Skills!E16-IF(TRUE=TRUE,Inputs!$B$32,0)))*(1-IF(AND(ArtifactsInput!$M$27,Inputs!$B$4="Chapter Hunt"),CHOOSE(ArtifactsInput!$N$27+1,20,24,28,32,36,40),0)/100)))+1)),0)</f>
        <v>2</v>
      </c>
      <c r="S1626">
        <f>IF(C1626,(H1626*N1626*IF(AND(Inputs!$B$38&lt;&gt;"pvp",Inputs!$B$43&gt;0),((Skills!G16*((R1626-1)*IF(Skills!H16&gt;0,Skills!I16/Skills!H16,1)+IF(Skills!H16&gt;0,MIN(Skills!I16,MAX(0,MAX(0,Inputs!$B$43-B1648)-((R1626-1)*(IF(Inputs!$B$38="pvp",15,MAX(0.1,Skills!E16-IF(TRUE=TRUE,Inputs!$B$32,0)))*(1-IF(AND(ArtifactsInput!$M$27,Inputs!$B$4="Chapter Hunt"),CHOOSE(ArtifactsInput!$N$27+1,20,24,28,32,36,40),0)/100)))))/Skills!H16,1)))/Inputs!$B$43),G1626*Q1626)*(1+IF(Inputs!$B$3&gt;=126,0.05*(B1646+Q1623+(H1624*B1647)/(1+Skills!H14*H1624*B1647)+Q1634),0)*(1/Q1625)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626">
        <f>IF(C1626,(H1626*N1626*IF(AND(Inputs!$B$38&lt;&gt;"pvp",Inputs!$B$43&gt;0),((Skills!G16*((R1626-1)*IF(Skills!H16&gt;0,Skills!I16/Skills!H16,1)+IF(Skills!H16&gt;0,MIN(Skills!I16,MAX(0,MAX(0,Inputs!$B$43-B1648)-((R1626-1)*(IF(Inputs!$B$38="pvp",15,MAX(0.1,Skills!E16-IF(TRUE=TRUE,Inputs!$B$32,0)))*(1-IF(AND(ArtifactsInput!$M$27,Inputs!$B$4="Chapter Hunt"),CHOOSE(ArtifactsInput!$N$27+1,20,24,28,32,36,40),0)/100)))))/Skills!H16,1)))/Inputs!$B$43),G1626*Q1626)*(1+IF(Inputs!$B$3&gt;=126,0.05*(B1646+Q1623+(H1624*B1647)/(1+Skills!H14*H1624*B1647)+Q1634),0)*(1/Q1625)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627" spans="1:21" x14ac:dyDescent="0.2">
      <c r="A1627" t="str">
        <f>Skills!A17</f>
        <v>MAGIC_GUARD</v>
      </c>
      <c r="B1627" t="str">
        <f>Skills!B17</f>
        <v>Magic Guard</v>
      </c>
      <c r="C1627" t="b">
        <f>TRUE</f>
        <v>1</v>
      </c>
      <c r="D1627">
        <f>IF(Skills!C17=1,60+Inputs!$B$25+Inputs!$B$29,IF(Skills!C17=2,90+Inputs!$B$26+Inputs!$B$29,IF(Skills!C17=3,120+Inputs!$B$27+Inputs!$B$29,MAX(0,(Inputs!$B$3-100)*3)+Inputs!$B$28+Inputs!$B$29)))</f>
        <v>127</v>
      </c>
      <c r="E1627">
        <f>INDEX(FactorTable!$B$2:$Y$301, MATCH(ROUND(MIN(300,MAX(1,D1627)),0), FactorTable!$A$2:$A$301,0), Skills!M17+1)</f>
        <v>1508</v>
      </c>
      <c r="F1627">
        <f>IF(Skills!N17=TRUE,(Skills!L17/10)*(E1627/1000),Skills!L17/10)+Skills!O17</f>
        <v>18.096</v>
      </c>
      <c r="G1627">
        <f>Calc!G17</f>
        <v>1</v>
      </c>
      <c r="H1627">
        <f>Calc!H17</f>
        <v>1</v>
      </c>
      <c r="I1627">
        <f>IF(Skills!X17&lt;&gt;"",1+(Skills!X17/10)*(Z1613/1000)/100,1)</f>
        <v>1</v>
      </c>
      <c r="O1627">
        <f>(1-Summary!$B$11)*S1627+Summary!$B$11*U1627</f>
        <v>0</v>
      </c>
      <c r="P1627">
        <f>IF(B1651=0,0,O1627/B1651)</f>
        <v>0</v>
      </c>
      <c r="Q1627">
        <f>IFERROR(1/(IF(Inputs!$B$38="pvp",15,MAX(0.1,Skills!E17-IF(TRUE=TRUE,Inputs!$B$32,0)))*(1-IF(AND(ArtifactsInput!$M$27,Inputs!$B$4="Chapter Hunt"),CHOOSE(ArtifactsInput!$N$27+1,20,24,28,32,36,40),0)/100)),0)</f>
        <v>4.7619047619047616E-2</v>
      </c>
      <c r="R1627">
        <f>IF(AND(Inputs!$B$38&lt;&gt;"pvp",Inputs!$B$43&gt;0),IF(Inputs!$B$43&lt;=0,0,(INT(Inputs!$B$43/(IF(Inputs!$B$38="pvp",15,MAX(0.1,Skills!E17-IF(TRUE=TRUE,Inputs!$B$32,0)))*(1-IF(AND(ArtifactsInput!$M$27,Inputs!$B$4="Chapter Hunt"),CHOOSE(ArtifactsInput!$N$27+1,20,24,28,32,36,40),0)/100)))+1)),0)</f>
        <v>2</v>
      </c>
      <c r="S1627">
        <v>0</v>
      </c>
      <c r="U1627">
        <v>0</v>
      </c>
    </row>
    <row r="1628" spans="1:21" x14ac:dyDescent="0.2">
      <c r="A1628" t="str">
        <f>Skills!A18</f>
        <v>NIMBLE_FEET</v>
      </c>
      <c r="B1628" t="str">
        <f>Skills!B18</f>
        <v>Nimble Feet</v>
      </c>
      <c r="C1628" t="b">
        <f>TRUE</f>
        <v>1</v>
      </c>
      <c r="D1628">
        <f>IF(Skills!C18=1,60+Inputs!$B$25+Inputs!$B$29,IF(Skills!C18=2,90+Inputs!$B$26+Inputs!$B$29,IF(Skills!C18=3,120+Inputs!$B$27+Inputs!$B$29,MAX(0,(Inputs!$B$3-100)*3)+Inputs!$B$28+Inputs!$B$29)))</f>
        <v>127</v>
      </c>
      <c r="E1628">
        <f>INDEX(FactorTable!$B$2:$Y$301, MATCH(ROUND(MIN(300,MAX(1,D1628)),0), FactorTable!$A$2:$A$301,0), Skills!M18+1)</f>
        <v>0</v>
      </c>
      <c r="F1628">
        <f>IF(Skills!N18=TRUE,(Skills!L18/10)*(E1628/1000),Skills!L18/10)+Skills!O18</f>
        <v>15</v>
      </c>
      <c r="G1628">
        <f>Calc!G18</f>
        <v>1</v>
      </c>
      <c r="H1628">
        <f>Calc!H18</f>
        <v>1</v>
      </c>
      <c r="I1628">
        <f>IF(Skills!X18&lt;&gt;"",1+(Skills!X18/10)*(Z1613/1000)/100,1)</f>
        <v>1</v>
      </c>
      <c r="O1628">
        <f>(1-Summary!$B$11)*S1628+Summary!$B$11*U1628</f>
        <v>0</v>
      </c>
      <c r="P1628">
        <f>IF(B1651=0,0,O1628/B1651)</f>
        <v>0</v>
      </c>
      <c r="Q1628">
        <f>IFERROR(1/(IF(Inputs!$B$38="pvp",15,MAX(0.1,Skills!E18-IF(TRUE=TRUE,Inputs!$B$32,0)))*(1-IF(AND(ArtifactsInput!$M$27,Inputs!$B$4="Chapter Hunt"),CHOOSE(ArtifactsInput!$N$27+1,20,24,28,32,36,40),0)/100)),0)</f>
        <v>1.6666666666666666E-2</v>
      </c>
      <c r="R1628">
        <f>IF(AND(Inputs!$B$38&lt;&gt;"pvp",Inputs!$B$43&gt;0),IF(Inputs!$B$43&lt;=0,0,(INT(Inputs!$B$43/(IF(Inputs!$B$38="pvp",15,MAX(0.1,Skills!E18-IF(TRUE=TRUE,Inputs!$B$32,0)))*(1-IF(AND(ArtifactsInput!$M$27,Inputs!$B$4="Chapter Hunt"),CHOOSE(ArtifactsInput!$N$27+1,20,24,28,32,36,40),0)/100)))+1)),0)</f>
        <v>1</v>
      </c>
      <c r="S1628">
        <v>0</v>
      </c>
      <c r="U1628">
        <v>0</v>
      </c>
    </row>
    <row r="1629" spans="1:21" x14ac:dyDescent="0.2">
      <c r="A1629" t="str">
        <f>Skills!A19</f>
        <v>INFINITY</v>
      </c>
      <c r="B1629" t="str">
        <f>Skills!B19</f>
        <v>Infinity</v>
      </c>
      <c r="C1629" t="b">
        <f>Inputs!$B$3&gt;=110</f>
        <v>1</v>
      </c>
      <c r="D1629">
        <f>IF(Skills!C19=1,60+Inputs!$B$25+Inputs!$B$29,IF(Skills!C19=2,90+Inputs!$B$26+Inputs!$B$29,IF(Skills!C19=3,120+Inputs!$B$27+Inputs!$B$29,MAX(0,(Inputs!$B$3-100)*3)+Inputs!$B$28+Inputs!$B$29)))</f>
        <v>185</v>
      </c>
      <c r="E1629">
        <f>INDEX(FactorTable!$B$2:$Y$301, MATCH(ROUND(MIN(300,MAX(1,D1629)),0), FactorTable!$A$2:$A$301,0), Skills!M19+1)</f>
        <v>1740</v>
      </c>
      <c r="F1629">
        <f>IF(Skills!N19=TRUE,(Skills!L19/10)*(E1629/1000),Skills!L19/10)+Skills!O19</f>
        <v>37.700579999999995</v>
      </c>
      <c r="G1629">
        <f>Calc!G19</f>
        <v>1</v>
      </c>
      <c r="H1629">
        <f>Calc!H19</f>
        <v>1</v>
      </c>
      <c r="I1629">
        <f>IF(Skills!X19&lt;&gt;"",1+(Skills!X19/10)*(Z1613/1000)/100,1)</f>
        <v>1</v>
      </c>
      <c r="O1629">
        <f>(1-Summary!$B$11)*S1629+Summary!$B$11*U1629</f>
        <v>0</v>
      </c>
      <c r="P1629">
        <f>IF(B1651=0,0,O1629/B1651)</f>
        <v>0</v>
      </c>
      <c r="Q1629">
        <f>IFERROR(1/(IF(Inputs!$B$38="pvp",15,MAX(0.1,Skills!E19-IF(TRUE=TRUE,Inputs!$B$32,0)))*(1-IF(AND(ArtifactsInput!$M$27,Inputs!$B$4="Chapter Hunt"),CHOOSE(ArtifactsInput!$N$27+1,20,24,28,32,36,40),0)/100)),0)</f>
        <v>3.3333333333333333E-2</v>
      </c>
      <c r="R1629">
        <f>IF(AND(Inputs!$B$38&lt;&gt;"pvp",Inputs!$B$43&gt;0),IF(Inputs!$B$43&lt;=0,0,(INT(Inputs!$B$43/(IF(Inputs!$B$38="pvp",15,MAX(0.1,Skills!E19-IF(TRUE=TRUE,Inputs!$B$32,0)))*(1-IF(AND(ArtifactsInput!$M$27,Inputs!$B$4="Chapter Hunt"),CHOOSE(ArtifactsInput!$N$27+1,20,24,28,32,36,40),0)/100)))+1)),0)</f>
        <v>2</v>
      </c>
      <c r="S1629">
        <v>0</v>
      </c>
      <c r="U1629">
        <v>0</v>
      </c>
    </row>
    <row r="1630" spans="1:21" x14ac:dyDescent="0.2">
      <c r="A1630" t="str">
        <f>Skills!A20</f>
        <v>MAGIC_CRITICAL_RATE</v>
      </c>
      <c r="B1630" t="str">
        <f>Skills!B20</f>
        <v>Magic Critical (Crit Rate)</v>
      </c>
      <c r="C1630" t="b">
        <f>TRUE</f>
        <v>1</v>
      </c>
      <c r="D1630">
        <f>IF(Skills!C20=1,60+Inputs!$B$25+Inputs!$B$29,IF(Skills!C20=2,90+Inputs!$B$26+Inputs!$B$29,IF(Skills!C20=3,120+Inputs!$B$27+Inputs!$B$29,MAX(0,(Inputs!$B$3-100)*3)+Inputs!$B$28+Inputs!$B$29)))</f>
        <v>184</v>
      </c>
      <c r="E1630">
        <f>INDEX(FactorTable!$B$2:$Y$301, MATCH(ROUND(MIN(300,MAX(1,D1630)),0), FactorTable!$A$2:$A$301,0), Skills!M20+1)</f>
        <v>1552</v>
      </c>
      <c r="F1630">
        <f>IF(Skills!N20=TRUE,(Skills!L20/10)*(E1630/1000),Skills!L20/10)+Skills!O20</f>
        <v>12.416</v>
      </c>
      <c r="G1630">
        <f>Calc!G20</f>
        <v>1</v>
      </c>
      <c r="H1630">
        <f>Calc!H20</f>
        <v>1</v>
      </c>
      <c r="I1630">
        <f>IF(Skills!X20&lt;&gt;"",1+(Skills!X20/10)*(Z1613/1000)/100,1)</f>
        <v>1</v>
      </c>
      <c r="O1630">
        <f>(1-Summary!$B$11)*S1630+Summary!$B$11*U1630</f>
        <v>0</v>
      </c>
      <c r="P1630">
        <f>IF(B1651=0,0,O1630/B1651)</f>
        <v>0</v>
      </c>
      <c r="Q1630">
        <f>IFERROR(1/(IF(Inputs!$B$38="pvp",15,MAX(0.1,Skills!E20-IF(TRUE=TRUE,Inputs!$B$32,0)))*(1-IF(AND(ArtifactsInput!$M$27,Inputs!$B$4="Chapter Hunt"),CHOOSE(ArtifactsInput!$N$27+1,20,24,28,32,36,40),0)/100)),0)</f>
        <v>10</v>
      </c>
      <c r="R1630">
        <v>0</v>
      </c>
      <c r="S1630">
        <v>0</v>
      </c>
      <c r="U1630">
        <v>0</v>
      </c>
    </row>
    <row r="1631" spans="1:21" x14ac:dyDescent="0.2">
      <c r="A1631" t="str">
        <f>Skills!A21</f>
        <v>MAGIC_CRITICAL_DAMAGE</v>
      </c>
      <c r="B1631" t="str">
        <f>Skills!B21</f>
        <v>Magic Critical (Crit Damage)</v>
      </c>
      <c r="C1631" t="b">
        <f>TRUE</f>
        <v>1</v>
      </c>
      <c r="D1631">
        <f>IF(Skills!C21=1,60+Inputs!$B$25+Inputs!$B$29,IF(Skills!C21=2,90+Inputs!$B$26+Inputs!$B$29,IF(Skills!C21=3,120+Inputs!$B$27+Inputs!$B$29,MAX(0,(Inputs!$B$3-100)*3)+Inputs!$B$28+Inputs!$B$29)))</f>
        <v>184</v>
      </c>
      <c r="E1631">
        <f>INDEX(FactorTable!$B$2:$Y$301, MATCH(ROUND(MIN(300,MAX(1,D1631)),0), FactorTable!$A$2:$A$301,0), Skills!M21+1)</f>
        <v>1552</v>
      </c>
      <c r="F1631">
        <f>IF(Skills!N21=TRUE,(Skills!L21/10)*(E1631/1000),Skills!L21/10)+Skills!O21</f>
        <v>18.624000000000002</v>
      </c>
      <c r="G1631">
        <f>Calc!G21</f>
        <v>1</v>
      </c>
      <c r="H1631">
        <f>Calc!H21</f>
        <v>1</v>
      </c>
      <c r="I1631">
        <f>IF(Skills!X21&lt;&gt;"",1+(Skills!X21/10)*(Z1613/1000)/100,1)</f>
        <v>1</v>
      </c>
      <c r="O1631">
        <f>(1-Summary!$B$11)*S1631+Summary!$B$11*U1631</f>
        <v>0</v>
      </c>
      <c r="P1631">
        <f>IF(B1651=0,0,O1631/B1651)</f>
        <v>0</v>
      </c>
      <c r="Q1631">
        <f>IFERROR(1/(IF(Inputs!$B$38="pvp",15,MAX(0.1,Skills!E21-IF(TRUE=TRUE,Inputs!$B$32,0)))*(1-IF(AND(ArtifactsInput!$M$27,Inputs!$B$4="Chapter Hunt"),CHOOSE(ArtifactsInput!$N$27+1,20,24,28,32,36,40),0)/100)),0)</f>
        <v>10</v>
      </c>
      <c r="R1631">
        <v>0</v>
      </c>
      <c r="S1631">
        <v>0</v>
      </c>
      <c r="U1631">
        <v>0</v>
      </c>
    </row>
    <row r="1632" spans="1:21" x14ac:dyDescent="0.2">
      <c r="A1632" t="str">
        <f>Skills!A22</f>
        <v>SPELL_MASTERY</v>
      </c>
      <c r="B1632" t="str">
        <f>Skills!B22</f>
        <v>Spell Mastery</v>
      </c>
      <c r="C1632" t="b">
        <f>TRUE</f>
        <v>1</v>
      </c>
      <c r="D1632">
        <f>IF(Skills!C22=1,60+Inputs!$B$25+Inputs!$B$29,IF(Skills!C22=2,90+Inputs!$B$26+Inputs!$B$29,IF(Skills!C22=3,120+Inputs!$B$27+Inputs!$B$29,MAX(0,(Inputs!$B$3-100)*3)+Inputs!$B$28+Inputs!$B$29)))</f>
        <v>168</v>
      </c>
      <c r="E1632">
        <f>INDEX(FactorTable!$B$2:$Y$301, MATCH(ROUND(MIN(300,MAX(1,D1632)),0), FactorTable!$A$2:$A$301,0), Skills!M22+1)</f>
        <v>1504</v>
      </c>
      <c r="F1632">
        <f>IF(Skills!N22=TRUE,(Skills!L22/10)*(E1632/1000),Skills!L22/10)+Skills!O22</f>
        <v>22.56</v>
      </c>
      <c r="G1632">
        <f>Calc!G22</f>
        <v>1</v>
      </c>
      <c r="H1632">
        <f>Calc!H22</f>
        <v>1</v>
      </c>
      <c r="I1632">
        <f>IF(Skills!X22&lt;&gt;"",1+(Skills!X22/10)*(Z1613/1000)/100,1)</f>
        <v>1</v>
      </c>
      <c r="O1632">
        <f>(1-Summary!$B$11)*S1632+Summary!$B$11*U1632</f>
        <v>0</v>
      </c>
      <c r="P1632">
        <f>IF(B1651=0,0,O1632/B1651)</f>
        <v>0</v>
      </c>
      <c r="Q1632">
        <f>IFERROR(1/(IF(Inputs!$B$38="pvp",15,MAX(0.1,Skills!E22-IF(TRUE=TRUE,Inputs!$B$32,0)))*(1-IF(AND(ArtifactsInput!$M$27,Inputs!$B$4="Chapter Hunt"),CHOOSE(ArtifactsInput!$N$27+1,20,24,28,32,36,40),0)/100)),0)</f>
        <v>10</v>
      </c>
      <c r="R1632">
        <v>0</v>
      </c>
      <c r="S1632">
        <v>0</v>
      </c>
      <c r="U1632">
        <v>0</v>
      </c>
    </row>
    <row r="1633" spans="1:21" x14ac:dyDescent="0.2">
      <c r="A1633" t="str">
        <f>Skills!A23</f>
        <v>ELEMENT_AMPLIFICATION</v>
      </c>
      <c r="B1633" t="str">
        <f>Skills!B23</f>
        <v>Element Amplification</v>
      </c>
      <c r="C1633" t="b">
        <f>TRUE</f>
        <v>1</v>
      </c>
      <c r="D1633">
        <f>IF(Skills!C23=1,60+Inputs!$B$25+Inputs!$B$29,IF(Skills!C23=2,90+Inputs!$B$26+Inputs!$B$29,IF(Skills!C23=3,120+Inputs!$B$27+Inputs!$B$29,MAX(0,(Inputs!$B$3-100)*3)+Inputs!$B$28+Inputs!$B$29)))</f>
        <v>185</v>
      </c>
      <c r="E1633">
        <f>INDEX(FactorTable!$B$2:$Y$301, MATCH(ROUND(MIN(300,MAX(1,D1633)),0), FactorTable!$A$2:$A$301,0), Skills!M23+1)</f>
        <v>1555</v>
      </c>
      <c r="F1633">
        <f>IF(Skills!N23=TRUE,(Skills!L23/10)*(E1633/1000),Skills!L23/10)+Skills!O23</f>
        <v>23.324999999999999</v>
      </c>
      <c r="G1633">
        <f>Calc!G23</f>
        <v>1</v>
      </c>
      <c r="H1633">
        <f>Calc!H23</f>
        <v>1</v>
      </c>
      <c r="I1633">
        <f>IF(Skills!X23&lt;&gt;"",1+(Skills!X23/10)*(Z1613/1000)/100,1)</f>
        <v>1</v>
      </c>
      <c r="O1633">
        <f>(1-Summary!$B$11)*S1633+Summary!$B$11*U1633</f>
        <v>0</v>
      </c>
      <c r="P1633">
        <f>IF(B1651=0,0,O1633/B1651)</f>
        <v>0</v>
      </c>
      <c r="Q1633">
        <f>IFERROR(1/(IF(Inputs!$B$38="pvp",15,MAX(0.1,Skills!E23-IF(TRUE=TRUE,Inputs!$B$32,0)))*(1-IF(AND(ArtifactsInput!$M$27,Inputs!$B$4="Chapter Hunt"),CHOOSE(ArtifactsInput!$N$27+1,20,24,28,32,36,40),0)/100)),0)</f>
        <v>10</v>
      </c>
      <c r="R1633">
        <v>0</v>
      </c>
      <c r="S1633">
        <v>0</v>
      </c>
      <c r="U1633">
        <v>0</v>
      </c>
    </row>
    <row r="1634" spans="1:21" x14ac:dyDescent="0.2">
      <c r="A1634" t="str">
        <f>Skills!A24</f>
        <v>IFRIT</v>
      </c>
      <c r="B1634" t="str">
        <f>Skills!B24</f>
        <v>Ifrit</v>
      </c>
      <c r="C1634" t="b">
        <f>Inputs!$B$3&gt;=115</f>
        <v>1</v>
      </c>
      <c r="D1634">
        <f>IF(Skills!C24=1,60+Inputs!$B$25+Inputs!$B$29,IF(Skills!C24=2,90+Inputs!$B$26+Inputs!$B$29,IF(Skills!C24=3,120+Inputs!$B$27+Inputs!$B$29,MAX(0,(Inputs!$B$3-100)*3)+Inputs!$B$28+Inputs!$B$29)))</f>
        <v>185</v>
      </c>
      <c r="E1634">
        <f>INDEX(FactorTable!$B$2:$Y$301, MATCH(ROUND(MIN(300,MAX(1,D1634)),0), FactorTable!$A$2:$A$301,0), Skills!M24+1)</f>
        <v>1925</v>
      </c>
      <c r="F1634">
        <f>IF(Skills!N24=TRUE,(Skills!L24/10)*(E1634/1000),Skills!L24/10)+Skills!O24</f>
        <v>6737.5</v>
      </c>
      <c r="G1634">
        <f>Calc!G24</f>
        <v>7.5</v>
      </c>
      <c r="H1634">
        <f>Calc!H24</f>
        <v>1</v>
      </c>
      <c r="I1634">
        <f>IF(Skills!X24&lt;&gt;"",1+(Skills!X24/10)*(Z1613/1000)/100,1)</f>
        <v>1</v>
      </c>
      <c r="J1634">
        <f>((Inputs!$B$6*(1+Inputs!$B$7/100))+(((Inputs!$B$12*(1+Inputs!$B$13/100))-(Inputs!$B$12*(1+Inputs!$B$13/100)))+0.25*(Inputs!$B$14-Inputs!$B$14))*(1+Inputs!$B$7/100))*(F1634/100)</f>
        <v>24331438378.718628</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122258974288595.61</v>
      </c>
      <c r="L1634">
        <f>K1634*(MIN(Inputs!$B$22+(F1632-Calc!F22),(Inputs!$B$23+(IF(ArtifactsInput!$M$15,CHOOSE(ArtifactsInput!$N$15+1,25,30,35,40,45,50)/100*(Inputs!$B$11-Inputs!$B$11),0))))/100+(Inputs!$B$23+(IF(ArtifactsInput!$M$15,CHOOSE(ArtifactsInput!$N$15+1,25,30,35,40,45,50)/100*(Inputs!$B$11-Inputs!$B$11),0)))/100)/2</f>
        <v>406511089509580.44</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634">
        <f>L1634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634">
        <f>(1-Summary!$B$11)*S1634+Summary!$B$11*U1634</f>
        <v>2194085169658842.8</v>
      </c>
      <c r="P1634">
        <f>IF(B1651=0,0,O1634/B1651)</f>
        <v>6.6312914553869617E-2</v>
      </c>
      <c r="Q1634">
        <f>IFERROR(1/(IF(Inputs!$B$38="pvp",15,MAX(0.1,Skills!E24-IF(TRUE=TRUE,Inputs!$B$32,0)))*(1-IF(AND(ArtifactsInput!$M$27,Inputs!$B$4="Chapter Hunt"),CHOOSE(ArtifactsInput!$N$27+1,20,24,28,32,36,40),0)/100)),0)</f>
        <v>1.2500000000000001E-2</v>
      </c>
      <c r="R1634">
        <f>IF(AND(Inputs!$B$38&lt;&gt;"pvp",Inputs!$B$43&gt;0),IF(MAX(0,Inputs!$B$43-B1648)&lt;=0,0,(INT(MAX(0,Inputs!$B$43-B1648)/(IF(Inputs!$B$38="pvp",15,MAX(0.1,Skills!E24-IF(TRUE=TRUE,Inputs!$B$32,0)))*(1-IF(AND(ArtifactsInput!$M$27,Inputs!$B$4="Chapter Hunt"),CHOOSE(ArtifactsInput!$N$27+1,20,24,28,32,36,40),0)/100)))+1)),0)</f>
        <v>1</v>
      </c>
      <c r="S1634">
        <f>IF(C1634,(H1634*N1634*IF(AND(Inputs!$B$38&lt;&gt;"pvp",Inputs!$B$43&gt;0),((Skills!G24*((R1634-1)*IF(Skills!H24&gt;0,Skills!I24/Skills!H24,1)+IF(Skills!H24&gt;0,MIN(Skills!I24,MAX(0,MAX(0,Inputs!$B$43-B1648)-((R1634-1)*(IF(Inputs!$B$38="pvp",15,MAX(0.1,Skills!E24-IF(TRUE=TRUE,Inputs!$B$32,0)))*(1-IF(AND(ArtifactsInput!$M$27,Inputs!$B$4="Chapter Hunt"),CHOOSE(ArtifactsInput!$N$27+1,20,24,28,32,36,40),0)/100)))))/Skills!H24,1)))/Inputs!$B$43),G1634*Q1634)*(1+IF(Inputs!$B$3&gt;=130,0.2*(Skills!I16/(1/Q1625)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634">
        <f>IF(C1634,(H1634*N1634*IF(AND(Inputs!$B$38&lt;&gt;"pvp",Inputs!$B$43&gt;0),((Skills!G24*((R1634-1)*IF(Skills!H24&gt;0,Skills!I24/Skills!H24,1)+IF(Skills!H24&gt;0,MIN(Skills!I24,MAX(0,MAX(0,Inputs!$B$43-B1648)-((R1634-1)*(IF(Inputs!$B$38="pvp",15,MAX(0.1,Skills!E24-IF(TRUE=TRUE,Inputs!$B$32,0)))*(1-IF(AND(ArtifactsInput!$M$27,Inputs!$B$4="Chapter Hunt"),CHOOSE(ArtifactsInput!$N$27+1,20,24,28,32,36,40),0)/100)))))/Skills!H24,1)))/Inputs!$B$43),G1634*Q1634)*(1+IF(Inputs!$B$3&gt;=130,0.2*(Skills!I16/(1/Q1625)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635" spans="1:21" x14ac:dyDescent="0.2">
      <c r="A1635" t="str">
        <f>Skills!A25</f>
        <v>BUFF_MASTERY</v>
      </c>
      <c r="B1635" t="str">
        <f>Skills!B25</f>
        <v>Buff Mastery</v>
      </c>
      <c r="C1635" t="b">
        <f>Inputs!$B$3&gt;=117</f>
        <v>1</v>
      </c>
      <c r="D1635">
        <f>IF(Skills!C25=1,60+Inputs!$B$25+Inputs!$B$29,IF(Skills!C25=2,90+Inputs!$B$26+Inputs!$B$29,IF(Skills!C25=3,120+Inputs!$B$27+Inputs!$B$29,MAX(0,(Inputs!$B$3-100)*3)+Inputs!$B$28+Inputs!$B$29)))</f>
        <v>185</v>
      </c>
      <c r="E1635">
        <f>INDEX(FactorTable!$B$2:$Y$301, MATCH(ROUND(MIN(300,MAX(1,D1635)),0), FactorTable!$A$2:$A$301,0), Skills!M25+1)</f>
        <v>1555</v>
      </c>
      <c r="F1635">
        <f>IF(Skills!N25=TRUE,(Skills!L25/10)*(E1635/1000),Skills!L25/10)+Skills!O25</f>
        <v>15.549999999999999</v>
      </c>
      <c r="G1635">
        <f>Calc!G25</f>
        <v>1</v>
      </c>
      <c r="H1635">
        <f>Calc!H25</f>
        <v>1</v>
      </c>
      <c r="I1635">
        <f>IF(Skills!X25&lt;&gt;"",1+(Skills!X25/10)*(Z1613/1000)/100,1)</f>
        <v>1</v>
      </c>
      <c r="O1635">
        <f>(1-Summary!$B$11)*S1635+Summary!$B$11*U1635</f>
        <v>0</v>
      </c>
      <c r="P1635">
        <f>IF(B1651=0,0,O1635/B1651)</f>
        <v>0</v>
      </c>
      <c r="Q1635">
        <f>IFERROR(1/(IF(Inputs!$B$38="pvp",15,MAX(0.1,Skills!E25-IF(TRUE=TRUE,Inputs!$B$32,0)))*(1-IF(AND(ArtifactsInput!$M$27,Inputs!$B$4="Chapter Hunt"),CHOOSE(ArtifactsInput!$N$27+1,20,24,28,32,36,40),0)/100)),0)</f>
        <v>10</v>
      </c>
      <c r="R1635">
        <v>0</v>
      </c>
      <c r="S1635">
        <v>0</v>
      </c>
      <c r="U1635">
        <v>0</v>
      </c>
    </row>
    <row r="1636" spans="1:21" x14ac:dyDescent="0.2">
      <c r="A1636" t="str">
        <f>Skills!A26</f>
        <v>ARCANE_AIM</v>
      </c>
      <c r="B1636" t="str">
        <f>Skills!B26</f>
        <v>Arcane Aim</v>
      </c>
      <c r="C1636" t="b">
        <f>Inputs!$B$3&gt;=120</f>
        <v>0</v>
      </c>
      <c r="D1636">
        <f>IF(Skills!C26=1,60+Inputs!$B$25+Inputs!$B$29,IF(Skills!C26=2,90+Inputs!$B$26+Inputs!$B$29,IF(Skills!C26=3,120+Inputs!$B$27+Inputs!$B$29,MAX(0,(Inputs!$B$3-100)*3)+Inputs!$B$28+Inputs!$B$29)))</f>
        <v>185</v>
      </c>
      <c r="E1636">
        <f>INDEX(FactorTable!$B$2:$Y$301, MATCH(ROUND(MIN(300,MAX(1,D1636)),0), FactorTable!$A$2:$A$301,0), Skills!M26+1)</f>
        <v>1555</v>
      </c>
      <c r="F1636">
        <f>IF(Skills!N26=TRUE,(Skills!L26/10)*(E1636/1000),Skills!L26/10)+Skills!O26</f>
        <v>4.665</v>
      </c>
      <c r="G1636">
        <f>Calc!G26</f>
        <v>1</v>
      </c>
      <c r="H1636">
        <f>Calc!H26</f>
        <v>1</v>
      </c>
      <c r="I1636">
        <f>IF(Skills!X26&lt;&gt;"",1+(Skills!X26/10)*(Z1613/1000)/100,1)</f>
        <v>1</v>
      </c>
      <c r="O1636">
        <f>(1-Summary!$B$11)*S1636+Summary!$B$11*U1636</f>
        <v>0</v>
      </c>
      <c r="P1636">
        <f>IF(B1651=0,0,O1636/B1651)</f>
        <v>0</v>
      </c>
      <c r="Q1636">
        <f>IFERROR(1/(IF(Inputs!$B$38="pvp",15,MAX(0.1,Skills!E26-IF(TRUE=TRUE,Inputs!$B$32,0)))*(1-IF(AND(ArtifactsInput!$M$27,Inputs!$B$4="Chapter Hunt"),CHOOSE(ArtifactsInput!$N$27+1,20,24,28,32,36,40),0)/100)),0)</f>
        <v>10</v>
      </c>
      <c r="R1636">
        <v>0</v>
      </c>
      <c r="S1636">
        <v>0</v>
      </c>
      <c r="U1636">
        <v>0</v>
      </c>
    </row>
    <row r="1637" spans="1:21" x14ac:dyDescent="0.2">
      <c r="A1637" t="str">
        <f>Skills!A27</f>
        <v>FERVENT_DRAIN</v>
      </c>
      <c r="B1637" t="str">
        <f>Skills!B27</f>
        <v>Fervent Drain</v>
      </c>
      <c r="C1637" t="b">
        <f>Inputs!$B$3&gt;=125</f>
        <v>0</v>
      </c>
      <c r="D1637">
        <f>IF(Skills!C27=1,60+Inputs!$B$25+Inputs!$B$29,IF(Skills!C27=2,90+Inputs!$B$26+Inputs!$B$29,IF(Skills!C27=3,120+Inputs!$B$27+Inputs!$B$29,MAX(0,(Inputs!$B$3-100)*3)+Inputs!$B$28+Inputs!$B$29)))</f>
        <v>185</v>
      </c>
      <c r="E1637">
        <f>INDEX(FactorTable!$B$2:$Y$301, MATCH(ROUND(MIN(300,MAX(1,D1637)),0), FactorTable!$A$2:$A$301,0), Skills!M27+1)</f>
        <v>1555</v>
      </c>
      <c r="F1637">
        <f>IF(Skills!N27=TRUE,(Skills!L27/10)*(E1637/1000),Skills!L27/10)+Skills!O27</f>
        <v>6.22</v>
      </c>
      <c r="G1637">
        <f>Calc!G27</f>
        <v>1</v>
      </c>
      <c r="H1637">
        <f>Calc!H27</f>
        <v>1</v>
      </c>
      <c r="I1637">
        <f>IF(Skills!X27&lt;&gt;"",1+(Skills!X27/10)*(Z1613/1000)/100,1)</f>
        <v>1</v>
      </c>
      <c r="O1637">
        <f>(1-Summary!$B$11)*S1637+Summary!$B$11*U1637</f>
        <v>0</v>
      </c>
      <c r="P1637">
        <f>IF(B1651=0,0,O1637/B1651)</f>
        <v>0</v>
      </c>
      <c r="Q1637">
        <f>IFERROR(1/(IF(Inputs!$B$38="pvp",15,MAX(0.1,Skills!E27-IF(TRUE=TRUE,Inputs!$B$32,0)))*(1-IF(AND(ArtifactsInput!$M$27,Inputs!$B$4="Chapter Hunt"),CHOOSE(ArtifactsInput!$N$27+1,20,24,28,32,36,40),0)/100)),0)</f>
        <v>10</v>
      </c>
      <c r="R1637">
        <v>0</v>
      </c>
      <c r="S1637">
        <v>0</v>
      </c>
      <c r="U1637">
        <v>0</v>
      </c>
    </row>
    <row r="1638" spans="1:21" x14ac:dyDescent="0.2">
      <c r="A1638" t="str">
        <f>Skills!A28</f>
        <v>FLAME_HAZE_FOG</v>
      </c>
      <c r="B1638" t="str">
        <f>Skills!B28</f>
        <v>Flame Haze (poison fog DoT)</v>
      </c>
      <c r="C1638" t="b">
        <f>Inputs!$B$3&gt;=118</f>
        <v>0</v>
      </c>
      <c r="D1638">
        <f>IF(Skills!C28=1,60+Inputs!$B$25+Inputs!$B$29,IF(Skills!C28=2,90+Inputs!$B$26+Inputs!$B$29,IF(Skills!C28=3,120+Inputs!$B$27+Inputs!$B$29,MAX(0,(Inputs!$B$3-100)*3)+Inputs!$B$28+Inputs!$B$29)))</f>
        <v>185</v>
      </c>
      <c r="E1638">
        <f>INDEX(FactorTable!$B$2:$Y$301, MATCH(ROUND(MIN(300,MAX(1,D1638)),0), FactorTable!$A$2:$A$301,0), Skills!M28+1)</f>
        <v>1925</v>
      </c>
      <c r="F1638">
        <f>IF(Skills!N28=TRUE,(Skills!L28/10)*(E1638/1000),Skills!L28/10)+Skills!O28</f>
        <v>134.75</v>
      </c>
      <c r="G1638">
        <f>Calc!G28</f>
        <v>50</v>
      </c>
      <c r="H1638">
        <f>Calc!H28</f>
        <v>1</v>
      </c>
      <c r="I1638">
        <f>IF(Skills!X28&lt;&gt;"",1+(Skills!X28/10)*(Z1613/1000)/100,1)</f>
        <v>1</v>
      </c>
      <c r="J1638">
        <f>((Inputs!$B$6*(1+Inputs!$B$7/100))+(((Inputs!$B$12*(1+Inputs!$B$13/100))-(Inputs!$B$12*(1+Inputs!$B$13/100)))+0.25*(Inputs!$B$14-Inputs!$B$14))*(1+Inputs!$B$7/100))*(F1638/100)</f>
        <v>486628767.57437253</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2445179485771.9116</v>
      </c>
      <c r="L1638">
        <f>K1638*(MIN(Inputs!$B$22+(F1632-Calc!F22),(Inputs!$B$23+(IF(ArtifactsInput!$M$15,CHOOSE(ArtifactsInput!$N$15+1,25,30,35,40,45,50)/100*(Inputs!$B$11-Inputs!$B$11),0))))/100+(Inputs!$B$23+(IF(ArtifactsInput!$M$15,CHOOSE(ArtifactsInput!$N$15+1,25,30,35,40,45,50)/100*(Inputs!$B$11-Inputs!$B$11),0)))/100)/2</f>
        <v>8130221790191.6064</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638">
        <f>L1638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638">
        <f>(1-Summary!$B$11)*S1638+Summary!$B$11*U1638</f>
        <v>0</v>
      </c>
      <c r="P1638">
        <f>IF(B1651=0,0,O1638/B1651)</f>
        <v>0</v>
      </c>
      <c r="Q1638">
        <f>IFERROR(1/(IF(Inputs!$B$38="pvp",15,MAX(0.1,Skills!E28-IF(TRUE=TRUE,Inputs!$B$32,0)))*(1-IF(AND(ArtifactsInput!$M$27,Inputs!$B$4="Chapter Hunt"),CHOOSE(ArtifactsInput!$N$27+1,20,24,28,32,36,40),0)/100)),0)</f>
        <v>0.04</v>
      </c>
      <c r="R1638">
        <f>IF(AND(Inputs!$B$38&lt;&gt;"pvp",Inputs!$B$43&gt;0),IF(MAX(0,Inputs!$B$43-B1648)&lt;=0,0,(INT(MAX(0,Inputs!$B$43-B1648)/(IF(Inputs!$B$38="pvp",15,MAX(0.1,Skills!E28-IF(TRUE=TRUE,Inputs!$B$32,0)))*(1-IF(AND(ArtifactsInput!$M$27,Inputs!$B$4="Chapter Hunt"),CHOOSE(ArtifactsInput!$N$27+1,20,24,28,32,36,40),0)/100)))+1)),0)</f>
        <v>2</v>
      </c>
      <c r="S1638">
        <f>IF(C1638,(H1638*N1638*IF(AND(Inputs!$B$38&lt;&gt;"pvp",Inputs!$B$43&gt;0),((Skills!G28*((R1638-1)*IF(Skills!H28&gt;0,Skills!I28/Skills!H28,1)+IF(Skills!H28&gt;0,MIN(Skills!I28,MAX(0,MAX(0,Inputs!$B$43-B1648)-((R1638-1)*(IF(Inputs!$B$38="pvp",15,MAX(0.1,Skills!E28-IF(TRUE=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638">
        <f>IF(C1638,(H1638*N1638*IF(AND(Inputs!$B$38&lt;&gt;"pvp",Inputs!$B$43&gt;0),((Skills!G28*((R1638-1)*IF(Skills!H28&gt;0,Skills!I28/Skills!H28,1)+IF(Skills!H28&gt;0,MIN(Skills!I28,MAX(0,MAX(0,Inputs!$B$43-B1648)-((R1638-1)*(IF(Inputs!$B$38="pvp",15,MAX(0.1,Skills!E28-IF(TRUE=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640" spans="1:21" x14ac:dyDescent="0.2">
      <c r="A1640" t="s">
        <v>356</v>
      </c>
      <c r="B1640">
        <f>1+(F1621*Skills!Z11)/100</f>
        <v>1.25</v>
      </c>
    </row>
    <row r="1641" spans="1:21" x14ac:dyDescent="0.2">
      <c r="A1641" t="s">
        <v>435</v>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1.18624</v>
      </c>
    </row>
    <row r="1642" spans="1:21" x14ac:dyDescent="0.2">
      <c r="A1642" t="s">
        <v>358</v>
      </c>
      <c r="B1642">
        <f>(1+(F1616*IF(AND(Inputs!$B$38&lt;&gt;"pvp",Inputs!$B$43&gt;0),(((R1616-1)*MIN((Skills!T6*(1+((Inputs!$B$34+(ArtifactsInput!$M$7-ArtifactsInput!$M$7)*CHOOSE(ArtifactsInput!$N$7+1,6,7.2,8.4,9.6,10.8,12)))/100)),(1/Q1616))+MIN((Skills!T6*(1+((Inputs!$B$34+(ArtifactsInput!$M$7-ArtifactsInput!$M$7)*CHOOSE(ArtifactsInput!$N$7+1,6,7.2,8.4,9.6,10.8,12)))/100)),MAX(0,Inputs!$B$43-((R1616-1)*(1/Q1616)))))/Inputs!$B$43),IF(Inputs!$B$38="pvp",MIN((Skills!T6*(1+((Inputs!$B$34+(ArtifactsInput!$M$7-ArtifactsInput!$M$7)*CHOOSE(ArtifactsInput!$N$7+1,6,7.2,8.4,9.6,10.8,12)))/100)),15)/15,MIN(1,(Skills!T6*(1+((Inputs!$B$34+(ArtifactsInput!$M$7-ArtifactsInput!$M$7)*CHOOSE(ArtifactsInput!$N$7+1,6,7.2,8.4,9.6,10.8,12)))/100))/(1/Q1616))))+F1627*IF(AND(Inputs!$B$38&lt;&gt;"pvp",Inputs!$B$43&gt;0),(((R1627-1)*MIN((Skills!T17*(1+((Inputs!$B$34+(ArtifactsInput!$M$7-ArtifactsInput!$M$7)*CHOOSE(ArtifactsInput!$N$7+1,6,7.2,8.4,9.6,10.8,12)))/100)),(1/Q1627))+MIN((Skills!T17*(1+((Inputs!$B$34+(ArtifactsInput!$M$7-ArtifactsInput!$M$7)*CHOOSE(ArtifactsInput!$N$7+1,6,7.2,8.4,9.6,10.8,12)))/100)),MAX(0,Inputs!$B$43-((R1627-1)*(1/Q1627)))))/Inputs!$B$43),IF(Inputs!$B$38="pvp",MIN((Skills!T17*(1+((Inputs!$B$34+(ArtifactsInput!$M$7-ArtifactsInput!$M$7)*CHOOSE(ArtifactsInput!$N$7+1,6,7.2,8.4,9.6,10.8,12)))/100)),15)/15,MIN(1,(Skills!T17*(1+((Inputs!$B$34+(ArtifactsInput!$M$7-ArtifactsInput!$M$7)*CHOOSE(ArtifactsInput!$N$7+1,6,7.2,8.4,9.6,10.8,12)))/100))/(1/Q1627)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MIN((Skills!T19*(1+((Inputs!$B$34+(ArtifactsInput!$M$7-ArtifactsInput!$M$7)*CHOOSE(ArtifactsInput!$N$7+1,6,7.2,8.4,9.6,10.8,12)))/100)),(1/Q1629))+MIN((Skills!T19*(1+((Inputs!$B$34+(ArtifactsInput!$M$7-ArtifactsInput!$M$7)*CHOOSE(ArtifactsInput!$N$7+1,6,7.2,8.4,9.6,10.8,12)))/100)),MAX(0,Inputs!$B$43-((R1629-1)*(1/Q1629)))))/Inputs!$B$43),IF(Inputs!$B$38="pvp",MIN((Skills!T19*(1+((Inputs!$B$34+(ArtifactsInput!$M$7-ArtifactsInput!$M$7)*CHOOSE(ArtifactsInput!$N$7+1,6,7.2,8.4,9.6,10.8,12)))/100)),15)/15,MIN(1,(Skills!T19*(1+((Inputs!$B$34+(ArtifactsInput!$M$7-ArtifactsInput!$M$7)*CHOOSE(ArtifactsInput!$N$7+1,6,7.2,8.4,9.6,10.8,12)))/100))/(1/Q1629))))/100),1)</f>
        <v>1.7965808377980694</v>
      </c>
    </row>
    <row r="1643" spans="1:21" x14ac:dyDescent="0.2">
      <c r="A1643" t="s">
        <v>359</v>
      </c>
      <c r="B1643">
        <f>F1628*IF(AND(Inputs!$B$38&lt;&gt;"pvp",Inputs!$B$43&gt;0),(((R1628-1)*MIN((Skills!T18*(1+((Inputs!$B$34+(ArtifactsInput!$M$7-ArtifactsInput!$M$7)*CHOOSE(ArtifactsInput!$N$7+1,6,7.2,8.4,9.6,10.8,12)))/100)),(1/Q1628))+MIN((Skills!T18*(1+((Inputs!$B$34+(ArtifactsInput!$M$7-ArtifactsInput!$M$7)*CHOOSE(ArtifactsInput!$N$7+1,6,7.2,8.4,9.6,10.8,12)))/100)),MAX(0,Inputs!$B$43-((R1628-1)*(1/Q1628)))))/Inputs!$B$43),IF(Inputs!$B$38="pvp",MIN((Skills!T18*(1+((Inputs!$B$34+(ArtifactsInput!$M$7-ArtifactsInput!$M$7)*CHOOSE(ArtifactsInput!$N$7+1,6,7.2,8.4,9.6,10.8,12)))/100)),15)/15,MIN(1,(Skills!T18*(1+((Inputs!$B$34+(ArtifactsInput!$M$7-ArtifactsInput!$M$7)*CHOOSE(ArtifactsInput!$N$7+1,6,7.2,8.4,9.6,10.8,12)))/100))/(1/Q1628))))</f>
        <v>6.4968749999999993</v>
      </c>
    </row>
    <row r="1644" spans="1:21" x14ac:dyDescent="0.2">
      <c r="A1644" t="s">
        <v>436</v>
      </c>
      <c r="B1644">
        <f>1+MIN(150,150*(1-(1-(Inputs!$B$11+(ArtifactsInput!$M$15-ArtifactsInput!$M$15)*CHOOSE(ArtifactsInput!$N$15+1,8,9.6,11.2,12.8,14.4,16))/150)*(1-B1643/150)))/100</f>
        <v>1.6982958749999999</v>
      </c>
    </row>
    <row r="1645" spans="1:21" x14ac:dyDescent="0.2">
      <c r="A1645" t="s">
        <v>437</v>
      </c>
      <c r="B1645">
        <f>IF(AND(Inputs!$B$38&lt;&gt;"pvp",Inputs!$B$43&gt;0),SUMPRODUCT((Skills!F2:F28=TRUE)*(C1612:C1638=TRUE)*R1612:R1638)/Inputs!$B$43,SUMPRODUCT((Skills!F2:F28=TRUE)*(C1612:C1638=TRUE)*Q1612:Q1638))</f>
        <v>0.47499999999999998</v>
      </c>
    </row>
    <row r="1646" spans="1:21" x14ac:dyDescent="0.2">
      <c r="A1646" t="s">
        <v>362</v>
      </c>
      <c r="B1646">
        <f>MAX(0,B1644-B1645)</f>
        <v>1.2232958749999998</v>
      </c>
    </row>
    <row r="1647" spans="1:21" x14ac:dyDescent="0.2">
      <c r="A1647" t="s">
        <v>438</v>
      </c>
      <c r="B1647">
        <f>IF(AND(Inputs!$B$38&lt;&gt;"pvp",Inputs!$B$43&gt;0),SUMPRODUCT((Skills!V2:V28=TRUE)*(C1612:C1638=TRUE)*R1612:R1638*Skills!W2:W28)/Inputs!$B$43,SUMPRODUCT((Skills!V2:V28=TRUE)*(C1612:C1638=TRUE)*Q1612:Q1638*Skills!W2:W28))+B1646</f>
        <v>1.5482958749999998</v>
      </c>
    </row>
    <row r="1648" spans="1:21" x14ac:dyDescent="0.2">
      <c r="A1648" t="s">
        <v>439</v>
      </c>
      <c r="B1648">
        <f>IF(AND(Inputs!$B$38&lt;&gt;"pvp",Inputs!$B$43&gt;0),SUMPRODUCT((Skills!T2:T28&gt;0)*(Skills!F2:F28=TRUE)*(C1612:C1638=TRUE))/B1644,0)</f>
        <v>2.3553021937358238</v>
      </c>
    </row>
    <row r="1649" spans="1:26" x14ac:dyDescent="0.2">
      <c r="A1649" t="s">
        <v>440</v>
      </c>
      <c r="B1649">
        <f>SUM(S1612:S1638)</f>
        <v>9517263078933292</v>
      </c>
    </row>
    <row r="1650" spans="1:26" x14ac:dyDescent="0.2">
      <c r="A1650" t="s">
        <v>441</v>
      </c>
      <c r="B1650">
        <f>SUM(U1612:U1638)</f>
        <v>5.6656428257660488E+16</v>
      </c>
    </row>
    <row r="1651" spans="1:26" x14ac:dyDescent="0.2">
      <c r="A1651" s="6" t="s">
        <v>348</v>
      </c>
      <c r="B1651" s="6">
        <f>SUM(O1612:O1638)</f>
        <v>3.3086845668296892E+16</v>
      </c>
    </row>
    <row r="1654" spans="1:26" x14ac:dyDescent="0.2">
      <c r="A1654" s="6" t="s">
        <v>477</v>
      </c>
    </row>
    <row r="1655" spans="1:26" x14ac:dyDescent="0.2">
      <c r="A1655" s="5" t="s">
        <v>136</v>
      </c>
      <c r="B1655" s="5" t="s">
        <v>137</v>
      </c>
      <c r="C1655" s="5" t="s">
        <v>328</v>
      </c>
      <c r="D1655" s="5" t="s">
        <v>329</v>
      </c>
      <c r="E1655" s="5" t="s">
        <v>330</v>
      </c>
      <c r="F1655" s="5" t="s">
        <v>331</v>
      </c>
      <c r="G1655" s="5" t="s">
        <v>332</v>
      </c>
      <c r="H1655" s="5" t="s">
        <v>333</v>
      </c>
      <c r="I1655" s="5" t="s">
        <v>334</v>
      </c>
      <c r="J1655" s="5" t="s">
        <v>335</v>
      </c>
      <c r="K1655" s="5" t="s">
        <v>336</v>
      </c>
      <c r="L1655" s="5" t="s">
        <v>337</v>
      </c>
      <c r="M1655" s="5" t="s">
        <v>338</v>
      </c>
      <c r="N1655" s="5" t="s">
        <v>339</v>
      </c>
      <c r="O1655" s="5" t="s">
        <v>340</v>
      </c>
      <c r="P1655" s="5" t="s">
        <v>341</v>
      </c>
      <c r="R1655" t="s">
        <v>434</v>
      </c>
    </row>
    <row r="1656" spans="1:26" x14ac:dyDescent="0.2">
      <c r="A1656" t="str">
        <f>Skills!A2</f>
        <v>BASIC_ATTACK</v>
      </c>
      <c r="B1656" t="str">
        <f>Skills!B2</f>
        <v>Basic Attack</v>
      </c>
      <c r="C1656" t="b">
        <f>TRUE</f>
        <v>1</v>
      </c>
      <c r="F1656">
        <f>T1658+Skills!O2</f>
        <v>537.6</v>
      </c>
      <c r="G1656">
        <f>Calc!G2</f>
        <v>5</v>
      </c>
      <c r="H1656">
        <f>Calc!H2</f>
        <v>1</v>
      </c>
      <c r="I1656">
        <f>IF(Skills!X2&lt;&gt;"",1+(Skills!X2/10)*(Z1657/1000)/100,1)</f>
        <v>1</v>
      </c>
      <c r="J1656">
        <f>((Inputs!$B$6*(1+Inputs!$B$7/100))+(((Inputs!$B$12*(1+Inputs!$B$13/100))-(Inputs!$B$12*(1+Inputs!$B$13/100)))+0.25*(Inputs!$B$14-Inputs!$B$14))*(1+Inputs!$B$7/100))*(F1656/100)</f>
        <v>1941459186.9980164</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6620290711466.1074</v>
      </c>
      <c r="L1656">
        <f>K1656*(MIN(Inputs!$B$22+(F1676-Calc!F22),(Inputs!$B$23+(IF(ArtifactsInput!$M$15,CHOOSE(ArtifactsInput!$N$15+1,25,30,35,40,45,50)/100*(Inputs!$B$11-Inputs!$B$11),0))))/100+(Inputs!$B$23+(IF(ArtifactsInput!$M$15,CHOOSE(ArtifactsInput!$N$15+1,25,30,35,40,45,50)/100*(Inputs!$B$11-Inputs!$B$11),0)))/100)/2</f>
        <v>22012466615624.809</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656">
        <f>L1656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656">
        <f>(1-Summary!$B$11)*S1656+Summary!$B$11*U1656</f>
        <v>1.251342481087288E+16</v>
      </c>
      <c r="P1656">
        <f>IF(B1695=0,0,O1656/B1695)</f>
        <v>0.378199388854495</v>
      </c>
      <c r="Q1656">
        <f>IFERROR(1/(IF(Inputs!$B$38="pvp",15,MAX(0.1,Skills!E2-IF(TRUE=TRUE,Inputs!$B$32,0)))*(1-IF(AND(ArtifactsInput!$M$27,Inputs!$B$4="Chapter Hunt"),CHOOSE(ArtifactsInput!$N$27+1,20,24,28,32,36,40),0)/100)),0)</f>
        <v>10</v>
      </c>
      <c r="R1656">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656">
        <f>MAX(0,(Inputs!$B$3-100)*3)+Inputs!$B$28+Inputs!$B$29</f>
        <v>185</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656">
        <f>MAX(0,(Inputs!$B$3-100)*3)+Inputs!$B$28+Inputs!$B$29</f>
        <v>185</v>
      </c>
    </row>
    <row r="1657" spans="1:26" x14ac:dyDescent="0.2">
      <c r="A1657" t="str">
        <f>Skills!A3</f>
        <v>IGNITE</v>
      </c>
      <c r="B1657" t="str">
        <f>Skills!B3</f>
        <v>Ignite</v>
      </c>
      <c r="C1657" t="b">
        <f>TRUE</f>
        <v>1</v>
      </c>
      <c r="D1657">
        <f>IF(Skills!C3=1,60+Inputs!$B$25+Inputs!$B$29,IF(Skills!C3=2,90+Inputs!$B$26+Inputs!$B$29,IF(Skills!C3=3,120+Inputs!$B$27+Inputs!$B$29,MAX(0,(Inputs!$B$3-100)*3)+Inputs!$B$28+Inputs!$B$29)))</f>
        <v>168</v>
      </c>
      <c r="E1657">
        <f>INDEX(FactorTable!$B$2:$Y$301, MATCH(ROUND(MIN(300,MAX(1,D1657)),0), FactorTable!$A$2:$A$301,0), Skills!M3+1)</f>
        <v>1672</v>
      </c>
      <c r="F1657">
        <f>IF(Skills!N3=TRUE,(Skills!L3/10)*(E1657/1000),Skills!L3/10)+Skills!O3</f>
        <v>121.736</v>
      </c>
      <c r="G1657">
        <f>Calc!G3</f>
        <v>3</v>
      </c>
      <c r="H1657">
        <f>Calc!H3</f>
        <v>1</v>
      </c>
      <c r="I1657">
        <f>IF(Skills!X3&lt;&gt;"",1+(Skills!X3/10)*(Z1657/1000)/100,1)</f>
        <v>4.8250000000000002</v>
      </c>
      <c r="J1657">
        <f>((Inputs!$B$6*(1+Inputs!$B$7/100))+(((Inputs!$B$12*(1+Inputs!$B$13/100))-(Inputs!$B$12*(1+Inputs!$B$13/100)))+0.25*(Inputs!$B$14-Inputs!$B$14))*(1+Inputs!$B$7/100))*(F1657/100)</f>
        <v>439630720.9605478</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10658554617221.965</v>
      </c>
      <c r="L1657">
        <f>K1657*(MIN(Inputs!$B$22+(F1676-Calc!F22),(Inputs!$B$23+(IF(ArtifactsInput!$M$15,CHOOSE(ArtifactsInput!$N$15+1,25,30,35,40,45,50)/100*(Inputs!$B$11-Inputs!$B$11),0))))/100+(Inputs!$B$23+(IF(ArtifactsInput!$M$15,CHOOSE(ArtifactsInput!$N$15+1,25,30,35,40,45,50)/100*(Inputs!$B$11-Inputs!$B$11),0)))/100)/2</f>
        <v>35439694102263.031</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657">
        <f>L1657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657">
        <f>(1-Summary!$B$11)*S1657+Summary!$B$11*U1657</f>
        <v>2907465947806250</v>
      </c>
      <c r="P1657">
        <f>IF(B1695=0,0,O1657/B1695)</f>
        <v>8.7873772463965091E-2</v>
      </c>
      <c r="Q1657">
        <f>IFERROR(1/(IF(Inputs!$B$38="pvp",15,MAX(0.1,Skills!E3-IF(FALSE=TRUE,Inputs!$B$32,0)))*(1-IF(AND(ArtifactsInput!$M$27,Inputs!$B$4="Chapter Hunt"),CHOOSE(ArtifactsInput!$N$27+1,20,24,28,32,36,40),0)/100)),0)</f>
        <v>1</v>
      </c>
      <c r="R1657">
        <f>IF(AND(Inputs!$B$38&lt;&gt;"pvp",Inputs!$B$43&gt;0),IF(MAX(0,Inputs!$B$43-B1692)&lt;=0,0,(INT(MAX(0,Inputs!$B$43-B1692)/(IF(Inputs!$B$38="pvp",15,MAX(0.1,Skills!E3-IF(FALSE=TRUE,Inputs!$B$32,0)))*(1-IF(AND(ArtifactsInput!$M$27,Inputs!$B$4="Chapter Hunt"),CHOOSE(ArtifactsInput!$N$27+1,20,24,28,32,36,40),0)/100)))+1)),0)</f>
        <v>38</v>
      </c>
      <c r="S1657">
        <f>IF(C1657,(H1657*N1657*IF(AND(Inputs!$B$38&lt;&gt;"pvp",Inputs!$B$43&gt;0),((Skills!G3*((R1657-1)*IF(Skills!H3&gt;0,Skills!I3/Skills!H3,1)+IF(Skills!H3&gt;0,MIN(Skills!I3,MAX(0,MAX(0,Inputs!$B$43-B1692)-((R1657-1)*(IF(Inputs!$B$38="pvp",15,MAX(0.1,Skills!E3-IF(FALSE=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657">
        <f>INDEX(FactorTable!$B$2:$Y$301, MATCH(ROUND(MIN(300,MAX(1,T1656)),0), FactorTable!$A$2:$A$301,0), 22)</f>
        <v>1740</v>
      </c>
      <c r="U1657">
        <f>IF(C1657,(H1657*N1657*IF(AND(Inputs!$B$38&lt;&gt;"pvp",Inputs!$B$43&gt;0),((Skills!G3*((R1657-1)*IF(Skills!H3&gt;0,Skills!I3/Skills!H3,1)+IF(Skills!H3&gt;0,MIN(Skills!I3,MAX(0,MAX(0,Inputs!$B$43-B1692)-((R1657-1)*(IF(Inputs!$B$38="pvp",15,MAX(0.1,Skills!E3-IF(FALSE=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657">
        <f>INDEX(FactorTable!$B$2:$Y$301, MATCH(ROUND(MIN(300,MAX(1,Z1656)),0), FactorTable!$A$2:$A$301,0), 24)</f>
        <v>7650</v>
      </c>
    </row>
    <row r="1658" spans="1:26" x14ac:dyDescent="0.2">
      <c r="A1658" t="str">
        <f>Skills!A4</f>
        <v>POISON_BREATH</v>
      </c>
      <c r="B1658" t="str">
        <f>Skills!B4</f>
        <v>Poison Breath</v>
      </c>
      <c r="C1658" t="b">
        <f>TRUE</f>
        <v>1</v>
      </c>
      <c r="D1658">
        <f>IF(Skills!C4=1,60+Inputs!$B$25+Inputs!$B$29,IF(Skills!C4=2,90+Inputs!$B$26+Inputs!$B$29,IF(Skills!C4=3,120+Inputs!$B$27+Inputs!$B$29,MAX(0,(Inputs!$B$3-100)*3)+Inputs!$B$28+Inputs!$B$29)))</f>
        <v>168</v>
      </c>
      <c r="E1658">
        <f>INDEX(FactorTable!$B$2:$Y$301, MATCH(ROUND(MIN(300,MAX(1,D1658)),0), FactorTable!$A$2:$A$301,0), Skills!M4+1)</f>
        <v>1840</v>
      </c>
      <c r="F1658">
        <f>IF(Skills!N4=TRUE,(Skills!L4/10)*(E1658/1000),Skills!L4/10)+Skills!O4</f>
        <v>438</v>
      </c>
      <c r="G1658">
        <f>Calc!G4</f>
        <v>3</v>
      </c>
      <c r="H1658">
        <f>Calc!H4</f>
        <v>1</v>
      </c>
      <c r="I1658">
        <f>IF(Skills!X4&lt;&gt;"",1+(Skills!X4/10)*(Z1657/1000)/100,1)</f>
        <v>7.12</v>
      </c>
      <c r="J1658">
        <f>((Inputs!$B$6*(1+Inputs!$B$7/100))+(((Inputs!$B$12*(1+Inputs!$B$13/100))-(Inputs!$B$12*(1+Inputs!$B$13/100)))+0.25*(Inputs!$B$14-Inputs!$B$14))*(1+Inputs!$B$7/100))*(F1658/100)</f>
        <v>1581769203.69258</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56589528290529.523</v>
      </c>
      <c r="L1658">
        <f>K1658*(MIN(Inputs!$B$22+(F1676-Calc!F22),(Inputs!$B$23+(IF(ArtifactsInput!$M$15,CHOOSE(ArtifactsInput!$N$15+1,25,30,35,40,45,50)/100*(Inputs!$B$11-Inputs!$B$11),0))))/100+(Inputs!$B$23+(IF(ArtifactsInput!$M$15,CHOOSE(ArtifactsInput!$N$15+1,25,30,35,40,45,50)/100*(Inputs!$B$11-Inputs!$B$11),0)))/100)/2</f>
        <v>188160181566010.69</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658">
        <f>L1658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658">
        <f>(1-Summary!$B$11)*S1658+Summary!$B$11*U1658</f>
        <v>2120704790543594.2</v>
      </c>
      <c r="P1658">
        <f>IF(B1695=0,0,O1658/B1695)</f>
        <v>6.4095103286790744E-2</v>
      </c>
      <c r="Q1658">
        <f>IFERROR(1/(IF(Inputs!$B$38="pvp",15,MAX(0.1,Skills!E4-IF(TRUE=TRUE,Inputs!$B$32,0)))*(1-IF(AND(ArtifactsInput!$M$27,Inputs!$B$4="Chapter Hunt"),CHOOSE(ArtifactsInput!$N$27+1,20,24,28,32,36,40),0)/100)),0)</f>
        <v>5.5555555555555552E-2</v>
      </c>
      <c r="R1658">
        <f>IF(AND(Inputs!$B$38&lt;&gt;"pvp",Inputs!$B$43&gt;0),IF(MAX(0,Inputs!$B$43-B1692)&lt;=0,0,(INT(MAX(0,Inputs!$B$43-B1692)/(IF(Inputs!$B$38="pvp",15,MAX(0.1,Skills!E4-IF(TRUE=TRUE,Inputs!$B$32,0)))*(1-IF(AND(ArtifactsInput!$M$27,Inputs!$B$4="Chapter Hunt"),CHOOSE(ArtifactsInput!$N$27+1,20,24,28,32,36,40),0)/100)))+1)),0)</f>
        <v>3</v>
      </c>
      <c r="S1658">
        <f>IF(C1658,(H1658*N1658*IF(AND(Inputs!$B$38&lt;&gt;"pvp",Inputs!$B$43&gt;0),((Skills!G4*((R1658-1)*IF(Skills!H4&gt;0,Skills!I4/Skills!H4,1)+IF(Skills!H4&gt;0,MIN(Skills!I4,MAX(0,MAX(0,Inputs!$B$43-B1692)-((R1658-1)*(IF(Inputs!$B$38="pvp",15,MAX(0.1,Skills!E4-IF(TRUE=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658">
        <f>290*T1657/1000</f>
        <v>504.6</v>
      </c>
      <c r="U1658">
        <f>IF(C1658,(H1658*N1658*IF(AND(Inputs!$B$38&lt;&gt;"pvp",Inputs!$B$43&gt;0),((Skills!G4*((R1658-1)*IF(Skills!H4&gt;0,Skills!I4/Skills!H4,1)+IF(Skills!H4&gt;0,MIN(Skills!I4,MAX(0,MAX(0,Inputs!$B$43-B1692)-((R1658-1)*(IF(Inputs!$B$38="pvp",15,MAX(0.1,Skills!E4-IF(TRUE=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659" spans="1:26" x14ac:dyDescent="0.2">
      <c r="A1659" t="str">
        <f>Skills!A5</f>
        <v>ELEMENTAL_DRAIN</v>
      </c>
      <c r="B1659" t="str">
        <f>Skills!B5</f>
        <v>Elemental Drain</v>
      </c>
      <c r="C1659" t="b">
        <f>TRUE</f>
        <v>1</v>
      </c>
      <c r="D1659">
        <f>IF(Skills!C5=1,60+Inputs!$B$25+Inputs!$B$29,IF(Skills!C5=2,90+Inputs!$B$26+Inputs!$B$29,IF(Skills!C5=3,120+Inputs!$B$27+Inputs!$B$29,MAX(0,(Inputs!$B$3-100)*3)+Inputs!$B$28+Inputs!$B$29)))</f>
        <v>168</v>
      </c>
      <c r="E1659">
        <f>INDEX(FactorTable!$B$2:$Y$301, MATCH(ROUND(MIN(300,MAX(1,D1659)),0), FactorTable!$A$2:$A$301,0), Skills!M5+1)</f>
        <v>1672</v>
      </c>
      <c r="F1659">
        <f>IF(Skills!N5=TRUE,(Skills!L5/10)*(E1659/1000),Skills!L5/10)+Skills!O5</f>
        <v>20.064</v>
      </c>
      <c r="G1659">
        <f>Calc!G5</f>
        <v>5</v>
      </c>
      <c r="H1659">
        <f>Calc!H5</f>
        <v>1</v>
      </c>
      <c r="I1659">
        <f>IF(Skills!X5&lt;&gt;"",1+(Skills!X5/10)*(Z1657/1000)/100,1)</f>
        <v>12.475</v>
      </c>
      <c r="J1659">
        <f>((Inputs!$B$6*(1+Inputs!$B$7/100))+(((Inputs!$B$12*(1+Inputs!$B$13/100))-(Inputs!$B$12*(1+Inputs!$B$13/100)))+0.25*(Inputs!$B$14-Inputs!$B$14))*(1+Inputs!$B$7/100))*(F1659/100)</f>
        <v>72458030.371890247</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4541925884983.542</v>
      </c>
      <c r="L1659">
        <f>K1659*(MIN(Inputs!$B$22+(F1676-Calc!F22),(Inputs!$B$23+(IF(ArtifactsInput!$M$15,CHOOSE(ArtifactsInput!$N$15+1,25,30,35,40,45,50)/100*(Inputs!$B$11-Inputs!$B$11),0))))/100+(Inputs!$B$23+(IF(ArtifactsInput!$M$15,CHOOSE(ArtifactsInput!$N$15+1,25,30,35,40,45,50)/100*(Inputs!$B$11-Inputs!$B$11),0)))/100)/2</f>
        <v>15101903567570.277</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659">
        <f>L1659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659">
        <f>(1-Summary!$B$11)*S1659+Summary!$B$11*U1659</f>
        <v>1046004996783807</v>
      </c>
      <c r="P1659">
        <f>IF(B1695=0,0,O1659/B1695)</f>
        <v>3.1613923166633758E-2</v>
      </c>
      <c r="Q1659">
        <f>IFERROR(1/(IF(Inputs!$B$38="pvp",15,MAX(0.1,Skills!E5-IF(FALSE=TRUE,Inputs!$B$32,0)))*(1-IF(AND(ArtifactsInput!$M$27,Inputs!$B$4="Chapter Hunt"),CHOOSE(ArtifactsInput!$N$27+1,20,24,28,32,36,40),0)/100)),0)</f>
        <v>1</v>
      </c>
      <c r="R1659">
        <f>IF(AND(Inputs!$B$38&lt;&gt;"pvp",Inputs!$B$43&gt;0),IF(MAX(0,Inputs!$B$43-B1692)&lt;=0,0,(INT(MAX(0,Inputs!$B$43-B1692)/(IF(Inputs!$B$38="pvp",15,MAX(0.1,Skills!E5-IF(FALSE=TRUE,Inputs!$B$32,0)))*(1-IF(AND(ArtifactsInput!$M$27,Inputs!$B$4="Chapter Hunt"),CHOOSE(ArtifactsInput!$N$27+1,20,24,28,32,36,40),0)/100)))+1)),0)</f>
        <v>38</v>
      </c>
      <c r="S1659">
        <f>IF(C1659,(H1659*N1659*IF(AND(Inputs!$B$38&lt;&gt;"pvp",Inputs!$B$43&gt;0),((Skills!G5*((R1659-1)*IF(Skills!H5&gt;0,Skills!I5/Skills!H5,1)+IF(Skills!H5&gt;0,MIN(Skills!I5,MAX(0,MAX(0,Inputs!$B$43-B1692)-((R1659-1)*(IF(Inputs!$B$38="pvp",15,MAX(0.1,Skills!E5-IF(FALSE=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659">
        <f>IF(C1659,(H1659*N1659*IF(AND(Inputs!$B$38&lt;&gt;"pvp",Inputs!$B$43&gt;0),((Skills!G5*((R1659-1)*IF(Skills!H5&gt;0,Skills!I5/Skills!H5,1)+IF(Skills!H5&gt;0,MIN(Skills!I5,MAX(0,MAX(0,Inputs!$B$43-B1692)-((R1659-1)*(IF(Inputs!$B$38="pvp",15,MAX(0.1,Skills!E5-IF(FALSE=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660" spans="1:26" x14ac:dyDescent="0.2">
      <c r="A1660" t="str">
        <f>Skills!A6</f>
        <v>MEDITATION</v>
      </c>
      <c r="B1660" t="str">
        <f>Skills!B6</f>
        <v>Meditation</v>
      </c>
      <c r="C1660" t="b">
        <f>TRUE</f>
        <v>1</v>
      </c>
      <c r="D1660">
        <f>IF(Skills!C6=1,60+Inputs!$B$25+Inputs!$B$29,IF(Skills!C6=2,90+Inputs!$B$26+Inputs!$B$29,IF(Skills!C6=3,120+Inputs!$B$27+Inputs!$B$29,MAX(0,(Inputs!$B$3-100)*3)+Inputs!$B$28+Inputs!$B$29)))</f>
        <v>168</v>
      </c>
      <c r="E1660">
        <f>INDEX(FactorTable!$B$2:$Y$301, MATCH(ROUND(MIN(300,MAX(1,D1660)),0), FactorTable!$A$2:$A$301,0), Skills!M6+1)</f>
        <v>1672</v>
      </c>
      <c r="F1660">
        <f>IF(Skills!N6=TRUE,(Skills!L6/10)*(E1660/1000),Skills!L6/10)+Skills!O6</f>
        <v>33.44</v>
      </c>
      <c r="G1660">
        <f>Calc!G6</f>
        <v>1</v>
      </c>
      <c r="H1660">
        <f>Calc!H6</f>
        <v>1</v>
      </c>
      <c r="I1660">
        <f>IF(Skills!X6&lt;&gt;"",1+(Skills!X6/10)*(Z1657/1000)/100,1)</f>
        <v>1</v>
      </c>
      <c r="O1660">
        <f>(1-Summary!$B$11)*S1660+Summary!$B$11*U1660</f>
        <v>0</v>
      </c>
      <c r="P1660">
        <f>IF(B1695=0,0,O1660/B1695)</f>
        <v>0</v>
      </c>
      <c r="Q1660">
        <f>IFERROR(1/(IF(Inputs!$B$38="pvp",15,MAX(0.1,Skills!E6-IF(TRUE=TRUE,Inputs!$B$32,0)))*(1-IF(AND(ArtifactsInput!$M$27,Inputs!$B$4="Chapter Hunt"),CHOOSE(ArtifactsInput!$N$27+1,20,24,28,32,36,40),0)/100)),0)</f>
        <v>3.3333333333333333E-2</v>
      </c>
      <c r="R1660">
        <f>IF(AND(Inputs!$B$38&lt;&gt;"pvp",Inputs!$B$43&gt;0),IF(Inputs!$B$43&lt;=0,0,(INT(Inputs!$B$43/(IF(Inputs!$B$38="pvp",15,MAX(0.1,Skills!E6-IF(TRUE=TRUE,Inputs!$B$32,0)))*(1-IF(AND(ArtifactsInput!$M$27,Inputs!$B$4="Chapter Hunt"),CHOOSE(ArtifactsInput!$N$27+1,20,24,28,32,36,40),0)/100)))+1)),0)</f>
        <v>2</v>
      </c>
      <c r="S1660">
        <v>0</v>
      </c>
      <c r="U1660">
        <v>0</v>
      </c>
    </row>
    <row r="1661" spans="1:26" x14ac:dyDescent="0.2">
      <c r="A1661" t="str">
        <f>Skills!A7</f>
        <v>POISON_MIST_BURST</v>
      </c>
      <c r="B1661" t="str">
        <f>Skills!B7</f>
        <v>Poison Mist (burst)</v>
      </c>
      <c r="C1661" t="b">
        <f>TRUE</f>
        <v>1</v>
      </c>
      <c r="D1661">
        <f>IF(Skills!C7=1,60+Inputs!$B$25+Inputs!$B$29,IF(Skills!C7=2,90+Inputs!$B$26+Inputs!$B$29,IF(Skills!C7=3,120+Inputs!$B$27+Inputs!$B$29,MAX(0,(Inputs!$B$3-100)*3)+Inputs!$B$28+Inputs!$B$29)))</f>
        <v>184</v>
      </c>
      <c r="E1661">
        <f>INDEX(FactorTable!$B$2:$Y$301, MATCH(ROUND(MIN(300,MAX(1,D1661)),0), FactorTable!$A$2:$A$301,0), Skills!M7+1)</f>
        <v>1920</v>
      </c>
      <c r="F1661">
        <f>IF(Skills!N7=TRUE,(Skills!L7/10)*(E1661/1000),Skills!L7/10)+Skills!O7</f>
        <v>357.2</v>
      </c>
      <c r="G1661">
        <f>Calc!G7</f>
        <v>3</v>
      </c>
      <c r="H1661">
        <f>Calc!H7</f>
        <v>1</v>
      </c>
      <c r="I1661">
        <f>IF(Skills!X7&lt;&gt;"",1+(Skills!X7/10)*(Z1657/1000)/100,1)</f>
        <v>1.7650000000000001</v>
      </c>
      <c r="J1661">
        <f>((Inputs!$B$6*(1+Inputs!$B$7/100))+(((Inputs!$B$12*(1+Inputs!$B$13/100))-(Inputs!$B$12*(1+Inputs!$B$13/100)))+0.25*(Inputs!$B$14-Inputs!$B$14))*(1+Inputs!$B$7/100))*(F1661/100)</f>
        <v>1289972510.4086521</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11440318873772.086</v>
      </c>
      <c r="L1661">
        <f>K1661*(MIN(Inputs!$B$22+(F1676-Calc!F22),(Inputs!$B$23+(IF(ArtifactsInput!$M$15,CHOOSE(ArtifactsInput!$N$15+1,25,30,35,40,45,50)/100*(Inputs!$B$11-Inputs!$B$11),0))))/100+(Inputs!$B$23+(IF(ArtifactsInput!$M$15,CHOOSE(ArtifactsInput!$N$15+1,25,30,35,40,45,50)/100*(Inputs!$B$11-Inputs!$B$11),0)))/100)/2</f>
        <v>38039060255292.188</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661">
        <f>L1661*(1-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661">
        <f>(1-Summary!$B$11)*S1661+Summary!$B$11*U1661</f>
        <v>447913158316422</v>
      </c>
      <c r="P1661">
        <f>IF(B1695=0,0,O1661/B1695)</f>
        <v>1.3537499549121505E-2</v>
      </c>
      <c r="Q1661">
        <f>IFERROR(1/(IF(Inputs!$B$38="pvp",15,MAX(0.1,Skills!E7-IF(TRUE=TRUE,Inputs!$B$32,0)))*(1-IF(AND(ArtifactsInput!$M$27,Inputs!$B$4="Chapter Hunt"),CHOOSE(ArtifactsInput!$N$27+1,20,24,28,32,36,40),0)/100)),0)</f>
        <v>4.0816326530612242E-2</v>
      </c>
      <c r="R1661">
        <f>IF(AND(Inputs!$B$38&lt;&gt;"pvp",Inputs!$B$43&gt;0),IF(MAX(0,Inputs!$B$43-B1692)&lt;=0,0,(INT(MAX(0,Inputs!$B$43-B1692)/(IF(Inputs!$B$38="pvp",15,MAX(0.1,Skills!E7-IF(TRUE=TRUE,Inputs!$B$32,0)))*(1-IF(AND(ArtifactsInput!$M$27,Inputs!$B$4="Chapter Hunt"),CHOOSE(ArtifactsInput!$N$27+1,20,24,28,32,36,40),0)/100)))+1)),0)</f>
        <v>2</v>
      </c>
      <c r="S1661">
        <f>IF(C1661,(H1661*N1661*IF(AND(Inputs!$B$38&lt;&gt;"pvp",Inputs!$B$43&gt;0),((Skills!G7*((R1661-1)*IF(Skills!H7&gt;0,Skills!I7/Skills!H7,1)+IF(Skills!H7&gt;0,MIN(Skills!I7,MAX(0,MAX(0,Inputs!$B$43-B1692)-((R1661-1)*(IF(Inputs!$B$38="pvp",15,MAX(0.1,Skills!E7-IF(TRUE=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661">
        <f>IF(C1661,(H1661*N1661*IF(AND(Inputs!$B$38&lt;&gt;"pvp",Inputs!$B$43&gt;0),((Skills!G7*((R1661-1)*IF(Skills!H7&gt;0,Skills!I7/Skills!H7,1)+IF(Skills!H7&gt;0,MIN(Skills!I7,MAX(0,MAX(0,Inputs!$B$43-B1692)-((R1661-1)*(IF(Inputs!$B$38="pvp",15,MAX(0.1,Skills!E7-IF(TRUE=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662" spans="1:26" x14ac:dyDescent="0.2">
      <c r="A1662" t="str">
        <f>Skills!A8</f>
        <v>POISON_MIST_DOT</v>
      </c>
      <c r="B1662" t="str">
        <f>Skills!B8</f>
        <v>Poison Mist (fog DoT)</v>
      </c>
      <c r="C1662" t="b">
        <f>TRUE</f>
        <v>1</v>
      </c>
      <c r="D1662">
        <f>IF(Skills!C8=1,60+Inputs!$B$25+Inputs!$B$29,IF(Skills!C8=2,90+Inputs!$B$26+Inputs!$B$29,IF(Skills!C8=3,120+Inputs!$B$27+Inputs!$B$29,MAX(0,(Inputs!$B$3-100)*3)+Inputs!$B$28+Inputs!$B$29)))</f>
        <v>184</v>
      </c>
      <c r="E1662">
        <f>INDEX(FactorTable!$B$2:$Y$301, MATCH(ROUND(MIN(300,MAX(1,D1662)),0), FactorTable!$A$2:$A$301,0), Skills!M8+1)</f>
        <v>1920</v>
      </c>
      <c r="F1662">
        <f>IF(Skills!N8=TRUE,(Skills!L8/10)*(E1662/1000),Skills!L8/10)+Skills!O8</f>
        <v>134.4</v>
      </c>
      <c r="G1662">
        <f>Calc!G8</f>
        <v>50</v>
      </c>
      <c r="H1662">
        <f>Calc!H8</f>
        <v>1</v>
      </c>
      <c r="I1662">
        <f>IF(Skills!X8&lt;&gt;"",1+(Skills!X8/10)*(Z1657/1000)/100,1)</f>
        <v>1.7650000000000001</v>
      </c>
      <c r="J1662">
        <f>((Inputs!$B$6*(1+Inputs!$B$7/100))+(((Inputs!$B$12*(1+Inputs!$B$13/100))-(Inputs!$B$12*(1+Inputs!$B$13/100)))+0.25*(Inputs!$B$14-Inputs!$B$14))*(1+Inputs!$B$7/100))*(F1662/100)</f>
        <v>485364796.74950409</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4304532073446.1597</v>
      </c>
      <c r="L1662">
        <f>K1662*(MIN(Inputs!$B$22+(F1676-Calc!F22),(Inputs!$B$23+(IF(ArtifactsInput!$M$15,CHOOSE(ArtifactsInput!$N$15+1,25,30,35,40,45,50)/100*(Inputs!$B$11-Inputs!$B$11),0))))/100+(Inputs!$B$23+(IF(ArtifactsInput!$M$15,CHOOSE(ArtifactsInput!$N$15+1,25,30,35,40,45,50)/100*(Inputs!$B$11-Inputs!$B$11),0)))/100)/2</f>
        <v>14312569144208.482</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662">
        <f>L1662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662">
        <f>(1-Summary!$B$11)*S1662+Summary!$B$11*U1662</f>
        <v>2327471980535951</v>
      </c>
      <c r="P1662">
        <f>IF(B1695=0,0,O1662/B1695)</f>
        <v>7.0344329703392813E-2</v>
      </c>
      <c r="Q1662">
        <f>IFERROR(1/(IF(Inputs!$B$38="pvp",15,MAX(0.1,Skills!E8-IF(TRUE=TRUE,Inputs!$B$32,0)))*(1-IF(AND(ArtifactsInput!$M$27,Inputs!$B$4="Chapter Hunt"),CHOOSE(ArtifactsInput!$N$27+1,20,24,28,32,36,40),0)/100)),0)</f>
        <v>4.0816326530612242E-2</v>
      </c>
      <c r="R1662">
        <f>IF(AND(Inputs!$B$38&lt;&gt;"pvp",Inputs!$B$43&gt;0),IF(MAX(0,Inputs!$B$43-B1692)&lt;=0,0,(INT(MAX(0,Inputs!$B$43-B1692)/(IF(Inputs!$B$38="pvp",15,MAX(0.1,Skills!E8-IF(TRUE=TRUE,Inputs!$B$32,0)))*(1-IF(AND(ArtifactsInput!$M$27,Inputs!$B$4="Chapter Hunt"),CHOOSE(ArtifactsInput!$N$27+1,20,24,28,32,36,40),0)/100)))+1)),0)</f>
        <v>2</v>
      </c>
      <c r="S1662">
        <f>IF(C1662,(H1662*N1662*IF(AND(Inputs!$B$38&lt;&gt;"pvp",Inputs!$B$43&gt;0),((Skills!G8*((R1662-1)*IF(Skills!H8&gt;0,Skills!I8/Skills!H8,1)+IF(Skills!H8&gt;0,MIN(Skills!I8,MAX(0,MAX(0,Inputs!$B$43-B1692)-((R1662-1)*(IF(Inputs!$B$38="pvp",15,MAX(0.1,Skills!E8-IF(TRUE=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662">
        <f>IF(C1662,(H1662*N1662*IF(AND(Inputs!$B$38&lt;&gt;"pvp",Inputs!$B$43&gt;0),((Skills!G8*((R1662-1)*IF(Skills!H8&gt;0,Skills!I8/Skills!H8,1)+IF(Skills!H8&gt;0,MIN(Skills!I8,MAX(0,MAX(0,Inputs!$B$43-B1692)-((R1662-1)*(IF(Inputs!$B$38="pvp",15,MAX(0.1,Skills!E8-IF(TRUE=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663" spans="1:26" x14ac:dyDescent="0.2">
      <c r="A1663" t="str">
        <f>Skills!A9</f>
        <v>MIST_ERUPTION</v>
      </c>
      <c r="B1663" t="str">
        <f>Skills!B9</f>
        <v>Mist Eruption</v>
      </c>
      <c r="C1663" t="b">
        <f>Inputs!$B$3&gt;=103</f>
        <v>1</v>
      </c>
      <c r="D1663">
        <f>IF(Skills!C9=1,60+Inputs!$B$25+Inputs!$B$29,IF(Skills!C9=2,90+Inputs!$B$26+Inputs!$B$29,IF(Skills!C9=3,120+Inputs!$B$27+Inputs!$B$29,MAX(0,(Inputs!$B$3-100)*3)+Inputs!$B$28+Inputs!$B$29)))</f>
        <v>185</v>
      </c>
      <c r="E1663">
        <f>INDEX(FactorTable!$B$2:$Y$301, MATCH(ROUND(MIN(300,MAX(1,D1663)),0), FactorTable!$A$2:$A$301,0), Skills!M9+1)</f>
        <v>1925</v>
      </c>
      <c r="F1663">
        <f>IF(Skills!N9=TRUE,(Skills!L9/10)*(E1663/1000),Skills!L9/10)+Skills!O9</f>
        <v>5775</v>
      </c>
      <c r="G1663">
        <f>Calc!G9</f>
        <v>2.5</v>
      </c>
      <c r="H1663">
        <f>Calc!H9</f>
        <v>1</v>
      </c>
      <c r="I1663">
        <f>IF(Skills!X9&lt;&gt;"",1+(Skills!X9/10)*(Z1657/1000)/100,1)</f>
        <v>1</v>
      </c>
      <c r="J1663">
        <f>((Inputs!$B$6*(1+Inputs!$B$7/100))+(((Inputs!$B$12*(1+Inputs!$B$13/100))-(Inputs!$B$12*(1+Inputs!$B$13/100)))+0.25*(Inputs!$B$14-Inputs!$B$14))*(1+Inputs!$B$7/100))*(F1663/100)</f>
        <v>20855518610.330254</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104793406533081.95</v>
      </c>
      <c r="L1663">
        <f>K1663*(MIN(Inputs!$B$22+(F1676-Calc!F22),(Inputs!$B$23+(IF(ArtifactsInput!$M$15,CHOOSE(ArtifactsInput!$N$15+1,25,30,35,40,45,50)/100*(Inputs!$B$11-Inputs!$B$11),0))))/100+(Inputs!$B$23+(IF(ArtifactsInput!$M$15,CHOOSE(ArtifactsInput!$N$15+1,25,30,35,40,45,50)/100*(Inputs!$B$11-Inputs!$B$11),0)))/100)/2</f>
        <v>348438076722497.5</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663">
        <f>L1663*(1-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663">
        <f>(1-Summary!$B$11)*S1663+Summary!$B$11*U1663</f>
        <v>3419073236278675</v>
      </c>
      <c r="P1663">
        <f>IF(B1695=0,0,O1663/B1695)</f>
        <v>0.10333633101673266</v>
      </c>
      <c r="Q1663">
        <f>IFERROR(1/(IF(Inputs!$B$38="pvp",15,MAX(0.1,Skills!E9-IF(TRUE=TRUE,Inputs!$B$32,0)))*(1-IF(AND(ArtifactsInput!$M$27,Inputs!$B$4="Chapter Hunt"),CHOOSE(ArtifactsInput!$N$27+1,20,24,28,32,36,40),0)/100)),0)</f>
        <v>4.0816326530612242E-2</v>
      </c>
      <c r="R1663">
        <f>IF(AND(Inputs!$B$38&lt;&gt;"pvp",Inputs!$B$43&gt;0),IF(MAX(0,Inputs!$B$43-B1692)&lt;=0,0,(INT(MAX(0,Inputs!$B$43-B1692)/(IF(Inputs!$B$38="pvp",15,MAX(0.1,Skills!E9-IF(TRUE=TRUE,Inputs!$B$32,0)))*(1-IF(AND(ArtifactsInput!$M$27,Inputs!$B$4="Chapter Hunt"),CHOOSE(ArtifactsInput!$N$27+1,20,24,28,32,36,40),0)/100)))+1)),0)</f>
        <v>2</v>
      </c>
      <c r="S1663">
        <f>IF(C1663,(H1663*N1663*IF(AND(Inputs!$B$38&lt;&gt;"pvp",Inputs!$B$43&gt;0),((Skills!G9*((R1663-1)*IF(Skills!H9&gt;0,Skills!I9/Skills!H9,1)+IF(Skills!H9&gt;0,MIN(Skills!I9,MAX(0,MAX(0,Inputs!$B$43-B1692)-((R1663-1)*(IF(Inputs!$B$38="pvp",15,MAX(0.1,Skills!E9-IF(TRUE=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663">
        <f>IF(C1663,(H1663*N1663*IF(AND(Inputs!$B$38&lt;&gt;"pvp",Inputs!$B$43&gt;0),((Skills!G9*((R1663-1)*IF(Skills!H9&gt;0,Skills!I9/Skills!H9,1)+IF(Skills!H9&gt;0,MIN(Skills!I9,MAX(0,MAX(0,Inputs!$B$43-B1692)-((R1663-1)*(IF(Inputs!$B$38="pvp",15,MAX(0.1,Skills!E9-IF(TRUE=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664" spans="1:26" x14ac:dyDescent="0.2">
      <c r="A1664" t="str">
        <f>Skills!A10</f>
        <v>CREEPING_TOXIN</v>
      </c>
      <c r="B1664" t="str">
        <f>Skills!B10</f>
        <v>Creeping Toxin</v>
      </c>
      <c r="C1664" t="b">
        <f>TRUE</f>
        <v>1</v>
      </c>
      <c r="D1664">
        <f>IF(Skills!C10=1,60+Inputs!$B$25+Inputs!$B$29,IF(Skills!C10=2,90+Inputs!$B$26+Inputs!$B$29,IF(Skills!C10=3,120+Inputs!$B$27+Inputs!$B$29,MAX(0,(Inputs!$B$3-100)*3)+Inputs!$B$28+Inputs!$B$29)))</f>
        <v>184</v>
      </c>
      <c r="E1664">
        <f>INDEX(FactorTable!$B$2:$Y$301, MATCH(ROUND(MIN(300,MAX(1,D1664)),0), FactorTable!$A$2:$A$301,0), Skills!M10+1)</f>
        <v>1920</v>
      </c>
      <c r="F1664">
        <f>IF(Skills!N10=TRUE,(Skills!L10/10)*(E1664/1000),Skills!L10/10)+Skills!O10</f>
        <v>280.39999999999998</v>
      </c>
      <c r="G1664">
        <f>Calc!G10</f>
        <v>15</v>
      </c>
      <c r="H1664">
        <f>Calc!H10</f>
        <v>1</v>
      </c>
      <c r="I1664">
        <f>IF(Skills!X10&lt;&gt;"",1+(Skills!X10/10)*(Z1657/1000)/100,1)</f>
        <v>1.7650000000000001</v>
      </c>
      <c r="J1664">
        <f>((Inputs!$B$6*(1+Inputs!$B$7/100))+(((Inputs!$B$12*(1+Inputs!$B$13/100))-(Inputs!$B$12*(1+Inputs!$B$13/100)))+0.25*(Inputs!$B$14-Inputs!$B$14))*(1+Inputs!$B$7/100))*(F1664/100)</f>
        <v>1012621197.9803641</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8980586260374.2793</v>
      </c>
      <c r="L1664">
        <f>K1664*(MIN(Inputs!$B$22+(F1676-Calc!F22),(Inputs!$B$23+(IF(ArtifactsInput!$M$15,CHOOSE(ArtifactsInput!$N$15+1,25,30,35,40,45,50)/100*(Inputs!$B$11-Inputs!$B$11),0))))/100+(Inputs!$B$23+(IF(ArtifactsInput!$M$15,CHOOSE(ArtifactsInput!$N$15+1,25,30,35,40,45,50)/100*(Inputs!$B$11-Inputs!$B$11),0)))/100)/2</f>
        <v>29860449315744.48</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664">
        <f>L1664*(1-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664">
        <f>(1-Summary!$B$11)*S1664+Summary!$B$11*U1664</f>
        <v>324323455609081.62</v>
      </c>
      <c r="P1664">
        <f>IF(B1695=0,0,O1664/B1695)</f>
        <v>9.8021872154419789E-3</v>
      </c>
      <c r="Q1664">
        <f>IFERROR(1/(IF(Inputs!$B$38="pvp",15,MAX(0.1,Skills!E10-IF(TRUE=TRUE,Inputs!$B$32,0)))*(1-IF(AND(ArtifactsInput!$M$27,Inputs!$B$4="Chapter Hunt"),CHOOSE(ArtifactsInput!$N$27+1,20,24,28,32,36,40),0)/100)),0)</f>
        <v>3.7037037037037035E-2</v>
      </c>
      <c r="R1664">
        <f>IF(AND(Inputs!$B$38&lt;&gt;"pvp",Inputs!$B$43&gt;0),IF(MAX(0,Inputs!$B$43-B1692)&lt;=0,0,(INT(MAX(0,Inputs!$B$43-B1692)/(IF(Inputs!$B$38="pvp",15,MAX(0.1,Skills!E10-IF(TRUE=TRUE,Inputs!$B$32,0)))*(1-IF(AND(ArtifactsInput!$M$27,Inputs!$B$4="Chapter Hunt"),CHOOSE(ArtifactsInput!$N$27+1,20,24,28,32,36,40),0)/100)))+1)),0)</f>
        <v>2</v>
      </c>
      <c r="S1664">
        <f>IF(C1664,(H1664*N1664*IF(AND(Inputs!$B$38&lt;&gt;"pvp",Inputs!$B$43&gt;0),((Skills!G10*((R1664-1)*IF(Skills!H10&gt;0,Skills!I10/Skills!H10,1)+IF(Skills!H10&gt;0,MIN(Skills!I10,MAX(0,MAX(0,Inputs!$B$43-B1692)-((R1664-1)*(IF(Inputs!$B$38="pvp",15,MAX(0.1,Skills!E10-IF(TRUE=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664">
        <f>IF(C1664,(H1664*N1664*IF(AND(Inputs!$B$38&lt;&gt;"pvp",Inputs!$B$43&gt;0),((Skills!G10*((R1664-1)*IF(Skills!H10&gt;0,Skills!I10/Skills!H10,1)+IF(Skills!H10&gt;0,MIN(Skills!I10,MAX(0,MAX(0,Inputs!$B$43-B1692)-((R1664-1)*(IF(Inputs!$B$38="pvp",15,MAX(0.1,Skills!E10-IF(TRUE=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665" spans="1:21" x14ac:dyDescent="0.2">
      <c r="A1665" t="str">
        <f>Skills!A11</f>
        <v>BURNING_MAGIC</v>
      </c>
      <c r="B1665" t="str">
        <f>Skills!B11</f>
        <v>Burning Magic</v>
      </c>
      <c r="C1665" t="b">
        <f>TRUE</f>
        <v>1</v>
      </c>
      <c r="D1665">
        <f>IF(Skills!C11=1,60+Inputs!$B$25+Inputs!$B$29,IF(Skills!C11=2,90+Inputs!$B$26+Inputs!$B$29,IF(Skills!C11=3,120+Inputs!$B$27+Inputs!$B$29,MAX(0,(Inputs!$B$3-100)*3)+Inputs!$B$28+Inputs!$B$29)))</f>
        <v>184</v>
      </c>
      <c r="E1665">
        <f>INDEX(FactorTable!$B$2:$Y$301, MATCH(ROUND(MIN(300,MAX(1,D1665)),0), FactorTable!$A$2:$A$301,0), Skills!M11+1)</f>
        <v>0</v>
      </c>
      <c r="F1665">
        <f>IF(Skills!N11=TRUE,(Skills!L11/10)*(E1665/1000),Skills!L11/10)+Skills!O11</f>
        <v>5</v>
      </c>
      <c r="G1665">
        <f>Calc!G11</f>
        <v>1</v>
      </c>
      <c r="H1665">
        <f>Calc!H11</f>
        <v>1</v>
      </c>
      <c r="I1665">
        <f>IF(Skills!X11&lt;&gt;"",1+(Skills!X11/10)*(Z1657/1000)/100,1)</f>
        <v>1</v>
      </c>
      <c r="O1665">
        <f>(1-Summary!$B$11)*S1665+Summary!$B$11*U1665</f>
        <v>0</v>
      </c>
      <c r="P1665">
        <f>IF(B1695=0,0,O1665/B1695)</f>
        <v>0</v>
      </c>
      <c r="Q1665">
        <f>IFERROR(1/(IF(Inputs!$B$38="pvp",15,MAX(0.1,Skills!E11-IF(TRUE=TRUE,Inputs!$B$32,0)))*(1-IF(AND(ArtifactsInput!$M$27,Inputs!$B$4="Chapter Hunt"),CHOOSE(ArtifactsInput!$N$27+1,20,24,28,32,36,40),0)/100)),0)</f>
        <v>10</v>
      </c>
      <c r="R1665">
        <v>0</v>
      </c>
      <c r="S1665">
        <v>0</v>
      </c>
      <c r="U1665">
        <v>0</v>
      </c>
    </row>
    <row r="1666" spans="1:21" x14ac:dyDescent="0.2">
      <c r="A1666" t="str">
        <f>Skills!A12</f>
        <v>ELEMENTAL_DECREASE</v>
      </c>
      <c r="B1666" t="str">
        <f>Skills!B12</f>
        <v>Elemental Decrease</v>
      </c>
      <c r="C1666" t="b">
        <f>TRUE</f>
        <v>1</v>
      </c>
      <c r="D1666">
        <f>IF(Skills!C12=1,60+Inputs!$B$25+Inputs!$B$29,IF(Skills!C12=2,90+Inputs!$B$26+Inputs!$B$29,IF(Skills!C12=3,120+Inputs!$B$27+Inputs!$B$29,MAX(0,(Inputs!$B$3-100)*3)+Inputs!$B$28+Inputs!$B$29)))</f>
        <v>184</v>
      </c>
      <c r="E1666">
        <f>INDEX(FactorTable!$B$2:$Y$301, MATCH(ROUND(MIN(300,MAX(1,D1666)),0), FactorTable!$A$2:$A$301,0), Skills!M12+1)</f>
        <v>1552</v>
      </c>
      <c r="F1666">
        <f>IF(Skills!N12=TRUE,(Skills!L12/10)*(E1666/1000),Skills!L12/10)+Skills!O12</f>
        <v>18.624000000000002</v>
      </c>
      <c r="G1666">
        <f>Calc!G12</f>
        <v>1</v>
      </c>
      <c r="H1666">
        <f>Calc!H12</f>
        <v>0.5</v>
      </c>
      <c r="I1666">
        <f>IF(Skills!X12&lt;&gt;"",1+(Skills!X12/10)*(Z1657/1000)/100,1)</f>
        <v>1</v>
      </c>
      <c r="O1666">
        <f>(1-Summary!$B$11)*S1666+Summary!$B$11*U1666</f>
        <v>0</v>
      </c>
      <c r="P1666">
        <f>IF(B1695=0,0,O1666/B1695)</f>
        <v>0</v>
      </c>
      <c r="Q1666">
        <f>IFERROR(1/(IF(Inputs!$B$38="pvp",15,MAX(0.1,Skills!E12-IF(TRUE=TRUE,Inputs!$B$32,0)))*(1-IF(AND(ArtifactsInput!$M$27,Inputs!$B$4="Chapter Hunt"),CHOOSE(ArtifactsInput!$N$27+1,20,24,28,32,36,40),0)/100)),0)</f>
        <v>10</v>
      </c>
      <c r="R1666">
        <v>0</v>
      </c>
      <c r="S1666">
        <v>0</v>
      </c>
      <c r="U1666">
        <v>0</v>
      </c>
    </row>
    <row r="1667" spans="1:21" x14ac:dyDescent="0.2">
      <c r="A1667" t="str">
        <f>Skills!A13</f>
        <v>METEOR_SHOWER_BURST</v>
      </c>
      <c r="B1667" t="str">
        <f>Skills!B13</f>
        <v>Meteor Shower (burst)</v>
      </c>
      <c r="C1667" t="b">
        <f>Inputs!$B$3&gt;=105</f>
        <v>1</v>
      </c>
      <c r="D1667">
        <f>IF(Skills!C13=1,60+Inputs!$B$25+Inputs!$B$29,IF(Skills!C13=2,90+Inputs!$B$26+Inputs!$B$29,IF(Skills!C13=3,120+Inputs!$B$27+Inputs!$B$29,MAX(0,(Inputs!$B$3-100)*3)+Inputs!$B$28+Inputs!$B$29)))</f>
        <v>185</v>
      </c>
      <c r="E1667">
        <f>INDEX(FactorTable!$B$2:$Y$301, MATCH(ROUND(MIN(300,MAX(1,D1667)),0), FactorTable!$A$2:$A$301,0), Skills!M13+1)</f>
        <v>1925</v>
      </c>
      <c r="F1667">
        <f>IF(Skills!N13=TRUE,(Skills!L13/10)*(E1667/1000),Skills!L13/10)+Skills!O13</f>
        <v>1155</v>
      </c>
      <c r="G1667">
        <f>Calc!G13</f>
        <v>9</v>
      </c>
      <c r="H1667">
        <f>Calc!H13</f>
        <v>1</v>
      </c>
      <c r="I1667">
        <f>IF(Skills!X13&lt;&gt;"",1+(Skills!X13/10)*(Z1657/1000)/100,1)</f>
        <v>1</v>
      </c>
      <c r="J1667">
        <f>((Inputs!$B$6*(1+Inputs!$B$7/100))+(((Inputs!$B$12*(1+Inputs!$B$13/100))-(Inputs!$B$12*(1+Inputs!$B$13/100)))+0.25*(Inputs!$B$14-Inputs!$B$14))*(1+Inputs!$B$7/100))*(F1667/100)</f>
        <v>4171103722.0660505</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20958681306616.391</v>
      </c>
      <c r="L1667">
        <f>K1667*(MIN(Inputs!$B$22+(F1676-Calc!F22),(Inputs!$B$23+(IF(ArtifactsInput!$M$15,CHOOSE(ArtifactsInput!$N$15+1,25,30,35,40,45,50)/100*(Inputs!$B$11-Inputs!$B$11),0))))/100+(Inputs!$B$23+(IF(ArtifactsInput!$M$15,CHOOSE(ArtifactsInput!$N$15+1,25,30,35,40,45,50)/100*(Inputs!$B$11-Inputs!$B$11),0)))/100)/2</f>
        <v>69687615344499.5</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667">
        <f>L1667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667">
        <f>(1-Summary!$B$11)*S1667+Summary!$B$11*U1667</f>
        <v>1793579843045520.5</v>
      </c>
      <c r="P1667">
        <f>IF(B1695=0,0,O1667/B1695)</f>
        <v>5.4208245204954375E-2</v>
      </c>
      <c r="Q1667">
        <f>IFERROR(1/(IF(Inputs!$B$38="pvp",15,MAX(0.1,Skills!E13-IF(TRUE=TRUE,Inputs!$B$32,0)))*(1-IF(AND(ArtifactsInput!$M$27,Inputs!$B$4="Chapter Hunt"),CHOOSE(ArtifactsInput!$N$27+1,20,24,28,32,36,40),0)/100)),0)</f>
        <v>3.0303030303030304E-2</v>
      </c>
      <c r="R1667">
        <f>IF(AND(Inputs!$B$38&lt;&gt;"pvp",Inputs!$B$43&gt;0),IF(MAX(0,Inputs!$B$43-B1692)&lt;=0,0,(INT(MAX(0,Inputs!$B$43-B1692)/(IF(Inputs!$B$38="pvp",15,MAX(0.1,Skills!E13-IF(TRUE=TRUE,Inputs!$B$32,0)))*(1-IF(AND(ArtifactsInput!$M$27,Inputs!$B$4="Chapter Hunt"),CHOOSE(ArtifactsInput!$N$27+1,20,24,28,32,36,40),0)/100)))+1)),0)</f>
        <v>2</v>
      </c>
      <c r="S1667">
        <f>IF(C1667,(H1667*N1667*IF(AND(Inputs!$B$38&lt;&gt;"pvp",Inputs!$B$43&gt;0),((Skills!G13*((R1667-1)*IF(Skills!H13&gt;0,Skills!I13/Skills!H13,1)+IF(Skills!H13&gt;0,MIN(Skills!I13,MAX(0,MAX(0,Inputs!$B$43-B1692)-((R1667-1)*(IF(Inputs!$B$38="pvp",15,MAX(0.1,Skills!E13-IF(TRUE=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667">
        <f>IF(C1667,(H1667*N1667*IF(AND(Inputs!$B$38&lt;&gt;"pvp",Inputs!$B$43&gt;0),((Skills!G13*((R1667-1)*IF(Skills!H13&gt;0,Skills!I13/Skills!H13,1)+IF(Skills!H13&gt;0,MIN(Skills!I13,MAX(0,MAX(0,Inputs!$B$43-B1692)-((R1667-1)*(IF(Inputs!$B$38="pvp",15,MAX(0.1,Skills!E13-IF(TRUE=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668" spans="1:21" x14ac:dyDescent="0.2">
      <c r="A1668" t="str">
        <f>Skills!A14</f>
        <v>METEOR_PROC</v>
      </c>
      <c r="B1668" t="str">
        <f>Skills!B14</f>
        <v>Meteor Proc (30% on-hit, 1s ICD)</v>
      </c>
      <c r="C1668" t="b">
        <f>Inputs!$B$3&gt;=113</f>
        <v>1</v>
      </c>
      <c r="D1668">
        <f>IF(Skills!C14=1,60+Inputs!$B$25+Inputs!$B$29,IF(Skills!C14=2,90+Inputs!$B$26+Inputs!$B$29,IF(Skills!C14=3,120+Inputs!$B$27+Inputs!$B$29,MAX(0,(Inputs!$B$3-100)*3)+Inputs!$B$28+Inputs!$B$29)))</f>
        <v>185</v>
      </c>
      <c r="E1668">
        <f>INDEX(FactorTable!$B$2:$Y$301, MATCH(ROUND(MIN(300,MAX(1,D1668)),0), FactorTable!$A$2:$A$301,0), Skills!M14+1)</f>
        <v>1740</v>
      </c>
      <c r="F1668">
        <f>IF(Skills!N14=TRUE,(Skills!L14/10)*(E1668/1000),Skills!L14/10)+Skills!O14</f>
        <v>1653</v>
      </c>
      <c r="G1668">
        <f>Calc!G14</f>
        <v>0</v>
      </c>
      <c r="H1668">
        <f>Calc!H14</f>
        <v>0.30000000000000004</v>
      </c>
      <c r="I1668">
        <f>IF(Skills!X14&lt;&gt;"",1+(Skills!X14/10)*(Z1657/1000)/100,1)</f>
        <v>1</v>
      </c>
      <c r="J1668">
        <f>((Inputs!$B$6*(1+Inputs!$B$7/100))+(((Inputs!$B$12*(1+Inputs!$B$13/100))-(Inputs!$B$12*(1+Inputs!$B$13/100)))+0.25*(Inputs!$B$14-Inputs!$B$14))*(1+Inputs!$B$7/100))*(F1668/100)</f>
        <v>5969553638.5932312</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29995411428430.203</v>
      </c>
      <c r="L1668">
        <f>K1668*(MIN(Inputs!$B$22+(F1676-Calc!F22),(Inputs!$B$23+(IF(ArtifactsInput!$M$15,CHOOSE(ArtifactsInput!$N$15+1,25,30,35,40,45,50)/100*(Inputs!$B$11-Inputs!$B$11),0))))/100+(Inputs!$B$23+(IF(ArtifactsInput!$M$15,CHOOSE(ArtifactsInput!$N$15+1,25,30,35,40,45,50)/100*(Inputs!$B$11-Inputs!$B$11),0)))/100)/2</f>
        <v>99734742999530.438</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668">
        <f>L1668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668">
        <f>(1-Summary!$B$11)*S1668+Summary!$B$11*U1668</f>
        <v>461258197543910.38</v>
      </c>
      <c r="P1668">
        <f>IF(B1695=0,0,O1668/B1695)</f>
        <v>1.3940833229257574E-2</v>
      </c>
      <c r="Q1668">
        <f>IFERROR(1/(IF(Inputs!$B$38="pvp",15,MAX(0.1,Skills!E14-IF(TRUE=TRUE,Inputs!$B$32,0)))*(1-IF(AND(ArtifactsInput!$M$27,Inputs!$B$4="Chapter Hunt"),CHOOSE(ArtifactsInput!$N$27+1,20,24,28,32,36,40),0)/100)),0)</f>
        <v>10</v>
      </c>
      <c r="R1668">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669" spans="1:21" x14ac:dyDescent="0.2">
      <c r="A1669" t="str">
        <f>Skills!A15</f>
        <v>FLAME_HAZE_BURST</v>
      </c>
      <c r="B1669" t="str">
        <f>Skills!B15</f>
        <v>Flame Haze (burst)</v>
      </c>
      <c r="C1669" t="b">
        <f>Inputs!$B$3&gt;=107</f>
        <v>1</v>
      </c>
      <c r="D1669">
        <f>IF(Skills!C15=1,60+Inputs!$B$25+Inputs!$B$29,IF(Skills!C15=2,90+Inputs!$B$26+Inputs!$B$29,IF(Skills!C15=3,120+Inputs!$B$27+Inputs!$B$29,MAX(0,(Inputs!$B$3-100)*3)+Inputs!$B$28+Inputs!$B$29)))</f>
        <v>185</v>
      </c>
      <c r="E1669">
        <f>INDEX(FactorTable!$B$2:$Y$301, MATCH(ROUND(MIN(300,MAX(1,D1669)),0), FactorTable!$A$2:$A$301,0), Skills!M15+1)</f>
        <v>1925</v>
      </c>
      <c r="F1669">
        <f>IF(Skills!N15=TRUE,(Skills!L15/10)*(E1669/1000),Skills!L15/10)+Skills!O15</f>
        <v>2310</v>
      </c>
      <c r="G1669">
        <f>Calc!G15</f>
        <v>3</v>
      </c>
      <c r="H1669">
        <f>Calc!H15</f>
        <v>1</v>
      </c>
      <c r="I1669">
        <f>IF(Skills!X15&lt;&gt;"",1+(Skills!X15/10)*(Z1657/1000)/100,1)</f>
        <v>1</v>
      </c>
      <c r="J1669">
        <f>((Inputs!$B$6*(1+Inputs!$B$7/100))+(((Inputs!$B$12*(1+Inputs!$B$13/100))-(Inputs!$B$12*(1+Inputs!$B$13/100)))+0.25*(Inputs!$B$14-Inputs!$B$14))*(1+Inputs!$B$7/100))*(F1669/100)</f>
        <v>8342207444.1321011</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41917362613232.781</v>
      </c>
      <c r="L1669">
        <f>K1669*(MIN(Inputs!$B$22+(F1676-Calc!F22),(Inputs!$B$23+(IF(ArtifactsInput!$M$15,CHOOSE(ArtifactsInput!$N$15+1,25,30,35,40,45,50)/100*(Inputs!$B$11-Inputs!$B$11),0))))/100+(Inputs!$B$23+(IF(ArtifactsInput!$M$15,CHOOSE(ArtifactsInput!$N$15+1,25,30,35,40,45,50)/100*(Inputs!$B$11-Inputs!$B$11),0)))/100)/2</f>
        <v>139375230688999</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669">
        <f>L1669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669">
        <f>(1-Summary!$B$11)*S1669+Summary!$B$11*U1669</f>
        <v>1641155153413763.8</v>
      </c>
      <c r="P1669">
        <f>IF(B1695=0,0,O1669/B1695)</f>
        <v>4.9601438888031674E-2</v>
      </c>
      <c r="Q1669">
        <f>IFERROR(1/(IF(Inputs!$B$38="pvp",15,MAX(0.1,Skills!E15-IF(TRUE=TRUE,Inputs!$B$32,0)))*(1-IF(AND(ArtifactsInput!$M$27,Inputs!$B$4="Chapter Hunt"),CHOOSE(ArtifactsInput!$N$27+1,20,24,28,32,36,40),0)/100)),0)</f>
        <v>0.04</v>
      </c>
      <c r="R1669">
        <f>IF(AND(Inputs!$B$38&lt;&gt;"pvp",Inputs!$B$43&gt;0),IF(MAX(0,Inputs!$B$43-B1692)&lt;=0,0,(INT(MAX(0,Inputs!$B$43-B1692)/(IF(Inputs!$B$38="pvp",15,MAX(0.1,Skills!E15-IF(TRUE=TRUE,Inputs!$B$32,0)))*(1-IF(AND(ArtifactsInput!$M$27,Inputs!$B$4="Chapter Hunt"),CHOOSE(ArtifactsInput!$N$27+1,20,24,28,32,36,40),0)/100)))+1)),0)</f>
        <v>2</v>
      </c>
      <c r="S1669">
        <f>IF(C1669,(H1669*N1669*IF(AND(Inputs!$B$38&lt;&gt;"pvp",Inputs!$B$43&gt;0),((Skills!G15*((R1669-1)*IF(Skills!H15&gt;0,Skills!I15/Skills!H15,1)+IF(Skills!H15&gt;0,MIN(Skills!I15,MAX(0,MAX(0,Inputs!$B$43-B1692)-((R1669-1)*(IF(Inputs!$B$38="pvp",15,MAX(0.1,Skills!E15-IF(TRUE=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669">
        <f>IF(C1669,(H1669*N1669*IF(AND(Inputs!$B$38&lt;&gt;"pvp",Inputs!$B$43&gt;0),((Skills!G15*((R1669-1)*IF(Skills!H15&gt;0,Skills!I15/Skills!H15,1)+IF(Skills!H15&gt;0,MIN(Skills!I15,MAX(0,MAX(0,Inputs!$B$43-B1692)-((R1669-1)*(IF(Inputs!$B$38="pvp",15,MAX(0.1,Skills!E15-IF(TRUE=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670" spans="1:21" x14ac:dyDescent="0.2">
      <c r="A1670" t="str">
        <f>Skills!A16</f>
        <v>FLAME_HAZE_DOT</v>
      </c>
      <c r="B1670" t="str">
        <f>Skills!B16</f>
        <v>Flame Haze (burn DoT)</v>
      </c>
      <c r="C1670" t="b">
        <f>Inputs!$B$3&gt;=107</f>
        <v>1</v>
      </c>
      <c r="D1670">
        <f>IF(Skills!C16=1,60+Inputs!$B$25+Inputs!$B$29,IF(Skills!C16=2,90+Inputs!$B$26+Inputs!$B$29,IF(Skills!C16=3,120+Inputs!$B$27+Inputs!$B$29,MAX(0,(Inputs!$B$3-100)*3)+Inputs!$B$28+Inputs!$B$29)))</f>
        <v>185</v>
      </c>
      <c r="E1670">
        <f>INDEX(FactorTable!$B$2:$Y$301, MATCH(ROUND(MIN(300,MAX(1,D1670)),0), FactorTable!$A$2:$A$301,0), Skills!M16+1)</f>
        <v>1925</v>
      </c>
      <c r="F1670">
        <f>IF(Skills!N16=TRUE,(Skills!L16/10)*(E1670/1000),Skills!L16/10)+Skills!O16</f>
        <v>288.75</v>
      </c>
      <c r="G1670">
        <f>Calc!G16</f>
        <v>30</v>
      </c>
      <c r="H1670">
        <f>Calc!H16</f>
        <v>1</v>
      </c>
      <c r="I1670">
        <f>IF(Skills!X16&lt;&gt;"",1+(Skills!X16/10)*(Z1657/1000)/100,1)</f>
        <v>1</v>
      </c>
      <c r="J1670">
        <f>((Inputs!$B$6*(1+Inputs!$B$7/100))+(((Inputs!$B$12*(1+Inputs!$B$13/100))-(Inputs!$B$12*(1+Inputs!$B$13/100)))+0.25*(Inputs!$B$14-Inputs!$B$14))*(1+Inputs!$B$7/100))*(F1670/100)</f>
        <v>1042775930.5165126</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5239670326654.0977</v>
      </c>
      <c r="L1670">
        <f>K1670*(MIN(Inputs!$B$22+(F1676-Calc!F22),(Inputs!$B$23+(IF(ArtifactsInput!$M$15,CHOOSE(ArtifactsInput!$N$15+1,25,30,35,40,45,50)/100*(Inputs!$B$11-Inputs!$B$11),0))))/100+(Inputs!$B$23+(IF(ArtifactsInput!$M$15,CHOOSE(ArtifactsInput!$N$15+1,25,30,35,40,45,50)/100*(Inputs!$B$11-Inputs!$B$11),0)))/100)/2</f>
        <v>17421903836124.875</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670">
        <f>L1670*(1-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670">
        <f>(1-Summary!$B$11)*S1670+Summary!$B$11*U1670</f>
        <v>1890384927888193</v>
      </c>
      <c r="P1670">
        <f>IF(B1695=0,0,O1670/B1695)</f>
        <v>5.7134032867313167E-2</v>
      </c>
      <c r="Q1670">
        <f>IFERROR(1/(IF(Inputs!$B$38="pvp",15,MAX(0.1,Skills!E16-IF(TRUE=TRUE,Inputs!$B$32,0)))*(1-IF(AND(ArtifactsInput!$M$27,Inputs!$B$4="Chapter Hunt"),CHOOSE(ArtifactsInput!$N$27+1,20,24,28,32,36,40),0)/100)),0)</f>
        <v>0.04</v>
      </c>
      <c r="R1670">
        <f>IF(AND(Inputs!$B$38&lt;&gt;"pvp",Inputs!$B$43&gt;0),IF(MAX(0,Inputs!$B$43-B1692)&lt;=0,0,(INT(MAX(0,Inputs!$B$43-B1692)/(IF(Inputs!$B$38="pvp",15,MAX(0.1,Skills!E16-IF(TRUE=TRUE,Inputs!$B$32,0)))*(1-IF(AND(ArtifactsInput!$M$27,Inputs!$B$4="Chapter Hunt"),CHOOSE(ArtifactsInput!$N$27+1,20,24,28,32,36,40),0)/100)))+1)),0)</f>
        <v>2</v>
      </c>
      <c r="S1670">
        <f>IF(C1670,(H1670*N1670*IF(AND(Inputs!$B$38&lt;&gt;"pvp",Inputs!$B$43&gt;0),((Skills!G16*((R1670-1)*IF(Skills!H16&gt;0,Skills!I16/Skills!H16,1)+IF(Skills!H16&gt;0,MIN(Skills!I16,MAX(0,MAX(0,Inputs!$B$43-B1692)-((R1670-1)*(IF(Inputs!$B$38="pvp",15,MAX(0.1,Skills!E16-IF(TRUE=TRUE,Inputs!$B$32,0)))*(1-IF(AND(ArtifactsInput!$M$27,Inputs!$B$4="Chapter Hunt"),CHOOSE(ArtifactsInput!$N$27+1,20,24,28,32,36,40),0)/100)))))/Skills!H16,1)))/Inputs!$B$43),G1670*Q1670)*(1+IF(Inputs!$B$3&gt;=126,0.05*(B1690+Q1667+(H1668*B1691)/(1+Skills!H14*H1668*B1691)+Q1678),0)*(1/Q1669)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670">
        <f>IF(C1670,(H1670*N1670*IF(AND(Inputs!$B$38&lt;&gt;"pvp",Inputs!$B$43&gt;0),((Skills!G16*((R1670-1)*IF(Skills!H16&gt;0,Skills!I16/Skills!H16,1)+IF(Skills!H16&gt;0,MIN(Skills!I16,MAX(0,MAX(0,Inputs!$B$43-B1692)-((R1670-1)*(IF(Inputs!$B$38="pvp",15,MAX(0.1,Skills!E16-IF(TRUE=TRUE,Inputs!$B$32,0)))*(1-IF(AND(ArtifactsInput!$M$27,Inputs!$B$4="Chapter Hunt"),CHOOSE(ArtifactsInput!$N$27+1,20,24,28,32,36,40),0)/100)))))/Skills!H16,1)))/Inputs!$B$43),G1670*Q1670)*(1+IF(Inputs!$B$3&gt;=126,0.05*(B1690+Q1667+(H1668*B1691)/(1+Skills!H14*H1668*B1691)+Q1678),0)*(1/Q1669)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671" spans="1:21" x14ac:dyDescent="0.2">
      <c r="A1671" t="str">
        <f>Skills!A17</f>
        <v>MAGIC_GUARD</v>
      </c>
      <c r="B1671" t="str">
        <f>Skills!B17</f>
        <v>Magic Guard</v>
      </c>
      <c r="C1671" t="b">
        <f>TRUE</f>
        <v>1</v>
      </c>
      <c r="D1671">
        <f>IF(Skills!C17=1,60+Inputs!$B$25+Inputs!$B$29,IF(Skills!C17=2,90+Inputs!$B$26+Inputs!$B$29,IF(Skills!C17=3,120+Inputs!$B$27+Inputs!$B$29,MAX(0,(Inputs!$B$3-100)*3)+Inputs!$B$28+Inputs!$B$29)))</f>
        <v>127</v>
      </c>
      <c r="E1671">
        <f>INDEX(FactorTable!$B$2:$Y$301, MATCH(ROUND(MIN(300,MAX(1,D1671)),0), FactorTable!$A$2:$A$301,0), Skills!M17+1)</f>
        <v>1508</v>
      </c>
      <c r="F1671">
        <f>IF(Skills!N17=TRUE,(Skills!L17/10)*(E1671/1000),Skills!L17/10)+Skills!O17</f>
        <v>18.096</v>
      </c>
      <c r="G1671">
        <f>Calc!G17</f>
        <v>1</v>
      </c>
      <c r="H1671">
        <f>Calc!H17</f>
        <v>1</v>
      </c>
      <c r="I1671">
        <f>IF(Skills!X17&lt;&gt;"",1+(Skills!X17/10)*(Z1657/1000)/100,1)</f>
        <v>1</v>
      </c>
      <c r="O1671">
        <f>(1-Summary!$B$11)*S1671+Summary!$B$11*U1671</f>
        <v>0</v>
      </c>
      <c r="P1671">
        <f>IF(B1695=0,0,O1671/B1695)</f>
        <v>0</v>
      </c>
      <c r="Q1671">
        <f>IFERROR(1/(IF(Inputs!$B$38="pvp",15,MAX(0.1,Skills!E17-IF(TRUE=TRUE,Inputs!$B$32,0)))*(1-IF(AND(ArtifactsInput!$M$27,Inputs!$B$4="Chapter Hunt"),CHOOSE(ArtifactsInput!$N$27+1,20,24,28,32,36,40),0)/100)),0)</f>
        <v>4.7619047619047616E-2</v>
      </c>
      <c r="R1671">
        <f>IF(AND(Inputs!$B$38&lt;&gt;"pvp",Inputs!$B$43&gt;0),IF(Inputs!$B$43&lt;=0,0,(INT(Inputs!$B$43/(IF(Inputs!$B$38="pvp",15,MAX(0.1,Skills!E17-IF(TRUE=TRUE,Inputs!$B$32,0)))*(1-IF(AND(ArtifactsInput!$M$27,Inputs!$B$4="Chapter Hunt"),CHOOSE(ArtifactsInput!$N$27+1,20,24,28,32,36,40),0)/100)))+1)),0)</f>
        <v>2</v>
      </c>
      <c r="S1671">
        <v>0</v>
      </c>
      <c r="U1671">
        <v>0</v>
      </c>
    </row>
    <row r="1672" spans="1:21" x14ac:dyDescent="0.2">
      <c r="A1672" t="str">
        <f>Skills!A18</f>
        <v>NIMBLE_FEET</v>
      </c>
      <c r="B1672" t="str">
        <f>Skills!B18</f>
        <v>Nimble Feet</v>
      </c>
      <c r="C1672" t="b">
        <f>TRUE</f>
        <v>1</v>
      </c>
      <c r="D1672">
        <f>IF(Skills!C18=1,60+Inputs!$B$25+Inputs!$B$29,IF(Skills!C18=2,90+Inputs!$B$26+Inputs!$B$29,IF(Skills!C18=3,120+Inputs!$B$27+Inputs!$B$29,MAX(0,(Inputs!$B$3-100)*3)+Inputs!$B$28+Inputs!$B$29)))</f>
        <v>127</v>
      </c>
      <c r="E1672">
        <f>INDEX(FactorTable!$B$2:$Y$301, MATCH(ROUND(MIN(300,MAX(1,D1672)),0), FactorTable!$A$2:$A$301,0), Skills!M18+1)</f>
        <v>0</v>
      </c>
      <c r="F1672">
        <f>IF(Skills!N18=TRUE,(Skills!L18/10)*(E1672/1000),Skills!L18/10)+Skills!O18</f>
        <v>15</v>
      </c>
      <c r="G1672">
        <f>Calc!G18</f>
        <v>1</v>
      </c>
      <c r="H1672">
        <f>Calc!H18</f>
        <v>1</v>
      </c>
      <c r="I1672">
        <f>IF(Skills!X18&lt;&gt;"",1+(Skills!X18/10)*(Z1657/1000)/100,1)</f>
        <v>1</v>
      </c>
      <c r="O1672">
        <f>(1-Summary!$B$11)*S1672+Summary!$B$11*U1672</f>
        <v>0</v>
      </c>
      <c r="P1672">
        <f>IF(B1695=0,0,O1672/B1695)</f>
        <v>0</v>
      </c>
      <c r="Q1672">
        <f>IFERROR(1/(IF(Inputs!$B$38="pvp",15,MAX(0.1,Skills!E18-IF(TRUE=TRUE,Inputs!$B$32,0)))*(1-IF(AND(ArtifactsInput!$M$27,Inputs!$B$4="Chapter Hunt"),CHOOSE(ArtifactsInput!$N$27+1,20,24,28,32,36,40),0)/100)),0)</f>
        <v>1.6666666666666666E-2</v>
      </c>
      <c r="R1672">
        <f>IF(AND(Inputs!$B$38&lt;&gt;"pvp",Inputs!$B$43&gt;0),IF(Inputs!$B$43&lt;=0,0,(INT(Inputs!$B$43/(IF(Inputs!$B$38="pvp",15,MAX(0.1,Skills!E18-IF(TRUE=TRUE,Inputs!$B$32,0)))*(1-IF(AND(ArtifactsInput!$M$27,Inputs!$B$4="Chapter Hunt"),CHOOSE(ArtifactsInput!$N$27+1,20,24,28,32,36,40),0)/100)))+1)),0)</f>
        <v>1</v>
      </c>
      <c r="S1672">
        <v>0</v>
      </c>
      <c r="U1672">
        <v>0</v>
      </c>
    </row>
    <row r="1673" spans="1:21" x14ac:dyDescent="0.2">
      <c r="A1673" t="str">
        <f>Skills!A19</f>
        <v>INFINITY</v>
      </c>
      <c r="B1673" t="str">
        <f>Skills!B19</f>
        <v>Infinity</v>
      </c>
      <c r="C1673" t="b">
        <f>Inputs!$B$3&gt;=110</f>
        <v>1</v>
      </c>
      <c r="D1673">
        <f>IF(Skills!C19=1,60+Inputs!$B$25+Inputs!$B$29,IF(Skills!C19=2,90+Inputs!$B$26+Inputs!$B$29,IF(Skills!C19=3,120+Inputs!$B$27+Inputs!$B$29,MAX(0,(Inputs!$B$3-100)*3)+Inputs!$B$28+Inputs!$B$29)))</f>
        <v>185</v>
      </c>
      <c r="E1673">
        <f>INDEX(FactorTable!$B$2:$Y$301, MATCH(ROUND(MIN(300,MAX(1,D1673)),0), FactorTable!$A$2:$A$301,0), Skills!M19+1)</f>
        <v>1740</v>
      </c>
      <c r="F1673">
        <f>IF(Skills!N19=TRUE,(Skills!L19/10)*(E1673/1000),Skills!L19/10)+Skills!O19</f>
        <v>37.700579999999995</v>
      </c>
      <c r="G1673">
        <f>Calc!G19</f>
        <v>1</v>
      </c>
      <c r="H1673">
        <f>Calc!H19</f>
        <v>1</v>
      </c>
      <c r="I1673">
        <f>IF(Skills!X19&lt;&gt;"",1+(Skills!X19/10)*(Z1657/1000)/100,1)</f>
        <v>1</v>
      </c>
      <c r="O1673">
        <f>(1-Summary!$B$11)*S1673+Summary!$B$11*U1673</f>
        <v>0</v>
      </c>
      <c r="P1673">
        <f>IF(B1695=0,0,O1673/B1695)</f>
        <v>0</v>
      </c>
      <c r="Q1673">
        <f>IFERROR(1/(IF(Inputs!$B$38="pvp",15,MAX(0.1,Skills!E19-IF(TRUE=TRUE,Inputs!$B$32,0)))*(1-IF(AND(ArtifactsInput!$M$27,Inputs!$B$4="Chapter Hunt"),CHOOSE(ArtifactsInput!$N$27+1,20,24,28,32,36,40),0)/100)),0)</f>
        <v>3.3333333333333333E-2</v>
      </c>
      <c r="R1673">
        <f>IF(AND(Inputs!$B$38&lt;&gt;"pvp",Inputs!$B$43&gt;0),IF(Inputs!$B$43&lt;=0,0,(INT(Inputs!$B$43/(IF(Inputs!$B$38="pvp",15,MAX(0.1,Skills!E19-IF(TRUE=TRUE,Inputs!$B$32,0)))*(1-IF(AND(ArtifactsInput!$M$27,Inputs!$B$4="Chapter Hunt"),CHOOSE(ArtifactsInput!$N$27+1,20,24,28,32,36,40),0)/100)))+1)),0)</f>
        <v>2</v>
      </c>
      <c r="S1673">
        <v>0</v>
      </c>
      <c r="U1673">
        <v>0</v>
      </c>
    </row>
    <row r="1674" spans="1:21" x14ac:dyDescent="0.2">
      <c r="A1674" t="str">
        <f>Skills!A20</f>
        <v>MAGIC_CRITICAL_RATE</v>
      </c>
      <c r="B1674" t="str">
        <f>Skills!B20</f>
        <v>Magic Critical (Crit Rate)</v>
      </c>
      <c r="C1674" t="b">
        <f>TRUE</f>
        <v>1</v>
      </c>
      <c r="D1674">
        <f>IF(Skills!C20=1,60+Inputs!$B$25+Inputs!$B$29,IF(Skills!C20=2,90+Inputs!$B$26+Inputs!$B$29,IF(Skills!C20=3,120+Inputs!$B$27+Inputs!$B$29,MAX(0,(Inputs!$B$3-100)*3)+Inputs!$B$28+Inputs!$B$29)))</f>
        <v>184</v>
      </c>
      <c r="E1674">
        <f>INDEX(FactorTable!$B$2:$Y$301, MATCH(ROUND(MIN(300,MAX(1,D1674)),0), FactorTable!$A$2:$A$301,0), Skills!M20+1)</f>
        <v>1552</v>
      </c>
      <c r="F1674">
        <f>IF(Skills!N20=TRUE,(Skills!L20/10)*(E1674/1000),Skills!L20/10)+Skills!O20</f>
        <v>12.416</v>
      </c>
      <c r="G1674">
        <f>Calc!G20</f>
        <v>1</v>
      </c>
      <c r="H1674">
        <f>Calc!H20</f>
        <v>1</v>
      </c>
      <c r="I1674">
        <f>IF(Skills!X20&lt;&gt;"",1+(Skills!X20/10)*(Z1657/1000)/100,1)</f>
        <v>1</v>
      </c>
      <c r="O1674">
        <f>(1-Summary!$B$11)*S1674+Summary!$B$11*U1674</f>
        <v>0</v>
      </c>
      <c r="P1674">
        <f>IF(B1695=0,0,O1674/B1695)</f>
        <v>0</v>
      </c>
      <c r="Q1674">
        <f>IFERROR(1/(IF(Inputs!$B$38="pvp",15,MAX(0.1,Skills!E20-IF(TRUE=TRUE,Inputs!$B$32,0)))*(1-IF(AND(ArtifactsInput!$M$27,Inputs!$B$4="Chapter Hunt"),CHOOSE(ArtifactsInput!$N$27+1,20,24,28,32,36,40),0)/100)),0)</f>
        <v>10</v>
      </c>
      <c r="R1674">
        <v>0</v>
      </c>
      <c r="S1674">
        <v>0</v>
      </c>
      <c r="U1674">
        <v>0</v>
      </c>
    </row>
    <row r="1675" spans="1:21" x14ac:dyDescent="0.2">
      <c r="A1675" t="str">
        <f>Skills!A21</f>
        <v>MAGIC_CRITICAL_DAMAGE</v>
      </c>
      <c r="B1675" t="str">
        <f>Skills!B21</f>
        <v>Magic Critical (Crit Damage)</v>
      </c>
      <c r="C1675" t="b">
        <f>TRUE</f>
        <v>1</v>
      </c>
      <c r="D1675">
        <f>IF(Skills!C21=1,60+Inputs!$B$25+Inputs!$B$29,IF(Skills!C21=2,90+Inputs!$B$26+Inputs!$B$29,IF(Skills!C21=3,120+Inputs!$B$27+Inputs!$B$29,MAX(0,(Inputs!$B$3-100)*3)+Inputs!$B$28+Inputs!$B$29)))</f>
        <v>184</v>
      </c>
      <c r="E1675">
        <f>INDEX(FactorTable!$B$2:$Y$301, MATCH(ROUND(MIN(300,MAX(1,D1675)),0), FactorTable!$A$2:$A$301,0), Skills!M21+1)</f>
        <v>1552</v>
      </c>
      <c r="F1675">
        <f>IF(Skills!N21=TRUE,(Skills!L21/10)*(E1675/1000),Skills!L21/10)+Skills!O21</f>
        <v>18.624000000000002</v>
      </c>
      <c r="G1675">
        <f>Calc!G21</f>
        <v>1</v>
      </c>
      <c r="H1675">
        <f>Calc!H21</f>
        <v>1</v>
      </c>
      <c r="I1675">
        <f>IF(Skills!X21&lt;&gt;"",1+(Skills!X21/10)*(Z1657/1000)/100,1)</f>
        <v>1</v>
      </c>
      <c r="O1675">
        <f>(1-Summary!$B$11)*S1675+Summary!$B$11*U1675</f>
        <v>0</v>
      </c>
      <c r="P1675">
        <f>IF(B1695=0,0,O1675/B1695)</f>
        <v>0</v>
      </c>
      <c r="Q1675">
        <f>IFERROR(1/(IF(Inputs!$B$38="pvp",15,MAX(0.1,Skills!E21-IF(TRUE=TRUE,Inputs!$B$32,0)))*(1-IF(AND(ArtifactsInput!$M$27,Inputs!$B$4="Chapter Hunt"),CHOOSE(ArtifactsInput!$N$27+1,20,24,28,32,36,40),0)/100)),0)</f>
        <v>10</v>
      </c>
      <c r="R1675">
        <v>0</v>
      </c>
      <c r="S1675">
        <v>0</v>
      </c>
      <c r="U1675">
        <v>0</v>
      </c>
    </row>
    <row r="1676" spans="1:21" x14ac:dyDescent="0.2">
      <c r="A1676" t="str">
        <f>Skills!A22</f>
        <v>SPELL_MASTERY</v>
      </c>
      <c r="B1676" t="str">
        <f>Skills!B22</f>
        <v>Spell Mastery</v>
      </c>
      <c r="C1676" t="b">
        <f>TRUE</f>
        <v>1</v>
      </c>
      <c r="D1676">
        <f>IF(Skills!C22=1,60+Inputs!$B$25+Inputs!$B$29,IF(Skills!C22=2,90+Inputs!$B$26+Inputs!$B$29,IF(Skills!C22=3,120+Inputs!$B$27+Inputs!$B$29,MAX(0,(Inputs!$B$3-100)*3)+Inputs!$B$28+Inputs!$B$29)))</f>
        <v>168</v>
      </c>
      <c r="E1676">
        <f>INDEX(FactorTable!$B$2:$Y$301, MATCH(ROUND(MIN(300,MAX(1,D1676)),0), FactorTable!$A$2:$A$301,0), Skills!M22+1)</f>
        <v>1504</v>
      </c>
      <c r="F1676">
        <f>IF(Skills!N22=TRUE,(Skills!L22/10)*(E1676/1000),Skills!L22/10)+Skills!O22</f>
        <v>22.56</v>
      </c>
      <c r="G1676">
        <f>Calc!G22</f>
        <v>1</v>
      </c>
      <c r="H1676">
        <f>Calc!H22</f>
        <v>1</v>
      </c>
      <c r="I1676">
        <f>IF(Skills!X22&lt;&gt;"",1+(Skills!X22/10)*(Z1657/1000)/100,1)</f>
        <v>1</v>
      </c>
      <c r="O1676">
        <f>(1-Summary!$B$11)*S1676+Summary!$B$11*U1676</f>
        <v>0</v>
      </c>
      <c r="P1676">
        <f>IF(B1695=0,0,O1676/B1695)</f>
        <v>0</v>
      </c>
      <c r="Q1676">
        <f>IFERROR(1/(IF(Inputs!$B$38="pvp",15,MAX(0.1,Skills!E22-IF(TRUE=TRUE,Inputs!$B$32,0)))*(1-IF(AND(ArtifactsInput!$M$27,Inputs!$B$4="Chapter Hunt"),CHOOSE(ArtifactsInput!$N$27+1,20,24,28,32,36,40),0)/100)),0)</f>
        <v>10</v>
      </c>
      <c r="R1676">
        <v>0</v>
      </c>
      <c r="S1676">
        <v>0</v>
      </c>
      <c r="U1676">
        <v>0</v>
      </c>
    </row>
    <row r="1677" spans="1:21" x14ac:dyDescent="0.2">
      <c r="A1677" t="str">
        <f>Skills!A23</f>
        <v>ELEMENT_AMPLIFICATION</v>
      </c>
      <c r="B1677" t="str">
        <f>Skills!B23</f>
        <v>Element Amplification</v>
      </c>
      <c r="C1677" t="b">
        <f>TRUE</f>
        <v>1</v>
      </c>
      <c r="D1677">
        <f>IF(Skills!C23=1,60+Inputs!$B$25+Inputs!$B$29,IF(Skills!C23=2,90+Inputs!$B$26+Inputs!$B$29,IF(Skills!C23=3,120+Inputs!$B$27+Inputs!$B$29,MAX(0,(Inputs!$B$3-100)*3)+Inputs!$B$28+Inputs!$B$29)))</f>
        <v>185</v>
      </c>
      <c r="E1677">
        <f>INDEX(FactorTable!$B$2:$Y$301, MATCH(ROUND(MIN(300,MAX(1,D1677)),0), FactorTable!$A$2:$A$301,0), Skills!M23+1)</f>
        <v>1555</v>
      </c>
      <c r="F1677">
        <f>IF(Skills!N23=TRUE,(Skills!L23/10)*(E1677/1000),Skills!L23/10)+Skills!O23</f>
        <v>23.324999999999999</v>
      </c>
      <c r="G1677">
        <f>Calc!G23</f>
        <v>1</v>
      </c>
      <c r="H1677">
        <f>Calc!H23</f>
        <v>1</v>
      </c>
      <c r="I1677">
        <f>IF(Skills!X23&lt;&gt;"",1+(Skills!X23/10)*(Z1657/1000)/100,1)</f>
        <v>1</v>
      </c>
      <c r="O1677">
        <f>(1-Summary!$B$11)*S1677+Summary!$B$11*U1677</f>
        <v>0</v>
      </c>
      <c r="P1677">
        <f>IF(B1695=0,0,O1677/B1695)</f>
        <v>0</v>
      </c>
      <c r="Q1677">
        <f>IFERROR(1/(IF(Inputs!$B$38="pvp",15,MAX(0.1,Skills!E23-IF(TRUE=TRUE,Inputs!$B$32,0)))*(1-IF(AND(ArtifactsInput!$M$27,Inputs!$B$4="Chapter Hunt"),CHOOSE(ArtifactsInput!$N$27+1,20,24,28,32,36,40),0)/100)),0)</f>
        <v>10</v>
      </c>
      <c r="R1677">
        <v>0</v>
      </c>
      <c r="S1677">
        <v>0</v>
      </c>
      <c r="U1677">
        <v>0</v>
      </c>
    </row>
    <row r="1678" spans="1:21" x14ac:dyDescent="0.2">
      <c r="A1678" t="str">
        <f>Skills!A24</f>
        <v>IFRIT</v>
      </c>
      <c r="B1678" t="str">
        <f>Skills!B24</f>
        <v>Ifrit</v>
      </c>
      <c r="C1678" t="b">
        <f>Inputs!$B$3&gt;=115</f>
        <v>1</v>
      </c>
      <c r="D1678">
        <f>IF(Skills!C24=1,60+Inputs!$B$25+Inputs!$B$29,IF(Skills!C24=2,90+Inputs!$B$26+Inputs!$B$29,IF(Skills!C24=3,120+Inputs!$B$27+Inputs!$B$29,MAX(0,(Inputs!$B$3-100)*3)+Inputs!$B$28+Inputs!$B$29)))</f>
        <v>185</v>
      </c>
      <c r="E1678">
        <f>INDEX(FactorTable!$B$2:$Y$301, MATCH(ROUND(MIN(300,MAX(1,D1678)),0), FactorTable!$A$2:$A$301,0), Skills!M24+1)</f>
        <v>1925</v>
      </c>
      <c r="F1678">
        <f>IF(Skills!N24=TRUE,(Skills!L24/10)*(E1678/1000),Skills!L24/10)+Skills!O24</f>
        <v>6737.5</v>
      </c>
      <c r="G1678">
        <f>Calc!G24</f>
        <v>7.5</v>
      </c>
      <c r="H1678">
        <f>Calc!H24</f>
        <v>1</v>
      </c>
      <c r="I1678">
        <f>IF(Skills!X24&lt;&gt;"",1+(Skills!X24/10)*(Z1657/1000)/100,1)</f>
        <v>1</v>
      </c>
      <c r="J1678">
        <f>((Inputs!$B$6*(1+Inputs!$B$7/100))+(((Inputs!$B$12*(1+Inputs!$B$13/100))-(Inputs!$B$12*(1+Inputs!$B$13/100)))+0.25*(Inputs!$B$14-Inputs!$B$14))*(1+Inputs!$B$7/100))*(F1678/100)</f>
        <v>24331438378.718628</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122258974288595.61</v>
      </c>
      <c r="L1678">
        <f>K1678*(MIN(Inputs!$B$22+(F1676-Calc!F22),(Inputs!$B$23+(IF(ArtifactsInput!$M$15,CHOOSE(ArtifactsInput!$N$15+1,25,30,35,40,45,50)/100*(Inputs!$B$11-Inputs!$B$11),0))))/100+(Inputs!$B$23+(IF(ArtifactsInput!$M$15,CHOOSE(ArtifactsInput!$N$15+1,25,30,35,40,45,50)/100*(Inputs!$B$11-Inputs!$B$11),0)))/100)/2</f>
        <v>406511089509580.44</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678">
        <f>L1678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678">
        <f>(1-Summary!$B$11)*S1678+Summary!$B$11*U1678</f>
        <v>2194085169658842.8</v>
      </c>
      <c r="P1678">
        <f>IF(B1695=0,0,O1678/B1695)</f>
        <v>6.6312914553869617E-2</v>
      </c>
      <c r="Q1678">
        <f>IFERROR(1/(IF(Inputs!$B$38="pvp",15,MAX(0.1,Skills!E24-IF(TRUE=TRUE,Inputs!$B$32,0)))*(1-IF(AND(ArtifactsInput!$M$27,Inputs!$B$4="Chapter Hunt"),CHOOSE(ArtifactsInput!$N$27+1,20,24,28,32,36,40),0)/100)),0)</f>
        <v>1.2500000000000001E-2</v>
      </c>
      <c r="R1678">
        <f>IF(AND(Inputs!$B$38&lt;&gt;"pvp",Inputs!$B$43&gt;0),IF(MAX(0,Inputs!$B$43-B1692)&lt;=0,0,(INT(MAX(0,Inputs!$B$43-B1692)/(IF(Inputs!$B$38="pvp",15,MAX(0.1,Skills!E24-IF(TRUE=TRUE,Inputs!$B$32,0)))*(1-IF(AND(ArtifactsInput!$M$27,Inputs!$B$4="Chapter Hunt"),CHOOSE(ArtifactsInput!$N$27+1,20,24,28,32,36,40),0)/100)))+1)),0)</f>
        <v>1</v>
      </c>
      <c r="S1678">
        <f>IF(C1678,(H1678*N1678*IF(AND(Inputs!$B$38&lt;&gt;"pvp",Inputs!$B$43&gt;0),((Skills!G24*((R1678-1)*IF(Skills!H24&gt;0,Skills!I24/Skills!H24,1)+IF(Skills!H24&gt;0,MIN(Skills!I24,MAX(0,MAX(0,Inputs!$B$43-B1692)-((R1678-1)*(IF(Inputs!$B$38="pvp",15,MAX(0.1,Skills!E24-IF(TRUE=TRUE,Inputs!$B$32,0)))*(1-IF(AND(ArtifactsInput!$M$27,Inputs!$B$4="Chapter Hunt"),CHOOSE(ArtifactsInput!$N$27+1,20,24,28,32,36,40),0)/100)))))/Skills!H24,1)))/Inputs!$B$43),G1678*Q1678)*(1+IF(Inputs!$B$3&gt;=130,0.2*(Skills!I16/(1/Q1669)+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678">
        <f>IF(C1678,(H1678*N1678*IF(AND(Inputs!$B$38&lt;&gt;"pvp",Inputs!$B$43&gt;0),((Skills!G24*((R1678-1)*IF(Skills!H24&gt;0,Skills!I24/Skills!H24,1)+IF(Skills!H24&gt;0,MIN(Skills!I24,MAX(0,MAX(0,Inputs!$B$43-B1692)-((R1678-1)*(IF(Inputs!$B$38="pvp",15,MAX(0.1,Skills!E24-IF(TRUE=TRUE,Inputs!$B$32,0)))*(1-IF(AND(ArtifactsInput!$M$27,Inputs!$B$4="Chapter Hunt"),CHOOSE(ArtifactsInput!$N$27+1,20,24,28,32,36,40),0)/100)))))/Skills!H24,1)))/Inputs!$B$43),G1678*Q1678)*(1+IF(Inputs!$B$3&gt;=130,0.2*(Skills!I16/(1/Q1669)+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679" spans="1:21" x14ac:dyDescent="0.2">
      <c r="A1679" t="str">
        <f>Skills!A25</f>
        <v>BUFF_MASTERY</v>
      </c>
      <c r="B1679" t="str">
        <f>Skills!B25</f>
        <v>Buff Mastery</v>
      </c>
      <c r="C1679" t="b">
        <f>Inputs!$B$3&gt;=117</f>
        <v>1</v>
      </c>
      <c r="D1679">
        <f>IF(Skills!C25=1,60+Inputs!$B$25+Inputs!$B$29,IF(Skills!C25=2,90+Inputs!$B$26+Inputs!$B$29,IF(Skills!C25=3,120+Inputs!$B$27+Inputs!$B$29,MAX(0,(Inputs!$B$3-100)*3)+Inputs!$B$28+Inputs!$B$29)))</f>
        <v>185</v>
      </c>
      <c r="E1679">
        <f>INDEX(FactorTable!$B$2:$Y$301, MATCH(ROUND(MIN(300,MAX(1,D1679)),0), FactorTable!$A$2:$A$301,0), Skills!M25+1)</f>
        <v>1555</v>
      </c>
      <c r="F1679">
        <f>IF(Skills!N25=TRUE,(Skills!L25/10)*(E1679/1000),Skills!L25/10)+Skills!O25</f>
        <v>15.549999999999999</v>
      </c>
      <c r="G1679">
        <f>Calc!G25</f>
        <v>1</v>
      </c>
      <c r="H1679">
        <f>Calc!H25</f>
        <v>1</v>
      </c>
      <c r="I1679">
        <f>IF(Skills!X25&lt;&gt;"",1+(Skills!X25/10)*(Z1657/1000)/100,1)</f>
        <v>1</v>
      </c>
      <c r="O1679">
        <f>(1-Summary!$B$11)*S1679+Summary!$B$11*U1679</f>
        <v>0</v>
      </c>
      <c r="P1679">
        <f>IF(B1695=0,0,O1679/B1695)</f>
        <v>0</v>
      </c>
      <c r="Q1679">
        <f>IFERROR(1/(IF(Inputs!$B$38="pvp",15,MAX(0.1,Skills!E25-IF(TRUE=TRUE,Inputs!$B$32,0)))*(1-IF(AND(ArtifactsInput!$M$27,Inputs!$B$4="Chapter Hunt"),CHOOSE(ArtifactsInput!$N$27+1,20,24,28,32,36,40),0)/100)),0)</f>
        <v>10</v>
      </c>
      <c r="R1679">
        <v>0</v>
      </c>
      <c r="S1679">
        <v>0</v>
      </c>
      <c r="U1679">
        <v>0</v>
      </c>
    </row>
    <row r="1680" spans="1:21" x14ac:dyDescent="0.2">
      <c r="A1680" t="str">
        <f>Skills!A26</f>
        <v>ARCANE_AIM</v>
      </c>
      <c r="B1680" t="str">
        <f>Skills!B26</f>
        <v>Arcane Aim</v>
      </c>
      <c r="C1680" t="b">
        <f>Inputs!$B$3&gt;=120</f>
        <v>0</v>
      </c>
      <c r="D1680">
        <f>IF(Skills!C26=1,60+Inputs!$B$25+Inputs!$B$29,IF(Skills!C26=2,90+Inputs!$B$26+Inputs!$B$29,IF(Skills!C26=3,120+Inputs!$B$27+Inputs!$B$29,MAX(0,(Inputs!$B$3-100)*3)+Inputs!$B$28+Inputs!$B$29)))</f>
        <v>185</v>
      </c>
      <c r="E1680">
        <f>INDEX(FactorTable!$B$2:$Y$301, MATCH(ROUND(MIN(300,MAX(1,D1680)),0), FactorTable!$A$2:$A$301,0), Skills!M26+1)</f>
        <v>1555</v>
      </c>
      <c r="F1680">
        <f>IF(Skills!N26=TRUE,(Skills!L26/10)*(E1680/1000),Skills!L26/10)+Skills!O26</f>
        <v>4.665</v>
      </c>
      <c r="G1680">
        <f>Calc!G26</f>
        <v>1</v>
      </c>
      <c r="H1680">
        <f>Calc!H26</f>
        <v>1</v>
      </c>
      <c r="I1680">
        <f>IF(Skills!X26&lt;&gt;"",1+(Skills!X26/10)*(Z1657/1000)/100,1)</f>
        <v>1</v>
      </c>
      <c r="O1680">
        <f>(1-Summary!$B$11)*S1680+Summary!$B$11*U1680</f>
        <v>0</v>
      </c>
      <c r="P1680">
        <f>IF(B1695=0,0,O1680/B1695)</f>
        <v>0</v>
      </c>
      <c r="Q1680">
        <f>IFERROR(1/(IF(Inputs!$B$38="pvp",15,MAX(0.1,Skills!E26-IF(TRUE=TRUE,Inputs!$B$32,0)))*(1-IF(AND(ArtifactsInput!$M$27,Inputs!$B$4="Chapter Hunt"),CHOOSE(ArtifactsInput!$N$27+1,20,24,28,32,36,40),0)/100)),0)</f>
        <v>10</v>
      </c>
      <c r="R1680">
        <v>0</v>
      </c>
      <c r="S1680">
        <v>0</v>
      </c>
      <c r="U1680">
        <v>0</v>
      </c>
    </row>
    <row r="1681" spans="1:21" x14ac:dyDescent="0.2">
      <c r="A1681" t="str">
        <f>Skills!A27</f>
        <v>FERVENT_DRAIN</v>
      </c>
      <c r="B1681" t="str">
        <f>Skills!B27</f>
        <v>Fervent Drain</v>
      </c>
      <c r="C1681" t="b">
        <f>Inputs!$B$3&gt;=125</f>
        <v>0</v>
      </c>
      <c r="D1681">
        <f>IF(Skills!C27=1,60+Inputs!$B$25+Inputs!$B$29,IF(Skills!C27=2,90+Inputs!$B$26+Inputs!$B$29,IF(Skills!C27=3,120+Inputs!$B$27+Inputs!$B$29,MAX(0,(Inputs!$B$3-100)*3)+Inputs!$B$28+Inputs!$B$29)))</f>
        <v>185</v>
      </c>
      <c r="E1681">
        <f>INDEX(FactorTable!$B$2:$Y$301, MATCH(ROUND(MIN(300,MAX(1,D1681)),0), FactorTable!$A$2:$A$301,0), Skills!M27+1)</f>
        <v>1555</v>
      </c>
      <c r="F1681">
        <f>IF(Skills!N27=TRUE,(Skills!L27/10)*(E1681/1000),Skills!L27/10)+Skills!O27</f>
        <v>6.22</v>
      </c>
      <c r="G1681">
        <f>Calc!G27</f>
        <v>1</v>
      </c>
      <c r="H1681">
        <f>Calc!H27</f>
        <v>1</v>
      </c>
      <c r="I1681">
        <f>IF(Skills!X27&lt;&gt;"",1+(Skills!X27/10)*(Z1657/1000)/100,1)</f>
        <v>1</v>
      </c>
      <c r="O1681">
        <f>(1-Summary!$B$11)*S1681+Summary!$B$11*U1681</f>
        <v>0</v>
      </c>
      <c r="P1681">
        <f>IF(B1695=0,0,O1681/B1695)</f>
        <v>0</v>
      </c>
      <c r="Q1681">
        <f>IFERROR(1/(IF(Inputs!$B$38="pvp",15,MAX(0.1,Skills!E27-IF(TRUE=TRUE,Inputs!$B$32,0)))*(1-IF(AND(ArtifactsInput!$M$27,Inputs!$B$4="Chapter Hunt"),CHOOSE(ArtifactsInput!$N$27+1,20,24,28,32,36,40),0)/100)),0)</f>
        <v>10</v>
      </c>
      <c r="R1681">
        <v>0</v>
      </c>
      <c r="S1681">
        <v>0</v>
      </c>
      <c r="U1681">
        <v>0</v>
      </c>
    </row>
    <row r="1682" spans="1:21" x14ac:dyDescent="0.2">
      <c r="A1682" t="str">
        <f>Skills!A28</f>
        <v>FLAME_HAZE_FOG</v>
      </c>
      <c r="B1682" t="str">
        <f>Skills!B28</f>
        <v>Flame Haze (poison fog DoT)</v>
      </c>
      <c r="C1682" t="b">
        <f>Inputs!$B$3&gt;=118</f>
        <v>0</v>
      </c>
      <c r="D1682">
        <f>IF(Skills!C28=1,60+Inputs!$B$25+Inputs!$B$29,IF(Skills!C28=2,90+Inputs!$B$26+Inputs!$B$29,IF(Skills!C28=3,120+Inputs!$B$27+Inputs!$B$29,MAX(0,(Inputs!$B$3-100)*3)+Inputs!$B$28+Inputs!$B$29)))</f>
        <v>185</v>
      </c>
      <c r="E1682">
        <f>INDEX(FactorTable!$B$2:$Y$301, MATCH(ROUND(MIN(300,MAX(1,D1682)),0), FactorTable!$A$2:$A$301,0), Skills!M28+1)</f>
        <v>1925</v>
      </c>
      <c r="F1682">
        <f>IF(Skills!N28=TRUE,(Skills!L28/10)*(E1682/1000),Skills!L28/10)+Skills!O28</f>
        <v>134.75</v>
      </c>
      <c r="G1682">
        <f>Calc!G28</f>
        <v>50</v>
      </c>
      <c r="H1682">
        <f>Calc!H28</f>
        <v>1</v>
      </c>
      <c r="I1682">
        <f>IF(Skills!X28&lt;&gt;"",1+(Skills!X28/10)*(Z1657/1000)/100,1)</f>
        <v>1</v>
      </c>
      <c r="J1682">
        <f>((Inputs!$B$6*(1+Inputs!$B$7/100))+(((Inputs!$B$12*(1+Inputs!$B$13/100))-(Inputs!$B$12*(1+Inputs!$B$13/100)))+0.25*(Inputs!$B$14-Inputs!$B$14))*(1+Inputs!$B$7/100))*(F1682/100)</f>
        <v>486628767.57437253</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2445179485771.9116</v>
      </c>
      <c r="L1682">
        <f>K1682*(MIN(Inputs!$B$22+(F1676-Calc!F22),(Inputs!$B$23+(IF(ArtifactsInput!$M$15,CHOOSE(ArtifactsInput!$N$15+1,25,30,35,40,45,50)/100*(Inputs!$B$11-Inputs!$B$11),0))))/100+(Inputs!$B$23+(IF(ArtifactsInput!$M$15,CHOOSE(ArtifactsInput!$N$15+1,25,30,35,40,45,50)/100*(Inputs!$B$11-Inputs!$B$11),0)))/100)/2</f>
        <v>8130221790191.6064</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682">
        <f>L1682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682">
        <f>(1-Summary!$B$11)*S1682+Summary!$B$11*U1682</f>
        <v>0</v>
      </c>
      <c r="P1682">
        <f>IF(B1695=0,0,O1682/B1695)</f>
        <v>0</v>
      </c>
      <c r="Q1682">
        <f>IFERROR(1/(IF(Inputs!$B$38="pvp",15,MAX(0.1,Skills!E28-IF(TRUE=TRUE,Inputs!$B$32,0)))*(1-IF(AND(ArtifactsInput!$M$27,Inputs!$B$4="Chapter Hunt"),CHOOSE(ArtifactsInput!$N$27+1,20,24,28,32,36,40),0)/100)),0)</f>
        <v>0.04</v>
      </c>
      <c r="R1682">
        <f>IF(AND(Inputs!$B$38&lt;&gt;"pvp",Inputs!$B$43&gt;0),IF(MAX(0,Inputs!$B$43-B1692)&lt;=0,0,(INT(MAX(0,Inputs!$B$43-B1692)/(IF(Inputs!$B$38="pvp",15,MAX(0.1,Skills!E28-IF(TRUE=TRUE,Inputs!$B$32,0)))*(1-IF(AND(ArtifactsInput!$M$27,Inputs!$B$4="Chapter Hunt"),CHOOSE(ArtifactsInput!$N$27+1,20,24,28,32,36,40),0)/100)))+1)),0)</f>
        <v>2</v>
      </c>
      <c r="S1682">
        <f>IF(C1682,(H1682*N1682*IF(AND(Inputs!$B$38&lt;&gt;"pvp",Inputs!$B$43&gt;0),((Skills!G28*((R1682-1)*IF(Skills!H28&gt;0,Skills!I28/Skills!H28,1)+IF(Skills!H28&gt;0,MIN(Skills!I28,MAX(0,MAX(0,Inputs!$B$43-B1692)-((R1682-1)*(IF(Inputs!$B$38="pvp",15,MAX(0.1,Skills!E28-IF(TRUE=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682">
        <f>IF(C1682,(H1682*N1682*IF(AND(Inputs!$B$38&lt;&gt;"pvp",Inputs!$B$43&gt;0),((Skills!G28*((R1682-1)*IF(Skills!H28&gt;0,Skills!I28/Skills!H28,1)+IF(Skills!H28&gt;0,MIN(Skills!I28,MAX(0,MAX(0,Inputs!$B$43-B1692)-((R1682-1)*(IF(Inputs!$B$38="pvp",15,MAX(0.1,Skills!E28-IF(TRUE=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684" spans="1:21" x14ac:dyDescent="0.2">
      <c r="A1684" t="s">
        <v>356</v>
      </c>
      <c r="B1684">
        <f>1+(F1665*Skills!Z11)/100</f>
        <v>1.25</v>
      </c>
    </row>
    <row r="1685" spans="1:21" x14ac:dyDescent="0.2">
      <c r="A1685" t="s">
        <v>435</v>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1.18624</v>
      </c>
    </row>
    <row r="1686" spans="1:21" x14ac:dyDescent="0.2">
      <c r="A1686" t="s">
        <v>358</v>
      </c>
      <c r="B1686">
        <f>(1+(F1660*IF(AND(Inputs!$B$38&lt;&gt;"pvp",Inputs!$B$43&gt;0),(((R1660-1)*MIN((Skills!T6*(1+((Inputs!$B$34+(ArtifactsInput!$M$7-ArtifactsInput!$M$7)*CHOOSE(ArtifactsInput!$N$7+1,6,7.2,8.4,9.6,10.8,12)))/100)),(1/Q1660))+MIN((Skills!T6*(1+((Inputs!$B$34+(ArtifactsInput!$M$7-ArtifactsInput!$M$7)*CHOOSE(ArtifactsInput!$N$7+1,6,7.2,8.4,9.6,10.8,12)))/100)),MAX(0,Inputs!$B$43-((R1660-1)*(1/Q1660)))))/Inputs!$B$43),IF(Inputs!$B$38="pvp",MIN((Skills!T6*(1+((Inputs!$B$34+(ArtifactsInput!$M$7-ArtifactsInput!$M$7)*CHOOSE(ArtifactsInput!$N$7+1,6,7.2,8.4,9.6,10.8,12)))/100)),15)/15,MIN(1,(Skills!T6*(1+((Inputs!$B$34+(ArtifactsInput!$M$7-ArtifactsInput!$M$7)*CHOOSE(ArtifactsInput!$N$7+1,6,7.2,8.4,9.6,10.8,12)))/100))/(1/Q1660))))+F1671*IF(AND(Inputs!$B$38&lt;&gt;"pvp",Inputs!$B$43&gt;0),(((R1671-1)*MIN((Skills!T17*(1+((Inputs!$B$34+(ArtifactsInput!$M$7-ArtifactsInput!$M$7)*CHOOSE(ArtifactsInput!$N$7+1,6,7.2,8.4,9.6,10.8,12)))/100)),(1/Q1671))+MIN((Skills!T17*(1+((Inputs!$B$34+(ArtifactsInput!$M$7-ArtifactsInput!$M$7)*CHOOSE(ArtifactsInput!$N$7+1,6,7.2,8.4,9.6,10.8,12)))/100)),MAX(0,Inputs!$B$43-((R1671-1)*(1/Q1671)))))/Inputs!$B$43),IF(Inputs!$B$38="pvp",MIN((Skills!T17*(1+((Inputs!$B$34+(ArtifactsInput!$M$7-ArtifactsInput!$M$7)*CHOOSE(ArtifactsInput!$N$7+1,6,7.2,8.4,9.6,10.8,12)))/100)),15)/15,MIN(1,(Skills!T17*(1+((Inputs!$B$34+(ArtifactsInput!$M$7-ArtifactsInput!$M$7)*CHOOSE(ArtifactsInput!$N$7+1,6,7.2,8.4,9.6,10.8,12)))/100))/(1/Q1671)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MIN((Skills!T19*(1+((Inputs!$B$34+(ArtifactsInput!$M$7-ArtifactsInput!$M$7)*CHOOSE(ArtifactsInput!$N$7+1,6,7.2,8.4,9.6,10.8,12)))/100)),(1/Q1673))+MIN((Skills!T19*(1+((Inputs!$B$34+(ArtifactsInput!$M$7-ArtifactsInput!$M$7)*CHOOSE(ArtifactsInput!$N$7+1,6,7.2,8.4,9.6,10.8,12)))/100)),MAX(0,Inputs!$B$43-((R1673-1)*(1/Q1673)))))/Inputs!$B$43),IF(Inputs!$B$38="pvp",MIN((Skills!T19*(1+((Inputs!$B$34+(ArtifactsInput!$M$7-ArtifactsInput!$M$7)*CHOOSE(ArtifactsInput!$N$7+1,6,7.2,8.4,9.6,10.8,12)))/100)),15)/15,MIN(1,(Skills!T19*(1+((Inputs!$B$34+(ArtifactsInput!$M$7-ArtifactsInput!$M$7)*CHOOSE(ArtifactsInput!$N$7+1,6,7.2,8.4,9.6,10.8,12)))/100))/(1/Q1673))))/100),1)</f>
        <v>1.7965808377980694</v>
      </c>
    </row>
    <row r="1687" spans="1:21" x14ac:dyDescent="0.2">
      <c r="A1687" t="s">
        <v>359</v>
      </c>
      <c r="B1687">
        <f>F1672*IF(AND(Inputs!$B$38&lt;&gt;"pvp",Inputs!$B$43&gt;0),(((R1672-1)*MIN((Skills!T18*(1+((Inputs!$B$34+(ArtifactsInput!$M$7-ArtifactsInput!$M$7)*CHOOSE(ArtifactsInput!$N$7+1,6,7.2,8.4,9.6,10.8,12)))/100)),(1/Q1672))+MIN((Skills!T18*(1+((Inputs!$B$34+(ArtifactsInput!$M$7-ArtifactsInput!$M$7)*CHOOSE(ArtifactsInput!$N$7+1,6,7.2,8.4,9.6,10.8,12)))/100)),MAX(0,Inputs!$B$43-((R1672-1)*(1/Q1672)))))/Inputs!$B$43),IF(Inputs!$B$38="pvp",MIN((Skills!T18*(1+((Inputs!$B$34+(ArtifactsInput!$M$7-ArtifactsInput!$M$7)*CHOOSE(ArtifactsInput!$N$7+1,6,7.2,8.4,9.6,10.8,12)))/100)),15)/15,MIN(1,(Skills!T18*(1+((Inputs!$B$34+(ArtifactsInput!$M$7-ArtifactsInput!$M$7)*CHOOSE(ArtifactsInput!$N$7+1,6,7.2,8.4,9.6,10.8,12)))/100))/(1/Q1672))))</f>
        <v>6.4968749999999993</v>
      </c>
    </row>
    <row r="1688" spans="1:21" x14ac:dyDescent="0.2">
      <c r="A1688" t="s">
        <v>436</v>
      </c>
      <c r="B1688">
        <f>1+MIN(150,150*(1-(1-(Inputs!$B$11+(ArtifactsInput!$M$15-ArtifactsInput!$M$15)*CHOOSE(ArtifactsInput!$N$15+1,8,9.6,11.2,12.8,14.4,16))/150)*(1-B1687/150)))/100</f>
        <v>1.6982958749999999</v>
      </c>
    </row>
    <row r="1689" spans="1:21" x14ac:dyDescent="0.2">
      <c r="A1689" t="s">
        <v>437</v>
      </c>
      <c r="B1689">
        <f>IF(AND(Inputs!$B$38&lt;&gt;"pvp",Inputs!$B$43&gt;0),SUMPRODUCT((Skills!F2:F28=TRUE)*(C1656:C1682=TRUE)*R1656:R1682)/Inputs!$B$43,SUMPRODUCT((Skills!F2:F28=TRUE)*(C1656:C1682=TRUE)*Q1656:Q1682))</f>
        <v>0.47499999999999998</v>
      </c>
    </row>
    <row r="1690" spans="1:21" x14ac:dyDescent="0.2">
      <c r="A1690" t="s">
        <v>362</v>
      </c>
      <c r="B1690">
        <f>MAX(0,B1688-B1689)</f>
        <v>1.2232958749999998</v>
      </c>
    </row>
    <row r="1691" spans="1:21" x14ac:dyDescent="0.2">
      <c r="A1691" t="s">
        <v>438</v>
      </c>
      <c r="B1691">
        <f>IF(AND(Inputs!$B$38&lt;&gt;"pvp",Inputs!$B$43&gt;0),SUMPRODUCT((Skills!V2:V28=TRUE)*(C1656:C1682=TRUE)*R1656:R1682*Skills!W2:W28)/Inputs!$B$43,SUMPRODUCT((Skills!V2:V28=TRUE)*(C1656:C1682=TRUE)*Q1656:Q1682*Skills!W2:W28))+B1690</f>
        <v>1.5482958749999998</v>
      </c>
    </row>
    <row r="1692" spans="1:21" x14ac:dyDescent="0.2">
      <c r="A1692" t="s">
        <v>439</v>
      </c>
      <c r="B1692">
        <f>IF(AND(Inputs!$B$38&lt;&gt;"pvp",Inputs!$B$43&gt;0),SUMPRODUCT((Skills!T2:T28&gt;0)*(Skills!F2:F28=TRUE)*(C1656:C1682=TRUE))/B1688,0)</f>
        <v>2.3553021937358238</v>
      </c>
    </row>
    <row r="1693" spans="1:21" x14ac:dyDescent="0.2">
      <c r="A1693" t="s">
        <v>440</v>
      </c>
      <c r="B1693">
        <f>SUM(S1656:S1682)</f>
        <v>9517263078933292</v>
      </c>
    </row>
    <row r="1694" spans="1:21" x14ac:dyDescent="0.2">
      <c r="A1694" t="s">
        <v>441</v>
      </c>
      <c r="B1694">
        <f>SUM(U1656:U1682)</f>
        <v>5.6656428257660488E+16</v>
      </c>
    </row>
    <row r="1695" spans="1:21" x14ac:dyDescent="0.2">
      <c r="A1695" s="6" t="s">
        <v>348</v>
      </c>
      <c r="B1695" s="6">
        <f>SUM(O1656:O1682)</f>
        <v>3.3086845668296892E+16</v>
      </c>
    </row>
    <row r="1698" spans="1:26" x14ac:dyDescent="0.2">
      <c r="A1698" s="6" t="s">
        <v>478</v>
      </c>
    </row>
    <row r="1699" spans="1:26" x14ac:dyDescent="0.2">
      <c r="A1699" s="5" t="s">
        <v>136</v>
      </c>
      <c r="B1699" s="5" t="s">
        <v>137</v>
      </c>
      <c r="C1699" s="5" t="s">
        <v>328</v>
      </c>
      <c r="D1699" s="5" t="s">
        <v>329</v>
      </c>
      <c r="E1699" s="5" t="s">
        <v>330</v>
      </c>
      <c r="F1699" s="5" t="s">
        <v>331</v>
      </c>
      <c r="G1699" s="5" t="s">
        <v>332</v>
      </c>
      <c r="H1699" s="5" t="s">
        <v>333</v>
      </c>
      <c r="I1699" s="5" t="s">
        <v>334</v>
      </c>
      <c r="J1699" s="5" t="s">
        <v>335</v>
      </c>
      <c r="K1699" s="5" t="s">
        <v>336</v>
      </c>
      <c r="L1699" s="5" t="s">
        <v>337</v>
      </c>
      <c r="M1699" s="5" t="s">
        <v>338</v>
      </c>
      <c r="N1699" s="5" t="s">
        <v>339</v>
      </c>
      <c r="O1699" s="5" t="s">
        <v>340</v>
      </c>
      <c r="P1699" s="5" t="s">
        <v>341</v>
      </c>
      <c r="R1699" t="s">
        <v>434</v>
      </c>
    </row>
    <row r="1700" spans="1:26" x14ac:dyDescent="0.2">
      <c r="A1700" t="str">
        <f>Skills!A2</f>
        <v>BASIC_ATTACK</v>
      </c>
      <c r="B1700" t="str">
        <f>Skills!B2</f>
        <v>Basic Attack</v>
      </c>
      <c r="C1700" t="b">
        <f>TRUE</f>
        <v>1</v>
      </c>
      <c r="F1700">
        <f>T1702+Skills!O2</f>
        <v>537.6</v>
      </c>
      <c r="G1700">
        <f>Calc!G2</f>
        <v>5</v>
      </c>
      <c r="H1700">
        <f>Calc!H2</f>
        <v>1</v>
      </c>
      <c r="I1700">
        <f>IF(Skills!X2&lt;&gt;"",1+(Skills!X2/10)*(Z1701/1000)/100,1)</f>
        <v>1</v>
      </c>
      <c r="J1700">
        <f>((Inputs!$B$6*(1+Inputs!$B$7/100))+(((Inputs!$B$12*(1+Inputs!$B$13/100))-(Inputs!$B$12*(1+Inputs!$B$13/100)))+0.25*(Inputs!$B$14-Inputs!$B$14))*(1+Inputs!$B$7/100))*(F1700/100)</f>
        <v>1941459186.9980164</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6620290711466.1074</v>
      </c>
      <c r="L1700">
        <f>K1700*(MIN(Inputs!$B$22+(F1720-Calc!F22),(Inputs!$B$23+(IF(ArtifactsInput!$M$15,CHOOSE(ArtifactsInput!$N$15+1,25,30,35,40,45,50)/100*(Inputs!$B$11-Inputs!$B$11),0))))/100+(Inputs!$B$23+(IF(ArtifactsInput!$M$15,CHOOSE(ArtifactsInput!$N$15+1,25,30,35,40,45,50)/100*(Inputs!$B$11-Inputs!$B$11),0)))/100)/2</f>
        <v>22012466615624.809</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700">
        <f>L1700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700">
        <f>(1-Summary!$B$11)*S1700+Summary!$B$11*U1700</f>
        <v>1.251342481087288E+16</v>
      </c>
      <c r="P1700">
        <f>IF(B1739=0,0,O1700/B1739)</f>
        <v>0.378199388854495</v>
      </c>
      <c r="Q1700">
        <f>IFERROR(1/(IF(Inputs!$B$38="pvp",15,MAX(0.1,Skills!E2-IF(TRUE=TRUE,Inputs!$B$32,0)))*(1-IF(AND(ArtifactsInput!$M$27,Inputs!$B$4="Chapter Hunt"),CHOOSE(ArtifactsInput!$N$27+1,20,24,28,32,36,40),0)/100)),0)</f>
        <v>10</v>
      </c>
      <c r="R1700">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700">
        <f>MAX(0,(Inputs!$B$3-100)*3)+Inputs!$B$28+Inputs!$B$29</f>
        <v>185</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700">
        <f>MAX(0,(Inputs!$B$3-100)*3)+Inputs!$B$28+Inputs!$B$29</f>
        <v>185</v>
      </c>
    </row>
    <row r="1701" spans="1:26" x14ac:dyDescent="0.2">
      <c r="A1701" t="str">
        <f>Skills!A3</f>
        <v>IGNITE</v>
      </c>
      <c r="B1701" t="str">
        <f>Skills!B3</f>
        <v>Ignite</v>
      </c>
      <c r="C1701" t="b">
        <f>TRUE</f>
        <v>1</v>
      </c>
      <c r="D1701">
        <f>IF(Skills!C3=1,60+Inputs!$B$25+Inputs!$B$29,IF(Skills!C3=2,90+Inputs!$B$26+Inputs!$B$29,IF(Skills!C3=3,120+Inputs!$B$27+Inputs!$B$29,MAX(0,(Inputs!$B$3-100)*3)+Inputs!$B$28+Inputs!$B$29)))</f>
        <v>168</v>
      </c>
      <c r="E1701">
        <f>INDEX(FactorTable!$B$2:$Y$301, MATCH(ROUND(MIN(300,MAX(1,D1701)),0), FactorTable!$A$2:$A$301,0), Skills!M3+1)</f>
        <v>1672</v>
      </c>
      <c r="F1701">
        <f>IF(Skills!N3=TRUE,(Skills!L3/10)*(E1701/1000),Skills!L3/10)+Skills!O3</f>
        <v>121.736</v>
      </c>
      <c r="G1701">
        <f>Calc!G3</f>
        <v>3</v>
      </c>
      <c r="H1701">
        <f>Calc!H3</f>
        <v>1</v>
      </c>
      <c r="I1701">
        <f>IF(Skills!X3&lt;&gt;"",1+(Skills!X3/10)*(Z1701/1000)/100,1)</f>
        <v>4.8250000000000002</v>
      </c>
      <c r="J1701">
        <f>((Inputs!$B$6*(1+Inputs!$B$7/100))+(((Inputs!$B$12*(1+Inputs!$B$13/100))-(Inputs!$B$12*(1+Inputs!$B$13/100)))+0.25*(Inputs!$B$14-Inputs!$B$14))*(1+Inputs!$B$7/100))*(F1701/100)</f>
        <v>439630720.9605478</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10658554617221.965</v>
      </c>
      <c r="L1701">
        <f>K1701*(MIN(Inputs!$B$22+(F1720-Calc!F22),(Inputs!$B$23+(IF(ArtifactsInput!$M$15,CHOOSE(ArtifactsInput!$N$15+1,25,30,35,40,45,50)/100*(Inputs!$B$11-Inputs!$B$11),0))))/100+(Inputs!$B$23+(IF(ArtifactsInput!$M$15,CHOOSE(ArtifactsInput!$N$15+1,25,30,35,40,45,50)/100*(Inputs!$B$11-Inputs!$B$11),0)))/100)/2</f>
        <v>35439694102263.031</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701">
        <f>L1701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701">
        <f>(1-Summary!$B$11)*S1701+Summary!$B$11*U1701</f>
        <v>2907465947806250</v>
      </c>
      <c r="P1701">
        <f>IF(B1739=0,0,O1701/B1739)</f>
        <v>8.7873772463965091E-2</v>
      </c>
      <c r="Q1701">
        <f>IFERROR(1/(IF(Inputs!$B$38="pvp",15,MAX(0.1,Skills!E3-IF(FALSE=TRUE,Inputs!$B$32,0)))*(1-IF(AND(ArtifactsInput!$M$27,Inputs!$B$4="Chapter Hunt"),CHOOSE(ArtifactsInput!$N$27+1,20,24,28,32,36,40),0)/100)),0)</f>
        <v>1</v>
      </c>
      <c r="R1701">
        <f>IF(AND(Inputs!$B$38&lt;&gt;"pvp",Inputs!$B$43&gt;0),IF(MAX(0,Inputs!$B$43-B1736)&lt;=0,0,(INT(MAX(0,Inputs!$B$43-B1736)/(IF(Inputs!$B$38="pvp",15,MAX(0.1,Skills!E3-IF(FALSE=TRUE,Inputs!$B$32,0)))*(1-IF(AND(ArtifactsInput!$M$27,Inputs!$B$4="Chapter Hunt"),CHOOSE(ArtifactsInput!$N$27+1,20,24,28,32,36,40),0)/100)))+1)),0)</f>
        <v>38</v>
      </c>
      <c r="S1701">
        <f>IF(C1701,(H1701*N1701*IF(AND(Inputs!$B$38&lt;&gt;"pvp",Inputs!$B$43&gt;0),((Skills!G3*((R1701-1)*IF(Skills!H3&gt;0,Skills!I3/Skills!H3,1)+IF(Skills!H3&gt;0,MIN(Skills!I3,MAX(0,MAX(0,Inputs!$B$43-B1736)-((R1701-1)*(IF(Inputs!$B$38="pvp",15,MAX(0.1,Skills!E3-IF(FALSE=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701">
        <f>INDEX(FactorTable!$B$2:$Y$301, MATCH(ROUND(MIN(300,MAX(1,T1700)),0), FactorTable!$A$2:$A$301,0), 22)</f>
        <v>1740</v>
      </c>
      <c r="U1701">
        <f>IF(C1701,(H1701*N1701*IF(AND(Inputs!$B$38&lt;&gt;"pvp",Inputs!$B$43&gt;0),((Skills!G3*((R1701-1)*IF(Skills!H3&gt;0,Skills!I3/Skills!H3,1)+IF(Skills!H3&gt;0,MIN(Skills!I3,MAX(0,MAX(0,Inputs!$B$43-B1736)-((R1701-1)*(IF(Inputs!$B$38="pvp",15,MAX(0.1,Skills!E3-IF(FALSE=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701">
        <f>INDEX(FactorTable!$B$2:$Y$301, MATCH(ROUND(MIN(300,MAX(1,Z1700)),0), FactorTable!$A$2:$A$301,0), 24)</f>
        <v>7650</v>
      </c>
    </row>
    <row r="1702" spans="1:26" x14ac:dyDescent="0.2">
      <c r="A1702" t="str">
        <f>Skills!A4</f>
        <v>POISON_BREATH</v>
      </c>
      <c r="B1702" t="str">
        <f>Skills!B4</f>
        <v>Poison Breath</v>
      </c>
      <c r="C1702" t="b">
        <f>TRUE</f>
        <v>1</v>
      </c>
      <c r="D1702">
        <f>IF(Skills!C4=1,60+Inputs!$B$25+Inputs!$B$29,IF(Skills!C4=2,90+Inputs!$B$26+Inputs!$B$29,IF(Skills!C4=3,120+Inputs!$B$27+Inputs!$B$29,MAX(0,(Inputs!$B$3-100)*3)+Inputs!$B$28+Inputs!$B$29)))</f>
        <v>168</v>
      </c>
      <c r="E1702">
        <f>INDEX(FactorTable!$B$2:$Y$301, MATCH(ROUND(MIN(300,MAX(1,D1702)),0), FactorTable!$A$2:$A$301,0), Skills!M4+1)</f>
        <v>1840</v>
      </c>
      <c r="F1702">
        <f>IF(Skills!N4=TRUE,(Skills!L4/10)*(E1702/1000),Skills!L4/10)+Skills!O4</f>
        <v>438</v>
      </c>
      <c r="G1702">
        <f>Calc!G4</f>
        <v>3</v>
      </c>
      <c r="H1702">
        <f>Calc!H4</f>
        <v>1</v>
      </c>
      <c r="I1702">
        <f>IF(Skills!X4&lt;&gt;"",1+(Skills!X4/10)*(Z1701/1000)/100,1)</f>
        <v>7.12</v>
      </c>
      <c r="J1702">
        <f>((Inputs!$B$6*(1+Inputs!$B$7/100))+(((Inputs!$B$12*(1+Inputs!$B$13/100))-(Inputs!$B$12*(1+Inputs!$B$13/100)))+0.25*(Inputs!$B$14-Inputs!$B$14))*(1+Inputs!$B$7/100))*(F1702/100)</f>
        <v>1581769203.69258</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56589528290529.523</v>
      </c>
      <c r="L1702">
        <f>K1702*(MIN(Inputs!$B$22+(F1720-Calc!F22),(Inputs!$B$23+(IF(ArtifactsInput!$M$15,CHOOSE(ArtifactsInput!$N$15+1,25,30,35,40,45,50)/100*(Inputs!$B$11-Inputs!$B$11),0))))/100+(Inputs!$B$23+(IF(ArtifactsInput!$M$15,CHOOSE(ArtifactsInput!$N$15+1,25,30,35,40,45,50)/100*(Inputs!$B$11-Inputs!$B$11),0)))/100)/2</f>
        <v>188160181566010.69</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702">
        <f>L1702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702">
        <f>(1-Summary!$B$11)*S1702+Summary!$B$11*U1702</f>
        <v>2120704790543594.2</v>
      </c>
      <c r="P1702">
        <f>IF(B1739=0,0,O1702/B1739)</f>
        <v>6.4095103286790744E-2</v>
      </c>
      <c r="Q1702">
        <f>IFERROR(1/(IF(Inputs!$B$38="pvp",15,MAX(0.1,Skills!E4-IF(TRUE=TRUE,Inputs!$B$32,0)))*(1-IF(AND(ArtifactsInput!$M$27,Inputs!$B$4="Chapter Hunt"),CHOOSE(ArtifactsInput!$N$27+1,20,24,28,32,36,40),0)/100)),0)</f>
        <v>5.5555555555555552E-2</v>
      </c>
      <c r="R1702">
        <f>IF(AND(Inputs!$B$38&lt;&gt;"pvp",Inputs!$B$43&gt;0),IF(MAX(0,Inputs!$B$43-B1736)&lt;=0,0,(INT(MAX(0,Inputs!$B$43-B1736)/(IF(Inputs!$B$38="pvp",15,MAX(0.1,Skills!E4-IF(TRUE=TRUE,Inputs!$B$32,0)))*(1-IF(AND(ArtifactsInput!$M$27,Inputs!$B$4="Chapter Hunt"),CHOOSE(ArtifactsInput!$N$27+1,20,24,28,32,36,40),0)/100)))+1)),0)</f>
        <v>3</v>
      </c>
      <c r="S1702">
        <f>IF(C1702,(H1702*N1702*IF(AND(Inputs!$B$38&lt;&gt;"pvp",Inputs!$B$43&gt;0),((Skills!G4*((R1702-1)*IF(Skills!H4&gt;0,Skills!I4/Skills!H4,1)+IF(Skills!H4&gt;0,MIN(Skills!I4,MAX(0,MAX(0,Inputs!$B$43-B1736)-((R1702-1)*(IF(Inputs!$B$38="pvp",15,MAX(0.1,Skills!E4-IF(TRUE=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702">
        <f>290*T1701/1000</f>
        <v>504.6</v>
      </c>
      <c r="U1702">
        <f>IF(C1702,(H1702*N1702*IF(AND(Inputs!$B$38&lt;&gt;"pvp",Inputs!$B$43&gt;0),((Skills!G4*((R1702-1)*IF(Skills!H4&gt;0,Skills!I4/Skills!H4,1)+IF(Skills!H4&gt;0,MIN(Skills!I4,MAX(0,MAX(0,Inputs!$B$43-B1736)-((R1702-1)*(IF(Inputs!$B$38="pvp",15,MAX(0.1,Skills!E4-IF(TRUE=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703" spans="1:26" x14ac:dyDescent="0.2">
      <c r="A1703" t="str">
        <f>Skills!A5</f>
        <v>ELEMENTAL_DRAIN</v>
      </c>
      <c r="B1703" t="str">
        <f>Skills!B5</f>
        <v>Elemental Drain</v>
      </c>
      <c r="C1703" t="b">
        <f>TRUE</f>
        <v>1</v>
      </c>
      <c r="D1703">
        <f>IF(Skills!C5=1,60+Inputs!$B$25+Inputs!$B$29,IF(Skills!C5=2,90+Inputs!$B$26+Inputs!$B$29,IF(Skills!C5=3,120+Inputs!$B$27+Inputs!$B$29,MAX(0,(Inputs!$B$3-100)*3)+Inputs!$B$28+Inputs!$B$29)))</f>
        <v>168</v>
      </c>
      <c r="E1703">
        <f>INDEX(FactorTable!$B$2:$Y$301, MATCH(ROUND(MIN(300,MAX(1,D1703)),0), FactorTable!$A$2:$A$301,0), Skills!M5+1)</f>
        <v>1672</v>
      </c>
      <c r="F1703">
        <f>IF(Skills!N5=TRUE,(Skills!L5/10)*(E1703/1000),Skills!L5/10)+Skills!O5</f>
        <v>20.064</v>
      </c>
      <c r="G1703">
        <f>Calc!G5</f>
        <v>5</v>
      </c>
      <c r="H1703">
        <f>Calc!H5</f>
        <v>1</v>
      </c>
      <c r="I1703">
        <f>IF(Skills!X5&lt;&gt;"",1+(Skills!X5/10)*(Z1701/1000)/100,1)</f>
        <v>12.475</v>
      </c>
      <c r="J1703">
        <f>((Inputs!$B$6*(1+Inputs!$B$7/100))+(((Inputs!$B$12*(1+Inputs!$B$13/100))-(Inputs!$B$12*(1+Inputs!$B$13/100)))+0.25*(Inputs!$B$14-Inputs!$B$14))*(1+Inputs!$B$7/100))*(F1703/100)</f>
        <v>72458030.371890247</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4541925884983.542</v>
      </c>
      <c r="L1703">
        <f>K1703*(MIN(Inputs!$B$22+(F1720-Calc!F22),(Inputs!$B$23+(IF(ArtifactsInput!$M$15,CHOOSE(ArtifactsInput!$N$15+1,25,30,35,40,45,50)/100*(Inputs!$B$11-Inputs!$B$11),0))))/100+(Inputs!$B$23+(IF(ArtifactsInput!$M$15,CHOOSE(ArtifactsInput!$N$15+1,25,30,35,40,45,50)/100*(Inputs!$B$11-Inputs!$B$11),0)))/100)/2</f>
        <v>15101903567570.277</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703">
        <f>L1703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703">
        <f>(1-Summary!$B$11)*S1703+Summary!$B$11*U1703</f>
        <v>1046004996783807</v>
      </c>
      <c r="P1703">
        <f>IF(B1739=0,0,O1703/B1739)</f>
        <v>3.1613923166633758E-2</v>
      </c>
      <c r="Q1703">
        <f>IFERROR(1/(IF(Inputs!$B$38="pvp",15,MAX(0.1,Skills!E5-IF(FALSE=TRUE,Inputs!$B$32,0)))*(1-IF(AND(ArtifactsInput!$M$27,Inputs!$B$4="Chapter Hunt"),CHOOSE(ArtifactsInput!$N$27+1,20,24,28,32,36,40),0)/100)),0)</f>
        <v>1</v>
      </c>
      <c r="R1703">
        <f>IF(AND(Inputs!$B$38&lt;&gt;"pvp",Inputs!$B$43&gt;0),IF(MAX(0,Inputs!$B$43-B1736)&lt;=0,0,(INT(MAX(0,Inputs!$B$43-B1736)/(IF(Inputs!$B$38="pvp",15,MAX(0.1,Skills!E5-IF(FALSE=TRUE,Inputs!$B$32,0)))*(1-IF(AND(ArtifactsInput!$M$27,Inputs!$B$4="Chapter Hunt"),CHOOSE(ArtifactsInput!$N$27+1,20,24,28,32,36,40),0)/100)))+1)),0)</f>
        <v>38</v>
      </c>
      <c r="S1703">
        <f>IF(C1703,(H1703*N1703*IF(AND(Inputs!$B$38&lt;&gt;"pvp",Inputs!$B$43&gt;0),((Skills!G5*((R1703-1)*IF(Skills!H5&gt;0,Skills!I5/Skills!H5,1)+IF(Skills!H5&gt;0,MIN(Skills!I5,MAX(0,MAX(0,Inputs!$B$43-B1736)-((R1703-1)*(IF(Inputs!$B$38="pvp",15,MAX(0.1,Skills!E5-IF(FALSE=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703">
        <f>IF(C1703,(H1703*N1703*IF(AND(Inputs!$B$38&lt;&gt;"pvp",Inputs!$B$43&gt;0),((Skills!G5*((R1703-1)*IF(Skills!H5&gt;0,Skills!I5/Skills!H5,1)+IF(Skills!H5&gt;0,MIN(Skills!I5,MAX(0,MAX(0,Inputs!$B$43-B1736)-((R1703-1)*(IF(Inputs!$B$38="pvp",15,MAX(0.1,Skills!E5-IF(FALSE=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704" spans="1:26" x14ac:dyDescent="0.2">
      <c r="A1704" t="str">
        <f>Skills!A6</f>
        <v>MEDITATION</v>
      </c>
      <c r="B1704" t="str">
        <f>Skills!B6</f>
        <v>Meditation</v>
      </c>
      <c r="C1704" t="b">
        <f>TRUE</f>
        <v>1</v>
      </c>
      <c r="D1704">
        <f>IF(Skills!C6=1,60+Inputs!$B$25+Inputs!$B$29,IF(Skills!C6=2,90+Inputs!$B$26+Inputs!$B$29,IF(Skills!C6=3,120+Inputs!$B$27+Inputs!$B$29,MAX(0,(Inputs!$B$3-100)*3)+Inputs!$B$28+Inputs!$B$29)))</f>
        <v>168</v>
      </c>
      <c r="E1704">
        <f>INDEX(FactorTable!$B$2:$Y$301, MATCH(ROUND(MIN(300,MAX(1,D1704)),0), FactorTable!$A$2:$A$301,0), Skills!M6+1)</f>
        <v>1672</v>
      </c>
      <c r="F1704">
        <f>IF(Skills!N6=TRUE,(Skills!L6/10)*(E1704/1000),Skills!L6/10)+Skills!O6</f>
        <v>33.44</v>
      </c>
      <c r="G1704">
        <f>Calc!G6</f>
        <v>1</v>
      </c>
      <c r="H1704">
        <f>Calc!H6</f>
        <v>1</v>
      </c>
      <c r="I1704">
        <f>IF(Skills!X6&lt;&gt;"",1+(Skills!X6/10)*(Z1701/1000)/100,1)</f>
        <v>1</v>
      </c>
      <c r="O1704">
        <f>(1-Summary!$B$11)*S1704+Summary!$B$11*U1704</f>
        <v>0</v>
      </c>
      <c r="P1704">
        <f>IF(B1739=0,0,O1704/B1739)</f>
        <v>0</v>
      </c>
      <c r="Q1704">
        <f>IFERROR(1/(IF(Inputs!$B$38="pvp",15,MAX(0.1,Skills!E6-IF(TRUE=TRUE,Inputs!$B$32,0)))*(1-IF(AND(ArtifactsInput!$M$27,Inputs!$B$4="Chapter Hunt"),CHOOSE(ArtifactsInput!$N$27+1,20,24,28,32,36,40),0)/100)),0)</f>
        <v>3.3333333333333333E-2</v>
      </c>
      <c r="R1704">
        <f>IF(AND(Inputs!$B$38&lt;&gt;"pvp",Inputs!$B$43&gt;0),IF(Inputs!$B$43&lt;=0,0,(INT(Inputs!$B$43/(IF(Inputs!$B$38="pvp",15,MAX(0.1,Skills!E6-IF(TRUE=TRUE,Inputs!$B$32,0)))*(1-IF(AND(ArtifactsInput!$M$27,Inputs!$B$4="Chapter Hunt"),CHOOSE(ArtifactsInput!$N$27+1,20,24,28,32,36,40),0)/100)))+1)),0)</f>
        <v>2</v>
      </c>
      <c r="S1704">
        <v>0</v>
      </c>
      <c r="U1704">
        <v>0</v>
      </c>
    </row>
    <row r="1705" spans="1:26" x14ac:dyDescent="0.2">
      <c r="A1705" t="str">
        <f>Skills!A7</f>
        <v>POISON_MIST_BURST</v>
      </c>
      <c r="B1705" t="str">
        <f>Skills!B7</f>
        <v>Poison Mist (burst)</v>
      </c>
      <c r="C1705" t="b">
        <f>TRUE</f>
        <v>1</v>
      </c>
      <c r="D1705">
        <f>IF(Skills!C7=1,60+Inputs!$B$25+Inputs!$B$29,IF(Skills!C7=2,90+Inputs!$B$26+Inputs!$B$29,IF(Skills!C7=3,120+Inputs!$B$27+Inputs!$B$29,MAX(0,(Inputs!$B$3-100)*3)+Inputs!$B$28+Inputs!$B$29)))</f>
        <v>184</v>
      </c>
      <c r="E1705">
        <f>INDEX(FactorTable!$B$2:$Y$301, MATCH(ROUND(MIN(300,MAX(1,D1705)),0), FactorTable!$A$2:$A$301,0), Skills!M7+1)</f>
        <v>1920</v>
      </c>
      <c r="F1705">
        <f>IF(Skills!N7=TRUE,(Skills!L7/10)*(E1705/1000),Skills!L7/10)+Skills!O7</f>
        <v>357.2</v>
      </c>
      <c r="G1705">
        <f>Calc!G7</f>
        <v>3</v>
      </c>
      <c r="H1705">
        <f>Calc!H7</f>
        <v>1</v>
      </c>
      <c r="I1705">
        <f>IF(Skills!X7&lt;&gt;"",1+(Skills!X7/10)*(Z1701/1000)/100,1)</f>
        <v>1.7650000000000001</v>
      </c>
      <c r="J1705">
        <f>((Inputs!$B$6*(1+Inputs!$B$7/100))+(((Inputs!$B$12*(1+Inputs!$B$13/100))-(Inputs!$B$12*(1+Inputs!$B$13/100)))+0.25*(Inputs!$B$14-Inputs!$B$14))*(1+Inputs!$B$7/100))*(F1705/100)</f>
        <v>1289972510.4086521</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11440318873772.086</v>
      </c>
      <c r="L1705">
        <f>K1705*(MIN(Inputs!$B$22+(F1720-Calc!F22),(Inputs!$B$23+(IF(ArtifactsInput!$M$15,CHOOSE(ArtifactsInput!$N$15+1,25,30,35,40,45,50)/100*(Inputs!$B$11-Inputs!$B$11),0))))/100+(Inputs!$B$23+(IF(ArtifactsInput!$M$15,CHOOSE(ArtifactsInput!$N$15+1,25,30,35,40,45,50)/100*(Inputs!$B$11-Inputs!$B$11),0)))/100)/2</f>
        <v>38039060255292.188</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705">
        <f>L1705*(1-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705">
        <f>(1-Summary!$B$11)*S1705+Summary!$B$11*U1705</f>
        <v>447913158316422</v>
      </c>
      <c r="P1705">
        <f>IF(B1739=0,0,O1705/B1739)</f>
        <v>1.3537499549121505E-2</v>
      </c>
      <c r="Q1705">
        <f>IFERROR(1/(IF(Inputs!$B$38="pvp",15,MAX(0.1,Skills!E7-IF(TRUE=TRUE,Inputs!$B$32,0)))*(1-IF(AND(ArtifactsInput!$M$27,Inputs!$B$4="Chapter Hunt"),CHOOSE(ArtifactsInput!$N$27+1,20,24,28,32,36,40),0)/100)),0)</f>
        <v>4.0816326530612242E-2</v>
      </c>
      <c r="R1705">
        <f>IF(AND(Inputs!$B$38&lt;&gt;"pvp",Inputs!$B$43&gt;0),IF(MAX(0,Inputs!$B$43-B1736)&lt;=0,0,(INT(MAX(0,Inputs!$B$43-B1736)/(IF(Inputs!$B$38="pvp",15,MAX(0.1,Skills!E7-IF(TRUE=TRUE,Inputs!$B$32,0)))*(1-IF(AND(ArtifactsInput!$M$27,Inputs!$B$4="Chapter Hunt"),CHOOSE(ArtifactsInput!$N$27+1,20,24,28,32,36,40),0)/100)))+1)),0)</f>
        <v>2</v>
      </c>
      <c r="S1705">
        <f>IF(C1705,(H1705*N1705*IF(AND(Inputs!$B$38&lt;&gt;"pvp",Inputs!$B$43&gt;0),((Skills!G7*((R1705-1)*IF(Skills!H7&gt;0,Skills!I7/Skills!H7,1)+IF(Skills!H7&gt;0,MIN(Skills!I7,MAX(0,MAX(0,Inputs!$B$43-B1736)-((R1705-1)*(IF(Inputs!$B$38="pvp",15,MAX(0.1,Skills!E7-IF(TRUE=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705">
        <f>IF(C1705,(H1705*N1705*IF(AND(Inputs!$B$38&lt;&gt;"pvp",Inputs!$B$43&gt;0),((Skills!G7*((R1705-1)*IF(Skills!H7&gt;0,Skills!I7/Skills!H7,1)+IF(Skills!H7&gt;0,MIN(Skills!I7,MAX(0,MAX(0,Inputs!$B$43-B1736)-((R1705-1)*(IF(Inputs!$B$38="pvp",15,MAX(0.1,Skills!E7-IF(TRUE=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706" spans="1:26" x14ac:dyDescent="0.2">
      <c r="A1706" t="str">
        <f>Skills!A8</f>
        <v>POISON_MIST_DOT</v>
      </c>
      <c r="B1706" t="str">
        <f>Skills!B8</f>
        <v>Poison Mist (fog DoT)</v>
      </c>
      <c r="C1706" t="b">
        <f>TRUE</f>
        <v>1</v>
      </c>
      <c r="D1706">
        <f>IF(Skills!C8=1,60+Inputs!$B$25+Inputs!$B$29,IF(Skills!C8=2,90+Inputs!$B$26+Inputs!$B$29,IF(Skills!C8=3,120+Inputs!$B$27+Inputs!$B$29,MAX(0,(Inputs!$B$3-100)*3)+Inputs!$B$28+Inputs!$B$29)))</f>
        <v>184</v>
      </c>
      <c r="E1706">
        <f>INDEX(FactorTable!$B$2:$Y$301, MATCH(ROUND(MIN(300,MAX(1,D1706)),0), FactorTable!$A$2:$A$301,0), Skills!M8+1)</f>
        <v>1920</v>
      </c>
      <c r="F1706">
        <f>IF(Skills!N8=TRUE,(Skills!L8/10)*(E1706/1000),Skills!L8/10)+Skills!O8</f>
        <v>134.4</v>
      </c>
      <c r="G1706">
        <f>Calc!G8</f>
        <v>50</v>
      </c>
      <c r="H1706">
        <f>Calc!H8</f>
        <v>1</v>
      </c>
      <c r="I1706">
        <f>IF(Skills!X8&lt;&gt;"",1+(Skills!X8/10)*(Z1701/1000)/100,1)</f>
        <v>1.7650000000000001</v>
      </c>
      <c r="J1706">
        <f>((Inputs!$B$6*(1+Inputs!$B$7/100))+(((Inputs!$B$12*(1+Inputs!$B$13/100))-(Inputs!$B$12*(1+Inputs!$B$13/100)))+0.25*(Inputs!$B$14-Inputs!$B$14))*(1+Inputs!$B$7/100))*(F1706/100)</f>
        <v>485364796.74950409</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4304532073446.1597</v>
      </c>
      <c r="L1706">
        <f>K1706*(MIN(Inputs!$B$22+(F1720-Calc!F22),(Inputs!$B$23+(IF(ArtifactsInput!$M$15,CHOOSE(ArtifactsInput!$N$15+1,25,30,35,40,45,50)/100*(Inputs!$B$11-Inputs!$B$11),0))))/100+(Inputs!$B$23+(IF(ArtifactsInput!$M$15,CHOOSE(ArtifactsInput!$N$15+1,25,30,35,40,45,50)/100*(Inputs!$B$11-Inputs!$B$11),0)))/100)/2</f>
        <v>14312569144208.482</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706">
        <f>L1706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706">
        <f>(1-Summary!$B$11)*S1706+Summary!$B$11*U1706</f>
        <v>2327471980535951</v>
      </c>
      <c r="P1706">
        <f>IF(B1739=0,0,O1706/B1739)</f>
        <v>7.0344329703392813E-2</v>
      </c>
      <c r="Q1706">
        <f>IFERROR(1/(IF(Inputs!$B$38="pvp",15,MAX(0.1,Skills!E8-IF(TRUE=TRUE,Inputs!$B$32,0)))*(1-IF(AND(ArtifactsInput!$M$27,Inputs!$B$4="Chapter Hunt"),CHOOSE(ArtifactsInput!$N$27+1,20,24,28,32,36,40),0)/100)),0)</f>
        <v>4.0816326530612242E-2</v>
      </c>
      <c r="R1706">
        <f>IF(AND(Inputs!$B$38&lt;&gt;"pvp",Inputs!$B$43&gt;0),IF(MAX(0,Inputs!$B$43-B1736)&lt;=0,0,(INT(MAX(0,Inputs!$B$43-B1736)/(IF(Inputs!$B$38="pvp",15,MAX(0.1,Skills!E8-IF(TRUE=TRUE,Inputs!$B$32,0)))*(1-IF(AND(ArtifactsInput!$M$27,Inputs!$B$4="Chapter Hunt"),CHOOSE(ArtifactsInput!$N$27+1,20,24,28,32,36,40),0)/100)))+1)),0)</f>
        <v>2</v>
      </c>
      <c r="S1706">
        <f>IF(C1706,(H1706*N1706*IF(AND(Inputs!$B$38&lt;&gt;"pvp",Inputs!$B$43&gt;0),((Skills!G8*((R1706-1)*IF(Skills!H8&gt;0,Skills!I8/Skills!H8,1)+IF(Skills!H8&gt;0,MIN(Skills!I8,MAX(0,MAX(0,Inputs!$B$43-B1736)-((R1706-1)*(IF(Inputs!$B$38="pvp",15,MAX(0.1,Skills!E8-IF(TRUE=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706">
        <f>IF(C1706,(H1706*N1706*IF(AND(Inputs!$B$38&lt;&gt;"pvp",Inputs!$B$43&gt;0),((Skills!G8*((R1706-1)*IF(Skills!H8&gt;0,Skills!I8/Skills!H8,1)+IF(Skills!H8&gt;0,MIN(Skills!I8,MAX(0,MAX(0,Inputs!$B$43-B1736)-((R1706-1)*(IF(Inputs!$B$38="pvp",15,MAX(0.1,Skills!E8-IF(TRUE=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707" spans="1:26" x14ac:dyDescent="0.2">
      <c r="A1707" t="str">
        <f>Skills!A9</f>
        <v>MIST_ERUPTION</v>
      </c>
      <c r="B1707" t="str">
        <f>Skills!B9</f>
        <v>Mist Eruption</v>
      </c>
      <c r="C1707" t="b">
        <f>Inputs!$B$3&gt;=103</f>
        <v>1</v>
      </c>
      <c r="D1707">
        <f>IF(Skills!C9=1,60+Inputs!$B$25+Inputs!$B$29,IF(Skills!C9=2,90+Inputs!$B$26+Inputs!$B$29,IF(Skills!C9=3,120+Inputs!$B$27+Inputs!$B$29,MAX(0,(Inputs!$B$3-100)*3)+Inputs!$B$28+Inputs!$B$29)))</f>
        <v>185</v>
      </c>
      <c r="E1707">
        <f>INDEX(FactorTable!$B$2:$Y$301, MATCH(ROUND(MIN(300,MAX(1,D1707)),0), FactorTable!$A$2:$A$301,0), Skills!M9+1)</f>
        <v>1925</v>
      </c>
      <c r="F1707">
        <f>IF(Skills!N9=TRUE,(Skills!L9/10)*(E1707/1000),Skills!L9/10)+Skills!O9</f>
        <v>5775</v>
      </c>
      <c r="G1707">
        <f>Calc!G9</f>
        <v>2.5</v>
      </c>
      <c r="H1707">
        <f>Calc!H9</f>
        <v>1</v>
      </c>
      <c r="I1707">
        <f>IF(Skills!X9&lt;&gt;"",1+(Skills!X9/10)*(Z1701/1000)/100,1)</f>
        <v>1</v>
      </c>
      <c r="J1707">
        <f>((Inputs!$B$6*(1+Inputs!$B$7/100))+(((Inputs!$B$12*(1+Inputs!$B$13/100))-(Inputs!$B$12*(1+Inputs!$B$13/100)))+0.25*(Inputs!$B$14-Inputs!$B$14))*(1+Inputs!$B$7/100))*(F1707/100)</f>
        <v>20855518610.330254</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104793406533081.95</v>
      </c>
      <c r="L1707">
        <f>K1707*(MIN(Inputs!$B$22+(F1720-Calc!F22),(Inputs!$B$23+(IF(ArtifactsInput!$M$15,CHOOSE(ArtifactsInput!$N$15+1,25,30,35,40,45,50)/100*(Inputs!$B$11-Inputs!$B$11),0))))/100+(Inputs!$B$23+(IF(ArtifactsInput!$M$15,CHOOSE(ArtifactsInput!$N$15+1,25,30,35,40,45,50)/100*(Inputs!$B$11-Inputs!$B$11),0)))/100)/2</f>
        <v>348438076722497.5</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707">
        <f>L1707*(1-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707">
        <f>(1-Summary!$B$11)*S1707+Summary!$B$11*U1707</f>
        <v>3419073236278675</v>
      </c>
      <c r="P1707">
        <f>IF(B1739=0,0,O1707/B1739)</f>
        <v>0.10333633101673266</v>
      </c>
      <c r="Q1707">
        <f>IFERROR(1/(IF(Inputs!$B$38="pvp",15,MAX(0.1,Skills!E9-IF(TRUE=TRUE,Inputs!$B$32,0)))*(1-IF(AND(ArtifactsInput!$M$27,Inputs!$B$4="Chapter Hunt"),CHOOSE(ArtifactsInput!$N$27+1,20,24,28,32,36,40),0)/100)),0)</f>
        <v>4.0816326530612242E-2</v>
      </c>
      <c r="R1707">
        <f>IF(AND(Inputs!$B$38&lt;&gt;"pvp",Inputs!$B$43&gt;0),IF(MAX(0,Inputs!$B$43-B1736)&lt;=0,0,(INT(MAX(0,Inputs!$B$43-B1736)/(IF(Inputs!$B$38="pvp",15,MAX(0.1,Skills!E9-IF(TRUE=TRUE,Inputs!$B$32,0)))*(1-IF(AND(ArtifactsInput!$M$27,Inputs!$B$4="Chapter Hunt"),CHOOSE(ArtifactsInput!$N$27+1,20,24,28,32,36,40),0)/100)))+1)),0)</f>
        <v>2</v>
      </c>
      <c r="S1707">
        <f>IF(C1707,(H1707*N1707*IF(AND(Inputs!$B$38&lt;&gt;"pvp",Inputs!$B$43&gt;0),((Skills!G9*((R1707-1)*IF(Skills!H9&gt;0,Skills!I9/Skills!H9,1)+IF(Skills!H9&gt;0,MIN(Skills!I9,MAX(0,MAX(0,Inputs!$B$43-B1736)-((R1707-1)*(IF(Inputs!$B$38="pvp",15,MAX(0.1,Skills!E9-IF(TRUE=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707">
        <f>IF(C1707,(H1707*N1707*IF(AND(Inputs!$B$38&lt;&gt;"pvp",Inputs!$B$43&gt;0),((Skills!G9*((R1707-1)*IF(Skills!H9&gt;0,Skills!I9/Skills!H9,1)+IF(Skills!H9&gt;0,MIN(Skills!I9,MAX(0,MAX(0,Inputs!$B$43-B1736)-((R1707-1)*(IF(Inputs!$B$38="pvp",15,MAX(0.1,Skills!E9-IF(TRUE=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708" spans="1:26" x14ac:dyDescent="0.2">
      <c r="A1708" t="str">
        <f>Skills!A10</f>
        <v>CREEPING_TOXIN</v>
      </c>
      <c r="B1708" t="str">
        <f>Skills!B10</f>
        <v>Creeping Toxin</v>
      </c>
      <c r="C1708" t="b">
        <f>TRUE</f>
        <v>1</v>
      </c>
      <c r="D1708">
        <f>IF(Skills!C10=1,60+Inputs!$B$25+Inputs!$B$29,IF(Skills!C10=2,90+Inputs!$B$26+Inputs!$B$29,IF(Skills!C10=3,120+Inputs!$B$27+Inputs!$B$29,MAX(0,(Inputs!$B$3-100)*3)+Inputs!$B$28+Inputs!$B$29)))</f>
        <v>184</v>
      </c>
      <c r="E1708">
        <f>INDEX(FactorTable!$B$2:$Y$301, MATCH(ROUND(MIN(300,MAX(1,D1708)),0), FactorTable!$A$2:$A$301,0), Skills!M10+1)</f>
        <v>1920</v>
      </c>
      <c r="F1708">
        <f>IF(Skills!N10=TRUE,(Skills!L10/10)*(E1708/1000),Skills!L10/10)+Skills!O10</f>
        <v>280.39999999999998</v>
      </c>
      <c r="G1708">
        <f>Calc!G10</f>
        <v>15</v>
      </c>
      <c r="H1708">
        <f>Calc!H10</f>
        <v>1</v>
      </c>
      <c r="I1708">
        <f>IF(Skills!X10&lt;&gt;"",1+(Skills!X10/10)*(Z1701/1000)/100,1)</f>
        <v>1.7650000000000001</v>
      </c>
      <c r="J1708">
        <f>((Inputs!$B$6*(1+Inputs!$B$7/100))+(((Inputs!$B$12*(1+Inputs!$B$13/100))-(Inputs!$B$12*(1+Inputs!$B$13/100)))+0.25*(Inputs!$B$14-Inputs!$B$14))*(1+Inputs!$B$7/100))*(F1708/100)</f>
        <v>1012621197.9803641</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8980586260374.2793</v>
      </c>
      <c r="L1708">
        <f>K1708*(MIN(Inputs!$B$22+(F1720-Calc!F22),(Inputs!$B$23+(IF(ArtifactsInput!$M$15,CHOOSE(ArtifactsInput!$N$15+1,25,30,35,40,45,50)/100*(Inputs!$B$11-Inputs!$B$11),0))))/100+(Inputs!$B$23+(IF(ArtifactsInput!$M$15,CHOOSE(ArtifactsInput!$N$15+1,25,30,35,40,45,50)/100*(Inputs!$B$11-Inputs!$B$11),0)))/100)/2</f>
        <v>29860449315744.48</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708">
        <f>L1708*(1-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708">
        <f>(1-Summary!$B$11)*S1708+Summary!$B$11*U1708</f>
        <v>324323455609081.62</v>
      </c>
      <c r="P1708">
        <f>IF(B1739=0,0,O1708/B1739)</f>
        <v>9.8021872154419789E-3</v>
      </c>
      <c r="Q1708">
        <f>IFERROR(1/(IF(Inputs!$B$38="pvp",15,MAX(0.1,Skills!E10-IF(TRUE=TRUE,Inputs!$B$32,0)))*(1-IF(AND(ArtifactsInput!$M$27,Inputs!$B$4="Chapter Hunt"),CHOOSE(ArtifactsInput!$N$27+1,20,24,28,32,36,40),0)/100)),0)</f>
        <v>3.7037037037037035E-2</v>
      </c>
      <c r="R1708">
        <f>IF(AND(Inputs!$B$38&lt;&gt;"pvp",Inputs!$B$43&gt;0),IF(MAX(0,Inputs!$B$43-B1736)&lt;=0,0,(INT(MAX(0,Inputs!$B$43-B1736)/(IF(Inputs!$B$38="pvp",15,MAX(0.1,Skills!E10-IF(TRUE=TRUE,Inputs!$B$32,0)))*(1-IF(AND(ArtifactsInput!$M$27,Inputs!$B$4="Chapter Hunt"),CHOOSE(ArtifactsInput!$N$27+1,20,24,28,32,36,40),0)/100)))+1)),0)</f>
        <v>2</v>
      </c>
      <c r="S1708">
        <f>IF(C1708,(H1708*N1708*IF(AND(Inputs!$B$38&lt;&gt;"pvp",Inputs!$B$43&gt;0),((Skills!G10*((R1708-1)*IF(Skills!H10&gt;0,Skills!I10/Skills!H10,1)+IF(Skills!H10&gt;0,MIN(Skills!I10,MAX(0,MAX(0,Inputs!$B$43-B1736)-((R1708-1)*(IF(Inputs!$B$38="pvp",15,MAX(0.1,Skills!E10-IF(TRUE=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708">
        <f>IF(C1708,(H1708*N1708*IF(AND(Inputs!$B$38&lt;&gt;"pvp",Inputs!$B$43&gt;0),((Skills!G10*((R1708-1)*IF(Skills!H10&gt;0,Skills!I10/Skills!H10,1)+IF(Skills!H10&gt;0,MIN(Skills!I10,MAX(0,MAX(0,Inputs!$B$43-B1736)-((R1708-1)*(IF(Inputs!$B$38="pvp",15,MAX(0.1,Skills!E10-IF(TRUE=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709" spans="1:26" x14ac:dyDescent="0.2">
      <c r="A1709" t="str">
        <f>Skills!A11</f>
        <v>BURNING_MAGIC</v>
      </c>
      <c r="B1709" t="str">
        <f>Skills!B11</f>
        <v>Burning Magic</v>
      </c>
      <c r="C1709" t="b">
        <f>TRUE</f>
        <v>1</v>
      </c>
      <c r="D1709">
        <f>IF(Skills!C11=1,60+Inputs!$B$25+Inputs!$B$29,IF(Skills!C11=2,90+Inputs!$B$26+Inputs!$B$29,IF(Skills!C11=3,120+Inputs!$B$27+Inputs!$B$29,MAX(0,(Inputs!$B$3-100)*3)+Inputs!$B$28+Inputs!$B$29)))</f>
        <v>184</v>
      </c>
      <c r="E1709">
        <f>INDEX(FactorTable!$B$2:$Y$301, MATCH(ROUND(MIN(300,MAX(1,D1709)),0), FactorTable!$A$2:$A$301,0), Skills!M11+1)</f>
        <v>0</v>
      </c>
      <c r="F1709">
        <f>IF(Skills!N11=TRUE,(Skills!L11/10)*(E1709/1000),Skills!L11/10)+Skills!O11</f>
        <v>5</v>
      </c>
      <c r="G1709">
        <f>Calc!G11</f>
        <v>1</v>
      </c>
      <c r="H1709">
        <f>Calc!H11</f>
        <v>1</v>
      </c>
      <c r="I1709">
        <f>IF(Skills!X11&lt;&gt;"",1+(Skills!X11/10)*(Z1701/1000)/100,1)</f>
        <v>1</v>
      </c>
      <c r="O1709">
        <f>(1-Summary!$B$11)*S1709+Summary!$B$11*U1709</f>
        <v>0</v>
      </c>
      <c r="P1709">
        <f>IF(B1739=0,0,O1709/B1739)</f>
        <v>0</v>
      </c>
      <c r="Q1709">
        <f>IFERROR(1/(IF(Inputs!$B$38="pvp",15,MAX(0.1,Skills!E11-IF(TRUE=TRUE,Inputs!$B$32,0)))*(1-IF(AND(ArtifactsInput!$M$27,Inputs!$B$4="Chapter Hunt"),CHOOSE(ArtifactsInput!$N$27+1,20,24,28,32,36,40),0)/100)),0)</f>
        <v>10</v>
      </c>
      <c r="R1709">
        <v>0</v>
      </c>
      <c r="S1709">
        <v>0</v>
      </c>
      <c r="U1709">
        <v>0</v>
      </c>
    </row>
    <row r="1710" spans="1:26" x14ac:dyDescent="0.2">
      <c r="A1710" t="str">
        <f>Skills!A12</f>
        <v>ELEMENTAL_DECREASE</v>
      </c>
      <c r="B1710" t="str">
        <f>Skills!B12</f>
        <v>Elemental Decrease</v>
      </c>
      <c r="C1710" t="b">
        <f>TRUE</f>
        <v>1</v>
      </c>
      <c r="D1710">
        <f>IF(Skills!C12=1,60+Inputs!$B$25+Inputs!$B$29,IF(Skills!C12=2,90+Inputs!$B$26+Inputs!$B$29,IF(Skills!C12=3,120+Inputs!$B$27+Inputs!$B$29,MAX(0,(Inputs!$B$3-100)*3)+Inputs!$B$28+Inputs!$B$29)))</f>
        <v>184</v>
      </c>
      <c r="E1710">
        <f>INDEX(FactorTable!$B$2:$Y$301, MATCH(ROUND(MIN(300,MAX(1,D1710)),0), FactorTable!$A$2:$A$301,0), Skills!M12+1)</f>
        <v>1552</v>
      </c>
      <c r="F1710">
        <f>IF(Skills!N12=TRUE,(Skills!L12/10)*(E1710/1000),Skills!L12/10)+Skills!O12</f>
        <v>18.624000000000002</v>
      </c>
      <c r="G1710">
        <f>Calc!G12</f>
        <v>1</v>
      </c>
      <c r="H1710">
        <f>Calc!H12</f>
        <v>0.5</v>
      </c>
      <c r="I1710">
        <f>IF(Skills!X12&lt;&gt;"",1+(Skills!X12/10)*(Z1701/1000)/100,1)</f>
        <v>1</v>
      </c>
      <c r="O1710">
        <f>(1-Summary!$B$11)*S1710+Summary!$B$11*U1710</f>
        <v>0</v>
      </c>
      <c r="P1710">
        <f>IF(B1739=0,0,O1710/B1739)</f>
        <v>0</v>
      </c>
      <c r="Q1710">
        <f>IFERROR(1/(IF(Inputs!$B$38="pvp",15,MAX(0.1,Skills!E12-IF(TRUE=TRUE,Inputs!$B$32,0)))*(1-IF(AND(ArtifactsInput!$M$27,Inputs!$B$4="Chapter Hunt"),CHOOSE(ArtifactsInput!$N$27+1,20,24,28,32,36,40),0)/100)),0)</f>
        <v>10</v>
      </c>
      <c r="R1710">
        <v>0</v>
      </c>
      <c r="S1710">
        <v>0</v>
      </c>
      <c r="U1710">
        <v>0</v>
      </c>
    </row>
    <row r="1711" spans="1:26" x14ac:dyDescent="0.2">
      <c r="A1711" t="str">
        <f>Skills!A13</f>
        <v>METEOR_SHOWER_BURST</v>
      </c>
      <c r="B1711" t="str">
        <f>Skills!B13</f>
        <v>Meteor Shower (burst)</v>
      </c>
      <c r="C1711" t="b">
        <f>Inputs!$B$3&gt;=105</f>
        <v>1</v>
      </c>
      <c r="D1711">
        <f>IF(Skills!C13=1,60+Inputs!$B$25+Inputs!$B$29,IF(Skills!C13=2,90+Inputs!$B$26+Inputs!$B$29,IF(Skills!C13=3,120+Inputs!$B$27+Inputs!$B$29,MAX(0,(Inputs!$B$3-100)*3)+Inputs!$B$28+Inputs!$B$29)))</f>
        <v>185</v>
      </c>
      <c r="E1711">
        <f>INDEX(FactorTable!$B$2:$Y$301, MATCH(ROUND(MIN(300,MAX(1,D1711)),0), FactorTable!$A$2:$A$301,0), Skills!M13+1)</f>
        <v>1925</v>
      </c>
      <c r="F1711">
        <f>IF(Skills!N13=TRUE,(Skills!L13/10)*(E1711/1000),Skills!L13/10)+Skills!O13</f>
        <v>1155</v>
      </c>
      <c r="G1711">
        <f>Calc!G13</f>
        <v>9</v>
      </c>
      <c r="H1711">
        <f>Calc!H13</f>
        <v>1</v>
      </c>
      <c r="I1711">
        <f>IF(Skills!X13&lt;&gt;"",1+(Skills!X13/10)*(Z1701/1000)/100,1)</f>
        <v>1</v>
      </c>
      <c r="J1711">
        <f>((Inputs!$B$6*(1+Inputs!$B$7/100))+(((Inputs!$B$12*(1+Inputs!$B$13/100))-(Inputs!$B$12*(1+Inputs!$B$13/100)))+0.25*(Inputs!$B$14-Inputs!$B$14))*(1+Inputs!$B$7/100))*(F1711/100)</f>
        <v>4171103722.0660505</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20958681306616.391</v>
      </c>
      <c r="L1711">
        <f>K1711*(MIN(Inputs!$B$22+(F1720-Calc!F22),(Inputs!$B$23+(IF(ArtifactsInput!$M$15,CHOOSE(ArtifactsInput!$N$15+1,25,30,35,40,45,50)/100*(Inputs!$B$11-Inputs!$B$11),0))))/100+(Inputs!$B$23+(IF(ArtifactsInput!$M$15,CHOOSE(ArtifactsInput!$N$15+1,25,30,35,40,45,50)/100*(Inputs!$B$11-Inputs!$B$11),0)))/100)/2</f>
        <v>69687615344499.5</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711">
        <f>L1711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711">
        <f>(1-Summary!$B$11)*S1711+Summary!$B$11*U1711</f>
        <v>1793579843045520.5</v>
      </c>
      <c r="P1711">
        <f>IF(B1739=0,0,O1711/B1739)</f>
        <v>5.4208245204954375E-2</v>
      </c>
      <c r="Q1711">
        <f>IFERROR(1/(IF(Inputs!$B$38="pvp",15,MAX(0.1,Skills!E13-IF(TRUE=TRUE,Inputs!$B$32,0)))*(1-IF(AND(ArtifactsInput!$M$27,Inputs!$B$4="Chapter Hunt"),CHOOSE(ArtifactsInput!$N$27+1,20,24,28,32,36,40),0)/100)),0)</f>
        <v>3.0303030303030304E-2</v>
      </c>
      <c r="R1711">
        <f>IF(AND(Inputs!$B$38&lt;&gt;"pvp",Inputs!$B$43&gt;0),IF(MAX(0,Inputs!$B$43-B1736)&lt;=0,0,(INT(MAX(0,Inputs!$B$43-B1736)/(IF(Inputs!$B$38="pvp",15,MAX(0.1,Skills!E13-IF(TRUE=TRUE,Inputs!$B$32,0)))*(1-IF(AND(ArtifactsInput!$M$27,Inputs!$B$4="Chapter Hunt"),CHOOSE(ArtifactsInput!$N$27+1,20,24,28,32,36,40),0)/100)))+1)),0)</f>
        <v>2</v>
      </c>
      <c r="S1711">
        <f>IF(C1711,(H1711*N1711*IF(AND(Inputs!$B$38&lt;&gt;"pvp",Inputs!$B$43&gt;0),((Skills!G13*((R1711-1)*IF(Skills!H13&gt;0,Skills!I13/Skills!H13,1)+IF(Skills!H13&gt;0,MIN(Skills!I13,MAX(0,MAX(0,Inputs!$B$43-B1736)-((R1711-1)*(IF(Inputs!$B$38="pvp",15,MAX(0.1,Skills!E13-IF(TRUE=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711">
        <f>IF(C1711,(H1711*N1711*IF(AND(Inputs!$B$38&lt;&gt;"pvp",Inputs!$B$43&gt;0),((Skills!G13*((R1711-1)*IF(Skills!H13&gt;0,Skills!I13/Skills!H13,1)+IF(Skills!H13&gt;0,MIN(Skills!I13,MAX(0,MAX(0,Inputs!$B$43-B1736)-((R1711-1)*(IF(Inputs!$B$38="pvp",15,MAX(0.1,Skills!E13-IF(TRUE=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712" spans="1:26" x14ac:dyDescent="0.2">
      <c r="A1712" t="str">
        <f>Skills!A14</f>
        <v>METEOR_PROC</v>
      </c>
      <c r="B1712" t="str">
        <f>Skills!B14</f>
        <v>Meteor Proc (30% on-hit, 1s ICD)</v>
      </c>
      <c r="C1712" t="b">
        <f>Inputs!$B$3&gt;=113</f>
        <v>1</v>
      </c>
      <c r="D1712">
        <f>IF(Skills!C14=1,60+Inputs!$B$25+Inputs!$B$29,IF(Skills!C14=2,90+Inputs!$B$26+Inputs!$B$29,IF(Skills!C14=3,120+Inputs!$B$27+Inputs!$B$29,MAX(0,(Inputs!$B$3-100)*3)+Inputs!$B$28+Inputs!$B$29)))</f>
        <v>185</v>
      </c>
      <c r="E1712">
        <f>INDEX(FactorTable!$B$2:$Y$301, MATCH(ROUND(MIN(300,MAX(1,D1712)),0), FactorTable!$A$2:$A$301,0), Skills!M14+1)</f>
        <v>1740</v>
      </c>
      <c r="F1712">
        <f>IF(Skills!N14=TRUE,(Skills!L14/10)*(E1712/1000),Skills!L14/10)+Skills!O14</f>
        <v>1653</v>
      </c>
      <c r="G1712">
        <f>Calc!G14</f>
        <v>0</v>
      </c>
      <c r="H1712">
        <f>Calc!H14</f>
        <v>0.30000000000000004</v>
      </c>
      <c r="I1712">
        <f>IF(Skills!X14&lt;&gt;"",1+(Skills!X14/10)*(Z1701/1000)/100,1)</f>
        <v>1</v>
      </c>
      <c r="J1712">
        <f>((Inputs!$B$6*(1+Inputs!$B$7/100))+(((Inputs!$B$12*(1+Inputs!$B$13/100))-(Inputs!$B$12*(1+Inputs!$B$13/100)))+0.25*(Inputs!$B$14-Inputs!$B$14))*(1+Inputs!$B$7/100))*(F1712/100)</f>
        <v>5969553638.5932312</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29995411428430.203</v>
      </c>
      <c r="L1712">
        <f>K1712*(MIN(Inputs!$B$22+(F1720-Calc!F22),(Inputs!$B$23+(IF(ArtifactsInput!$M$15,CHOOSE(ArtifactsInput!$N$15+1,25,30,35,40,45,50)/100*(Inputs!$B$11-Inputs!$B$11),0))))/100+(Inputs!$B$23+(IF(ArtifactsInput!$M$15,CHOOSE(ArtifactsInput!$N$15+1,25,30,35,40,45,50)/100*(Inputs!$B$11-Inputs!$B$11),0)))/100)/2</f>
        <v>99734742999530.438</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712">
        <f>L1712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712">
        <f>(1-Summary!$B$11)*S1712+Summary!$B$11*U1712</f>
        <v>461258197543910.38</v>
      </c>
      <c r="P1712">
        <f>IF(B1739=0,0,O1712/B1739)</f>
        <v>1.3940833229257574E-2</v>
      </c>
      <c r="Q1712">
        <f>IFERROR(1/(IF(Inputs!$B$38="pvp",15,MAX(0.1,Skills!E14-IF(TRUE=TRUE,Inputs!$B$32,0)))*(1-IF(AND(ArtifactsInput!$M$27,Inputs!$B$4="Chapter Hunt"),CHOOSE(ArtifactsInput!$N$27+1,20,24,28,32,36,40),0)/100)),0)</f>
        <v>10</v>
      </c>
      <c r="R1712">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713" spans="1:21" x14ac:dyDescent="0.2">
      <c r="A1713" t="str">
        <f>Skills!A15</f>
        <v>FLAME_HAZE_BURST</v>
      </c>
      <c r="B1713" t="str">
        <f>Skills!B15</f>
        <v>Flame Haze (burst)</v>
      </c>
      <c r="C1713" t="b">
        <f>Inputs!$B$3&gt;=107</f>
        <v>1</v>
      </c>
      <c r="D1713">
        <f>IF(Skills!C15=1,60+Inputs!$B$25+Inputs!$B$29,IF(Skills!C15=2,90+Inputs!$B$26+Inputs!$B$29,IF(Skills!C15=3,120+Inputs!$B$27+Inputs!$B$29,MAX(0,(Inputs!$B$3-100)*3)+Inputs!$B$28+Inputs!$B$29)))</f>
        <v>185</v>
      </c>
      <c r="E1713">
        <f>INDEX(FactorTable!$B$2:$Y$301, MATCH(ROUND(MIN(300,MAX(1,D1713)),0), FactorTable!$A$2:$A$301,0), Skills!M15+1)</f>
        <v>1925</v>
      </c>
      <c r="F1713">
        <f>IF(Skills!N15=TRUE,(Skills!L15/10)*(E1713/1000),Skills!L15/10)+Skills!O15</f>
        <v>2310</v>
      </c>
      <c r="G1713">
        <f>Calc!G15</f>
        <v>3</v>
      </c>
      <c r="H1713">
        <f>Calc!H15</f>
        <v>1</v>
      </c>
      <c r="I1713">
        <f>IF(Skills!X15&lt;&gt;"",1+(Skills!X15/10)*(Z1701/1000)/100,1)</f>
        <v>1</v>
      </c>
      <c r="J1713">
        <f>((Inputs!$B$6*(1+Inputs!$B$7/100))+(((Inputs!$B$12*(1+Inputs!$B$13/100))-(Inputs!$B$12*(1+Inputs!$B$13/100)))+0.25*(Inputs!$B$14-Inputs!$B$14))*(1+Inputs!$B$7/100))*(F1713/100)</f>
        <v>8342207444.1321011</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41917362613232.781</v>
      </c>
      <c r="L1713">
        <f>K1713*(MIN(Inputs!$B$22+(F1720-Calc!F22),(Inputs!$B$23+(IF(ArtifactsInput!$M$15,CHOOSE(ArtifactsInput!$N$15+1,25,30,35,40,45,50)/100*(Inputs!$B$11-Inputs!$B$11),0))))/100+(Inputs!$B$23+(IF(ArtifactsInput!$M$15,CHOOSE(ArtifactsInput!$N$15+1,25,30,35,40,45,50)/100*(Inputs!$B$11-Inputs!$B$11),0)))/100)/2</f>
        <v>139375230688999</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713">
        <f>L1713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713">
        <f>(1-Summary!$B$11)*S1713+Summary!$B$11*U1713</f>
        <v>1641155153413763.8</v>
      </c>
      <c r="P1713">
        <f>IF(B1739=0,0,O1713/B1739)</f>
        <v>4.9601438888031674E-2</v>
      </c>
      <c r="Q1713">
        <f>IFERROR(1/(IF(Inputs!$B$38="pvp",15,MAX(0.1,Skills!E15-IF(TRUE=TRUE,Inputs!$B$32,0)))*(1-IF(AND(ArtifactsInput!$M$27,Inputs!$B$4="Chapter Hunt"),CHOOSE(ArtifactsInput!$N$27+1,20,24,28,32,36,40),0)/100)),0)</f>
        <v>0.04</v>
      </c>
      <c r="R1713">
        <f>IF(AND(Inputs!$B$38&lt;&gt;"pvp",Inputs!$B$43&gt;0),IF(MAX(0,Inputs!$B$43-B1736)&lt;=0,0,(INT(MAX(0,Inputs!$B$43-B1736)/(IF(Inputs!$B$38="pvp",15,MAX(0.1,Skills!E15-IF(TRUE=TRUE,Inputs!$B$32,0)))*(1-IF(AND(ArtifactsInput!$M$27,Inputs!$B$4="Chapter Hunt"),CHOOSE(ArtifactsInput!$N$27+1,20,24,28,32,36,40),0)/100)))+1)),0)</f>
        <v>2</v>
      </c>
      <c r="S1713">
        <f>IF(C1713,(H1713*N1713*IF(AND(Inputs!$B$38&lt;&gt;"pvp",Inputs!$B$43&gt;0),((Skills!G15*((R1713-1)*IF(Skills!H15&gt;0,Skills!I15/Skills!H15,1)+IF(Skills!H15&gt;0,MIN(Skills!I15,MAX(0,MAX(0,Inputs!$B$43-B1736)-((R1713-1)*(IF(Inputs!$B$38="pvp",15,MAX(0.1,Skills!E15-IF(TRUE=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713">
        <f>IF(C1713,(H1713*N1713*IF(AND(Inputs!$B$38&lt;&gt;"pvp",Inputs!$B$43&gt;0),((Skills!G15*((R1713-1)*IF(Skills!H15&gt;0,Skills!I15/Skills!H15,1)+IF(Skills!H15&gt;0,MIN(Skills!I15,MAX(0,MAX(0,Inputs!$B$43-B1736)-((R1713-1)*(IF(Inputs!$B$38="pvp",15,MAX(0.1,Skills!E15-IF(TRUE=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714" spans="1:21" x14ac:dyDescent="0.2">
      <c r="A1714" t="str">
        <f>Skills!A16</f>
        <v>FLAME_HAZE_DOT</v>
      </c>
      <c r="B1714" t="str">
        <f>Skills!B16</f>
        <v>Flame Haze (burn DoT)</v>
      </c>
      <c r="C1714" t="b">
        <f>Inputs!$B$3&gt;=107</f>
        <v>1</v>
      </c>
      <c r="D1714">
        <f>IF(Skills!C16=1,60+Inputs!$B$25+Inputs!$B$29,IF(Skills!C16=2,90+Inputs!$B$26+Inputs!$B$29,IF(Skills!C16=3,120+Inputs!$B$27+Inputs!$B$29,MAX(0,(Inputs!$B$3-100)*3)+Inputs!$B$28+Inputs!$B$29)))</f>
        <v>185</v>
      </c>
      <c r="E1714">
        <f>INDEX(FactorTable!$B$2:$Y$301, MATCH(ROUND(MIN(300,MAX(1,D1714)),0), FactorTable!$A$2:$A$301,0), Skills!M16+1)</f>
        <v>1925</v>
      </c>
      <c r="F1714">
        <f>IF(Skills!N16=TRUE,(Skills!L16/10)*(E1714/1000),Skills!L16/10)+Skills!O16</f>
        <v>288.75</v>
      </c>
      <c r="G1714">
        <f>Calc!G16</f>
        <v>30</v>
      </c>
      <c r="H1714">
        <f>Calc!H16</f>
        <v>1</v>
      </c>
      <c r="I1714">
        <f>IF(Skills!X16&lt;&gt;"",1+(Skills!X16/10)*(Z1701/1000)/100,1)</f>
        <v>1</v>
      </c>
      <c r="J1714">
        <f>((Inputs!$B$6*(1+Inputs!$B$7/100))+(((Inputs!$B$12*(1+Inputs!$B$13/100))-(Inputs!$B$12*(1+Inputs!$B$13/100)))+0.25*(Inputs!$B$14-Inputs!$B$14))*(1+Inputs!$B$7/100))*(F1714/100)</f>
        <v>1042775930.5165126</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5239670326654.0977</v>
      </c>
      <c r="L1714">
        <f>K1714*(MIN(Inputs!$B$22+(F1720-Calc!F22),(Inputs!$B$23+(IF(ArtifactsInput!$M$15,CHOOSE(ArtifactsInput!$N$15+1,25,30,35,40,45,50)/100*(Inputs!$B$11-Inputs!$B$11),0))))/100+(Inputs!$B$23+(IF(ArtifactsInput!$M$15,CHOOSE(ArtifactsInput!$N$15+1,25,30,35,40,45,50)/100*(Inputs!$B$11-Inputs!$B$11),0)))/100)/2</f>
        <v>17421903836124.875</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714">
        <f>L1714*(1-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714">
        <f>(1-Summary!$B$11)*S1714+Summary!$B$11*U1714</f>
        <v>1890384927888193</v>
      </c>
      <c r="P1714">
        <f>IF(B1739=0,0,O1714/B1739)</f>
        <v>5.7134032867313167E-2</v>
      </c>
      <c r="Q1714">
        <f>IFERROR(1/(IF(Inputs!$B$38="pvp",15,MAX(0.1,Skills!E16-IF(TRUE=TRUE,Inputs!$B$32,0)))*(1-IF(AND(ArtifactsInput!$M$27,Inputs!$B$4="Chapter Hunt"),CHOOSE(ArtifactsInput!$N$27+1,20,24,28,32,36,40),0)/100)),0)</f>
        <v>0.04</v>
      </c>
      <c r="R1714">
        <f>IF(AND(Inputs!$B$38&lt;&gt;"pvp",Inputs!$B$43&gt;0),IF(MAX(0,Inputs!$B$43-B1736)&lt;=0,0,(INT(MAX(0,Inputs!$B$43-B1736)/(IF(Inputs!$B$38="pvp",15,MAX(0.1,Skills!E16-IF(TRUE=TRUE,Inputs!$B$32,0)))*(1-IF(AND(ArtifactsInput!$M$27,Inputs!$B$4="Chapter Hunt"),CHOOSE(ArtifactsInput!$N$27+1,20,24,28,32,36,40),0)/100)))+1)),0)</f>
        <v>2</v>
      </c>
      <c r="S1714">
        <f>IF(C1714,(H1714*N1714*IF(AND(Inputs!$B$38&lt;&gt;"pvp",Inputs!$B$43&gt;0),((Skills!G16*((R1714-1)*IF(Skills!H16&gt;0,Skills!I16/Skills!H16,1)+IF(Skills!H16&gt;0,MIN(Skills!I16,MAX(0,MAX(0,Inputs!$B$43-B1736)-((R1714-1)*(IF(Inputs!$B$38="pvp",15,MAX(0.1,Skills!E16-IF(TRUE=TRUE,Inputs!$B$32,0)))*(1-IF(AND(ArtifactsInput!$M$27,Inputs!$B$4="Chapter Hunt"),CHOOSE(ArtifactsInput!$N$27+1,20,24,28,32,36,40),0)/100)))))/Skills!H16,1)))/Inputs!$B$43),G1714*Q1714)*(1+IF(Inputs!$B$3&gt;=126,0.05*(B1734+Q1711+(H1712*B1735)/(1+Skills!H14*H1712*B1735)+Q1722),0)*(1/Q1713)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714">
        <f>IF(C1714,(H1714*N1714*IF(AND(Inputs!$B$38&lt;&gt;"pvp",Inputs!$B$43&gt;0),((Skills!G16*((R1714-1)*IF(Skills!H16&gt;0,Skills!I16/Skills!H16,1)+IF(Skills!H16&gt;0,MIN(Skills!I16,MAX(0,MAX(0,Inputs!$B$43-B1736)-((R1714-1)*(IF(Inputs!$B$38="pvp",15,MAX(0.1,Skills!E16-IF(TRUE=TRUE,Inputs!$B$32,0)))*(1-IF(AND(ArtifactsInput!$M$27,Inputs!$B$4="Chapter Hunt"),CHOOSE(ArtifactsInput!$N$27+1,20,24,28,32,36,40),0)/100)))))/Skills!H16,1)))/Inputs!$B$43),G1714*Q1714)*(1+IF(Inputs!$B$3&gt;=126,0.05*(B1734+Q1711+(H1712*B1735)/(1+Skills!H14*H1712*B1735)+Q1722),0)*(1/Q1713)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715" spans="1:21" x14ac:dyDescent="0.2">
      <c r="A1715" t="str">
        <f>Skills!A17</f>
        <v>MAGIC_GUARD</v>
      </c>
      <c r="B1715" t="str">
        <f>Skills!B17</f>
        <v>Magic Guard</v>
      </c>
      <c r="C1715" t="b">
        <f>TRUE</f>
        <v>1</v>
      </c>
      <c r="D1715">
        <f>IF(Skills!C17=1,60+Inputs!$B$25+Inputs!$B$29,IF(Skills!C17=2,90+Inputs!$B$26+Inputs!$B$29,IF(Skills!C17=3,120+Inputs!$B$27+Inputs!$B$29,MAX(0,(Inputs!$B$3-100)*3)+Inputs!$B$28+Inputs!$B$29)))</f>
        <v>127</v>
      </c>
      <c r="E1715">
        <f>INDEX(FactorTable!$B$2:$Y$301, MATCH(ROUND(MIN(300,MAX(1,D1715)),0), FactorTable!$A$2:$A$301,0), Skills!M17+1)</f>
        <v>1508</v>
      </c>
      <c r="F1715">
        <f>IF(Skills!N17=TRUE,(Skills!L17/10)*(E1715/1000),Skills!L17/10)+Skills!O17</f>
        <v>18.096</v>
      </c>
      <c r="G1715">
        <f>Calc!G17</f>
        <v>1</v>
      </c>
      <c r="H1715">
        <f>Calc!H17</f>
        <v>1</v>
      </c>
      <c r="I1715">
        <f>IF(Skills!X17&lt;&gt;"",1+(Skills!X17/10)*(Z1701/1000)/100,1)</f>
        <v>1</v>
      </c>
      <c r="O1715">
        <f>(1-Summary!$B$11)*S1715+Summary!$B$11*U1715</f>
        <v>0</v>
      </c>
      <c r="P1715">
        <f>IF(B1739=0,0,O1715/B1739)</f>
        <v>0</v>
      </c>
      <c r="Q1715">
        <f>IFERROR(1/(IF(Inputs!$B$38="pvp",15,MAX(0.1,Skills!E17-IF(TRUE=TRUE,Inputs!$B$32,0)))*(1-IF(AND(ArtifactsInput!$M$27,Inputs!$B$4="Chapter Hunt"),CHOOSE(ArtifactsInput!$N$27+1,20,24,28,32,36,40),0)/100)),0)</f>
        <v>4.7619047619047616E-2</v>
      </c>
      <c r="R1715">
        <f>IF(AND(Inputs!$B$38&lt;&gt;"pvp",Inputs!$B$43&gt;0),IF(Inputs!$B$43&lt;=0,0,(INT(Inputs!$B$43/(IF(Inputs!$B$38="pvp",15,MAX(0.1,Skills!E17-IF(TRUE=TRUE,Inputs!$B$32,0)))*(1-IF(AND(ArtifactsInput!$M$27,Inputs!$B$4="Chapter Hunt"),CHOOSE(ArtifactsInput!$N$27+1,20,24,28,32,36,40),0)/100)))+1)),0)</f>
        <v>2</v>
      </c>
      <c r="S1715">
        <v>0</v>
      </c>
      <c r="U1715">
        <v>0</v>
      </c>
    </row>
    <row r="1716" spans="1:21" x14ac:dyDescent="0.2">
      <c r="A1716" t="str">
        <f>Skills!A18</f>
        <v>NIMBLE_FEET</v>
      </c>
      <c r="B1716" t="str">
        <f>Skills!B18</f>
        <v>Nimble Feet</v>
      </c>
      <c r="C1716" t="b">
        <f>TRUE</f>
        <v>1</v>
      </c>
      <c r="D1716">
        <f>IF(Skills!C18=1,60+Inputs!$B$25+Inputs!$B$29,IF(Skills!C18=2,90+Inputs!$B$26+Inputs!$B$29,IF(Skills!C18=3,120+Inputs!$B$27+Inputs!$B$29,MAX(0,(Inputs!$B$3-100)*3)+Inputs!$B$28+Inputs!$B$29)))</f>
        <v>127</v>
      </c>
      <c r="E1716">
        <f>INDEX(FactorTable!$B$2:$Y$301, MATCH(ROUND(MIN(300,MAX(1,D1716)),0), FactorTable!$A$2:$A$301,0), Skills!M18+1)</f>
        <v>0</v>
      </c>
      <c r="F1716">
        <f>IF(Skills!N18=TRUE,(Skills!L18/10)*(E1716/1000),Skills!L18/10)+Skills!O18</f>
        <v>15</v>
      </c>
      <c r="G1716">
        <f>Calc!G18</f>
        <v>1</v>
      </c>
      <c r="H1716">
        <f>Calc!H18</f>
        <v>1</v>
      </c>
      <c r="I1716">
        <f>IF(Skills!X18&lt;&gt;"",1+(Skills!X18/10)*(Z1701/1000)/100,1)</f>
        <v>1</v>
      </c>
      <c r="O1716">
        <f>(1-Summary!$B$11)*S1716+Summary!$B$11*U1716</f>
        <v>0</v>
      </c>
      <c r="P1716">
        <f>IF(B1739=0,0,O1716/B1739)</f>
        <v>0</v>
      </c>
      <c r="Q1716">
        <f>IFERROR(1/(IF(Inputs!$B$38="pvp",15,MAX(0.1,Skills!E18-IF(TRUE=TRUE,Inputs!$B$32,0)))*(1-IF(AND(ArtifactsInput!$M$27,Inputs!$B$4="Chapter Hunt"),CHOOSE(ArtifactsInput!$N$27+1,20,24,28,32,36,40),0)/100)),0)</f>
        <v>1.6666666666666666E-2</v>
      </c>
      <c r="R1716">
        <f>IF(AND(Inputs!$B$38&lt;&gt;"pvp",Inputs!$B$43&gt;0),IF(Inputs!$B$43&lt;=0,0,(INT(Inputs!$B$43/(IF(Inputs!$B$38="pvp",15,MAX(0.1,Skills!E18-IF(TRUE=TRUE,Inputs!$B$32,0)))*(1-IF(AND(ArtifactsInput!$M$27,Inputs!$B$4="Chapter Hunt"),CHOOSE(ArtifactsInput!$N$27+1,20,24,28,32,36,40),0)/100)))+1)),0)</f>
        <v>1</v>
      </c>
      <c r="S1716">
        <v>0</v>
      </c>
      <c r="U1716">
        <v>0</v>
      </c>
    </row>
    <row r="1717" spans="1:21" x14ac:dyDescent="0.2">
      <c r="A1717" t="str">
        <f>Skills!A19</f>
        <v>INFINITY</v>
      </c>
      <c r="B1717" t="str">
        <f>Skills!B19</f>
        <v>Infinity</v>
      </c>
      <c r="C1717" t="b">
        <f>Inputs!$B$3&gt;=110</f>
        <v>1</v>
      </c>
      <c r="D1717">
        <f>IF(Skills!C19=1,60+Inputs!$B$25+Inputs!$B$29,IF(Skills!C19=2,90+Inputs!$B$26+Inputs!$B$29,IF(Skills!C19=3,120+Inputs!$B$27+Inputs!$B$29,MAX(0,(Inputs!$B$3-100)*3)+Inputs!$B$28+Inputs!$B$29)))</f>
        <v>185</v>
      </c>
      <c r="E1717">
        <f>INDEX(FactorTable!$B$2:$Y$301, MATCH(ROUND(MIN(300,MAX(1,D1717)),0), FactorTable!$A$2:$A$301,0), Skills!M19+1)</f>
        <v>1740</v>
      </c>
      <c r="F1717">
        <f>IF(Skills!N19=TRUE,(Skills!L19/10)*(E1717/1000),Skills!L19/10)+Skills!O19</f>
        <v>37.700579999999995</v>
      </c>
      <c r="G1717">
        <f>Calc!G19</f>
        <v>1</v>
      </c>
      <c r="H1717">
        <f>Calc!H19</f>
        <v>1</v>
      </c>
      <c r="I1717">
        <f>IF(Skills!X19&lt;&gt;"",1+(Skills!X19/10)*(Z1701/1000)/100,1)</f>
        <v>1</v>
      </c>
      <c r="O1717">
        <f>(1-Summary!$B$11)*S1717+Summary!$B$11*U1717</f>
        <v>0</v>
      </c>
      <c r="P1717">
        <f>IF(B1739=0,0,O1717/B1739)</f>
        <v>0</v>
      </c>
      <c r="Q1717">
        <f>IFERROR(1/(IF(Inputs!$B$38="pvp",15,MAX(0.1,Skills!E19-IF(TRUE=TRUE,Inputs!$B$32,0)))*(1-IF(AND(ArtifactsInput!$M$27,Inputs!$B$4="Chapter Hunt"),CHOOSE(ArtifactsInput!$N$27+1,20,24,28,32,36,40),0)/100)),0)</f>
        <v>3.3333333333333333E-2</v>
      </c>
      <c r="R1717">
        <f>IF(AND(Inputs!$B$38&lt;&gt;"pvp",Inputs!$B$43&gt;0),IF(Inputs!$B$43&lt;=0,0,(INT(Inputs!$B$43/(IF(Inputs!$B$38="pvp",15,MAX(0.1,Skills!E19-IF(TRUE=TRUE,Inputs!$B$32,0)))*(1-IF(AND(ArtifactsInput!$M$27,Inputs!$B$4="Chapter Hunt"),CHOOSE(ArtifactsInput!$N$27+1,20,24,28,32,36,40),0)/100)))+1)),0)</f>
        <v>2</v>
      </c>
      <c r="S1717">
        <v>0</v>
      </c>
      <c r="U1717">
        <v>0</v>
      </c>
    </row>
    <row r="1718" spans="1:21" x14ac:dyDescent="0.2">
      <c r="A1718" t="str">
        <f>Skills!A20</f>
        <v>MAGIC_CRITICAL_RATE</v>
      </c>
      <c r="B1718" t="str">
        <f>Skills!B20</f>
        <v>Magic Critical (Crit Rate)</v>
      </c>
      <c r="C1718" t="b">
        <f>TRUE</f>
        <v>1</v>
      </c>
      <c r="D1718">
        <f>IF(Skills!C20=1,60+Inputs!$B$25+Inputs!$B$29,IF(Skills!C20=2,90+Inputs!$B$26+Inputs!$B$29,IF(Skills!C20=3,120+Inputs!$B$27+Inputs!$B$29,MAX(0,(Inputs!$B$3-100)*3)+Inputs!$B$28+Inputs!$B$29)))</f>
        <v>184</v>
      </c>
      <c r="E1718">
        <f>INDEX(FactorTable!$B$2:$Y$301, MATCH(ROUND(MIN(300,MAX(1,D1718)),0), FactorTable!$A$2:$A$301,0), Skills!M20+1)</f>
        <v>1552</v>
      </c>
      <c r="F1718">
        <f>IF(Skills!N20=TRUE,(Skills!L20/10)*(E1718/1000),Skills!L20/10)+Skills!O20</f>
        <v>12.416</v>
      </c>
      <c r="G1718">
        <f>Calc!G20</f>
        <v>1</v>
      </c>
      <c r="H1718">
        <f>Calc!H20</f>
        <v>1</v>
      </c>
      <c r="I1718">
        <f>IF(Skills!X20&lt;&gt;"",1+(Skills!X20/10)*(Z1701/1000)/100,1)</f>
        <v>1</v>
      </c>
      <c r="O1718">
        <f>(1-Summary!$B$11)*S1718+Summary!$B$11*U1718</f>
        <v>0</v>
      </c>
      <c r="P1718">
        <f>IF(B1739=0,0,O1718/B1739)</f>
        <v>0</v>
      </c>
      <c r="Q1718">
        <f>IFERROR(1/(IF(Inputs!$B$38="pvp",15,MAX(0.1,Skills!E20-IF(TRUE=TRUE,Inputs!$B$32,0)))*(1-IF(AND(ArtifactsInput!$M$27,Inputs!$B$4="Chapter Hunt"),CHOOSE(ArtifactsInput!$N$27+1,20,24,28,32,36,40),0)/100)),0)</f>
        <v>10</v>
      </c>
      <c r="R1718">
        <v>0</v>
      </c>
      <c r="S1718">
        <v>0</v>
      </c>
      <c r="U1718">
        <v>0</v>
      </c>
    </row>
    <row r="1719" spans="1:21" x14ac:dyDescent="0.2">
      <c r="A1719" t="str">
        <f>Skills!A21</f>
        <v>MAGIC_CRITICAL_DAMAGE</v>
      </c>
      <c r="B1719" t="str">
        <f>Skills!B21</f>
        <v>Magic Critical (Crit Damage)</v>
      </c>
      <c r="C1719" t="b">
        <f>TRUE</f>
        <v>1</v>
      </c>
      <c r="D1719">
        <f>IF(Skills!C21=1,60+Inputs!$B$25+Inputs!$B$29,IF(Skills!C21=2,90+Inputs!$B$26+Inputs!$B$29,IF(Skills!C21=3,120+Inputs!$B$27+Inputs!$B$29,MAX(0,(Inputs!$B$3-100)*3)+Inputs!$B$28+Inputs!$B$29)))</f>
        <v>184</v>
      </c>
      <c r="E1719">
        <f>INDEX(FactorTable!$B$2:$Y$301, MATCH(ROUND(MIN(300,MAX(1,D1719)),0), FactorTable!$A$2:$A$301,0), Skills!M21+1)</f>
        <v>1552</v>
      </c>
      <c r="F1719">
        <f>IF(Skills!N21=TRUE,(Skills!L21/10)*(E1719/1000),Skills!L21/10)+Skills!O21</f>
        <v>18.624000000000002</v>
      </c>
      <c r="G1719">
        <f>Calc!G21</f>
        <v>1</v>
      </c>
      <c r="H1719">
        <f>Calc!H21</f>
        <v>1</v>
      </c>
      <c r="I1719">
        <f>IF(Skills!X21&lt;&gt;"",1+(Skills!X21/10)*(Z1701/1000)/100,1)</f>
        <v>1</v>
      </c>
      <c r="O1719">
        <f>(1-Summary!$B$11)*S1719+Summary!$B$11*U1719</f>
        <v>0</v>
      </c>
      <c r="P1719">
        <f>IF(B1739=0,0,O1719/B1739)</f>
        <v>0</v>
      </c>
      <c r="Q1719">
        <f>IFERROR(1/(IF(Inputs!$B$38="pvp",15,MAX(0.1,Skills!E21-IF(TRUE=TRUE,Inputs!$B$32,0)))*(1-IF(AND(ArtifactsInput!$M$27,Inputs!$B$4="Chapter Hunt"),CHOOSE(ArtifactsInput!$N$27+1,20,24,28,32,36,40),0)/100)),0)</f>
        <v>10</v>
      </c>
      <c r="R1719">
        <v>0</v>
      </c>
      <c r="S1719">
        <v>0</v>
      </c>
      <c r="U1719">
        <v>0</v>
      </c>
    </row>
    <row r="1720" spans="1:21" x14ac:dyDescent="0.2">
      <c r="A1720" t="str">
        <f>Skills!A22</f>
        <v>SPELL_MASTERY</v>
      </c>
      <c r="B1720" t="str">
        <f>Skills!B22</f>
        <v>Spell Mastery</v>
      </c>
      <c r="C1720" t="b">
        <f>TRUE</f>
        <v>1</v>
      </c>
      <c r="D1720">
        <f>IF(Skills!C22=1,60+Inputs!$B$25+Inputs!$B$29,IF(Skills!C22=2,90+Inputs!$B$26+Inputs!$B$29,IF(Skills!C22=3,120+Inputs!$B$27+Inputs!$B$29,MAX(0,(Inputs!$B$3-100)*3)+Inputs!$B$28+Inputs!$B$29)))</f>
        <v>168</v>
      </c>
      <c r="E1720">
        <f>INDEX(FactorTable!$B$2:$Y$301, MATCH(ROUND(MIN(300,MAX(1,D1720)),0), FactorTable!$A$2:$A$301,0), Skills!M22+1)</f>
        <v>1504</v>
      </c>
      <c r="F1720">
        <f>IF(Skills!N22=TRUE,(Skills!L22/10)*(E1720/1000),Skills!L22/10)+Skills!O22</f>
        <v>22.56</v>
      </c>
      <c r="G1720">
        <f>Calc!G22</f>
        <v>1</v>
      </c>
      <c r="H1720">
        <f>Calc!H22</f>
        <v>1</v>
      </c>
      <c r="I1720">
        <f>IF(Skills!X22&lt;&gt;"",1+(Skills!X22/10)*(Z1701/1000)/100,1)</f>
        <v>1</v>
      </c>
      <c r="O1720">
        <f>(1-Summary!$B$11)*S1720+Summary!$B$11*U1720</f>
        <v>0</v>
      </c>
      <c r="P1720">
        <f>IF(B1739=0,0,O1720/B1739)</f>
        <v>0</v>
      </c>
      <c r="Q1720">
        <f>IFERROR(1/(IF(Inputs!$B$38="pvp",15,MAX(0.1,Skills!E22-IF(TRUE=TRUE,Inputs!$B$32,0)))*(1-IF(AND(ArtifactsInput!$M$27,Inputs!$B$4="Chapter Hunt"),CHOOSE(ArtifactsInput!$N$27+1,20,24,28,32,36,40),0)/100)),0)</f>
        <v>10</v>
      </c>
      <c r="R1720">
        <v>0</v>
      </c>
      <c r="S1720">
        <v>0</v>
      </c>
      <c r="U1720">
        <v>0</v>
      </c>
    </row>
    <row r="1721" spans="1:21" x14ac:dyDescent="0.2">
      <c r="A1721" t="str">
        <f>Skills!A23</f>
        <v>ELEMENT_AMPLIFICATION</v>
      </c>
      <c r="B1721" t="str">
        <f>Skills!B23</f>
        <v>Element Amplification</v>
      </c>
      <c r="C1721" t="b">
        <f>TRUE</f>
        <v>1</v>
      </c>
      <c r="D1721">
        <f>IF(Skills!C23=1,60+Inputs!$B$25+Inputs!$B$29,IF(Skills!C23=2,90+Inputs!$B$26+Inputs!$B$29,IF(Skills!C23=3,120+Inputs!$B$27+Inputs!$B$29,MAX(0,(Inputs!$B$3-100)*3)+Inputs!$B$28+Inputs!$B$29)))</f>
        <v>185</v>
      </c>
      <c r="E1721">
        <f>INDEX(FactorTable!$B$2:$Y$301, MATCH(ROUND(MIN(300,MAX(1,D1721)),0), FactorTable!$A$2:$A$301,0), Skills!M23+1)</f>
        <v>1555</v>
      </c>
      <c r="F1721">
        <f>IF(Skills!N23=TRUE,(Skills!L23/10)*(E1721/1000),Skills!L23/10)+Skills!O23</f>
        <v>23.324999999999999</v>
      </c>
      <c r="G1721">
        <f>Calc!G23</f>
        <v>1</v>
      </c>
      <c r="H1721">
        <f>Calc!H23</f>
        <v>1</v>
      </c>
      <c r="I1721">
        <f>IF(Skills!X23&lt;&gt;"",1+(Skills!X23/10)*(Z1701/1000)/100,1)</f>
        <v>1</v>
      </c>
      <c r="O1721">
        <f>(1-Summary!$B$11)*S1721+Summary!$B$11*U1721</f>
        <v>0</v>
      </c>
      <c r="P1721">
        <f>IF(B1739=0,0,O1721/B1739)</f>
        <v>0</v>
      </c>
      <c r="Q1721">
        <f>IFERROR(1/(IF(Inputs!$B$38="pvp",15,MAX(0.1,Skills!E23-IF(TRUE=TRUE,Inputs!$B$32,0)))*(1-IF(AND(ArtifactsInput!$M$27,Inputs!$B$4="Chapter Hunt"),CHOOSE(ArtifactsInput!$N$27+1,20,24,28,32,36,40),0)/100)),0)</f>
        <v>10</v>
      </c>
      <c r="R1721">
        <v>0</v>
      </c>
      <c r="S1721">
        <v>0</v>
      </c>
      <c r="U1721">
        <v>0</v>
      </c>
    </row>
    <row r="1722" spans="1:21" x14ac:dyDescent="0.2">
      <c r="A1722" t="str">
        <f>Skills!A24</f>
        <v>IFRIT</v>
      </c>
      <c r="B1722" t="str">
        <f>Skills!B24</f>
        <v>Ifrit</v>
      </c>
      <c r="C1722" t="b">
        <f>Inputs!$B$3&gt;=115</f>
        <v>1</v>
      </c>
      <c r="D1722">
        <f>IF(Skills!C24=1,60+Inputs!$B$25+Inputs!$B$29,IF(Skills!C24=2,90+Inputs!$B$26+Inputs!$B$29,IF(Skills!C24=3,120+Inputs!$B$27+Inputs!$B$29,MAX(0,(Inputs!$B$3-100)*3)+Inputs!$B$28+Inputs!$B$29)))</f>
        <v>185</v>
      </c>
      <c r="E1722">
        <f>INDEX(FactorTable!$B$2:$Y$301, MATCH(ROUND(MIN(300,MAX(1,D1722)),0), FactorTable!$A$2:$A$301,0), Skills!M24+1)</f>
        <v>1925</v>
      </c>
      <c r="F1722">
        <f>IF(Skills!N24=TRUE,(Skills!L24/10)*(E1722/1000),Skills!L24/10)+Skills!O24</f>
        <v>6737.5</v>
      </c>
      <c r="G1722">
        <f>Calc!G24</f>
        <v>7.5</v>
      </c>
      <c r="H1722">
        <f>Calc!H24</f>
        <v>1</v>
      </c>
      <c r="I1722">
        <f>IF(Skills!X24&lt;&gt;"",1+(Skills!X24/10)*(Z1701/1000)/100,1)</f>
        <v>1</v>
      </c>
      <c r="J1722">
        <f>((Inputs!$B$6*(1+Inputs!$B$7/100))+(((Inputs!$B$12*(1+Inputs!$B$13/100))-(Inputs!$B$12*(1+Inputs!$B$13/100)))+0.25*(Inputs!$B$14-Inputs!$B$14))*(1+Inputs!$B$7/100))*(F1722/100)</f>
        <v>24331438378.718628</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122258974288595.61</v>
      </c>
      <c r="L1722">
        <f>K1722*(MIN(Inputs!$B$22+(F1720-Calc!F22),(Inputs!$B$23+(IF(ArtifactsInput!$M$15,CHOOSE(ArtifactsInput!$N$15+1,25,30,35,40,45,50)/100*(Inputs!$B$11-Inputs!$B$11),0))))/100+(Inputs!$B$23+(IF(ArtifactsInput!$M$15,CHOOSE(ArtifactsInput!$N$15+1,25,30,35,40,45,50)/100*(Inputs!$B$11-Inputs!$B$11),0)))/100)/2</f>
        <v>406511089509580.44</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722">
        <f>L1722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722">
        <f>(1-Summary!$B$11)*S1722+Summary!$B$11*U1722</f>
        <v>2194085169658842.8</v>
      </c>
      <c r="P1722">
        <f>IF(B1739=0,0,O1722/B1739)</f>
        <v>6.6312914553869617E-2</v>
      </c>
      <c r="Q1722">
        <f>IFERROR(1/(IF(Inputs!$B$38="pvp",15,MAX(0.1,Skills!E24-IF(TRUE=TRUE,Inputs!$B$32,0)))*(1-IF(AND(ArtifactsInput!$M$27,Inputs!$B$4="Chapter Hunt"),CHOOSE(ArtifactsInput!$N$27+1,20,24,28,32,36,40),0)/100)),0)</f>
        <v>1.2500000000000001E-2</v>
      </c>
      <c r="R1722">
        <f>IF(AND(Inputs!$B$38&lt;&gt;"pvp",Inputs!$B$43&gt;0),IF(MAX(0,Inputs!$B$43-B1736)&lt;=0,0,(INT(MAX(0,Inputs!$B$43-B1736)/(IF(Inputs!$B$38="pvp",15,MAX(0.1,Skills!E24-IF(TRUE=TRUE,Inputs!$B$32,0)))*(1-IF(AND(ArtifactsInput!$M$27,Inputs!$B$4="Chapter Hunt"),CHOOSE(ArtifactsInput!$N$27+1,20,24,28,32,36,40),0)/100)))+1)),0)</f>
        <v>1</v>
      </c>
      <c r="S1722">
        <f>IF(C1722,(H1722*N1722*IF(AND(Inputs!$B$38&lt;&gt;"pvp",Inputs!$B$43&gt;0),((Skills!G24*((R1722-1)*IF(Skills!H24&gt;0,Skills!I24/Skills!H24,1)+IF(Skills!H24&gt;0,MIN(Skills!I24,MAX(0,MAX(0,Inputs!$B$43-B1736)-((R1722-1)*(IF(Inputs!$B$38="pvp",15,MAX(0.1,Skills!E24-IF(TRUE=TRUE,Inputs!$B$32,0)))*(1-IF(AND(ArtifactsInput!$M$27,Inputs!$B$4="Chapter Hunt"),CHOOSE(ArtifactsInput!$N$27+1,20,24,28,32,36,40),0)/100)))))/Skills!H24,1)))/Inputs!$B$43),G1722*Q1722)*(1+IF(Inputs!$B$3&gt;=130,0.2*(Skills!I16/(1/Q1713)+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722">
        <f>IF(C1722,(H1722*N1722*IF(AND(Inputs!$B$38&lt;&gt;"pvp",Inputs!$B$43&gt;0),((Skills!G24*((R1722-1)*IF(Skills!H24&gt;0,Skills!I24/Skills!H24,1)+IF(Skills!H24&gt;0,MIN(Skills!I24,MAX(0,MAX(0,Inputs!$B$43-B1736)-((R1722-1)*(IF(Inputs!$B$38="pvp",15,MAX(0.1,Skills!E24-IF(TRUE=TRUE,Inputs!$B$32,0)))*(1-IF(AND(ArtifactsInput!$M$27,Inputs!$B$4="Chapter Hunt"),CHOOSE(ArtifactsInput!$N$27+1,20,24,28,32,36,40),0)/100)))))/Skills!H24,1)))/Inputs!$B$43),G1722*Q1722)*(1+IF(Inputs!$B$3&gt;=130,0.2*(Skills!I16/(1/Q1713)+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723" spans="1:21" x14ac:dyDescent="0.2">
      <c r="A1723" t="str">
        <f>Skills!A25</f>
        <v>BUFF_MASTERY</v>
      </c>
      <c r="B1723" t="str">
        <f>Skills!B25</f>
        <v>Buff Mastery</v>
      </c>
      <c r="C1723" t="b">
        <f>Inputs!$B$3&gt;=117</f>
        <v>1</v>
      </c>
      <c r="D1723">
        <f>IF(Skills!C25=1,60+Inputs!$B$25+Inputs!$B$29,IF(Skills!C25=2,90+Inputs!$B$26+Inputs!$B$29,IF(Skills!C25=3,120+Inputs!$B$27+Inputs!$B$29,MAX(0,(Inputs!$B$3-100)*3)+Inputs!$B$28+Inputs!$B$29)))</f>
        <v>185</v>
      </c>
      <c r="E1723">
        <f>INDEX(FactorTable!$B$2:$Y$301, MATCH(ROUND(MIN(300,MAX(1,D1723)),0), FactorTable!$A$2:$A$301,0), Skills!M25+1)</f>
        <v>1555</v>
      </c>
      <c r="F1723">
        <f>IF(Skills!N25=TRUE,(Skills!L25/10)*(E1723/1000),Skills!L25/10)+Skills!O25</f>
        <v>15.549999999999999</v>
      </c>
      <c r="G1723">
        <f>Calc!G25</f>
        <v>1</v>
      </c>
      <c r="H1723">
        <f>Calc!H25</f>
        <v>1</v>
      </c>
      <c r="I1723">
        <f>IF(Skills!X25&lt;&gt;"",1+(Skills!X25/10)*(Z1701/1000)/100,1)</f>
        <v>1</v>
      </c>
      <c r="O1723">
        <f>(1-Summary!$B$11)*S1723+Summary!$B$11*U1723</f>
        <v>0</v>
      </c>
      <c r="P1723">
        <f>IF(B1739=0,0,O1723/B1739)</f>
        <v>0</v>
      </c>
      <c r="Q1723">
        <f>IFERROR(1/(IF(Inputs!$B$38="pvp",15,MAX(0.1,Skills!E25-IF(TRUE=TRUE,Inputs!$B$32,0)))*(1-IF(AND(ArtifactsInput!$M$27,Inputs!$B$4="Chapter Hunt"),CHOOSE(ArtifactsInput!$N$27+1,20,24,28,32,36,40),0)/100)),0)</f>
        <v>10</v>
      </c>
      <c r="R1723">
        <v>0</v>
      </c>
      <c r="S1723">
        <v>0</v>
      </c>
      <c r="U1723">
        <v>0</v>
      </c>
    </row>
    <row r="1724" spans="1:21" x14ac:dyDescent="0.2">
      <c r="A1724" t="str">
        <f>Skills!A26</f>
        <v>ARCANE_AIM</v>
      </c>
      <c r="B1724" t="str">
        <f>Skills!B26</f>
        <v>Arcane Aim</v>
      </c>
      <c r="C1724" t="b">
        <f>Inputs!$B$3&gt;=120</f>
        <v>0</v>
      </c>
      <c r="D1724">
        <f>IF(Skills!C26=1,60+Inputs!$B$25+Inputs!$B$29,IF(Skills!C26=2,90+Inputs!$B$26+Inputs!$B$29,IF(Skills!C26=3,120+Inputs!$B$27+Inputs!$B$29,MAX(0,(Inputs!$B$3-100)*3)+Inputs!$B$28+Inputs!$B$29)))</f>
        <v>185</v>
      </c>
      <c r="E1724">
        <f>INDEX(FactorTable!$B$2:$Y$301, MATCH(ROUND(MIN(300,MAX(1,D1724)),0), FactorTable!$A$2:$A$301,0), Skills!M26+1)</f>
        <v>1555</v>
      </c>
      <c r="F1724">
        <f>IF(Skills!N26=TRUE,(Skills!L26/10)*(E1724/1000),Skills!L26/10)+Skills!O26</f>
        <v>4.665</v>
      </c>
      <c r="G1724">
        <f>Calc!G26</f>
        <v>1</v>
      </c>
      <c r="H1724">
        <f>Calc!H26</f>
        <v>1</v>
      </c>
      <c r="I1724">
        <f>IF(Skills!X26&lt;&gt;"",1+(Skills!X26/10)*(Z1701/1000)/100,1)</f>
        <v>1</v>
      </c>
      <c r="O1724">
        <f>(1-Summary!$B$11)*S1724+Summary!$B$11*U1724</f>
        <v>0</v>
      </c>
      <c r="P1724">
        <f>IF(B1739=0,0,O1724/B1739)</f>
        <v>0</v>
      </c>
      <c r="Q1724">
        <f>IFERROR(1/(IF(Inputs!$B$38="pvp",15,MAX(0.1,Skills!E26-IF(TRUE=TRUE,Inputs!$B$32,0)))*(1-IF(AND(ArtifactsInput!$M$27,Inputs!$B$4="Chapter Hunt"),CHOOSE(ArtifactsInput!$N$27+1,20,24,28,32,36,40),0)/100)),0)</f>
        <v>10</v>
      </c>
      <c r="R1724">
        <v>0</v>
      </c>
      <c r="S1724">
        <v>0</v>
      </c>
      <c r="U1724">
        <v>0</v>
      </c>
    </row>
    <row r="1725" spans="1:21" x14ac:dyDescent="0.2">
      <c r="A1725" t="str">
        <f>Skills!A27</f>
        <v>FERVENT_DRAIN</v>
      </c>
      <c r="B1725" t="str">
        <f>Skills!B27</f>
        <v>Fervent Drain</v>
      </c>
      <c r="C1725" t="b">
        <f>Inputs!$B$3&gt;=125</f>
        <v>0</v>
      </c>
      <c r="D1725">
        <f>IF(Skills!C27=1,60+Inputs!$B$25+Inputs!$B$29,IF(Skills!C27=2,90+Inputs!$B$26+Inputs!$B$29,IF(Skills!C27=3,120+Inputs!$B$27+Inputs!$B$29,MAX(0,(Inputs!$B$3-100)*3)+Inputs!$B$28+Inputs!$B$29)))</f>
        <v>185</v>
      </c>
      <c r="E1725">
        <f>INDEX(FactorTable!$B$2:$Y$301, MATCH(ROUND(MIN(300,MAX(1,D1725)),0), FactorTable!$A$2:$A$301,0), Skills!M27+1)</f>
        <v>1555</v>
      </c>
      <c r="F1725">
        <f>IF(Skills!N27=TRUE,(Skills!L27/10)*(E1725/1000),Skills!L27/10)+Skills!O27</f>
        <v>6.22</v>
      </c>
      <c r="G1725">
        <f>Calc!G27</f>
        <v>1</v>
      </c>
      <c r="H1725">
        <f>Calc!H27</f>
        <v>1</v>
      </c>
      <c r="I1725">
        <f>IF(Skills!X27&lt;&gt;"",1+(Skills!X27/10)*(Z1701/1000)/100,1)</f>
        <v>1</v>
      </c>
      <c r="O1725">
        <f>(1-Summary!$B$11)*S1725+Summary!$B$11*U1725</f>
        <v>0</v>
      </c>
      <c r="P1725">
        <f>IF(B1739=0,0,O1725/B1739)</f>
        <v>0</v>
      </c>
      <c r="Q1725">
        <f>IFERROR(1/(IF(Inputs!$B$38="pvp",15,MAX(0.1,Skills!E27-IF(TRUE=TRUE,Inputs!$B$32,0)))*(1-IF(AND(ArtifactsInput!$M$27,Inputs!$B$4="Chapter Hunt"),CHOOSE(ArtifactsInput!$N$27+1,20,24,28,32,36,40),0)/100)),0)</f>
        <v>10</v>
      </c>
      <c r="R1725">
        <v>0</v>
      </c>
      <c r="S1725">
        <v>0</v>
      </c>
      <c r="U1725">
        <v>0</v>
      </c>
    </row>
    <row r="1726" spans="1:21" x14ac:dyDescent="0.2">
      <c r="A1726" t="str">
        <f>Skills!A28</f>
        <v>FLAME_HAZE_FOG</v>
      </c>
      <c r="B1726" t="str">
        <f>Skills!B28</f>
        <v>Flame Haze (poison fog DoT)</v>
      </c>
      <c r="C1726" t="b">
        <f>Inputs!$B$3&gt;=118</f>
        <v>0</v>
      </c>
      <c r="D1726">
        <f>IF(Skills!C28=1,60+Inputs!$B$25+Inputs!$B$29,IF(Skills!C28=2,90+Inputs!$B$26+Inputs!$B$29,IF(Skills!C28=3,120+Inputs!$B$27+Inputs!$B$29,MAX(0,(Inputs!$B$3-100)*3)+Inputs!$B$28+Inputs!$B$29)))</f>
        <v>185</v>
      </c>
      <c r="E1726">
        <f>INDEX(FactorTable!$B$2:$Y$301, MATCH(ROUND(MIN(300,MAX(1,D1726)),0), FactorTable!$A$2:$A$301,0), Skills!M28+1)</f>
        <v>1925</v>
      </c>
      <c r="F1726">
        <f>IF(Skills!N28=TRUE,(Skills!L28/10)*(E1726/1000),Skills!L28/10)+Skills!O28</f>
        <v>134.75</v>
      </c>
      <c r="G1726">
        <f>Calc!G28</f>
        <v>50</v>
      </c>
      <c r="H1726">
        <f>Calc!H28</f>
        <v>1</v>
      </c>
      <c r="I1726">
        <f>IF(Skills!X28&lt;&gt;"",1+(Skills!X28/10)*(Z1701/1000)/100,1)</f>
        <v>1</v>
      </c>
      <c r="J1726">
        <f>((Inputs!$B$6*(1+Inputs!$B$7/100))+(((Inputs!$B$12*(1+Inputs!$B$13/100))-(Inputs!$B$12*(1+Inputs!$B$13/100)))+0.25*(Inputs!$B$14-Inputs!$B$14))*(1+Inputs!$B$7/100))*(F1726/100)</f>
        <v>486628767.57437253</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2445179485771.9116</v>
      </c>
      <c r="L1726">
        <f>K1726*(MIN(Inputs!$B$22+(F1720-Calc!F22),(Inputs!$B$23+(IF(ArtifactsInput!$M$15,CHOOSE(ArtifactsInput!$N$15+1,25,30,35,40,45,50)/100*(Inputs!$B$11-Inputs!$B$11),0))))/100+(Inputs!$B$23+(IF(ArtifactsInput!$M$15,CHOOSE(ArtifactsInput!$N$15+1,25,30,35,40,45,50)/100*(Inputs!$B$11-Inputs!$B$11),0)))/100)/2</f>
        <v>8130221790191.6064</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726">
        <f>L1726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726">
        <f>(1-Summary!$B$11)*S1726+Summary!$B$11*U1726</f>
        <v>0</v>
      </c>
      <c r="P1726">
        <f>IF(B1739=0,0,O1726/B1739)</f>
        <v>0</v>
      </c>
      <c r="Q1726">
        <f>IFERROR(1/(IF(Inputs!$B$38="pvp",15,MAX(0.1,Skills!E28-IF(TRUE=TRUE,Inputs!$B$32,0)))*(1-IF(AND(ArtifactsInput!$M$27,Inputs!$B$4="Chapter Hunt"),CHOOSE(ArtifactsInput!$N$27+1,20,24,28,32,36,40),0)/100)),0)</f>
        <v>0.04</v>
      </c>
      <c r="R1726">
        <f>IF(AND(Inputs!$B$38&lt;&gt;"pvp",Inputs!$B$43&gt;0),IF(MAX(0,Inputs!$B$43-B1736)&lt;=0,0,(INT(MAX(0,Inputs!$B$43-B1736)/(IF(Inputs!$B$38="pvp",15,MAX(0.1,Skills!E28-IF(TRUE=TRUE,Inputs!$B$32,0)))*(1-IF(AND(ArtifactsInput!$M$27,Inputs!$B$4="Chapter Hunt"),CHOOSE(ArtifactsInput!$N$27+1,20,24,28,32,36,40),0)/100)))+1)),0)</f>
        <v>2</v>
      </c>
      <c r="S1726">
        <f>IF(C1726,(H1726*N1726*IF(AND(Inputs!$B$38&lt;&gt;"pvp",Inputs!$B$43&gt;0),((Skills!G28*((R1726-1)*IF(Skills!H28&gt;0,Skills!I28/Skills!H28,1)+IF(Skills!H28&gt;0,MIN(Skills!I28,MAX(0,MAX(0,Inputs!$B$43-B1736)-((R1726-1)*(IF(Inputs!$B$38="pvp",15,MAX(0.1,Skills!E28-IF(TRUE=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726">
        <f>IF(C1726,(H1726*N1726*IF(AND(Inputs!$B$38&lt;&gt;"pvp",Inputs!$B$43&gt;0),((Skills!G28*((R1726-1)*IF(Skills!H28&gt;0,Skills!I28/Skills!H28,1)+IF(Skills!H28&gt;0,MIN(Skills!I28,MAX(0,MAX(0,Inputs!$B$43-B1736)-((R1726-1)*(IF(Inputs!$B$38="pvp",15,MAX(0.1,Skills!E28-IF(TRUE=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728" spans="1:21" x14ac:dyDescent="0.2">
      <c r="A1728" t="s">
        <v>356</v>
      </c>
      <c r="B1728">
        <f>1+(F1709*Skills!Z11)/100</f>
        <v>1.25</v>
      </c>
    </row>
    <row r="1729" spans="1:26" x14ac:dyDescent="0.2">
      <c r="A1729" t="s">
        <v>435</v>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1.18624</v>
      </c>
    </row>
    <row r="1730" spans="1:26" x14ac:dyDescent="0.2">
      <c r="A1730" t="s">
        <v>358</v>
      </c>
      <c r="B1730">
        <f>(1+(F1704*IF(AND(Inputs!$B$38&lt;&gt;"pvp",Inputs!$B$43&gt;0),(((R1704-1)*MIN((Skills!T6*(1+((Inputs!$B$34+(ArtifactsInput!$M$7-ArtifactsInput!$M$7)*CHOOSE(ArtifactsInput!$N$7+1,6,7.2,8.4,9.6,10.8,12)))/100)),(1/Q1704))+MIN((Skills!T6*(1+((Inputs!$B$34+(ArtifactsInput!$M$7-ArtifactsInput!$M$7)*CHOOSE(ArtifactsInput!$N$7+1,6,7.2,8.4,9.6,10.8,12)))/100)),MAX(0,Inputs!$B$43-((R1704-1)*(1/Q1704)))))/Inputs!$B$43),IF(Inputs!$B$38="pvp",MIN((Skills!T6*(1+((Inputs!$B$34+(ArtifactsInput!$M$7-ArtifactsInput!$M$7)*CHOOSE(ArtifactsInput!$N$7+1,6,7.2,8.4,9.6,10.8,12)))/100)),15)/15,MIN(1,(Skills!T6*(1+((Inputs!$B$34+(ArtifactsInput!$M$7-ArtifactsInput!$M$7)*CHOOSE(ArtifactsInput!$N$7+1,6,7.2,8.4,9.6,10.8,12)))/100))/(1/Q1704))))+F1715*IF(AND(Inputs!$B$38&lt;&gt;"pvp",Inputs!$B$43&gt;0),(((R1715-1)*MIN((Skills!T17*(1+((Inputs!$B$34+(ArtifactsInput!$M$7-ArtifactsInput!$M$7)*CHOOSE(ArtifactsInput!$N$7+1,6,7.2,8.4,9.6,10.8,12)))/100)),(1/Q1715))+MIN((Skills!T17*(1+((Inputs!$B$34+(ArtifactsInput!$M$7-ArtifactsInput!$M$7)*CHOOSE(ArtifactsInput!$N$7+1,6,7.2,8.4,9.6,10.8,12)))/100)),MAX(0,Inputs!$B$43-((R1715-1)*(1/Q1715)))))/Inputs!$B$43),IF(Inputs!$B$38="pvp",MIN((Skills!T17*(1+((Inputs!$B$34+(ArtifactsInput!$M$7-ArtifactsInput!$M$7)*CHOOSE(ArtifactsInput!$N$7+1,6,7.2,8.4,9.6,10.8,12)))/100)),15)/15,MIN(1,(Skills!T17*(1+((Inputs!$B$34+(ArtifactsInput!$M$7-ArtifactsInput!$M$7)*CHOOSE(ArtifactsInput!$N$7+1,6,7.2,8.4,9.6,10.8,12)))/100))/(1/Q1715)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MIN((Skills!T19*(1+((Inputs!$B$34+(ArtifactsInput!$M$7-ArtifactsInput!$M$7)*CHOOSE(ArtifactsInput!$N$7+1,6,7.2,8.4,9.6,10.8,12)))/100)),(1/Q1717))+MIN((Skills!T19*(1+((Inputs!$B$34+(ArtifactsInput!$M$7-ArtifactsInput!$M$7)*CHOOSE(ArtifactsInput!$N$7+1,6,7.2,8.4,9.6,10.8,12)))/100)),MAX(0,Inputs!$B$43-((R1717-1)*(1/Q1717)))))/Inputs!$B$43),IF(Inputs!$B$38="pvp",MIN((Skills!T19*(1+((Inputs!$B$34+(ArtifactsInput!$M$7-ArtifactsInput!$M$7)*CHOOSE(ArtifactsInput!$N$7+1,6,7.2,8.4,9.6,10.8,12)))/100)),15)/15,MIN(1,(Skills!T19*(1+((Inputs!$B$34+(ArtifactsInput!$M$7-ArtifactsInput!$M$7)*CHOOSE(ArtifactsInput!$N$7+1,6,7.2,8.4,9.6,10.8,12)))/100))/(1/Q1717))))/100),1)</f>
        <v>1.7965808377980694</v>
      </c>
    </row>
    <row r="1731" spans="1:26" x14ac:dyDescent="0.2">
      <c r="A1731" t="s">
        <v>359</v>
      </c>
      <c r="B1731">
        <f>F1716*IF(AND(Inputs!$B$38&lt;&gt;"pvp",Inputs!$B$43&gt;0),(((R1716-1)*MIN((Skills!T18*(1+((Inputs!$B$34+(ArtifactsInput!$M$7-ArtifactsInput!$M$7)*CHOOSE(ArtifactsInput!$N$7+1,6,7.2,8.4,9.6,10.8,12)))/100)),(1/Q1716))+MIN((Skills!T18*(1+((Inputs!$B$34+(ArtifactsInput!$M$7-ArtifactsInput!$M$7)*CHOOSE(ArtifactsInput!$N$7+1,6,7.2,8.4,9.6,10.8,12)))/100)),MAX(0,Inputs!$B$43-((R1716-1)*(1/Q1716)))))/Inputs!$B$43),IF(Inputs!$B$38="pvp",MIN((Skills!T18*(1+((Inputs!$B$34+(ArtifactsInput!$M$7-ArtifactsInput!$M$7)*CHOOSE(ArtifactsInput!$N$7+1,6,7.2,8.4,9.6,10.8,12)))/100)),15)/15,MIN(1,(Skills!T18*(1+((Inputs!$B$34+(ArtifactsInput!$M$7-ArtifactsInput!$M$7)*CHOOSE(ArtifactsInput!$N$7+1,6,7.2,8.4,9.6,10.8,12)))/100))/(1/Q1716))))</f>
        <v>6.4968749999999993</v>
      </c>
    </row>
    <row r="1732" spans="1:26" x14ac:dyDescent="0.2">
      <c r="A1732" t="s">
        <v>436</v>
      </c>
      <c r="B1732">
        <f>1+MIN(150,150*(1-(1-(Inputs!$B$11+(ArtifactsInput!$M$15-ArtifactsInput!$M$15)*CHOOSE(ArtifactsInput!$N$15+1,8,9.6,11.2,12.8,14.4,16))/150)*(1-B1731/150)))/100</f>
        <v>1.6982958749999999</v>
      </c>
    </row>
    <row r="1733" spans="1:26" x14ac:dyDescent="0.2">
      <c r="A1733" t="s">
        <v>437</v>
      </c>
      <c r="B1733">
        <f>IF(AND(Inputs!$B$38&lt;&gt;"pvp",Inputs!$B$43&gt;0),SUMPRODUCT((Skills!F2:F28=TRUE)*(C1700:C1726=TRUE)*R1700:R1726)/Inputs!$B$43,SUMPRODUCT((Skills!F2:F28=TRUE)*(C1700:C1726=TRUE)*Q1700:Q1726))</f>
        <v>0.47499999999999998</v>
      </c>
    </row>
    <row r="1734" spans="1:26" x14ac:dyDescent="0.2">
      <c r="A1734" t="s">
        <v>362</v>
      </c>
      <c r="B1734">
        <f>MAX(0,B1732-B1733)</f>
        <v>1.2232958749999998</v>
      </c>
    </row>
    <row r="1735" spans="1:26" x14ac:dyDescent="0.2">
      <c r="A1735" t="s">
        <v>438</v>
      </c>
      <c r="B1735">
        <f>IF(AND(Inputs!$B$38&lt;&gt;"pvp",Inputs!$B$43&gt;0),SUMPRODUCT((Skills!V2:V28=TRUE)*(C1700:C1726=TRUE)*R1700:R1726*Skills!W2:W28)/Inputs!$B$43,SUMPRODUCT((Skills!V2:V28=TRUE)*(C1700:C1726=TRUE)*Q1700:Q1726*Skills!W2:W28))+B1734</f>
        <v>1.5482958749999998</v>
      </c>
    </row>
    <row r="1736" spans="1:26" x14ac:dyDescent="0.2">
      <c r="A1736" t="s">
        <v>439</v>
      </c>
      <c r="B1736">
        <f>IF(AND(Inputs!$B$38&lt;&gt;"pvp",Inputs!$B$43&gt;0),SUMPRODUCT((Skills!T2:T28&gt;0)*(Skills!F2:F28=TRUE)*(C1700:C1726=TRUE))/B1732,0)</f>
        <v>2.3553021937358238</v>
      </c>
    </row>
    <row r="1737" spans="1:26" x14ac:dyDescent="0.2">
      <c r="A1737" t="s">
        <v>440</v>
      </c>
      <c r="B1737">
        <f>SUM(S1700:S1726)</f>
        <v>9517263078933292</v>
      </c>
    </row>
    <row r="1738" spans="1:26" x14ac:dyDescent="0.2">
      <c r="A1738" t="s">
        <v>441</v>
      </c>
      <c r="B1738">
        <f>SUM(U1700:U1726)</f>
        <v>5.6656428257660488E+16</v>
      </c>
    </row>
    <row r="1739" spans="1:26" x14ac:dyDescent="0.2">
      <c r="A1739" s="6" t="s">
        <v>348</v>
      </c>
      <c r="B1739" s="6">
        <f>SUM(O1700:O1726)</f>
        <v>3.3086845668296892E+16</v>
      </c>
    </row>
    <row r="1742" spans="1:26" x14ac:dyDescent="0.2">
      <c r="A1742" s="6" t="s">
        <v>479</v>
      </c>
    </row>
    <row r="1743" spans="1:26" x14ac:dyDescent="0.2">
      <c r="A1743" s="5" t="s">
        <v>136</v>
      </c>
      <c r="B1743" s="5" t="s">
        <v>137</v>
      </c>
      <c r="C1743" s="5" t="s">
        <v>328</v>
      </c>
      <c r="D1743" s="5" t="s">
        <v>329</v>
      </c>
      <c r="E1743" s="5" t="s">
        <v>330</v>
      </c>
      <c r="F1743" s="5" t="s">
        <v>331</v>
      </c>
      <c r="G1743" s="5" t="s">
        <v>332</v>
      </c>
      <c r="H1743" s="5" t="s">
        <v>333</v>
      </c>
      <c r="I1743" s="5" t="s">
        <v>334</v>
      </c>
      <c r="J1743" s="5" t="s">
        <v>335</v>
      </c>
      <c r="K1743" s="5" t="s">
        <v>336</v>
      </c>
      <c r="L1743" s="5" t="s">
        <v>337</v>
      </c>
      <c r="M1743" s="5" t="s">
        <v>338</v>
      </c>
      <c r="N1743" s="5" t="s">
        <v>339</v>
      </c>
      <c r="O1743" s="5" t="s">
        <v>340</v>
      </c>
      <c r="P1743" s="5" t="s">
        <v>341</v>
      </c>
      <c r="R1743" t="s">
        <v>434</v>
      </c>
    </row>
    <row r="1744" spans="1:26" x14ac:dyDescent="0.2">
      <c r="A1744" t="str">
        <f>Skills!A2</f>
        <v>BASIC_ATTACK</v>
      </c>
      <c r="B1744" t="str">
        <f>Skills!B2</f>
        <v>Basic Attack</v>
      </c>
      <c r="C1744" t="b">
        <f>TRUE</f>
        <v>1</v>
      </c>
      <c r="F1744">
        <f>T1746+Skills!O2</f>
        <v>537.6</v>
      </c>
      <c r="G1744">
        <f>Calc!G2</f>
        <v>5</v>
      </c>
      <c r="H1744">
        <f>Calc!H2</f>
        <v>1</v>
      </c>
      <c r="I1744">
        <f>IF(Skills!X2&lt;&gt;"",1+(Skills!X2/10)*(Z1745/1000)/100,1)</f>
        <v>1</v>
      </c>
      <c r="J1744">
        <f>((Inputs!$B$6*(1+Inputs!$B$7/100))+(((Inputs!$B$12*(1+Inputs!$B$13/100))-(Inputs!$B$12*(1+Inputs!$B$13/100)))+0.25*(Inputs!$B$14-Inputs!$B$14))*(1+Inputs!$B$7/100))*(F1744/100)</f>
        <v>1941459186.9980164</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6620290711466.1074</v>
      </c>
      <c r="L1744">
        <f>K1744*(MIN(Inputs!$B$22+(F1764-Calc!F22),(Inputs!$B$23+(IF(ArtifactsInput!$M$15,CHOOSE(ArtifactsInput!$N$15+1,25,30,35,40,45,50)/100*(Inputs!$B$11-Inputs!$B$11),0))))/100+(Inputs!$B$23+(IF(ArtifactsInput!$M$15,CHOOSE(ArtifactsInput!$N$15+1,25,30,35,40,45,50)/100*(Inputs!$B$11-Inputs!$B$11),0)))/100)/2</f>
        <v>22012466615624.809</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744">
        <f>L1744*(1-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744">
        <f>(1-Summary!$B$11)*S1744+Summary!$B$11*U1744</f>
        <v>1.352984275152756E+16</v>
      </c>
      <c r="P1744">
        <f>IF(B1783=0,0,O1744/B1783)</f>
        <v>0.37661088841534418</v>
      </c>
      <c r="Q1744">
        <f>IFERROR(1/(IF(Inputs!$B$38="pvp",15,MAX(0.1,Skills!E2-IF(TRUE=TRUE,Inputs!$B$32,0)))*(1-IF(AND(ArtifactsInput!$M$27,Inputs!$B$4="Chapter Hunt"),CHOOSE(ArtifactsInput!$N$27+1,20,24,28,32,36,40),0)/100)),0)</f>
        <v>10</v>
      </c>
      <c r="R1744">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2389273115069178.5</v>
      </c>
      <c r="T1744">
        <f>MAX(0,(Inputs!$B$3-100)*3)+Inputs!$B$28+Inputs!$B$29</f>
        <v>185</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2.467041238798594E+16</v>
      </c>
      <c r="Z1744">
        <f>MAX(0,(Inputs!$B$3-100)*3)+Inputs!$B$28+Inputs!$B$29</f>
        <v>185</v>
      </c>
    </row>
    <row r="1745" spans="1:26" x14ac:dyDescent="0.2">
      <c r="A1745" t="str">
        <f>Skills!A3</f>
        <v>IGNITE</v>
      </c>
      <c r="B1745" t="str">
        <f>Skills!B3</f>
        <v>Ignite</v>
      </c>
      <c r="C1745" t="b">
        <f>TRUE</f>
        <v>1</v>
      </c>
      <c r="D1745">
        <f>IF(Skills!C3=1,60+Inputs!$B$25+Inputs!$B$29,IF(Skills!C3=2,90+Inputs!$B$26+Inputs!$B$29,IF(Skills!C3=3,120+Inputs!$B$27+Inputs!$B$29,MAX(0,(Inputs!$B$3-100)*3)+Inputs!$B$28+Inputs!$B$29)))</f>
        <v>168</v>
      </c>
      <c r="E1745">
        <f>INDEX(FactorTable!$B$2:$Y$301, MATCH(ROUND(MIN(300,MAX(1,D1745)),0), FactorTable!$A$2:$A$301,0), Skills!M3+1)</f>
        <v>1672</v>
      </c>
      <c r="F1745">
        <f>IF(Skills!N3=TRUE,(Skills!L3/10)*(E1745/1000),Skills!L3/10)+Skills!O3</f>
        <v>121.736</v>
      </c>
      <c r="G1745">
        <f>Calc!G3</f>
        <v>3</v>
      </c>
      <c r="H1745">
        <f>Calc!H3</f>
        <v>1</v>
      </c>
      <c r="I1745">
        <f>IF(Skills!X3&lt;&gt;"",1+(Skills!X3/10)*(Z1745/1000)/100,1)</f>
        <v>4.8250000000000002</v>
      </c>
      <c r="J1745">
        <f>((Inputs!$B$6*(1+Inputs!$B$7/100))+(((Inputs!$B$12*(1+Inputs!$B$13/100))-(Inputs!$B$12*(1+Inputs!$B$13/100)))+0.25*(Inputs!$B$14-Inputs!$B$14))*(1+Inputs!$B$7/100))*(F1745/100)</f>
        <v>439630720.9605478</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10658554617221.965</v>
      </c>
      <c r="L1745">
        <f>K1745*(MIN(Inputs!$B$22+(F1764-Calc!F22),(Inputs!$B$23+(IF(ArtifactsInput!$M$15,CHOOSE(ArtifactsInput!$N$15+1,25,30,35,40,45,50)/100*(Inputs!$B$11-Inputs!$B$11),0))))/100+(Inputs!$B$23+(IF(ArtifactsInput!$M$15,CHOOSE(ArtifactsInput!$N$15+1,25,30,35,40,45,50)/100*(Inputs!$B$11-Inputs!$B$11),0)))/100)/2</f>
        <v>35439694102263.031</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745">
        <f>L1745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745">
        <f>(1-Summary!$B$11)*S1745+Summary!$B$11*U1745</f>
        <v>3182185732341795</v>
      </c>
      <c r="P1745">
        <f>IF(B1783=0,0,O1745/B1783)</f>
        <v>8.857795450908458E-2</v>
      </c>
      <c r="Q1745">
        <f>IFERROR(1/(IF(Inputs!$B$38="pvp",15,MAX(0.1,Skills!E3-IF(FALSE=TRUE,Inputs!$B$32,0)))*(1-IF(AND(ArtifactsInput!$M$27,Inputs!$B$4="Chapter Hunt"),CHOOSE(ArtifactsInput!$N$27+1,20,24,28,32,36,40),0)/100)),0)</f>
        <v>1</v>
      </c>
      <c r="R1745">
        <f>IF(AND(Inputs!$B$38&lt;&gt;"pvp",Inputs!$B$43&gt;0),IF(MAX(0,Inputs!$B$43-B1780)&lt;=0,0,(INT(MAX(0,Inputs!$B$43-B1780)/(IF(Inputs!$B$38="pvp",15,MAX(0.1,Skills!E3-IF(FALSE=TRUE,Inputs!$B$32,0)))*(1-IF(AND(ArtifactsInput!$M$27,Inputs!$B$4="Chapter Hunt"),CHOOSE(ArtifactsInput!$N$27+1,20,24,28,32,36,40),0)/100)))+1)),0)</f>
        <v>38</v>
      </c>
      <c r="S1745">
        <f>IF(C1745,(H1745*N1745*IF(AND(Inputs!$B$38&lt;&gt;"pvp",Inputs!$B$43&gt;0),((Skills!G3*((R1745-1)*IF(Skills!H3&gt;0,Skills!I3/Skills!H3,1)+IF(Skills!H3&gt;0,MIN(Skills!I3,MAX(0,MAX(0,Inputs!$B$43-B1780)-((R1745-1)*(IF(Inputs!$B$38="pvp",15,MAX(0.1,Skills!E3-IF(FALSE=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1737568379135685.8</v>
      </c>
      <c r="T1745">
        <f>INDEX(FactorTable!$B$2:$Y$301, MATCH(ROUND(MIN(300,MAX(1,T1744)),0), FactorTable!$A$2:$A$301,0), 22)</f>
        <v>1740</v>
      </c>
      <c r="U1745">
        <f>IF(C1745,(H1745*N1745*IF(AND(Inputs!$B$38&lt;&gt;"pvp",Inputs!$B$43&gt;0),((Skills!G3*((R1745-1)*IF(Skills!H3&gt;0,Skills!I3/Skills!H3,1)+IF(Skills!H3&gt;0,MIN(Skills!I3,MAX(0,MAX(0,Inputs!$B$43-B1780)-((R1745-1)*(IF(Inputs!$B$38="pvp",15,MAX(0.1,Skills!E3-IF(FALSE=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4626803085547904</v>
      </c>
      <c r="Z1745">
        <f>INDEX(FactorTable!$B$2:$Y$301, MATCH(ROUND(MIN(300,MAX(1,Z1744)),0), FactorTable!$A$2:$A$301,0), 24)</f>
        <v>7650</v>
      </c>
    </row>
    <row r="1746" spans="1:26" x14ac:dyDescent="0.2">
      <c r="A1746" t="str">
        <f>Skills!A4</f>
        <v>POISON_BREATH</v>
      </c>
      <c r="B1746" t="str">
        <f>Skills!B4</f>
        <v>Poison Breath</v>
      </c>
      <c r="C1746" t="b">
        <f>TRUE</f>
        <v>1</v>
      </c>
      <c r="D1746">
        <f>IF(Skills!C4=1,60+Inputs!$B$25+Inputs!$B$29,IF(Skills!C4=2,90+Inputs!$B$26+Inputs!$B$29,IF(Skills!C4=3,120+Inputs!$B$27+Inputs!$B$29,MAX(0,(Inputs!$B$3-100)*3)+Inputs!$B$28+Inputs!$B$29)))</f>
        <v>168</v>
      </c>
      <c r="E1746">
        <f>INDEX(FactorTable!$B$2:$Y$301, MATCH(ROUND(MIN(300,MAX(1,D1746)),0), FactorTable!$A$2:$A$301,0), Skills!M4+1)</f>
        <v>1840</v>
      </c>
      <c r="F1746">
        <f>IF(Skills!N4=TRUE,(Skills!L4/10)*(E1746/1000),Skills!L4/10)+Skills!O4</f>
        <v>438</v>
      </c>
      <c r="G1746">
        <f>Calc!G4</f>
        <v>3</v>
      </c>
      <c r="H1746">
        <f>Calc!H4</f>
        <v>1</v>
      </c>
      <c r="I1746">
        <f>IF(Skills!X4&lt;&gt;"",1+(Skills!X4/10)*(Z1745/1000)/100,1)</f>
        <v>7.12</v>
      </c>
      <c r="J1746">
        <f>((Inputs!$B$6*(1+Inputs!$B$7/100))+(((Inputs!$B$12*(1+Inputs!$B$13/100))-(Inputs!$B$12*(1+Inputs!$B$13/100)))+0.25*(Inputs!$B$14-Inputs!$B$14))*(1+Inputs!$B$7/100))*(F1746/100)</f>
        <v>1581769203.69258</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56589528290529.523</v>
      </c>
      <c r="L1746">
        <f>K1746*(MIN(Inputs!$B$22+(F1764-Calc!F22),(Inputs!$B$23+(IF(ArtifactsInput!$M$15,CHOOSE(ArtifactsInput!$N$15+1,25,30,35,40,45,50)/100*(Inputs!$B$11-Inputs!$B$11),0))))/100+(Inputs!$B$23+(IF(ArtifactsInput!$M$15,CHOOSE(ArtifactsInput!$N$15+1,25,30,35,40,45,50)/100*(Inputs!$B$11-Inputs!$B$11),0)))/100)/2</f>
        <v>188160181566010.69</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746">
        <f>L1746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746">
        <f>(1-Summary!$B$11)*S1746+Summary!$B$11*U1746</f>
        <v>2303506946299354</v>
      </c>
      <c r="P1746">
        <f>IF(B1783=0,0,O1746/B1783)</f>
        <v>6.4119429430823938E-2</v>
      </c>
      <c r="Q1746">
        <f>IFERROR(1/(IF(Inputs!$B$38="pvp",15,MAX(0.1,Skills!E4-IF(TRUE=TRUE,Inputs!$B$32,0)))*(1-IF(AND(ArtifactsInput!$M$27,Inputs!$B$4="Chapter Hunt"),CHOOSE(ArtifactsInput!$N$27+1,20,24,28,32,36,40),0)/100)),0)</f>
        <v>5.5555555555555552E-2</v>
      </c>
      <c r="R1746">
        <f>IF(AND(Inputs!$B$38&lt;&gt;"pvp",Inputs!$B$43&gt;0),IF(MAX(0,Inputs!$B$43-B1780)&lt;=0,0,(INT(MAX(0,Inputs!$B$43-B1780)/(IF(Inputs!$B$38="pvp",15,MAX(0.1,Skills!E4-IF(TRUE=TRUE,Inputs!$B$32,0)))*(1-IF(AND(ArtifactsInput!$M$27,Inputs!$B$4="Chapter Hunt"),CHOOSE(ArtifactsInput!$N$27+1,20,24,28,32,36,40),0)/100)))+1)),0)</f>
        <v>3</v>
      </c>
      <c r="S1746">
        <f>IF(C1746,(H1746*N1746*IF(AND(Inputs!$B$38&lt;&gt;"pvp",Inputs!$B$43&gt;0),((Skills!G4*((R1746-1)*IF(Skills!H4&gt;0,Skills!I4/Skills!H4,1)+IF(Skills!H4&gt;0,MIN(Skills!I4,MAX(0,MAX(0,Inputs!$B$43-B1780)-((R1746-1)*(IF(Inputs!$B$38="pvp",15,MAX(0.1,Skills!E4-IF(TRUE=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728311758259695.88</v>
      </c>
      <c r="T1746">
        <f>290*T1745/1000</f>
        <v>504.6</v>
      </c>
      <c r="U1746">
        <f>IF(C1746,(H1746*N1746*IF(AND(Inputs!$B$38&lt;&gt;"pvp",Inputs!$B$43&gt;0),((Skills!G4*((R1746-1)*IF(Skills!H4&gt;0,Skills!I4/Skills!H4,1)+IF(Skills!H4&gt;0,MIN(Skills!I4,MAX(0,MAX(0,Inputs!$B$43-B1780)-((R1746-1)*(IF(Inputs!$B$38="pvp",15,MAX(0.1,Skills!E4-IF(TRUE=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3878702134339012</v>
      </c>
    </row>
    <row r="1747" spans="1:26" x14ac:dyDescent="0.2">
      <c r="A1747" t="str">
        <f>Skills!A5</f>
        <v>ELEMENTAL_DRAIN</v>
      </c>
      <c r="B1747" t="str">
        <f>Skills!B5</f>
        <v>Elemental Drain</v>
      </c>
      <c r="C1747" t="b">
        <f>TRUE</f>
        <v>1</v>
      </c>
      <c r="D1747">
        <f>IF(Skills!C5=1,60+Inputs!$B$25+Inputs!$B$29,IF(Skills!C5=2,90+Inputs!$B$26+Inputs!$B$29,IF(Skills!C5=3,120+Inputs!$B$27+Inputs!$B$29,MAX(0,(Inputs!$B$3-100)*3)+Inputs!$B$28+Inputs!$B$29)))</f>
        <v>168</v>
      </c>
      <c r="E1747">
        <f>INDEX(FactorTable!$B$2:$Y$301, MATCH(ROUND(MIN(300,MAX(1,D1747)),0), FactorTable!$A$2:$A$301,0), Skills!M5+1)</f>
        <v>1672</v>
      </c>
      <c r="F1747">
        <f>IF(Skills!N5=TRUE,(Skills!L5/10)*(E1747/1000),Skills!L5/10)+Skills!O5</f>
        <v>20.064</v>
      </c>
      <c r="G1747">
        <f>Calc!G5</f>
        <v>5</v>
      </c>
      <c r="H1747">
        <f>Calc!H5</f>
        <v>1</v>
      </c>
      <c r="I1747">
        <f>IF(Skills!X5&lt;&gt;"",1+(Skills!X5/10)*(Z1745/1000)/100,1)</f>
        <v>12.475</v>
      </c>
      <c r="J1747">
        <f>((Inputs!$B$6*(1+Inputs!$B$7/100))+(((Inputs!$B$12*(1+Inputs!$B$13/100))-(Inputs!$B$12*(1+Inputs!$B$13/100)))+0.25*(Inputs!$B$14-Inputs!$B$14))*(1+Inputs!$B$7/100))*(F1747/100)</f>
        <v>72458030.371890247</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4541925884983.542</v>
      </c>
      <c r="L1747">
        <f>K1747*(MIN(Inputs!$B$22+(F1764-Calc!F22),(Inputs!$B$23+(IF(ArtifactsInput!$M$15,CHOOSE(ArtifactsInput!$N$15+1,25,30,35,40,45,50)/100*(Inputs!$B$11-Inputs!$B$11),0))))/100+(Inputs!$B$23+(IF(ArtifactsInput!$M$15,CHOOSE(ArtifactsInput!$N$15+1,25,30,35,40,45,50)/100*(Inputs!$B$11-Inputs!$B$11),0)))/100)/2</f>
        <v>15101903567570.277</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747">
        <f>L1747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747">
        <f>(1-Summary!$B$11)*S1747+Summary!$B$11*U1747</f>
        <v>1164696097753814</v>
      </c>
      <c r="P1747">
        <f>IF(B1783=0,0,O1747/B1783)</f>
        <v>3.2419980051832088E-2</v>
      </c>
      <c r="Q1747">
        <f>IFERROR(1/(IF(Inputs!$B$38="pvp",15,MAX(0.1,Skills!E5-IF(FALSE=TRUE,Inputs!$B$32,0)))*(1-IF(AND(ArtifactsInput!$M$27,Inputs!$B$4="Chapter Hunt"),CHOOSE(ArtifactsInput!$N$27+1,20,24,28,32,36,40),0)/100)),0)</f>
        <v>1</v>
      </c>
      <c r="R1747">
        <f>IF(AND(Inputs!$B$38&lt;&gt;"pvp",Inputs!$B$43&gt;0),IF(MAX(0,Inputs!$B$43-B1780)&lt;=0,0,(INT(MAX(0,Inputs!$B$43-B1780)/(IF(Inputs!$B$38="pvp",15,MAX(0.1,Skills!E5-IF(FALSE=TRUE,Inputs!$B$32,0)))*(1-IF(AND(ArtifactsInput!$M$27,Inputs!$B$4="Chapter Hunt"),CHOOSE(ArtifactsInput!$N$27+1,20,24,28,32,36,40),0)/100)))+1)),0)</f>
        <v>38</v>
      </c>
      <c r="S1747">
        <f>IF(C1747,(H1747*N1747*IF(AND(Inputs!$B$38&lt;&gt;"pvp",Inputs!$B$43&gt;0),((Skills!G5*((R1747-1)*IF(Skills!H5&gt;0,Skills!I5/Skills!H5,1)+IF(Skills!H5&gt;0,MIN(Skills!I5,MAX(0,MAX(0,Inputs!$B$43-B1780)-((R1747-1)*(IF(Inputs!$B$38="pvp",15,MAX(0.1,Skills!E5-IF(FALSE=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1234048937144132</v>
      </c>
      <c r="U1747">
        <f>IF(C1747,(H1747*N1747*IF(AND(Inputs!$B$38&lt;&gt;"pvp",Inputs!$B$43&gt;0),((Skills!G5*((R1747-1)*IF(Skills!H5&gt;0,Skills!I5/Skills!H5,1)+IF(Skills!H5&gt;0,MIN(Skills!I5,MAX(0,MAX(0,Inputs!$B$43-B1780)-((R1747-1)*(IF(Inputs!$B$38="pvp",15,MAX(0.1,Skills!E5-IF(FALSE=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1095343258363496.2</v>
      </c>
    </row>
    <row r="1748" spans="1:26" x14ac:dyDescent="0.2">
      <c r="A1748" t="str">
        <f>Skills!A6</f>
        <v>MEDITATION</v>
      </c>
      <c r="B1748" t="str">
        <f>Skills!B6</f>
        <v>Meditation</v>
      </c>
      <c r="C1748" t="b">
        <f>TRUE</f>
        <v>1</v>
      </c>
      <c r="D1748">
        <f>IF(Skills!C6=1,60+Inputs!$B$25+Inputs!$B$29,IF(Skills!C6=2,90+Inputs!$B$26+Inputs!$B$29,IF(Skills!C6=3,120+Inputs!$B$27+Inputs!$B$29,MAX(0,(Inputs!$B$3-100)*3)+Inputs!$B$28+Inputs!$B$29)))</f>
        <v>168</v>
      </c>
      <c r="E1748">
        <f>INDEX(FactorTable!$B$2:$Y$301, MATCH(ROUND(MIN(300,MAX(1,D1748)),0), FactorTable!$A$2:$A$301,0), Skills!M6+1)</f>
        <v>1672</v>
      </c>
      <c r="F1748">
        <f>IF(Skills!N6=TRUE,(Skills!L6/10)*(E1748/1000),Skills!L6/10)+Skills!O6</f>
        <v>33.44</v>
      </c>
      <c r="G1748">
        <f>Calc!G6</f>
        <v>1</v>
      </c>
      <c r="H1748">
        <f>Calc!H6</f>
        <v>1</v>
      </c>
      <c r="I1748">
        <f>IF(Skills!X6&lt;&gt;"",1+(Skills!X6/10)*(Z1745/1000)/100,1)</f>
        <v>1</v>
      </c>
      <c r="O1748">
        <f>(1-Summary!$B$11)*S1748+Summary!$B$11*U1748</f>
        <v>0</v>
      </c>
      <c r="P1748">
        <f>IF(B1783=0,0,O1748/B1783)</f>
        <v>0</v>
      </c>
      <c r="Q1748">
        <f>IFERROR(1/(IF(Inputs!$B$38="pvp",15,MAX(0.1,Skills!E6-IF(TRUE=TRUE,Inputs!$B$32,0)))*(1-IF(AND(ArtifactsInput!$M$27,Inputs!$B$4="Chapter Hunt"),CHOOSE(ArtifactsInput!$N$27+1,20,24,28,32,36,40),0)/100)),0)</f>
        <v>3.3333333333333333E-2</v>
      </c>
      <c r="R1748">
        <f>IF(AND(Inputs!$B$38&lt;&gt;"pvp",Inputs!$B$43&gt;0),IF(Inputs!$B$43&lt;=0,0,(INT(Inputs!$B$43/(IF(Inputs!$B$38="pvp",15,MAX(0.1,Skills!E6-IF(TRUE=TRUE,Inputs!$B$32,0)))*(1-IF(AND(ArtifactsInput!$M$27,Inputs!$B$4="Chapter Hunt"),CHOOSE(ArtifactsInput!$N$27+1,20,24,28,32,36,40),0)/100)))+1)),0)</f>
        <v>2</v>
      </c>
      <c r="S1748">
        <v>0</v>
      </c>
      <c r="U1748">
        <v>0</v>
      </c>
    </row>
    <row r="1749" spans="1:26" x14ac:dyDescent="0.2">
      <c r="A1749" t="str">
        <f>Skills!A7</f>
        <v>POISON_MIST_BURST</v>
      </c>
      <c r="B1749" t="str">
        <f>Skills!B7</f>
        <v>Poison Mist (burst)</v>
      </c>
      <c r="C1749" t="b">
        <f>TRUE</f>
        <v>1</v>
      </c>
      <c r="D1749">
        <f>IF(Skills!C7=1,60+Inputs!$B$25+Inputs!$B$29,IF(Skills!C7=2,90+Inputs!$B$26+Inputs!$B$29,IF(Skills!C7=3,120+Inputs!$B$27+Inputs!$B$29,MAX(0,(Inputs!$B$3-100)*3)+Inputs!$B$28+Inputs!$B$29)))</f>
        <v>184</v>
      </c>
      <c r="E1749">
        <f>INDEX(FactorTable!$B$2:$Y$301, MATCH(ROUND(MIN(300,MAX(1,D1749)),0), FactorTable!$A$2:$A$301,0), Skills!M7+1)</f>
        <v>1920</v>
      </c>
      <c r="F1749">
        <f>IF(Skills!N7=TRUE,(Skills!L7/10)*(E1749/1000),Skills!L7/10)+Skills!O7</f>
        <v>357.2</v>
      </c>
      <c r="G1749">
        <f>Calc!G7</f>
        <v>3</v>
      </c>
      <c r="H1749">
        <f>Calc!H7</f>
        <v>1</v>
      </c>
      <c r="I1749">
        <f>IF(Skills!X7&lt;&gt;"",1+(Skills!X7/10)*(Z1745/1000)/100,1)</f>
        <v>1.7650000000000001</v>
      </c>
      <c r="J1749">
        <f>((Inputs!$B$6*(1+Inputs!$B$7/100))+(((Inputs!$B$12*(1+Inputs!$B$13/100))-(Inputs!$B$12*(1+Inputs!$B$13/100)))+0.25*(Inputs!$B$14-Inputs!$B$14))*(1+Inputs!$B$7/100))*(F1749/100)</f>
        <v>1289972510.4086521</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11440318873772.086</v>
      </c>
      <c r="L1749">
        <f>K1749*(MIN(Inputs!$B$22+(F1764-Calc!F22),(Inputs!$B$23+(IF(ArtifactsInput!$M$15,CHOOSE(ArtifactsInput!$N$15+1,25,30,35,40,45,50)/100*(Inputs!$B$11-Inputs!$B$11),0))))/100+(Inputs!$B$23+(IF(ArtifactsInput!$M$15,CHOOSE(ArtifactsInput!$N$15+1,25,30,35,40,45,50)/100*(Inputs!$B$11-Inputs!$B$11),0)))/100)/2</f>
        <v>38039060255292.188</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749">
        <f>L1749*(1-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749">
        <f>(1-Summary!$B$11)*S1749+Summary!$B$11*U1749</f>
        <v>484707467353956.75</v>
      </c>
      <c r="P1749">
        <f>IF(B1783=0,0,O1749/B1783)</f>
        <v>1.3492108759439578E-2</v>
      </c>
      <c r="Q1749">
        <f>IFERROR(1/(IF(Inputs!$B$38="pvp",15,MAX(0.1,Skills!E7-IF(TRUE=TRUE,Inputs!$B$32,0)))*(1-IF(AND(ArtifactsInput!$M$27,Inputs!$B$4="Chapter Hunt"),CHOOSE(ArtifactsInput!$N$27+1,20,24,28,32,36,40),0)/100)),0)</f>
        <v>4.0816326530612242E-2</v>
      </c>
      <c r="R1749">
        <f>IF(AND(Inputs!$B$38&lt;&gt;"pvp",Inputs!$B$43&gt;0),IF(MAX(0,Inputs!$B$43-B1780)&lt;=0,0,(INT(MAX(0,Inputs!$B$43-B1780)/(IF(Inputs!$B$38="pvp",15,MAX(0.1,Skills!E7-IF(TRUE=TRUE,Inputs!$B$32,0)))*(1-IF(AND(ArtifactsInput!$M$27,Inputs!$B$4="Chapter Hunt"),CHOOSE(ArtifactsInput!$N$27+1,20,24,28,32,36,40),0)/100)))+1)),0)</f>
        <v>2</v>
      </c>
      <c r="S1749">
        <f>IF(C1749,(H1749*N1749*IF(AND(Inputs!$B$38&lt;&gt;"pvp",Inputs!$B$43&gt;0),((Skills!G7*((R1749-1)*IF(Skills!H7&gt;0,Skills!I7/Skills!H7,1)+IF(Skills!H7&gt;0,MIN(Skills!I7,MAX(0,MAX(0,Inputs!$B$43-B1780)-((R1749-1)*(IF(Inputs!$B$38="pvp",15,MAX(0.1,Skills!E7-IF(TRUE=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98158546356628.594</v>
      </c>
      <c r="U1749">
        <f>IF(C1749,(H1749*N1749*IF(AND(Inputs!$B$38&lt;&gt;"pvp",Inputs!$B$43&gt;0),((Skills!G7*((R1749-1)*IF(Skills!H7&gt;0,Skills!I7/Skills!H7,1)+IF(Skills!H7&gt;0,MIN(Skills!I7,MAX(0,MAX(0,Inputs!$B$43-B1780)-((R1749-1)*(IF(Inputs!$B$38="pvp",15,MAX(0.1,Skills!E7-IF(TRUE=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871256388351284.88</v>
      </c>
    </row>
    <row r="1750" spans="1:26" x14ac:dyDescent="0.2">
      <c r="A1750" t="str">
        <f>Skills!A8</f>
        <v>POISON_MIST_DOT</v>
      </c>
      <c r="B1750" t="str">
        <f>Skills!B8</f>
        <v>Poison Mist (fog DoT)</v>
      </c>
      <c r="C1750" t="b">
        <f>TRUE</f>
        <v>1</v>
      </c>
      <c r="D1750">
        <f>IF(Skills!C8=1,60+Inputs!$B$25+Inputs!$B$29,IF(Skills!C8=2,90+Inputs!$B$26+Inputs!$B$29,IF(Skills!C8=3,120+Inputs!$B$27+Inputs!$B$29,MAX(0,(Inputs!$B$3-100)*3)+Inputs!$B$28+Inputs!$B$29)))</f>
        <v>184</v>
      </c>
      <c r="E1750">
        <f>INDEX(FactorTable!$B$2:$Y$301, MATCH(ROUND(MIN(300,MAX(1,D1750)),0), FactorTable!$A$2:$A$301,0), Skills!M8+1)</f>
        <v>1920</v>
      </c>
      <c r="F1750">
        <f>IF(Skills!N8=TRUE,(Skills!L8/10)*(E1750/1000),Skills!L8/10)+Skills!O8</f>
        <v>134.4</v>
      </c>
      <c r="G1750">
        <f>Calc!G8</f>
        <v>50</v>
      </c>
      <c r="H1750">
        <f>Calc!H8</f>
        <v>1</v>
      </c>
      <c r="I1750">
        <f>IF(Skills!X8&lt;&gt;"",1+(Skills!X8/10)*(Z1745/1000)/100,1)</f>
        <v>1.7650000000000001</v>
      </c>
      <c r="J1750">
        <f>((Inputs!$B$6*(1+Inputs!$B$7/100))+(((Inputs!$B$12*(1+Inputs!$B$13/100))-(Inputs!$B$12*(1+Inputs!$B$13/100)))+0.25*(Inputs!$B$14-Inputs!$B$14))*(1+Inputs!$B$7/100))*(F1750/100)</f>
        <v>485364796.74950409</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4304532073446.1597</v>
      </c>
      <c r="L1750">
        <f>K1750*(MIN(Inputs!$B$22+(F1764-Calc!F22),(Inputs!$B$23+(IF(ArtifactsInput!$M$15,CHOOSE(ArtifactsInput!$N$15+1,25,30,35,40,45,50)/100*(Inputs!$B$11-Inputs!$B$11),0))))/100+(Inputs!$B$23+(IF(ArtifactsInput!$M$15,CHOOSE(ArtifactsInput!$N$15+1,25,30,35,40,45,50)/100*(Inputs!$B$11-Inputs!$B$11),0)))/100)/2</f>
        <v>14312569144208.482</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750">
        <f>L1750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750">
        <f>(1-Summary!$B$11)*S1750+Summary!$B$11*U1750</f>
        <v>2518664674338318</v>
      </c>
      <c r="P1750">
        <f>IF(B1783=0,0,O1750/B1783)</f>
        <v>7.010846748501956E-2</v>
      </c>
      <c r="Q1750">
        <f>IFERROR(1/(IF(Inputs!$B$38="pvp",15,MAX(0.1,Skills!E8-IF(TRUE=TRUE,Inputs!$B$32,0)))*(1-IF(AND(ArtifactsInput!$M$27,Inputs!$B$4="Chapter Hunt"),CHOOSE(ArtifactsInput!$N$27+1,20,24,28,32,36,40),0)/100)),0)</f>
        <v>4.0816326530612242E-2</v>
      </c>
      <c r="R1750">
        <f>IF(AND(Inputs!$B$38&lt;&gt;"pvp",Inputs!$B$43&gt;0),IF(MAX(0,Inputs!$B$43-B1780)&lt;=0,0,(INT(MAX(0,Inputs!$B$43-B1780)/(IF(Inputs!$B$38="pvp",15,MAX(0.1,Skills!E8-IF(TRUE=TRUE,Inputs!$B$32,0)))*(1-IF(AND(ArtifactsInput!$M$27,Inputs!$B$4="Chapter Hunt"),CHOOSE(ArtifactsInput!$N$27+1,20,24,28,32,36,40),0)/100)))+1)),0)</f>
        <v>2</v>
      </c>
      <c r="S1750">
        <f>IF(C1750,(H1750*N1750*IF(AND(Inputs!$B$38&lt;&gt;"pvp",Inputs!$B$43&gt;0),((Skills!G8*((R1750-1)*IF(Skills!H8&gt;0,Skills!I8/Skills!H8,1)+IF(Skills!H8&gt;0,MIN(Skills!I8,MAX(0,MAX(0,Inputs!$B$43-B1780)-((R1750-1)*(IF(Inputs!$B$38="pvp",15,MAX(0.1,Skills!E8-IF(TRUE=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510057054706571</v>
      </c>
      <c r="U1750">
        <f>IF(C1750,(H1750*N1750*IF(AND(Inputs!$B$38&lt;&gt;"pvp",Inputs!$B$43&gt;0),((Skills!G8*((R1750-1)*IF(Skills!H8&gt;0,Skills!I8/Skills!H8,1)+IF(Skills!H8&gt;0,MIN(Skills!I8,MAX(0,MAX(0,Inputs!$B$43-B1780)-((R1750-1)*(IF(Inputs!$B$38="pvp",15,MAX(0.1,Skills!E8-IF(TRUE=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4527272293970065</v>
      </c>
    </row>
    <row r="1751" spans="1:26" x14ac:dyDescent="0.2">
      <c r="A1751" t="str">
        <f>Skills!A9</f>
        <v>MIST_ERUPTION</v>
      </c>
      <c r="B1751" t="str">
        <f>Skills!B9</f>
        <v>Mist Eruption</v>
      </c>
      <c r="C1751" t="b">
        <f>Inputs!$B$3&gt;=103</f>
        <v>1</v>
      </c>
      <c r="D1751">
        <f>IF(Skills!C9=1,60+Inputs!$B$25+Inputs!$B$29,IF(Skills!C9=2,90+Inputs!$B$26+Inputs!$B$29,IF(Skills!C9=3,120+Inputs!$B$27+Inputs!$B$29,MAX(0,(Inputs!$B$3-100)*3)+Inputs!$B$28+Inputs!$B$29)))</f>
        <v>185</v>
      </c>
      <c r="E1751">
        <f>INDEX(FactorTable!$B$2:$Y$301, MATCH(ROUND(MIN(300,MAX(1,D1751)),0), FactorTable!$A$2:$A$301,0), Skills!M9+1)</f>
        <v>1925</v>
      </c>
      <c r="F1751">
        <f>IF(Skills!N9=TRUE,(Skills!L9/10)*(E1751/1000),Skills!L9/10)+Skills!O9</f>
        <v>5775</v>
      </c>
      <c r="G1751">
        <f>Calc!G9</f>
        <v>2.5</v>
      </c>
      <c r="H1751">
        <f>Calc!H9</f>
        <v>1</v>
      </c>
      <c r="I1751">
        <f>IF(Skills!X9&lt;&gt;"",1+(Skills!X9/10)*(Z1745/1000)/100,1)</f>
        <v>1</v>
      </c>
      <c r="J1751">
        <f>((Inputs!$B$6*(1+Inputs!$B$7/100))+(((Inputs!$B$12*(1+Inputs!$B$13/100))-(Inputs!$B$12*(1+Inputs!$B$13/100)))+0.25*(Inputs!$B$14-Inputs!$B$14))*(1+Inputs!$B$7/100))*(F1751/100)</f>
        <v>20855518610.330254</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104793406533081.95</v>
      </c>
      <c r="L1751">
        <f>K1751*(MIN(Inputs!$B$22+(F1764-Calc!F22),(Inputs!$B$23+(IF(ArtifactsInput!$M$15,CHOOSE(ArtifactsInput!$N$15+1,25,30,35,40,45,50)/100*(Inputs!$B$11-Inputs!$B$11),0))))/100+(Inputs!$B$23+(IF(ArtifactsInput!$M$15,CHOOSE(ArtifactsInput!$N$15+1,25,30,35,40,45,50)/100*(Inputs!$B$11-Inputs!$B$11),0)))/100)/2</f>
        <v>348438076722497.5</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751">
        <f>L1751*(1-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751">
        <f>(1-Summary!$B$11)*S1751+Summary!$B$11*U1751</f>
        <v>3699936691486057</v>
      </c>
      <c r="P1751">
        <f>IF(B1783=0,0,O1751/B1783)</f>
        <v>0.10298984770564092</v>
      </c>
      <c r="Q1751">
        <f>IFERROR(1/(IF(Inputs!$B$38="pvp",15,MAX(0.1,Skills!E9-IF(TRUE=TRUE,Inputs!$B$32,0)))*(1-IF(AND(ArtifactsInput!$M$27,Inputs!$B$4="Chapter Hunt"),CHOOSE(ArtifactsInput!$N$27+1,20,24,28,32,36,40),0)/100)),0)</f>
        <v>4.0816326530612242E-2</v>
      </c>
      <c r="R1751">
        <f>IF(AND(Inputs!$B$38&lt;&gt;"pvp",Inputs!$B$43&gt;0),IF(MAX(0,Inputs!$B$43-B1780)&lt;=0,0,(INT(MAX(0,Inputs!$B$43-B1780)/(IF(Inputs!$B$38="pvp",15,MAX(0.1,Skills!E9-IF(TRUE=TRUE,Inputs!$B$32,0)))*(1-IF(AND(ArtifactsInput!$M$27,Inputs!$B$4="Chapter Hunt"),CHOOSE(ArtifactsInput!$N$27+1,20,24,28,32,36,40),0)/100)))+1)),0)</f>
        <v>2</v>
      </c>
      <c r="S1751">
        <f>IF(C1751,(H1751*N1751*IF(AND(Inputs!$B$38&lt;&gt;"pvp",Inputs!$B$43&gt;0),((Skills!G9*((R1751-1)*IF(Skills!H9&gt;0,Skills!I9/Skills!H9,1)+IF(Skills!H9&gt;0,MIN(Skills!I9,MAX(0,MAX(0,Inputs!$B$43-B1780)-((R1751-1)*(IF(Inputs!$B$38="pvp",15,MAX(0.1,Skills!E9-IF(TRUE=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749277516252113.5</v>
      </c>
      <c r="U1751">
        <f>IF(C1751,(H1751*N1751*IF(AND(Inputs!$B$38&lt;&gt;"pvp",Inputs!$B$43&gt;0),((Skills!G9*((R1751-1)*IF(Skills!H9&gt;0,Skills!I9/Skills!H9,1)+IF(Skills!H9&gt;0,MIN(Skills!I9,MAX(0,MAX(0,Inputs!$B$43-B1780)-((R1751-1)*(IF(Inputs!$B$38="pvp",15,MAX(0.1,Skills!E9-IF(TRUE=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6650595866720001</v>
      </c>
    </row>
    <row r="1752" spans="1:26" x14ac:dyDescent="0.2">
      <c r="A1752" t="str">
        <f>Skills!A10</f>
        <v>CREEPING_TOXIN</v>
      </c>
      <c r="B1752" t="str">
        <f>Skills!B10</f>
        <v>Creeping Toxin</v>
      </c>
      <c r="C1752" t="b">
        <f>TRUE</f>
        <v>1</v>
      </c>
      <c r="D1752">
        <f>IF(Skills!C10=1,60+Inputs!$B$25+Inputs!$B$29,IF(Skills!C10=2,90+Inputs!$B$26+Inputs!$B$29,IF(Skills!C10=3,120+Inputs!$B$27+Inputs!$B$29,MAX(0,(Inputs!$B$3-100)*3)+Inputs!$B$28+Inputs!$B$29)))</f>
        <v>184</v>
      </c>
      <c r="E1752">
        <f>INDEX(FactorTable!$B$2:$Y$301, MATCH(ROUND(MIN(300,MAX(1,D1752)),0), FactorTable!$A$2:$A$301,0), Skills!M10+1)</f>
        <v>1920</v>
      </c>
      <c r="F1752">
        <f>IF(Skills!N10=TRUE,(Skills!L10/10)*(E1752/1000),Skills!L10/10)+Skills!O10</f>
        <v>280.39999999999998</v>
      </c>
      <c r="G1752">
        <f>Calc!G10</f>
        <v>15</v>
      </c>
      <c r="H1752">
        <f>Calc!H10</f>
        <v>1</v>
      </c>
      <c r="I1752">
        <f>IF(Skills!X10&lt;&gt;"",1+(Skills!X10/10)*(Z1745/1000)/100,1)</f>
        <v>1.7650000000000001</v>
      </c>
      <c r="J1752">
        <f>((Inputs!$B$6*(1+Inputs!$B$7/100))+(((Inputs!$B$12*(1+Inputs!$B$13/100))-(Inputs!$B$12*(1+Inputs!$B$13/100)))+0.25*(Inputs!$B$14-Inputs!$B$14))*(1+Inputs!$B$7/100))*(F1752/100)</f>
        <v>1012621197.9803641</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8980586260374.2793</v>
      </c>
      <c r="L1752">
        <f>K1752*(MIN(Inputs!$B$22+(F1764-Calc!F22),(Inputs!$B$23+(IF(ArtifactsInput!$M$15,CHOOSE(ArtifactsInput!$N$15+1,25,30,35,40,45,50)/100*(Inputs!$B$11-Inputs!$B$11),0))))/100+(Inputs!$B$23+(IF(ArtifactsInput!$M$15,CHOOSE(ArtifactsInput!$N$15+1,25,30,35,40,45,50)/100*(Inputs!$B$11-Inputs!$B$11),0)))/100)/2</f>
        <v>29860449315744.48</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752">
        <f>L1752*(1-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752">
        <f>(1-Summary!$B$11)*S1752+Summary!$B$11*U1752</f>
        <v>359386976837013.38</v>
      </c>
      <c r="P1752">
        <f>IF(B1783=0,0,O1752/B1783)</f>
        <v>1.0003741441578173E-2</v>
      </c>
      <c r="Q1752">
        <f>IFERROR(1/(IF(Inputs!$B$38="pvp",15,MAX(0.1,Skills!E10-IF(TRUE=TRUE,Inputs!$B$32,0)))*(1-IF(AND(ArtifactsInput!$M$27,Inputs!$B$4="Chapter Hunt"),CHOOSE(ArtifactsInput!$N$27+1,20,24,28,32,36,40),0)/100)),0)</f>
        <v>3.7037037037037035E-2</v>
      </c>
      <c r="R1752">
        <f>IF(AND(Inputs!$B$38&lt;&gt;"pvp",Inputs!$B$43&gt;0),IF(MAX(0,Inputs!$B$43-B1780)&lt;=0,0,(INT(MAX(0,Inputs!$B$43-B1780)/(IF(Inputs!$B$38="pvp",15,MAX(0.1,Skills!E10-IF(TRUE=TRUE,Inputs!$B$32,0)))*(1-IF(AND(ArtifactsInput!$M$27,Inputs!$B$4="Chapter Hunt"),CHOOSE(ArtifactsInput!$N$27+1,20,24,28,32,36,40),0)/100)))+1)),0)</f>
        <v>2</v>
      </c>
      <c r="S1752">
        <f>IF(C1752,(H1752*N1752*IF(AND(Inputs!$B$38&lt;&gt;"pvp",Inputs!$B$43&gt;0),((Skills!G10*((R1752-1)*IF(Skills!H10&gt;0,Skills!I10/Skills!H10,1)+IF(Skills!H10&gt;0,MIN(Skills!I10,MAX(0,MAX(0,Inputs!$B$43-B1780)-((R1752-1)*(IF(Inputs!$B$38="pvp",15,MAX(0.1,Skills!E10-IF(TRUE=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329337369755684.44</v>
      </c>
      <c r="U1752">
        <f>IF(C1752,(H1752*N1752*IF(AND(Inputs!$B$38&lt;&gt;"pvp",Inputs!$B$43&gt;0),((Skills!G10*((R1752-1)*IF(Skills!H10&gt;0,Skills!I10/Skills!H10,1)+IF(Skills!H10&gt;0,MIN(Skills!I10,MAX(0,MAX(0,Inputs!$B$43-B1780)-((R1752-1)*(IF(Inputs!$B$38="pvp",15,MAX(0.1,Skills!E10-IF(TRUE=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389436583918342.25</v>
      </c>
    </row>
    <row r="1753" spans="1:26" x14ac:dyDescent="0.2">
      <c r="A1753" t="str">
        <f>Skills!A11</f>
        <v>BURNING_MAGIC</v>
      </c>
      <c r="B1753" t="str">
        <f>Skills!B11</f>
        <v>Burning Magic</v>
      </c>
      <c r="C1753" t="b">
        <f>TRUE</f>
        <v>1</v>
      </c>
      <c r="D1753">
        <f>IF(Skills!C11=1,60+Inputs!$B$25+Inputs!$B$29,IF(Skills!C11=2,90+Inputs!$B$26+Inputs!$B$29,IF(Skills!C11=3,120+Inputs!$B$27+Inputs!$B$29,MAX(0,(Inputs!$B$3-100)*3)+Inputs!$B$28+Inputs!$B$29)))</f>
        <v>184</v>
      </c>
      <c r="E1753">
        <f>INDEX(FactorTable!$B$2:$Y$301, MATCH(ROUND(MIN(300,MAX(1,D1753)),0), FactorTable!$A$2:$A$301,0), Skills!M11+1)</f>
        <v>0</v>
      </c>
      <c r="F1753">
        <f>IF(Skills!N11=TRUE,(Skills!L11/10)*(E1753/1000),Skills!L11/10)+Skills!O11</f>
        <v>5</v>
      </c>
      <c r="G1753">
        <f>Calc!G11</f>
        <v>1</v>
      </c>
      <c r="H1753">
        <f>Calc!H11</f>
        <v>1</v>
      </c>
      <c r="I1753">
        <f>IF(Skills!X11&lt;&gt;"",1+(Skills!X11/10)*(Z1745/1000)/100,1)</f>
        <v>1</v>
      </c>
      <c r="O1753">
        <f>(1-Summary!$B$11)*S1753+Summary!$B$11*U1753</f>
        <v>0</v>
      </c>
      <c r="P1753">
        <f>IF(B1783=0,0,O1753/B1783)</f>
        <v>0</v>
      </c>
      <c r="Q1753">
        <f>IFERROR(1/(IF(Inputs!$B$38="pvp",15,MAX(0.1,Skills!E11-IF(TRUE=TRUE,Inputs!$B$32,0)))*(1-IF(AND(ArtifactsInput!$M$27,Inputs!$B$4="Chapter Hunt"),CHOOSE(ArtifactsInput!$N$27+1,20,24,28,32,36,40),0)/100)),0)</f>
        <v>10</v>
      </c>
      <c r="R1753">
        <v>0</v>
      </c>
      <c r="S1753">
        <v>0</v>
      </c>
      <c r="U1753">
        <v>0</v>
      </c>
    </row>
    <row r="1754" spans="1:26" x14ac:dyDescent="0.2">
      <c r="A1754" t="str">
        <f>Skills!A12</f>
        <v>ELEMENTAL_DECREASE</v>
      </c>
      <c r="B1754" t="str">
        <f>Skills!B12</f>
        <v>Elemental Decrease</v>
      </c>
      <c r="C1754" t="b">
        <f>TRUE</f>
        <v>1</v>
      </c>
      <c r="D1754">
        <f>IF(Skills!C12=1,60+Inputs!$B$25+Inputs!$B$29,IF(Skills!C12=2,90+Inputs!$B$26+Inputs!$B$29,IF(Skills!C12=3,120+Inputs!$B$27+Inputs!$B$29,MAX(0,(Inputs!$B$3-100)*3)+Inputs!$B$28+Inputs!$B$29)))</f>
        <v>184</v>
      </c>
      <c r="E1754">
        <f>INDEX(FactorTable!$B$2:$Y$301, MATCH(ROUND(MIN(300,MAX(1,D1754)),0), FactorTable!$A$2:$A$301,0), Skills!M12+1)</f>
        <v>1552</v>
      </c>
      <c r="F1754">
        <f>IF(Skills!N12=TRUE,(Skills!L12/10)*(E1754/1000),Skills!L12/10)+Skills!O12</f>
        <v>18.624000000000002</v>
      </c>
      <c r="G1754">
        <f>Calc!G12</f>
        <v>1</v>
      </c>
      <c r="H1754">
        <f>Calc!H12</f>
        <v>0.5</v>
      </c>
      <c r="I1754">
        <f>IF(Skills!X12&lt;&gt;"",1+(Skills!X12/10)*(Z1745/1000)/100,1)</f>
        <v>1</v>
      </c>
      <c r="O1754">
        <f>(1-Summary!$B$11)*S1754+Summary!$B$11*U1754</f>
        <v>0</v>
      </c>
      <c r="P1754">
        <f>IF(B1783=0,0,O1754/B1783)</f>
        <v>0</v>
      </c>
      <c r="Q1754">
        <f>IFERROR(1/(IF(Inputs!$B$38="pvp",15,MAX(0.1,Skills!E12-IF(TRUE=TRUE,Inputs!$B$32,0)))*(1-IF(AND(ArtifactsInput!$M$27,Inputs!$B$4="Chapter Hunt"),CHOOSE(ArtifactsInput!$N$27+1,20,24,28,32,36,40),0)/100)),0)</f>
        <v>10</v>
      </c>
      <c r="R1754">
        <v>0</v>
      </c>
      <c r="S1754">
        <v>0</v>
      </c>
      <c r="U1754">
        <v>0</v>
      </c>
    </row>
    <row r="1755" spans="1:26" x14ac:dyDescent="0.2">
      <c r="A1755" t="str">
        <f>Skills!A13</f>
        <v>METEOR_SHOWER_BURST</v>
      </c>
      <c r="B1755" t="str">
        <f>Skills!B13</f>
        <v>Meteor Shower (burst)</v>
      </c>
      <c r="C1755" t="b">
        <f>Inputs!$B$3&gt;=105</f>
        <v>1</v>
      </c>
      <c r="D1755">
        <f>IF(Skills!C13=1,60+Inputs!$B$25+Inputs!$B$29,IF(Skills!C13=2,90+Inputs!$B$26+Inputs!$B$29,IF(Skills!C13=3,120+Inputs!$B$27+Inputs!$B$29,MAX(0,(Inputs!$B$3-100)*3)+Inputs!$B$28+Inputs!$B$29)))</f>
        <v>185</v>
      </c>
      <c r="E1755">
        <f>INDEX(FactorTable!$B$2:$Y$301, MATCH(ROUND(MIN(300,MAX(1,D1755)),0), FactorTable!$A$2:$A$301,0), Skills!M13+1)</f>
        <v>1925</v>
      </c>
      <c r="F1755">
        <f>IF(Skills!N13=TRUE,(Skills!L13/10)*(E1755/1000),Skills!L13/10)+Skills!O13</f>
        <v>1155</v>
      </c>
      <c r="G1755">
        <f>Calc!G13</f>
        <v>9</v>
      </c>
      <c r="H1755">
        <f>Calc!H13</f>
        <v>1</v>
      </c>
      <c r="I1755">
        <f>IF(Skills!X13&lt;&gt;"",1+(Skills!X13/10)*(Z1745/1000)/100,1)</f>
        <v>1</v>
      </c>
      <c r="J1755">
        <f>((Inputs!$B$6*(1+Inputs!$B$7/100))+(((Inputs!$B$12*(1+Inputs!$B$13/100))-(Inputs!$B$12*(1+Inputs!$B$13/100)))+0.25*(Inputs!$B$14-Inputs!$B$14))*(1+Inputs!$B$7/100))*(F1755/100)</f>
        <v>4171103722.0660505</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20958681306616.391</v>
      </c>
      <c r="L1755">
        <f>K1755*(MIN(Inputs!$B$22+(F1764-Calc!F22),(Inputs!$B$23+(IF(ArtifactsInput!$M$15,CHOOSE(ArtifactsInput!$N$15+1,25,30,35,40,45,50)/100*(Inputs!$B$11-Inputs!$B$11),0))))/100+(Inputs!$B$23+(IF(ArtifactsInput!$M$15,CHOOSE(ArtifactsInput!$N$15+1,25,30,35,40,45,50)/100*(Inputs!$B$11-Inputs!$B$11),0)))/100)/2</f>
        <v>69687615344499.5</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755">
        <f>L1755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755">
        <f>(1-Summary!$B$11)*S1755+Summary!$B$11*U1755</f>
        <v>1945690064264201.5</v>
      </c>
      <c r="P1755">
        <f>IF(B1783=0,0,O1755/B1783)</f>
        <v>5.4159392473406037E-2</v>
      </c>
      <c r="Q1755">
        <f>IFERROR(1/(IF(Inputs!$B$38="pvp",15,MAX(0.1,Skills!E13-IF(TRUE=TRUE,Inputs!$B$32,0)))*(1-IF(AND(ArtifactsInput!$M$27,Inputs!$B$4="Chapter Hunt"),CHOOSE(ArtifactsInput!$N$27+1,20,24,28,32,36,40),0)/100)),0)</f>
        <v>3.0303030303030304E-2</v>
      </c>
      <c r="R1755">
        <f>IF(AND(Inputs!$B$38&lt;&gt;"pvp",Inputs!$B$43&gt;0),IF(MAX(0,Inputs!$B$43-B1780)&lt;=0,0,(INT(MAX(0,Inputs!$B$43-B1780)/(IF(Inputs!$B$38="pvp",15,MAX(0.1,Skills!E13-IF(TRUE=TRUE,Inputs!$B$32,0)))*(1-IF(AND(ArtifactsInput!$M$27,Inputs!$B$4="Chapter Hunt"),CHOOSE(ArtifactsInput!$N$27+1,20,24,28,32,36,40),0)/100)))+1)),0)</f>
        <v>2</v>
      </c>
      <c r="S1755">
        <f>IF(C1755,(H1755*N1755*IF(AND(Inputs!$B$38&lt;&gt;"pvp",Inputs!$B$43&gt;0),((Skills!G13*((R1755-1)*IF(Skills!H13&gt;0,Skills!I13/Skills!H13,1)+IF(Skills!H13&gt;0,MIN(Skills!I13,MAX(0,MAX(0,Inputs!$B$43-B1780)-((R1755-1)*(IF(Inputs!$B$38="pvp",15,MAX(0.1,Skills!E13-IF(TRUE=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539479811701521.75</v>
      </c>
      <c r="U1755">
        <f>IF(C1755,(H1755*N1755*IF(AND(Inputs!$B$38&lt;&gt;"pvp",Inputs!$B$43&gt;0),((Skills!G13*((R1755-1)*IF(Skills!H13&gt;0,Skills!I13/Skills!H13,1)+IF(Skills!H13&gt;0,MIN(Skills!I13,MAX(0,MAX(0,Inputs!$B$43-B1780)-((R1755-1)*(IF(Inputs!$B$38="pvp",15,MAX(0.1,Skills!E13-IF(TRUE=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3351900316826881</v>
      </c>
    </row>
    <row r="1756" spans="1:26" x14ac:dyDescent="0.2">
      <c r="A1756" t="str">
        <f>Skills!A14</f>
        <v>METEOR_PROC</v>
      </c>
      <c r="B1756" t="str">
        <f>Skills!B14</f>
        <v>Meteor Proc (30% on-hit, 1s ICD)</v>
      </c>
      <c r="C1756" t="b">
        <f>Inputs!$B$3&gt;=113</f>
        <v>1</v>
      </c>
      <c r="D1756">
        <f>IF(Skills!C14=1,60+Inputs!$B$25+Inputs!$B$29,IF(Skills!C14=2,90+Inputs!$B$26+Inputs!$B$29,IF(Skills!C14=3,120+Inputs!$B$27+Inputs!$B$29,MAX(0,(Inputs!$B$3-100)*3)+Inputs!$B$28+Inputs!$B$29)))</f>
        <v>185</v>
      </c>
      <c r="E1756">
        <f>INDEX(FactorTable!$B$2:$Y$301, MATCH(ROUND(MIN(300,MAX(1,D1756)),0), FactorTable!$A$2:$A$301,0), Skills!M14+1)</f>
        <v>1740</v>
      </c>
      <c r="F1756">
        <f>IF(Skills!N14=TRUE,(Skills!L14/10)*(E1756/1000),Skills!L14/10)+Skills!O14</f>
        <v>1653</v>
      </c>
      <c r="G1756">
        <f>Calc!G14</f>
        <v>0</v>
      </c>
      <c r="H1756">
        <f>Calc!H14</f>
        <v>0.30000000000000004</v>
      </c>
      <c r="I1756">
        <f>IF(Skills!X14&lt;&gt;"",1+(Skills!X14/10)*(Z1745/1000)/100,1)</f>
        <v>1</v>
      </c>
      <c r="J1756">
        <f>((Inputs!$B$6*(1+Inputs!$B$7/100))+(((Inputs!$B$12*(1+Inputs!$B$13/100))-(Inputs!$B$12*(1+Inputs!$B$13/100)))+0.25*(Inputs!$B$14-Inputs!$B$14))*(1+Inputs!$B$7/100))*(F1756/100)</f>
        <v>5969553638.5932312</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29995411428430.203</v>
      </c>
      <c r="L1756">
        <f>K1756*(MIN(Inputs!$B$22+(F1764-Calc!F22),(Inputs!$B$23+(IF(ArtifactsInput!$M$15,CHOOSE(ArtifactsInput!$N$15+1,25,30,35,40,45,50)/100*(Inputs!$B$11-Inputs!$B$11),0))))/100+(Inputs!$B$23+(IF(ArtifactsInput!$M$15,CHOOSE(ArtifactsInput!$N$15+1,25,30,35,40,45,50)/100*(Inputs!$B$11-Inputs!$B$11),0)))/100)/2</f>
        <v>99734742999530.438</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756">
        <f>L1756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756">
        <f>(1-Summary!$B$11)*S1756+Summary!$B$11*U1756</f>
        <v>513597568260361.31</v>
      </c>
      <c r="P1756">
        <f>IF(B1783=0,0,O1756/B1783)</f>
        <v>1.4296281192821447E-2</v>
      </c>
      <c r="Q1756">
        <f>IFERROR(1/(IF(Inputs!$B$38="pvp",15,MAX(0.1,Skills!E14-IF(TRUE=TRUE,Inputs!$B$32,0)))*(1-IF(AND(ArtifactsInput!$M$27,Inputs!$B$4="Chapter Hunt"),CHOOSE(ArtifactsInput!$N$27+1,20,24,28,32,36,40),0)/100)),0)</f>
        <v>10</v>
      </c>
      <c r="R1756">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544180180953503.25</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483014955567219.38</v>
      </c>
    </row>
    <row r="1757" spans="1:26" x14ac:dyDescent="0.2">
      <c r="A1757" t="str">
        <f>Skills!A15</f>
        <v>FLAME_HAZE_BURST</v>
      </c>
      <c r="B1757" t="str">
        <f>Skills!B15</f>
        <v>Flame Haze (burst)</v>
      </c>
      <c r="C1757" t="b">
        <f>Inputs!$B$3&gt;=107</f>
        <v>1</v>
      </c>
      <c r="D1757">
        <f>IF(Skills!C15=1,60+Inputs!$B$25+Inputs!$B$29,IF(Skills!C15=2,90+Inputs!$B$26+Inputs!$B$29,IF(Skills!C15=3,120+Inputs!$B$27+Inputs!$B$29,MAX(0,(Inputs!$B$3-100)*3)+Inputs!$B$28+Inputs!$B$29)))</f>
        <v>185</v>
      </c>
      <c r="E1757">
        <f>INDEX(FactorTable!$B$2:$Y$301, MATCH(ROUND(MIN(300,MAX(1,D1757)),0), FactorTable!$A$2:$A$301,0), Skills!M15+1)</f>
        <v>1925</v>
      </c>
      <c r="F1757">
        <f>IF(Skills!N15=TRUE,(Skills!L15/10)*(E1757/1000),Skills!L15/10)+Skills!O15</f>
        <v>2310</v>
      </c>
      <c r="G1757">
        <f>Calc!G15</f>
        <v>3</v>
      </c>
      <c r="H1757">
        <f>Calc!H15</f>
        <v>1</v>
      </c>
      <c r="I1757">
        <f>IF(Skills!X15&lt;&gt;"",1+(Skills!X15/10)*(Z1745/1000)/100,1)</f>
        <v>1</v>
      </c>
      <c r="J1757">
        <f>((Inputs!$B$6*(1+Inputs!$B$7/100))+(((Inputs!$B$12*(1+Inputs!$B$13/100))-(Inputs!$B$12*(1+Inputs!$B$13/100)))+0.25*(Inputs!$B$14-Inputs!$B$14))*(1+Inputs!$B$7/100))*(F1757/100)</f>
        <v>8342207444.1321011</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41917362613232.781</v>
      </c>
      <c r="L1757">
        <f>K1757*(MIN(Inputs!$B$22+(F1764-Calc!F22),(Inputs!$B$23+(IF(ArtifactsInput!$M$15,CHOOSE(ArtifactsInput!$N$15+1,25,30,35,40,45,50)/100*(Inputs!$B$11-Inputs!$B$11),0))))/100+(Inputs!$B$23+(IF(ArtifactsInput!$M$15,CHOOSE(ArtifactsInput!$N$15+1,25,30,35,40,45,50)/100*(Inputs!$B$11-Inputs!$B$11),0)))/100)/2</f>
        <v>139375230688999</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757">
        <f>L1757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757">
        <f>(1-Summary!$B$11)*S1757+Summary!$B$11*U1757</f>
        <v>1775969611913307.5</v>
      </c>
      <c r="P1757">
        <f>IF(B1783=0,0,O1757/B1783)</f>
        <v>4.9435126898707646E-2</v>
      </c>
      <c r="Q1757">
        <f>IFERROR(1/(IF(Inputs!$B$38="pvp",15,MAX(0.1,Skills!E15-IF(TRUE=TRUE,Inputs!$B$32,0)))*(1-IF(AND(ArtifactsInput!$M$27,Inputs!$B$4="Chapter Hunt"),CHOOSE(ArtifactsInput!$N$27+1,20,24,28,32,36,40),0)/100)),0)</f>
        <v>0.04</v>
      </c>
      <c r="R1757">
        <f>IF(AND(Inputs!$B$38&lt;&gt;"pvp",Inputs!$B$43&gt;0),IF(MAX(0,Inputs!$B$43-B1780)&lt;=0,0,(INT(MAX(0,Inputs!$B$43-B1780)/(IF(Inputs!$B$38="pvp",15,MAX(0.1,Skills!E15-IF(TRUE=TRUE,Inputs!$B$32,0)))*(1-IF(AND(ArtifactsInput!$M$27,Inputs!$B$4="Chapter Hunt"),CHOOSE(ArtifactsInput!$N$27+1,20,24,28,32,36,40),0)/100)))+1)),0)</f>
        <v>2</v>
      </c>
      <c r="S1757">
        <f>IF(C1757,(H1757*N1757*IF(AND(Inputs!$B$38&lt;&gt;"pvp",Inputs!$B$43&gt;0),((Skills!G15*((R1757-1)*IF(Skills!H15&gt;0,Skills!I15/Skills!H15,1)+IF(Skills!H15&gt;0,MIN(Skills!I15,MAX(0,MAX(0,Inputs!$B$43-B1780)-((R1757-1)*(IF(Inputs!$B$38="pvp",15,MAX(0.1,Skills!E15-IF(TRUE=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359653207801014.44</v>
      </c>
      <c r="U1757">
        <f>IF(C1757,(H1757*N1757*IF(AND(Inputs!$B$38&lt;&gt;"pvp",Inputs!$B$43&gt;0),((Skills!G15*((R1757-1)*IF(Skills!H15&gt;0,Skills!I15/Skills!H15,1)+IF(Skills!H15&gt;0,MIN(Skills!I15,MAX(0,MAX(0,Inputs!$B$43-B1780)-((R1757-1)*(IF(Inputs!$B$38="pvp",15,MAX(0.1,Skills!E15-IF(TRUE=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3192286016025600.5</v>
      </c>
    </row>
    <row r="1758" spans="1:26" x14ac:dyDescent="0.2">
      <c r="A1758" t="str">
        <f>Skills!A16</f>
        <v>FLAME_HAZE_DOT</v>
      </c>
      <c r="B1758" t="str">
        <f>Skills!B16</f>
        <v>Flame Haze (burn DoT)</v>
      </c>
      <c r="C1758" t="b">
        <f>Inputs!$B$3&gt;=107</f>
        <v>1</v>
      </c>
      <c r="D1758">
        <f>IF(Skills!C16=1,60+Inputs!$B$25+Inputs!$B$29,IF(Skills!C16=2,90+Inputs!$B$26+Inputs!$B$29,IF(Skills!C16=3,120+Inputs!$B$27+Inputs!$B$29,MAX(0,(Inputs!$B$3-100)*3)+Inputs!$B$28+Inputs!$B$29)))</f>
        <v>185</v>
      </c>
      <c r="E1758">
        <f>INDEX(FactorTable!$B$2:$Y$301, MATCH(ROUND(MIN(300,MAX(1,D1758)),0), FactorTable!$A$2:$A$301,0), Skills!M16+1)</f>
        <v>1925</v>
      </c>
      <c r="F1758">
        <f>IF(Skills!N16=TRUE,(Skills!L16/10)*(E1758/1000),Skills!L16/10)+Skills!O16</f>
        <v>288.75</v>
      </c>
      <c r="G1758">
        <f>Calc!G16</f>
        <v>30</v>
      </c>
      <c r="H1758">
        <f>Calc!H16</f>
        <v>1</v>
      </c>
      <c r="I1758">
        <f>IF(Skills!X16&lt;&gt;"",1+(Skills!X16/10)*(Z1745/1000)/100,1)</f>
        <v>1</v>
      </c>
      <c r="J1758">
        <f>((Inputs!$B$6*(1+Inputs!$B$7/100))+(((Inputs!$B$12*(1+Inputs!$B$13/100))-(Inputs!$B$12*(1+Inputs!$B$13/100)))+0.25*(Inputs!$B$14-Inputs!$B$14))*(1+Inputs!$B$7/100))*(F1758/100)</f>
        <v>1042775930.5165126</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5239670326654.0977</v>
      </c>
      <c r="L1758">
        <f>K1758*(MIN(Inputs!$B$22+(F1764-Calc!F22),(Inputs!$B$23+(IF(ArtifactsInput!$M$15,CHOOSE(ArtifactsInput!$N$15+1,25,30,35,40,45,50)/100*(Inputs!$B$11-Inputs!$B$11),0))))/100+(Inputs!$B$23+(IF(ArtifactsInput!$M$15,CHOOSE(ArtifactsInput!$N$15+1,25,30,35,40,45,50)/100*(Inputs!$B$11-Inputs!$B$11),0)))/100)/2</f>
        <v>17421903836124.875</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758">
        <f>L1758*(1-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758">
        <f>(1-Summary!$B$11)*S1758+Summary!$B$11*U1758</f>
        <v>2045672634768819</v>
      </c>
      <c r="P1758">
        <f>IF(B1783=0,0,O1758/B1783)</f>
        <v>5.6942464338712272E-2</v>
      </c>
      <c r="Q1758">
        <f>IFERROR(1/(IF(Inputs!$B$38="pvp",15,MAX(0.1,Skills!E16-IF(TRUE=TRUE,Inputs!$B$32,0)))*(1-IF(AND(ArtifactsInput!$M$27,Inputs!$B$4="Chapter Hunt"),CHOOSE(ArtifactsInput!$N$27+1,20,24,28,32,36,40),0)/100)),0)</f>
        <v>0.04</v>
      </c>
      <c r="R1758">
        <f>IF(AND(Inputs!$B$38&lt;&gt;"pvp",Inputs!$B$43&gt;0),IF(MAX(0,Inputs!$B$43-B1780)&lt;=0,0,(INT(MAX(0,Inputs!$B$43-B1780)/(IF(Inputs!$B$38="pvp",15,MAX(0.1,Skills!E16-IF(TRUE=TRUE,Inputs!$B$32,0)))*(1-IF(AND(ArtifactsInput!$M$27,Inputs!$B$4="Chapter Hunt"),CHOOSE(ArtifactsInput!$N$27+1,20,24,28,32,36,40),0)/100)))+1)),0)</f>
        <v>2</v>
      </c>
      <c r="S1758">
        <f>IF(C1758,(H1758*N1758*IF(AND(Inputs!$B$38&lt;&gt;"pvp",Inputs!$B$43&gt;0),((Skills!G16*((R1758-1)*IF(Skills!H16&gt;0,Skills!I16/Skills!H16,1)+IF(Skills!H16&gt;0,MIN(Skills!I16,MAX(0,MAX(0,Inputs!$B$43-B1780)-((R1758-1)*(IF(Inputs!$B$38="pvp",15,MAX(0.1,Skills!E16-IF(TRUE=TRUE,Inputs!$B$32,0)))*(1-IF(AND(ArtifactsInput!$M$27,Inputs!$B$4="Chapter Hunt"),CHOOSE(ArtifactsInput!$N$27+1,20,24,28,32,36,40),0)/100)))))/Skills!H16,1)))/Inputs!$B$43),G1758*Q1758)*(1+IF(Inputs!$B$3&gt;=126,0.05*(B1778+Q1755+(H1756*B1779)/(1+Skills!H14*H1756*B1779)+Q1766),0)*(1/Q1757)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414271010196357.56</v>
      </c>
      <c r="U1758">
        <f>IF(C1758,(H1758*N1758*IF(AND(Inputs!$B$38&lt;&gt;"pvp",Inputs!$B$43&gt;0),((Skills!G16*((R1758-1)*IF(Skills!H16&gt;0,Skills!I16/Skills!H16,1)+IF(Skills!H16&gt;0,MIN(Skills!I16,MAX(0,MAX(0,Inputs!$B$43-B1780)-((R1758-1)*(IF(Inputs!$B$38="pvp",15,MAX(0.1,Skills!E16-IF(TRUE=TRUE,Inputs!$B$32,0)))*(1-IF(AND(ArtifactsInput!$M$27,Inputs!$B$4="Chapter Hunt"),CHOOSE(ArtifactsInput!$N$27+1,20,24,28,32,36,40),0)/100)))))/Skills!H16,1)))/Inputs!$B$43),G1758*Q1758)*(1+IF(Inputs!$B$3&gt;=126,0.05*(B1778+Q1755+(H1756*B1779)/(1+Skills!H14*H1756*B1779)+Q1766),0)*(1/Q1757)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3677074259341280.5</v>
      </c>
    </row>
    <row r="1759" spans="1:26" x14ac:dyDescent="0.2">
      <c r="A1759" t="str">
        <f>Skills!A17</f>
        <v>MAGIC_GUARD</v>
      </c>
      <c r="B1759" t="str">
        <f>Skills!B17</f>
        <v>Magic Guard</v>
      </c>
      <c r="C1759" t="b">
        <f>TRUE</f>
        <v>1</v>
      </c>
      <c r="D1759">
        <f>IF(Skills!C17=1,60+Inputs!$B$25+Inputs!$B$29,IF(Skills!C17=2,90+Inputs!$B$26+Inputs!$B$29,IF(Skills!C17=3,120+Inputs!$B$27+Inputs!$B$29,MAX(0,(Inputs!$B$3-100)*3)+Inputs!$B$28+Inputs!$B$29)))</f>
        <v>127</v>
      </c>
      <c r="E1759">
        <f>INDEX(FactorTable!$B$2:$Y$301, MATCH(ROUND(MIN(300,MAX(1,D1759)),0), FactorTable!$A$2:$A$301,0), Skills!M17+1)</f>
        <v>1508</v>
      </c>
      <c r="F1759">
        <f>IF(Skills!N17=TRUE,(Skills!L17/10)*(E1759/1000),Skills!L17/10)+Skills!O17</f>
        <v>18.096</v>
      </c>
      <c r="G1759">
        <f>Calc!G17</f>
        <v>1</v>
      </c>
      <c r="H1759">
        <f>Calc!H17</f>
        <v>1</v>
      </c>
      <c r="I1759">
        <f>IF(Skills!X17&lt;&gt;"",1+(Skills!X17/10)*(Z1745/1000)/100,1)</f>
        <v>1</v>
      </c>
      <c r="O1759">
        <f>(1-Summary!$B$11)*S1759+Summary!$B$11*U1759</f>
        <v>0</v>
      </c>
      <c r="P1759">
        <f>IF(B1783=0,0,O1759/B1783)</f>
        <v>0</v>
      </c>
      <c r="Q1759">
        <f>IFERROR(1/(IF(Inputs!$B$38="pvp",15,MAX(0.1,Skills!E17-IF(TRUE=TRUE,Inputs!$B$32,0)))*(1-IF(AND(ArtifactsInput!$M$27,Inputs!$B$4="Chapter Hunt"),CHOOSE(ArtifactsInput!$N$27+1,20,24,28,32,36,40),0)/100)),0)</f>
        <v>4.7619047619047616E-2</v>
      </c>
      <c r="R1759">
        <f>IF(AND(Inputs!$B$38&lt;&gt;"pvp",Inputs!$B$43&gt;0),IF(Inputs!$B$43&lt;=0,0,(INT(Inputs!$B$43/(IF(Inputs!$B$38="pvp",15,MAX(0.1,Skills!E17-IF(TRUE=TRUE,Inputs!$B$32,0)))*(1-IF(AND(ArtifactsInput!$M$27,Inputs!$B$4="Chapter Hunt"),CHOOSE(ArtifactsInput!$N$27+1,20,24,28,32,36,40),0)/100)))+1)),0)</f>
        <v>2</v>
      </c>
      <c r="S1759">
        <v>0</v>
      </c>
      <c r="U1759">
        <v>0</v>
      </c>
    </row>
    <row r="1760" spans="1:26" x14ac:dyDescent="0.2">
      <c r="A1760" t="str">
        <f>Skills!A18</f>
        <v>NIMBLE_FEET</v>
      </c>
      <c r="B1760" t="str">
        <f>Skills!B18</f>
        <v>Nimble Feet</v>
      </c>
      <c r="C1760" t="b">
        <f>TRUE</f>
        <v>1</v>
      </c>
      <c r="D1760">
        <f>IF(Skills!C18=1,60+Inputs!$B$25+Inputs!$B$29,IF(Skills!C18=2,90+Inputs!$B$26+Inputs!$B$29,IF(Skills!C18=3,120+Inputs!$B$27+Inputs!$B$29,MAX(0,(Inputs!$B$3-100)*3)+Inputs!$B$28+Inputs!$B$29)))</f>
        <v>127</v>
      </c>
      <c r="E1760">
        <f>INDEX(FactorTable!$B$2:$Y$301, MATCH(ROUND(MIN(300,MAX(1,D1760)),0), FactorTable!$A$2:$A$301,0), Skills!M18+1)</f>
        <v>0</v>
      </c>
      <c r="F1760">
        <f>IF(Skills!N18=TRUE,(Skills!L18/10)*(E1760/1000),Skills!L18/10)+Skills!O18</f>
        <v>15</v>
      </c>
      <c r="G1760">
        <f>Calc!G18</f>
        <v>1</v>
      </c>
      <c r="H1760">
        <f>Calc!H18</f>
        <v>1</v>
      </c>
      <c r="I1760">
        <f>IF(Skills!X18&lt;&gt;"",1+(Skills!X18/10)*(Z1745/1000)/100,1)</f>
        <v>1</v>
      </c>
      <c r="O1760">
        <f>(1-Summary!$B$11)*S1760+Summary!$B$11*U1760</f>
        <v>0</v>
      </c>
      <c r="P1760">
        <f>IF(B1783=0,0,O1760/B1783)</f>
        <v>0</v>
      </c>
      <c r="Q1760">
        <f>IFERROR(1/(IF(Inputs!$B$38="pvp",15,MAX(0.1,Skills!E18-IF(TRUE=TRUE,Inputs!$B$32,0)))*(1-IF(AND(ArtifactsInput!$M$27,Inputs!$B$4="Chapter Hunt"),CHOOSE(ArtifactsInput!$N$27+1,20,24,28,32,36,40),0)/100)),0)</f>
        <v>1.6666666666666666E-2</v>
      </c>
      <c r="R1760">
        <f>IF(AND(Inputs!$B$38&lt;&gt;"pvp",Inputs!$B$43&gt;0),IF(Inputs!$B$43&lt;=0,0,(INT(Inputs!$B$43/(IF(Inputs!$B$38="pvp",15,MAX(0.1,Skills!E18-IF(TRUE=TRUE,Inputs!$B$32,0)))*(1-IF(AND(ArtifactsInput!$M$27,Inputs!$B$4="Chapter Hunt"),CHOOSE(ArtifactsInput!$N$27+1,20,24,28,32,36,40),0)/100)))+1)),0)</f>
        <v>1</v>
      </c>
      <c r="S1760">
        <v>0</v>
      </c>
      <c r="U1760">
        <v>0</v>
      </c>
    </row>
    <row r="1761" spans="1:21" x14ac:dyDescent="0.2">
      <c r="A1761" t="str">
        <f>Skills!A19</f>
        <v>INFINITY</v>
      </c>
      <c r="B1761" t="str">
        <f>Skills!B19</f>
        <v>Infinity</v>
      </c>
      <c r="C1761" t="b">
        <f>Inputs!$B$3&gt;=110</f>
        <v>1</v>
      </c>
      <c r="D1761">
        <f>IF(Skills!C19=1,60+Inputs!$B$25+Inputs!$B$29,IF(Skills!C19=2,90+Inputs!$B$26+Inputs!$B$29,IF(Skills!C19=3,120+Inputs!$B$27+Inputs!$B$29,MAX(0,(Inputs!$B$3-100)*3)+Inputs!$B$28+Inputs!$B$29)))</f>
        <v>185</v>
      </c>
      <c r="E1761">
        <f>INDEX(FactorTable!$B$2:$Y$301, MATCH(ROUND(MIN(300,MAX(1,D1761)),0), FactorTable!$A$2:$A$301,0), Skills!M19+1)</f>
        <v>1740</v>
      </c>
      <c r="F1761">
        <f>IF(Skills!N19=TRUE,(Skills!L19/10)*(E1761/1000),Skills!L19/10)+Skills!O19</f>
        <v>37.700579999999995</v>
      </c>
      <c r="G1761">
        <f>Calc!G19</f>
        <v>1</v>
      </c>
      <c r="H1761">
        <f>Calc!H19</f>
        <v>1</v>
      </c>
      <c r="I1761">
        <f>IF(Skills!X19&lt;&gt;"",1+(Skills!X19/10)*(Z1745/1000)/100,1)</f>
        <v>1</v>
      </c>
      <c r="O1761">
        <f>(1-Summary!$B$11)*S1761+Summary!$B$11*U1761</f>
        <v>0</v>
      </c>
      <c r="P1761">
        <f>IF(B1783=0,0,O1761/B1783)</f>
        <v>0</v>
      </c>
      <c r="Q1761">
        <f>IFERROR(1/(IF(Inputs!$B$38="pvp",15,MAX(0.1,Skills!E19-IF(TRUE=TRUE,Inputs!$B$32,0)))*(1-IF(AND(ArtifactsInput!$M$27,Inputs!$B$4="Chapter Hunt"),CHOOSE(ArtifactsInput!$N$27+1,20,24,28,32,36,40),0)/100)),0)</f>
        <v>3.3333333333333333E-2</v>
      </c>
      <c r="R1761">
        <f>IF(AND(Inputs!$B$38&lt;&gt;"pvp",Inputs!$B$43&gt;0),IF(Inputs!$B$43&lt;=0,0,(INT(Inputs!$B$43/(IF(Inputs!$B$38="pvp",15,MAX(0.1,Skills!E19-IF(TRUE=TRUE,Inputs!$B$32,0)))*(1-IF(AND(ArtifactsInput!$M$27,Inputs!$B$4="Chapter Hunt"),CHOOSE(ArtifactsInput!$N$27+1,20,24,28,32,36,40),0)/100)))+1)),0)</f>
        <v>2</v>
      </c>
      <c r="S1761">
        <v>0</v>
      </c>
      <c r="U1761">
        <v>0</v>
      </c>
    </row>
    <row r="1762" spans="1:21" x14ac:dyDescent="0.2">
      <c r="A1762" t="str">
        <f>Skills!A20</f>
        <v>MAGIC_CRITICAL_RATE</v>
      </c>
      <c r="B1762" t="str">
        <f>Skills!B20</f>
        <v>Magic Critical (Crit Rate)</v>
      </c>
      <c r="C1762" t="b">
        <f>TRUE</f>
        <v>1</v>
      </c>
      <c r="D1762">
        <f>IF(Skills!C20=1,60+Inputs!$B$25+Inputs!$B$29,IF(Skills!C20=2,90+Inputs!$B$26+Inputs!$B$29,IF(Skills!C20=3,120+Inputs!$B$27+Inputs!$B$29,MAX(0,(Inputs!$B$3-100)*3)+Inputs!$B$28+Inputs!$B$29)))</f>
        <v>184</v>
      </c>
      <c r="E1762">
        <f>INDEX(FactorTable!$B$2:$Y$301, MATCH(ROUND(MIN(300,MAX(1,D1762)),0), FactorTable!$A$2:$A$301,0), Skills!M20+1)</f>
        <v>1552</v>
      </c>
      <c r="F1762">
        <f>IF(Skills!N20=TRUE,(Skills!L20/10)*(E1762/1000),Skills!L20/10)+Skills!O20</f>
        <v>12.416</v>
      </c>
      <c r="G1762">
        <f>Calc!G20</f>
        <v>1</v>
      </c>
      <c r="H1762">
        <f>Calc!H20</f>
        <v>1</v>
      </c>
      <c r="I1762">
        <f>IF(Skills!X20&lt;&gt;"",1+(Skills!X20/10)*(Z1745/1000)/100,1)</f>
        <v>1</v>
      </c>
      <c r="O1762">
        <f>(1-Summary!$B$11)*S1762+Summary!$B$11*U1762</f>
        <v>0</v>
      </c>
      <c r="P1762">
        <f>IF(B1783=0,0,O1762/B1783)</f>
        <v>0</v>
      </c>
      <c r="Q1762">
        <f>IFERROR(1/(IF(Inputs!$B$38="pvp",15,MAX(0.1,Skills!E20-IF(TRUE=TRUE,Inputs!$B$32,0)))*(1-IF(AND(ArtifactsInput!$M$27,Inputs!$B$4="Chapter Hunt"),CHOOSE(ArtifactsInput!$N$27+1,20,24,28,32,36,40),0)/100)),0)</f>
        <v>10</v>
      </c>
      <c r="R1762">
        <v>0</v>
      </c>
      <c r="S1762">
        <v>0</v>
      </c>
      <c r="U1762">
        <v>0</v>
      </c>
    </row>
    <row r="1763" spans="1:21" x14ac:dyDescent="0.2">
      <c r="A1763" t="str">
        <f>Skills!A21</f>
        <v>MAGIC_CRITICAL_DAMAGE</v>
      </c>
      <c r="B1763" t="str">
        <f>Skills!B21</f>
        <v>Magic Critical (Crit Damage)</v>
      </c>
      <c r="C1763" t="b">
        <f>TRUE</f>
        <v>1</v>
      </c>
      <c r="D1763">
        <f>IF(Skills!C21=1,60+Inputs!$B$25+Inputs!$B$29,IF(Skills!C21=2,90+Inputs!$B$26+Inputs!$B$29,IF(Skills!C21=3,120+Inputs!$B$27+Inputs!$B$29,MAX(0,(Inputs!$B$3-100)*3)+Inputs!$B$28+Inputs!$B$29)))</f>
        <v>184</v>
      </c>
      <c r="E1763">
        <f>INDEX(FactorTable!$B$2:$Y$301, MATCH(ROUND(MIN(300,MAX(1,D1763)),0), FactorTable!$A$2:$A$301,0), Skills!M21+1)</f>
        <v>1552</v>
      </c>
      <c r="F1763">
        <f>IF(Skills!N21=TRUE,(Skills!L21/10)*(E1763/1000),Skills!L21/10)+Skills!O21</f>
        <v>18.624000000000002</v>
      </c>
      <c r="G1763">
        <f>Calc!G21</f>
        <v>1</v>
      </c>
      <c r="H1763">
        <f>Calc!H21</f>
        <v>1</v>
      </c>
      <c r="I1763">
        <f>IF(Skills!X21&lt;&gt;"",1+(Skills!X21/10)*(Z1745/1000)/100,1)</f>
        <v>1</v>
      </c>
      <c r="O1763">
        <f>(1-Summary!$B$11)*S1763+Summary!$B$11*U1763</f>
        <v>0</v>
      </c>
      <c r="P1763">
        <f>IF(B1783=0,0,O1763/B1783)</f>
        <v>0</v>
      </c>
      <c r="Q1763">
        <f>IFERROR(1/(IF(Inputs!$B$38="pvp",15,MAX(0.1,Skills!E21-IF(TRUE=TRUE,Inputs!$B$32,0)))*(1-IF(AND(ArtifactsInput!$M$27,Inputs!$B$4="Chapter Hunt"),CHOOSE(ArtifactsInput!$N$27+1,20,24,28,32,36,40),0)/100)),0)</f>
        <v>10</v>
      </c>
      <c r="R1763">
        <v>0</v>
      </c>
      <c r="S1763">
        <v>0</v>
      </c>
      <c r="U1763">
        <v>0</v>
      </c>
    </row>
    <row r="1764" spans="1:21" x14ac:dyDescent="0.2">
      <c r="A1764" t="str">
        <f>Skills!A22</f>
        <v>SPELL_MASTERY</v>
      </c>
      <c r="B1764" t="str">
        <f>Skills!B22</f>
        <v>Spell Mastery</v>
      </c>
      <c r="C1764" t="b">
        <f>TRUE</f>
        <v>1</v>
      </c>
      <c r="D1764">
        <f>IF(Skills!C22=1,60+Inputs!$B$25+Inputs!$B$29,IF(Skills!C22=2,90+Inputs!$B$26+Inputs!$B$29,IF(Skills!C22=3,120+Inputs!$B$27+Inputs!$B$29,MAX(0,(Inputs!$B$3-100)*3)+Inputs!$B$28+Inputs!$B$29)))</f>
        <v>168</v>
      </c>
      <c r="E1764">
        <f>INDEX(FactorTable!$B$2:$Y$301, MATCH(ROUND(MIN(300,MAX(1,D1764)),0), FactorTable!$A$2:$A$301,0), Skills!M22+1)</f>
        <v>1504</v>
      </c>
      <c r="F1764">
        <f>IF(Skills!N22=TRUE,(Skills!L22/10)*(E1764/1000),Skills!L22/10)+Skills!O22</f>
        <v>22.56</v>
      </c>
      <c r="G1764">
        <f>Calc!G22</f>
        <v>1</v>
      </c>
      <c r="H1764">
        <f>Calc!H22</f>
        <v>1</v>
      </c>
      <c r="I1764">
        <f>IF(Skills!X22&lt;&gt;"",1+(Skills!X22/10)*(Z1745/1000)/100,1)</f>
        <v>1</v>
      </c>
      <c r="O1764">
        <f>(1-Summary!$B$11)*S1764+Summary!$B$11*U1764</f>
        <v>0</v>
      </c>
      <c r="P1764">
        <f>IF(B1783=0,0,O1764/B1783)</f>
        <v>0</v>
      </c>
      <c r="Q1764">
        <f>IFERROR(1/(IF(Inputs!$B$38="pvp",15,MAX(0.1,Skills!E22-IF(TRUE=TRUE,Inputs!$B$32,0)))*(1-IF(AND(ArtifactsInput!$M$27,Inputs!$B$4="Chapter Hunt"),CHOOSE(ArtifactsInput!$N$27+1,20,24,28,32,36,40),0)/100)),0)</f>
        <v>10</v>
      </c>
      <c r="R1764">
        <v>0</v>
      </c>
      <c r="S1764">
        <v>0</v>
      </c>
      <c r="U1764">
        <v>0</v>
      </c>
    </row>
    <row r="1765" spans="1:21" x14ac:dyDescent="0.2">
      <c r="A1765" t="str">
        <f>Skills!A23</f>
        <v>ELEMENT_AMPLIFICATION</v>
      </c>
      <c r="B1765" t="str">
        <f>Skills!B23</f>
        <v>Element Amplification</v>
      </c>
      <c r="C1765" t="b">
        <f>TRUE</f>
        <v>1</v>
      </c>
      <c r="D1765">
        <f>IF(Skills!C23=1,60+Inputs!$B$25+Inputs!$B$29,IF(Skills!C23=2,90+Inputs!$B$26+Inputs!$B$29,IF(Skills!C23=3,120+Inputs!$B$27+Inputs!$B$29,MAX(0,(Inputs!$B$3-100)*3)+Inputs!$B$28+Inputs!$B$29)))</f>
        <v>185</v>
      </c>
      <c r="E1765">
        <f>INDEX(FactorTable!$B$2:$Y$301, MATCH(ROUND(MIN(300,MAX(1,D1765)),0), FactorTable!$A$2:$A$301,0), Skills!M23+1)</f>
        <v>1555</v>
      </c>
      <c r="F1765">
        <f>IF(Skills!N23=TRUE,(Skills!L23/10)*(E1765/1000),Skills!L23/10)+Skills!O23</f>
        <v>23.324999999999999</v>
      </c>
      <c r="G1765">
        <f>Calc!G23</f>
        <v>1</v>
      </c>
      <c r="H1765">
        <f>Calc!H23</f>
        <v>1</v>
      </c>
      <c r="I1765">
        <f>IF(Skills!X23&lt;&gt;"",1+(Skills!X23/10)*(Z1745/1000)/100,1)</f>
        <v>1</v>
      </c>
      <c r="O1765">
        <f>(1-Summary!$B$11)*S1765+Summary!$B$11*U1765</f>
        <v>0</v>
      </c>
      <c r="P1765">
        <f>IF(B1783=0,0,O1765/B1783)</f>
        <v>0</v>
      </c>
      <c r="Q1765">
        <f>IFERROR(1/(IF(Inputs!$B$38="pvp",15,MAX(0.1,Skills!E23-IF(TRUE=TRUE,Inputs!$B$32,0)))*(1-IF(AND(ArtifactsInput!$M$27,Inputs!$B$4="Chapter Hunt"),CHOOSE(ArtifactsInput!$N$27+1,20,24,28,32,36,40),0)/100)),0)</f>
        <v>10</v>
      </c>
      <c r="R1765">
        <v>0</v>
      </c>
      <c r="S1765">
        <v>0</v>
      </c>
      <c r="U1765">
        <v>0</v>
      </c>
    </row>
    <row r="1766" spans="1:21" x14ac:dyDescent="0.2">
      <c r="A1766" t="str">
        <f>Skills!A24</f>
        <v>IFRIT</v>
      </c>
      <c r="B1766" t="str">
        <f>Skills!B24</f>
        <v>Ifrit</v>
      </c>
      <c r="C1766" t="b">
        <f>Inputs!$B$3&gt;=115</f>
        <v>1</v>
      </c>
      <c r="D1766">
        <f>IF(Skills!C24=1,60+Inputs!$B$25+Inputs!$B$29,IF(Skills!C24=2,90+Inputs!$B$26+Inputs!$B$29,IF(Skills!C24=3,120+Inputs!$B$27+Inputs!$B$29,MAX(0,(Inputs!$B$3-100)*3)+Inputs!$B$28+Inputs!$B$29)))</f>
        <v>185</v>
      </c>
      <c r="E1766">
        <f>INDEX(FactorTable!$B$2:$Y$301, MATCH(ROUND(MIN(300,MAX(1,D1766)),0), FactorTable!$A$2:$A$301,0), Skills!M24+1)</f>
        <v>1925</v>
      </c>
      <c r="F1766">
        <f>IF(Skills!N24=TRUE,(Skills!L24/10)*(E1766/1000),Skills!L24/10)+Skills!O24</f>
        <v>6737.5</v>
      </c>
      <c r="G1766">
        <f>Calc!G24</f>
        <v>7.5</v>
      </c>
      <c r="H1766">
        <f>Calc!H24</f>
        <v>1</v>
      </c>
      <c r="I1766">
        <f>IF(Skills!X24&lt;&gt;"",1+(Skills!X24/10)*(Z1745/1000)/100,1)</f>
        <v>1</v>
      </c>
      <c r="J1766">
        <f>((Inputs!$B$6*(1+Inputs!$B$7/100))+(((Inputs!$B$12*(1+Inputs!$B$13/100))-(Inputs!$B$12*(1+Inputs!$B$13/100)))+0.25*(Inputs!$B$14-Inputs!$B$14))*(1+Inputs!$B$7/100))*(F1766/100)</f>
        <v>24331438378.718628</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122258974288595.61</v>
      </c>
      <c r="L1766">
        <f>K1766*(MIN(Inputs!$B$22+(F1764-Calc!F22),(Inputs!$B$23+(IF(ArtifactsInput!$M$15,CHOOSE(ArtifactsInput!$N$15+1,25,30,35,40,45,50)/100*(Inputs!$B$11-Inputs!$B$11),0))))/100+(Inputs!$B$23+(IF(ArtifactsInput!$M$15,CHOOSE(ArtifactsInput!$N$15+1,25,30,35,40,45,50)/100*(Inputs!$B$11-Inputs!$B$11),0)))/100)/2</f>
        <v>406511089509580.44</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766">
        <f>L1766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766">
        <f>(1-Summary!$B$11)*S1766+Summary!$B$11*U1766</f>
        <v>2401399241734599.5</v>
      </c>
      <c r="P1766">
        <f>IF(B1783=0,0,O1766/B1783)</f>
        <v>6.6844317297589634E-2</v>
      </c>
      <c r="Q1766">
        <f>IFERROR(1/(IF(Inputs!$B$38="pvp",15,MAX(0.1,Skills!E24-IF(TRUE=TRUE,Inputs!$B$32,0)))*(1-IF(AND(ArtifactsInput!$M$27,Inputs!$B$4="Chapter Hunt"),CHOOSE(ArtifactsInput!$N$27+1,20,24,28,32,36,40),0)/100)),0)</f>
        <v>1.2500000000000001E-2</v>
      </c>
      <c r="R1766">
        <f>IF(AND(Inputs!$B$38&lt;&gt;"pvp",Inputs!$B$43&gt;0),IF(MAX(0,Inputs!$B$43-B1780)&lt;=0,0,(INT(MAX(0,Inputs!$B$43-B1780)/(IF(Inputs!$B$38="pvp",15,MAX(0.1,Skills!E24-IF(TRUE=TRUE,Inputs!$B$32,0)))*(1-IF(AND(ArtifactsInput!$M$27,Inputs!$B$4="Chapter Hunt"),CHOOSE(ArtifactsInput!$N$27+1,20,24,28,32,36,40),0)/100)))+1)),0)</f>
        <v>1</v>
      </c>
      <c r="S1766">
        <f>IF(C1766,(H1766*N1766*IF(AND(Inputs!$B$38&lt;&gt;"pvp",Inputs!$B$43&gt;0),((Skills!G24*((R1766-1)*IF(Skills!H24&gt;0,Skills!I24/Skills!H24,1)+IF(Skills!H24&gt;0,MIN(Skills!I24,MAX(0,MAX(0,Inputs!$B$43-B1780)-((R1766-1)*(IF(Inputs!$B$38="pvp",15,MAX(0.1,Skills!E24-IF(TRUE=TRUE,Inputs!$B$32,0)))*(1-IF(AND(ArtifactsInput!$M$27,Inputs!$B$4="Chapter Hunt"),CHOOSE(ArtifactsInput!$N$27+1,20,24,28,32,36,40),0)/100)))))/Skills!H24,1)))/Inputs!$B$43),G1766*Q1766)*(1+IF(Inputs!$B$3&gt;=130,0.2*(Skills!I16/(1/Q1757)+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1311235653441198.8</v>
      </c>
      <c r="U1766">
        <f>IF(C1766,(H1766*N1766*IF(AND(Inputs!$B$38&lt;&gt;"pvp",Inputs!$B$43&gt;0),((Skills!G24*((R1766-1)*IF(Skills!H24&gt;0,Skills!I24/Skills!H24,1)+IF(Skills!H24&gt;0,MIN(Skills!I24,MAX(0,MAX(0,Inputs!$B$43-B1780)-((R1766-1)*(IF(Inputs!$B$38="pvp",15,MAX(0.1,Skills!E24-IF(TRUE=TRUE,Inputs!$B$32,0)))*(1-IF(AND(ArtifactsInput!$M$27,Inputs!$B$4="Chapter Hunt"),CHOOSE(ArtifactsInput!$N$27+1,20,24,28,32,36,40),0)/100)))))/Skills!H24,1)))/Inputs!$B$43),G1766*Q1766)*(1+IF(Inputs!$B$3&gt;=130,0.2*(Skills!I16/(1/Q1757)+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3491562830028000</v>
      </c>
    </row>
    <row r="1767" spans="1:21" x14ac:dyDescent="0.2">
      <c r="A1767" t="str">
        <f>Skills!A25</f>
        <v>BUFF_MASTERY</v>
      </c>
      <c r="B1767" t="str">
        <f>Skills!B25</f>
        <v>Buff Mastery</v>
      </c>
      <c r="C1767" t="b">
        <f>Inputs!$B$3&gt;=117</f>
        <v>1</v>
      </c>
      <c r="D1767">
        <f>IF(Skills!C25=1,60+Inputs!$B$25+Inputs!$B$29,IF(Skills!C25=2,90+Inputs!$B$26+Inputs!$B$29,IF(Skills!C25=3,120+Inputs!$B$27+Inputs!$B$29,MAX(0,(Inputs!$B$3-100)*3)+Inputs!$B$28+Inputs!$B$29)))</f>
        <v>185</v>
      </c>
      <c r="E1767">
        <f>INDEX(FactorTable!$B$2:$Y$301, MATCH(ROUND(MIN(300,MAX(1,D1767)),0), FactorTable!$A$2:$A$301,0), Skills!M25+1)</f>
        <v>1555</v>
      </c>
      <c r="F1767">
        <f>IF(Skills!N25=TRUE,(Skills!L25/10)*(E1767/1000),Skills!L25/10)+Skills!O25</f>
        <v>15.549999999999999</v>
      </c>
      <c r="G1767">
        <f>Calc!G25</f>
        <v>1</v>
      </c>
      <c r="H1767">
        <f>Calc!H25</f>
        <v>1</v>
      </c>
      <c r="I1767">
        <f>IF(Skills!X25&lt;&gt;"",1+(Skills!X25/10)*(Z1745/1000)/100,1)</f>
        <v>1</v>
      </c>
      <c r="O1767">
        <f>(1-Summary!$B$11)*S1767+Summary!$B$11*U1767</f>
        <v>0</v>
      </c>
      <c r="P1767">
        <f>IF(B1783=0,0,O1767/B1783)</f>
        <v>0</v>
      </c>
      <c r="Q1767">
        <f>IFERROR(1/(IF(Inputs!$B$38="pvp",15,MAX(0.1,Skills!E25-IF(TRUE=TRUE,Inputs!$B$32,0)))*(1-IF(AND(ArtifactsInput!$M$27,Inputs!$B$4="Chapter Hunt"),CHOOSE(ArtifactsInput!$N$27+1,20,24,28,32,36,40),0)/100)),0)</f>
        <v>10</v>
      </c>
      <c r="R1767">
        <v>0</v>
      </c>
      <c r="S1767">
        <v>0</v>
      </c>
      <c r="U1767">
        <v>0</v>
      </c>
    </row>
    <row r="1768" spans="1:21" x14ac:dyDescent="0.2">
      <c r="A1768" t="str">
        <f>Skills!A26</f>
        <v>ARCANE_AIM</v>
      </c>
      <c r="B1768" t="str">
        <f>Skills!B26</f>
        <v>Arcane Aim</v>
      </c>
      <c r="C1768" t="b">
        <f>Inputs!$B$3&gt;=120</f>
        <v>0</v>
      </c>
      <c r="D1768">
        <f>IF(Skills!C26=1,60+Inputs!$B$25+Inputs!$B$29,IF(Skills!C26=2,90+Inputs!$B$26+Inputs!$B$29,IF(Skills!C26=3,120+Inputs!$B$27+Inputs!$B$29,MAX(0,(Inputs!$B$3-100)*3)+Inputs!$B$28+Inputs!$B$29)))</f>
        <v>185</v>
      </c>
      <c r="E1768">
        <f>INDEX(FactorTable!$B$2:$Y$301, MATCH(ROUND(MIN(300,MAX(1,D1768)),0), FactorTable!$A$2:$A$301,0), Skills!M26+1)</f>
        <v>1555</v>
      </c>
      <c r="F1768">
        <f>IF(Skills!N26=TRUE,(Skills!L26/10)*(E1768/1000),Skills!L26/10)+Skills!O26</f>
        <v>4.665</v>
      </c>
      <c r="G1768">
        <f>Calc!G26</f>
        <v>1</v>
      </c>
      <c r="H1768">
        <f>Calc!H26</f>
        <v>1</v>
      </c>
      <c r="I1768">
        <f>IF(Skills!X26&lt;&gt;"",1+(Skills!X26/10)*(Z1745/1000)/100,1)</f>
        <v>1</v>
      </c>
      <c r="O1768">
        <f>(1-Summary!$B$11)*S1768+Summary!$B$11*U1768</f>
        <v>0</v>
      </c>
      <c r="P1768">
        <f>IF(B1783=0,0,O1768/B1783)</f>
        <v>0</v>
      </c>
      <c r="Q1768">
        <f>IFERROR(1/(IF(Inputs!$B$38="pvp",15,MAX(0.1,Skills!E26-IF(TRUE=TRUE,Inputs!$B$32,0)))*(1-IF(AND(ArtifactsInput!$M$27,Inputs!$B$4="Chapter Hunt"),CHOOSE(ArtifactsInput!$N$27+1,20,24,28,32,36,40),0)/100)),0)</f>
        <v>10</v>
      </c>
      <c r="R1768">
        <v>0</v>
      </c>
      <c r="S1768">
        <v>0</v>
      </c>
      <c r="U1768">
        <v>0</v>
      </c>
    </row>
    <row r="1769" spans="1:21" x14ac:dyDescent="0.2">
      <c r="A1769" t="str">
        <f>Skills!A27</f>
        <v>FERVENT_DRAIN</v>
      </c>
      <c r="B1769" t="str">
        <f>Skills!B27</f>
        <v>Fervent Drain</v>
      </c>
      <c r="C1769" t="b">
        <f>Inputs!$B$3&gt;=125</f>
        <v>0</v>
      </c>
      <c r="D1769">
        <f>IF(Skills!C27=1,60+Inputs!$B$25+Inputs!$B$29,IF(Skills!C27=2,90+Inputs!$B$26+Inputs!$B$29,IF(Skills!C27=3,120+Inputs!$B$27+Inputs!$B$29,MAX(0,(Inputs!$B$3-100)*3)+Inputs!$B$28+Inputs!$B$29)))</f>
        <v>185</v>
      </c>
      <c r="E1769">
        <f>INDEX(FactorTable!$B$2:$Y$301, MATCH(ROUND(MIN(300,MAX(1,D1769)),0), FactorTable!$A$2:$A$301,0), Skills!M27+1)</f>
        <v>1555</v>
      </c>
      <c r="F1769">
        <f>IF(Skills!N27=TRUE,(Skills!L27/10)*(E1769/1000),Skills!L27/10)+Skills!O27</f>
        <v>6.22</v>
      </c>
      <c r="G1769">
        <f>Calc!G27</f>
        <v>1</v>
      </c>
      <c r="H1769">
        <f>Calc!H27</f>
        <v>1</v>
      </c>
      <c r="I1769">
        <f>IF(Skills!X27&lt;&gt;"",1+(Skills!X27/10)*(Z1745/1000)/100,1)</f>
        <v>1</v>
      </c>
      <c r="O1769">
        <f>(1-Summary!$B$11)*S1769+Summary!$B$11*U1769</f>
        <v>0</v>
      </c>
      <c r="P1769">
        <f>IF(B1783=0,0,O1769/B1783)</f>
        <v>0</v>
      </c>
      <c r="Q1769">
        <f>IFERROR(1/(IF(Inputs!$B$38="pvp",15,MAX(0.1,Skills!E27-IF(TRUE=TRUE,Inputs!$B$32,0)))*(1-IF(AND(ArtifactsInput!$M$27,Inputs!$B$4="Chapter Hunt"),CHOOSE(ArtifactsInput!$N$27+1,20,24,28,32,36,40),0)/100)),0)</f>
        <v>10</v>
      </c>
      <c r="R1769">
        <v>0</v>
      </c>
      <c r="S1769">
        <v>0</v>
      </c>
      <c r="U1769">
        <v>0</v>
      </c>
    </row>
    <row r="1770" spans="1:21" x14ac:dyDescent="0.2">
      <c r="A1770" t="str">
        <f>Skills!A28</f>
        <v>FLAME_HAZE_FOG</v>
      </c>
      <c r="B1770" t="str">
        <f>Skills!B28</f>
        <v>Flame Haze (poison fog DoT)</v>
      </c>
      <c r="C1770" t="b">
        <f>Inputs!$B$3&gt;=118</f>
        <v>0</v>
      </c>
      <c r="D1770">
        <f>IF(Skills!C28=1,60+Inputs!$B$25+Inputs!$B$29,IF(Skills!C28=2,90+Inputs!$B$26+Inputs!$B$29,IF(Skills!C28=3,120+Inputs!$B$27+Inputs!$B$29,MAX(0,(Inputs!$B$3-100)*3)+Inputs!$B$28+Inputs!$B$29)))</f>
        <v>185</v>
      </c>
      <c r="E1770">
        <f>INDEX(FactorTable!$B$2:$Y$301, MATCH(ROUND(MIN(300,MAX(1,D1770)),0), FactorTable!$A$2:$A$301,0), Skills!M28+1)</f>
        <v>1925</v>
      </c>
      <c r="F1770">
        <f>IF(Skills!N28=TRUE,(Skills!L28/10)*(E1770/1000),Skills!L28/10)+Skills!O28</f>
        <v>134.75</v>
      </c>
      <c r="G1770">
        <f>Calc!G28</f>
        <v>50</v>
      </c>
      <c r="H1770">
        <f>Calc!H28</f>
        <v>1</v>
      </c>
      <c r="I1770">
        <f>IF(Skills!X28&lt;&gt;"",1+(Skills!X28/10)*(Z1745/1000)/100,1)</f>
        <v>1</v>
      </c>
      <c r="J1770">
        <f>((Inputs!$B$6*(1+Inputs!$B$7/100))+(((Inputs!$B$12*(1+Inputs!$B$13/100))-(Inputs!$B$12*(1+Inputs!$B$13/100)))+0.25*(Inputs!$B$14-Inputs!$B$14))*(1+Inputs!$B$7/100))*(F1770/100)</f>
        <v>486628767.57437253</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2445179485771.9116</v>
      </c>
      <c r="L1770">
        <f>K1770*(MIN(Inputs!$B$22+(F1764-Calc!F22),(Inputs!$B$23+(IF(ArtifactsInput!$M$15,CHOOSE(ArtifactsInput!$N$15+1,25,30,35,40,45,50)/100*(Inputs!$B$11-Inputs!$B$11),0))))/100+(Inputs!$B$23+(IF(ArtifactsInput!$M$15,CHOOSE(ArtifactsInput!$N$15+1,25,30,35,40,45,50)/100*(Inputs!$B$11-Inputs!$B$11),0)))/100)/2</f>
        <v>8130221790191.6064</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770">
        <f>L1770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770">
        <f>(1-Summary!$B$11)*S1770+Summary!$B$11*U1770</f>
        <v>0</v>
      </c>
      <c r="P1770">
        <f>IF(B1783=0,0,O1770/B1783)</f>
        <v>0</v>
      </c>
      <c r="Q1770">
        <f>IFERROR(1/(IF(Inputs!$B$38="pvp",15,MAX(0.1,Skills!E28-IF(TRUE=TRUE,Inputs!$B$32,0)))*(1-IF(AND(ArtifactsInput!$M$27,Inputs!$B$4="Chapter Hunt"),CHOOSE(ArtifactsInput!$N$27+1,20,24,28,32,36,40),0)/100)),0)</f>
        <v>0.04</v>
      </c>
      <c r="R1770">
        <f>IF(AND(Inputs!$B$38&lt;&gt;"pvp",Inputs!$B$43&gt;0),IF(MAX(0,Inputs!$B$43-B1780)&lt;=0,0,(INT(MAX(0,Inputs!$B$43-B1780)/(IF(Inputs!$B$38="pvp",15,MAX(0.1,Skills!E28-IF(TRUE=TRUE,Inputs!$B$32,0)))*(1-IF(AND(ArtifactsInput!$M$27,Inputs!$B$4="Chapter Hunt"),CHOOSE(ArtifactsInput!$N$27+1,20,24,28,32,36,40),0)/100)))+1)),0)</f>
        <v>2</v>
      </c>
      <c r="S1770">
        <f>IF(C1770,(H1770*N1770*IF(AND(Inputs!$B$38&lt;&gt;"pvp",Inputs!$B$43&gt;0),((Skills!G28*((R1770-1)*IF(Skills!H28&gt;0,Skills!I28/Skills!H28,1)+IF(Skills!H28&gt;0,MIN(Skills!I28,MAX(0,MAX(0,Inputs!$B$43-B1780)-((R1770-1)*(IF(Inputs!$B$38="pvp",15,MAX(0.1,Skills!E28-IF(TRUE=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770">
        <f>IF(C1770,(H1770*N1770*IF(AND(Inputs!$B$38&lt;&gt;"pvp",Inputs!$B$43&gt;0),((Skills!G28*((R1770-1)*IF(Skills!H28&gt;0,Skills!I28/Skills!H28,1)+IF(Skills!H28&gt;0,MIN(Skills!I28,MAX(0,MAX(0,Inputs!$B$43-B1780)-((R1770-1)*(IF(Inputs!$B$38="pvp",15,MAX(0.1,Skills!E28-IF(TRUE=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772" spans="1:21" x14ac:dyDescent="0.2">
      <c r="A1772" t="s">
        <v>356</v>
      </c>
      <c r="B1772">
        <f>1+(F1753*Skills!Z11)/100</f>
        <v>1.25</v>
      </c>
    </row>
    <row r="1773" spans="1:21" x14ac:dyDescent="0.2">
      <c r="A1773" t="s">
        <v>435</v>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1.18624</v>
      </c>
    </row>
    <row r="1774" spans="1:21" x14ac:dyDescent="0.2">
      <c r="A1774" t="s">
        <v>358</v>
      </c>
      <c r="B1774">
        <f>(1+(F1748*IF(AND(Inputs!$B$38&lt;&gt;"pvp",Inputs!$B$43&gt;0),(((R1748-1)*MIN((Skills!T6*(1+((Inputs!$B$34+(ArtifactsInput!$M$7-ArtifactsInput!$M$7)*CHOOSE(ArtifactsInput!$N$7+1,6,7.2,8.4,9.6,10.8,12)))/100)),(1/Q1748))+MIN((Skills!T6*(1+((Inputs!$B$34+(ArtifactsInput!$M$7-ArtifactsInput!$M$7)*CHOOSE(ArtifactsInput!$N$7+1,6,7.2,8.4,9.6,10.8,12)))/100)),MAX(0,Inputs!$B$43-((R1748-1)*(1/Q1748)))))/Inputs!$B$43),IF(Inputs!$B$38="pvp",MIN((Skills!T6*(1+((Inputs!$B$34+(ArtifactsInput!$M$7-ArtifactsInput!$M$7)*CHOOSE(ArtifactsInput!$N$7+1,6,7.2,8.4,9.6,10.8,12)))/100)),15)/15,MIN(1,(Skills!T6*(1+((Inputs!$B$34+(ArtifactsInput!$M$7-ArtifactsInput!$M$7)*CHOOSE(ArtifactsInput!$N$7+1,6,7.2,8.4,9.6,10.8,12)))/100))/(1/Q1748))))+F1759*IF(AND(Inputs!$B$38&lt;&gt;"pvp",Inputs!$B$43&gt;0),(((R1759-1)*MIN((Skills!T17*(1+((Inputs!$B$34+(ArtifactsInput!$M$7-ArtifactsInput!$M$7)*CHOOSE(ArtifactsInput!$N$7+1,6,7.2,8.4,9.6,10.8,12)))/100)),(1/Q1759))+MIN((Skills!T17*(1+((Inputs!$B$34+(ArtifactsInput!$M$7-ArtifactsInput!$M$7)*CHOOSE(ArtifactsInput!$N$7+1,6,7.2,8.4,9.6,10.8,12)))/100)),MAX(0,Inputs!$B$43-((R1759-1)*(1/Q1759)))))/Inputs!$B$43),IF(Inputs!$B$38="pvp",MIN((Skills!T17*(1+((Inputs!$B$34+(ArtifactsInput!$M$7-ArtifactsInput!$M$7)*CHOOSE(ArtifactsInput!$N$7+1,6,7.2,8.4,9.6,10.8,12)))/100)),15)/15,MIN(1,(Skills!T17*(1+((Inputs!$B$34+(ArtifactsInput!$M$7-ArtifactsInput!$M$7)*CHOOSE(ArtifactsInput!$N$7+1,6,7.2,8.4,9.6,10.8,12)))/100))/(1/Q1759)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MIN((Skills!T19*(1+((Inputs!$B$34+(ArtifactsInput!$M$7-ArtifactsInput!$M$7)*CHOOSE(ArtifactsInput!$N$7+1,6,7.2,8.4,9.6,10.8,12)))/100)),(1/Q1761))+MIN((Skills!T19*(1+((Inputs!$B$34+(ArtifactsInput!$M$7-ArtifactsInput!$M$7)*CHOOSE(ArtifactsInput!$N$7+1,6,7.2,8.4,9.6,10.8,12)))/100)),MAX(0,Inputs!$B$43-((R1761-1)*(1/Q1761)))))/Inputs!$B$43),IF(Inputs!$B$38="pvp",MIN((Skills!T19*(1+((Inputs!$B$34+(ArtifactsInput!$M$7-ArtifactsInput!$M$7)*CHOOSE(ArtifactsInput!$N$7+1,6,7.2,8.4,9.6,10.8,12)))/100)),15)/15,MIN(1,(Skills!T19*(1+((Inputs!$B$34+(ArtifactsInput!$M$7-ArtifactsInput!$M$7)*CHOOSE(ArtifactsInput!$N$7+1,6,7.2,8.4,9.6,10.8,12)))/100))/(1/Q1761))))/100),1)</f>
        <v>1.7965808377980694</v>
      </c>
    </row>
    <row r="1775" spans="1:21" x14ac:dyDescent="0.2">
      <c r="A1775" t="s">
        <v>359</v>
      </c>
      <c r="B1775">
        <f>F1760*IF(AND(Inputs!$B$38&lt;&gt;"pvp",Inputs!$B$43&gt;0),(((R1760-1)*MIN((Skills!T18*(1+((Inputs!$B$34+(ArtifactsInput!$M$7-ArtifactsInput!$M$7)*CHOOSE(ArtifactsInput!$N$7+1,6,7.2,8.4,9.6,10.8,12)))/100)),(1/Q1760))+MIN((Skills!T18*(1+((Inputs!$B$34+(ArtifactsInput!$M$7-ArtifactsInput!$M$7)*CHOOSE(ArtifactsInput!$N$7+1,6,7.2,8.4,9.6,10.8,12)))/100)),MAX(0,Inputs!$B$43-((R1760-1)*(1/Q1760)))))/Inputs!$B$43),IF(Inputs!$B$38="pvp",MIN((Skills!T18*(1+((Inputs!$B$34+(ArtifactsInput!$M$7-ArtifactsInput!$M$7)*CHOOSE(ArtifactsInput!$N$7+1,6,7.2,8.4,9.6,10.8,12)))/100)),15)/15,MIN(1,(Skills!T18*(1+((Inputs!$B$34+(ArtifactsInput!$M$7-ArtifactsInput!$M$7)*CHOOSE(ArtifactsInput!$N$7+1,6,7.2,8.4,9.6,10.8,12)))/100))/(1/Q1760))))</f>
        <v>6.4968749999999993</v>
      </c>
    </row>
    <row r="1776" spans="1:21" x14ac:dyDescent="0.2">
      <c r="A1776" t="s">
        <v>436</v>
      </c>
      <c r="B1776">
        <f>1+MIN(150,150*(1-(1-(Inputs!$B$11+(ArtifactsInput!$M$15-ArtifactsInput!$M$15)*CHOOSE(ArtifactsInput!$N$15+1,8,9.6,11.2,12.8,14.4,16))/150)*(1-B1775/150)))/100</f>
        <v>1.6982958749999999</v>
      </c>
    </row>
    <row r="1777" spans="1:26" x14ac:dyDescent="0.2">
      <c r="A1777" t="s">
        <v>437</v>
      </c>
      <c r="B1777">
        <f>IF(AND(Inputs!$B$38&lt;&gt;"pvp",Inputs!$B$43&gt;0),SUMPRODUCT((Skills!F2:F28=TRUE)*(C1744:C1770=TRUE)*R1744:R1770)/Inputs!$B$43,SUMPRODUCT((Skills!F2:F28=TRUE)*(C1744:C1770=TRUE)*Q1744:Q1770))</f>
        <v>0.47499999999999998</v>
      </c>
    </row>
    <row r="1778" spans="1:26" x14ac:dyDescent="0.2">
      <c r="A1778" t="s">
        <v>362</v>
      </c>
      <c r="B1778">
        <f>MAX(0,B1776-B1777)</f>
        <v>1.2232958749999998</v>
      </c>
    </row>
    <row r="1779" spans="1:26" x14ac:dyDescent="0.2">
      <c r="A1779" t="s">
        <v>438</v>
      </c>
      <c r="B1779">
        <f>IF(AND(Inputs!$B$38&lt;&gt;"pvp",Inputs!$B$43&gt;0),SUMPRODUCT((Skills!V2:V28=TRUE)*(C1744:C1770=TRUE)*R1744:R1770*Skills!W2:W28)/Inputs!$B$43,SUMPRODUCT((Skills!V2:V28=TRUE)*(C1744:C1770=TRUE)*Q1744:Q1770*Skills!W2:W28))+B1778</f>
        <v>1.5482958749999998</v>
      </c>
    </row>
    <row r="1780" spans="1:26" x14ac:dyDescent="0.2">
      <c r="A1780" t="s">
        <v>439</v>
      </c>
      <c r="B1780">
        <f>IF(AND(Inputs!$B$38&lt;&gt;"pvp",Inputs!$B$43&gt;0),SUMPRODUCT((Skills!T2:T28&gt;0)*(Skills!F2:F28=TRUE)*(C1744:C1770=TRUE))/B1776,0)</f>
        <v>2.3553021937358238</v>
      </c>
    </row>
    <row r="1781" spans="1:26" x14ac:dyDescent="0.2">
      <c r="A1781" t="s">
        <v>440</v>
      </c>
      <c r="B1781">
        <f>SUM(S1744:S1770)</f>
        <v>1.0944852540773286E+16</v>
      </c>
    </row>
    <row r="1782" spans="1:26" x14ac:dyDescent="0.2">
      <c r="A1782" t="s">
        <v>441</v>
      </c>
      <c r="B1782">
        <f>SUM(U1744:U1770)</f>
        <v>6.0905660376985024E+16</v>
      </c>
    </row>
    <row r="1783" spans="1:26" x14ac:dyDescent="0.2">
      <c r="A1783" s="6" t="s">
        <v>348</v>
      </c>
      <c r="B1783" s="6">
        <f>SUM(O1744:O1770)</f>
        <v>3.5925256458879156E+16</v>
      </c>
    </row>
    <row r="1786" spans="1:26" x14ac:dyDescent="0.2">
      <c r="A1786" s="6" t="s">
        <v>480</v>
      </c>
    </row>
    <row r="1787" spans="1:26" x14ac:dyDescent="0.2">
      <c r="A1787" s="5" t="s">
        <v>136</v>
      </c>
      <c r="B1787" s="5" t="s">
        <v>137</v>
      </c>
      <c r="C1787" s="5" t="s">
        <v>328</v>
      </c>
      <c r="D1787" s="5" t="s">
        <v>329</v>
      </c>
      <c r="E1787" s="5" t="s">
        <v>330</v>
      </c>
      <c r="F1787" s="5" t="s">
        <v>331</v>
      </c>
      <c r="G1787" s="5" t="s">
        <v>332</v>
      </c>
      <c r="H1787" s="5" t="s">
        <v>333</v>
      </c>
      <c r="I1787" s="5" t="s">
        <v>334</v>
      </c>
      <c r="J1787" s="5" t="s">
        <v>335</v>
      </c>
      <c r="K1787" s="5" t="s">
        <v>336</v>
      </c>
      <c r="L1787" s="5" t="s">
        <v>337</v>
      </c>
      <c r="M1787" s="5" t="s">
        <v>338</v>
      </c>
      <c r="N1787" s="5" t="s">
        <v>339</v>
      </c>
      <c r="O1787" s="5" t="s">
        <v>340</v>
      </c>
      <c r="P1787" s="5" t="s">
        <v>341</v>
      </c>
      <c r="R1787" t="s">
        <v>434</v>
      </c>
    </row>
    <row r="1788" spans="1:26" x14ac:dyDescent="0.2">
      <c r="A1788" t="str">
        <f>Skills!A2</f>
        <v>BASIC_ATTACK</v>
      </c>
      <c r="B1788" t="str">
        <f>Skills!B2</f>
        <v>Basic Attack</v>
      </c>
      <c r="C1788" t="b">
        <f>TRUE</f>
        <v>1</v>
      </c>
      <c r="F1788">
        <f>T1790+Skills!O2</f>
        <v>537.6</v>
      </c>
      <c r="G1788">
        <f>Calc!G2</f>
        <v>5</v>
      </c>
      <c r="H1788">
        <f>Calc!H2</f>
        <v>1</v>
      </c>
      <c r="I1788">
        <f>IF(Skills!X2&lt;&gt;"",1+(Skills!X2/10)*(Z1789/1000)/100,1)</f>
        <v>1</v>
      </c>
      <c r="J1788">
        <f>((Inputs!$B$6*(1+Inputs!$B$7/100))+(((Inputs!$B$12*(1+Inputs!$B$13/100))-(Inputs!$B$12*(1+Inputs!$B$13/100)))+0.25*(Inputs!$B$14-Inputs!$B$14))*(1+Inputs!$B$7/100))*(F1788/100)</f>
        <v>1941459186.9980164</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6620290711466.1074</v>
      </c>
      <c r="L1788">
        <f>K1788*(MIN(Inputs!$B$22+(F1808-Calc!F22),(Inputs!$B$23+(IF(ArtifactsInput!$M$15,CHOOSE(ArtifactsInput!$N$15+1,25,30,35,40,45,50)/100*(Inputs!$B$11-Inputs!$B$11),0))))/100+(Inputs!$B$23+(IF(ArtifactsInput!$M$15,CHOOSE(ArtifactsInput!$N$15+1,25,30,35,40,45,50)/100*(Inputs!$B$11-Inputs!$B$11),0)))/100)/2</f>
        <v>22012466615624.809</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788">
        <f>L1788*(1-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788">
        <f>(1-Summary!$B$11)*S1788+Summary!$B$11*U1788</f>
        <v>1.251342481087288E+16</v>
      </c>
      <c r="P1788">
        <f>IF(B1827=0,0,O1788/B1827)</f>
        <v>0.378199388854495</v>
      </c>
      <c r="Q1788">
        <f>IFERROR(1/(IF(Inputs!$B$38="pvp",15,MAX(0.1,Skills!E2-IF(TRUE=TRUE,Inputs!$B$32,0)))*(1-IF(AND(ArtifactsInput!$M$27,Inputs!$B$4="Chapter Hunt"),CHOOSE(ArtifactsInput!$N$27+1,20,24,28,32,36,40),0)/100)),0)</f>
        <v>10</v>
      </c>
      <c r="R1788">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788">
        <f>MAX(0,(Inputs!$B$3-100)*3)+Inputs!$B$28+Inputs!$B$29</f>
        <v>185</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788">
        <f>MAX(0,(Inputs!$B$3-100)*3)+Inputs!$B$28+Inputs!$B$29</f>
        <v>185</v>
      </c>
    </row>
    <row r="1789" spans="1:26" x14ac:dyDescent="0.2">
      <c r="A1789" t="str">
        <f>Skills!A3</f>
        <v>IGNITE</v>
      </c>
      <c r="B1789" t="str">
        <f>Skills!B3</f>
        <v>Ignite</v>
      </c>
      <c r="C1789" t="b">
        <f>TRUE</f>
        <v>1</v>
      </c>
      <c r="D1789">
        <f>IF(Skills!C3=1,60+Inputs!$B$25+Inputs!$B$29,IF(Skills!C3=2,90+Inputs!$B$26+Inputs!$B$29,IF(Skills!C3=3,120+Inputs!$B$27+Inputs!$B$29,MAX(0,(Inputs!$B$3-100)*3)+Inputs!$B$28+Inputs!$B$29)))</f>
        <v>168</v>
      </c>
      <c r="E1789">
        <f>INDEX(FactorTable!$B$2:$Y$301, MATCH(ROUND(MIN(300,MAX(1,D1789)),0), FactorTable!$A$2:$A$301,0), Skills!M3+1)</f>
        <v>1672</v>
      </c>
      <c r="F1789">
        <f>IF(Skills!N3=TRUE,(Skills!L3/10)*(E1789/1000),Skills!L3/10)+Skills!O3</f>
        <v>121.736</v>
      </c>
      <c r="G1789">
        <f>Calc!G3</f>
        <v>3</v>
      </c>
      <c r="H1789">
        <f>Calc!H3</f>
        <v>1</v>
      </c>
      <c r="I1789">
        <f>IF(Skills!X3&lt;&gt;"",1+(Skills!X3/10)*(Z1789/1000)/100,1)</f>
        <v>4.8250000000000002</v>
      </c>
      <c r="J1789">
        <f>((Inputs!$B$6*(1+Inputs!$B$7/100))+(((Inputs!$B$12*(1+Inputs!$B$13/100))-(Inputs!$B$12*(1+Inputs!$B$13/100)))+0.25*(Inputs!$B$14-Inputs!$B$14))*(1+Inputs!$B$7/100))*(F1789/100)</f>
        <v>439630720.9605478</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10658554617221.965</v>
      </c>
      <c r="L1789">
        <f>K1789*(MIN(Inputs!$B$22+(F1808-Calc!F22),(Inputs!$B$23+(IF(ArtifactsInput!$M$15,CHOOSE(ArtifactsInput!$N$15+1,25,30,35,40,45,50)/100*(Inputs!$B$11-Inputs!$B$11),0))))/100+(Inputs!$B$23+(IF(ArtifactsInput!$M$15,CHOOSE(ArtifactsInput!$N$15+1,25,30,35,40,45,50)/100*(Inputs!$B$11-Inputs!$B$11),0)))/100)/2</f>
        <v>35439694102263.031</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789">
        <f>L1789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789">
        <f>(1-Summary!$B$11)*S1789+Summary!$B$11*U1789</f>
        <v>2907465947806250</v>
      </c>
      <c r="P1789">
        <f>IF(B1827=0,0,O1789/B1827)</f>
        <v>8.7873772463965091E-2</v>
      </c>
      <c r="Q1789">
        <f>IFERROR(1/(IF(Inputs!$B$38="pvp",15,MAX(0.1,Skills!E3-IF(FALSE=TRUE,Inputs!$B$32,0)))*(1-IF(AND(ArtifactsInput!$M$27,Inputs!$B$4="Chapter Hunt"),CHOOSE(ArtifactsInput!$N$27+1,20,24,28,32,36,40),0)/100)),0)</f>
        <v>1</v>
      </c>
      <c r="R1789">
        <f>IF(AND(Inputs!$B$38&lt;&gt;"pvp",Inputs!$B$43&gt;0),IF(MAX(0,Inputs!$B$43-B1824)&lt;=0,0,(INT(MAX(0,Inputs!$B$43-B1824)/(IF(Inputs!$B$38="pvp",15,MAX(0.1,Skills!E3-IF(FALSE=TRUE,Inputs!$B$32,0)))*(1-IF(AND(ArtifactsInput!$M$27,Inputs!$B$4="Chapter Hunt"),CHOOSE(ArtifactsInput!$N$27+1,20,24,28,32,36,40),0)/100)))+1)),0)</f>
        <v>38</v>
      </c>
      <c r="S1789">
        <f>IF(C1789,(H1789*N1789*IF(AND(Inputs!$B$38&lt;&gt;"pvp",Inputs!$B$43&gt;0),((Skills!G3*((R1789-1)*IF(Skills!H3&gt;0,Skills!I3/Skills!H3,1)+IF(Skills!H3&gt;0,MIN(Skills!I3,MAX(0,MAX(0,Inputs!$B$43-B1824)-((R1789-1)*(IF(Inputs!$B$38="pvp",15,MAX(0.1,Skills!E3-IF(FALSE=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789">
        <f>INDEX(FactorTable!$B$2:$Y$301, MATCH(ROUND(MIN(300,MAX(1,T1788)),0), FactorTable!$A$2:$A$301,0), 22)</f>
        <v>1740</v>
      </c>
      <c r="U1789">
        <f>IF(C1789,(H1789*N1789*IF(AND(Inputs!$B$38&lt;&gt;"pvp",Inputs!$B$43&gt;0),((Skills!G3*((R1789-1)*IF(Skills!H3&gt;0,Skills!I3/Skills!H3,1)+IF(Skills!H3&gt;0,MIN(Skills!I3,MAX(0,MAX(0,Inputs!$B$43-B1824)-((R1789-1)*(IF(Inputs!$B$38="pvp",15,MAX(0.1,Skills!E3-IF(FALSE=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789">
        <f>INDEX(FactorTable!$B$2:$Y$301, MATCH(ROUND(MIN(300,MAX(1,Z1788)),0), FactorTable!$A$2:$A$301,0), 24)</f>
        <v>7650</v>
      </c>
    </row>
    <row r="1790" spans="1:26" x14ac:dyDescent="0.2">
      <c r="A1790" t="str">
        <f>Skills!A4</f>
        <v>POISON_BREATH</v>
      </c>
      <c r="B1790" t="str">
        <f>Skills!B4</f>
        <v>Poison Breath</v>
      </c>
      <c r="C1790" t="b">
        <f>TRUE</f>
        <v>1</v>
      </c>
      <c r="D1790">
        <f>IF(Skills!C4=1,60+Inputs!$B$25+Inputs!$B$29,IF(Skills!C4=2,90+Inputs!$B$26+Inputs!$B$29,IF(Skills!C4=3,120+Inputs!$B$27+Inputs!$B$29,MAX(0,(Inputs!$B$3-100)*3)+Inputs!$B$28+Inputs!$B$29)))</f>
        <v>168</v>
      </c>
      <c r="E1790">
        <f>INDEX(FactorTable!$B$2:$Y$301, MATCH(ROUND(MIN(300,MAX(1,D1790)),0), FactorTable!$A$2:$A$301,0), Skills!M4+1)</f>
        <v>1840</v>
      </c>
      <c r="F1790">
        <f>IF(Skills!N4=TRUE,(Skills!L4/10)*(E1790/1000),Skills!L4/10)+Skills!O4</f>
        <v>438</v>
      </c>
      <c r="G1790">
        <f>Calc!G4</f>
        <v>3</v>
      </c>
      <c r="H1790">
        <f>Calc!H4</f>
        <v>1</v>
      </c>
      <c r="I1790">
        <f>IF(Skills!X4&lt;&gt;"",1+(Skills!X4/10)*(Z1789/1000)/100,1)</f>
        <v>7.12</v>
      </c>
      <c r="J1790">
        <f>((Inputs!$B$6*(1+Inputs!$B$7/100))+(((Inputs!$B$12*(1+Inputs!$B$13/100))-(Inputs!$B$12*(1+Inputs!$B$13/100)))+0.25*(Inputs!$B$14-Inputs!$B$14))*(1+Inputs!$B$7/100))*(F1790/100)</f>
        <v>1581769203.69258</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56589528290529.523</v>
      </c>
      <c r="L1790">
        <f>K1790*(MIN(Inputs!$B$22+(F1808-Calc!F22),(Inputs!$B$23+(IF(ArtifactsInput!$M$15,CHOOSE(ArtifactsInput!$N$15+1,25,30,35,40,45,50)/100*(Inputs!$B$11-Inputs!$B$11),0))))/100+(Inputs!$B$23+(IF(ArtifactsInput!$M$15,CHOOSE(ArtifactsInput!$N$15+1,25,30,35,40,45,50)/100*(Inputs!$B$11-Inputs!$B$11),0)))/100)/2</f>
        <v>188160181566010.69</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790">
        <f>L1790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790">
        <f>(1-Summary!$B$11)*S1790+Summary!$B$11*U1790</f>
        <v>2120704790543594.2</v>
      </c>
      <c r="P1790">
        <f>IF(B1827=0,0,O1790/B1827)</f>
        <v>6.4095103286790744E-2</v>
      </c>
      <c r="Q1790">
        <f>IFERROR(1/(IF(Inputs!$B$38="pvp",15,MAX(0.1,Skills!E4-IF(TRUE=TRUE,Inputs!$B$32,0)))*(1-IF(AND(ArtifactsInput!$M$27,Inputs!$B$4="Chapter Hunt"),CHOOSE(ArtifactsInput!$N$27+1,20,24,28,32,36,40),0)/100)),0)</f>
        <v>5.5555555555555552E-2</v>
      </c>
      <c r="R1790">
        <f>IF(AND(Inputs!$B$38&lt;&gt;"pvp",Inputs!$B$43&gt;0),IF(MAX(0,Inputs!$B$43-B1824)&lt;=0,0,(INT(MAX(0,Inputs!$B$43-B1824)/(IF(Inputs!$B$38="pvp",15,MAX(0.1,Skills!E4-IF(TRUE=TRUE,Inputs!$B$32,0)))*(1-IF(AND(ArtifactsInput!$M$27,Inputs!$B$4="Chapter Hunt"),CHOOSE(ArtifactsInput!$N$27+1,20,24,28,32,36,40),0)/100)))+1)),0)</f>
        <v>3</v>
      </c>
      <c r="S1790">
        <f>IF(C1790,(H1790*N1790*IF(AND(Inputs!$B$38&lt;&gt;"pvp",Inputs!$B$43&gt;0),((Skills!G4*((R1790-1)*IF(Skills!H4&gt;0,Skills!I4/Skills!H4,1)+IF(Skills!H4&gt;0,MIN(Skills!I4,MAX(0,MAX(0,Inputs!$B$43-B1824)-((R1790-1)*(IF(Inputs!$B$38="pvp",15,MAX(0.1,Skills!E4-IF(TRUE=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790">
        <f>290*T1789/1000</f>
        <v>504.6</v>
      </c>
      <c r="U1790">
        <f>IF(C1790,(H1790*N1790*IF(AND(Inputs!$B$38&lt;&gt;"pvp",Inputs!$B$43&gt;0),((Skills!G4*((R1790-1)*IF(Skills!H4&gt;0,Skills!I4/Skills!H4,1)+IF(Skills!H4&gt;0,MIN(Skills!I4,MAX(0,MAX(0,Inputs!$B$43-B1824)-((R1790-1)*(IF(Inputs!$B$38="pvp",15,MAX(0.1,Skills!E4-IF(TRUE=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791" spans="1:26" x14ac:dyDescent="0.2">
      <c r="A1791" t="str">
        <f>Skills!A5</f>
        <v>ELEMENTAL_DRAIN</v>
      </c>
      <c r="B1791" t="str">
        <f>Skills!B5</f>
        <v>Elemental Drain</v>
      </c>
      <c r="C1791" t="b">
        <f>TRUE</f>
        <v>1</v>
      </c>
      <c r="D1791">
        <f>IF(Skills!C5=1,60+Inputs!$B$25+Inputs!$B$29,IF(Skills!C5=2,90+Inputs!$B$26+Inputs!$B$29,IF(Skills!C5=3,120+Inputs!$B$27+Inputs!$B$29,MAX(0,(Inputs!$B$3-100)*3)+Inputs!$B$28+Inputs!$B$29)))</f>
        <v>168</v>
      </c>
      <c r="E1791">
        <f>INDEX(FactorTable!$B$2:$Y$301, MATCH(ROUND(MIN(300,MAX(1,D1791)),0), FactorTable!$A$2:$A$301,0), Skills!M5+1)</f>
        <v>1672</v>
      </c>
      <c r="F1791">
        <f>IF(Skills!N5=TRUE,(Skills!L5/10)*(E1791/1000),Skills!L5/10)+Skills!O5</f>
        <v>20.064</v>
      </c>
      <c r="G1791">
        <f>Calc!G5</f>
        <v>5</v>
      </c>
      <c r="H1791">
        <f>Calc!H5</f>
        <v>1</v>
      </c>
      <c r="I1791">
        <f>IF(Skills!X5&lt;&gt;"",1+(Skills!X5/10)*(Z1789/1000)/100,1)</f>
        <v>12.475</v>
      </c>
      <c r="J1791">
        <f>((Inputs!$B$6*(1+Inputs!$B$7/100))+(((Inputs!$B$12*(1+Inputs!$B$13/100))-(Inputs!$B$12*(1+Inputs!$B$13/100)))+0.25*(Inputs!$B$14-Inputs!$B$14))*(1+Inputs!$B$7/100))*(F1791/100)</f>
        <v>72458030.371890247</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4541925884983.542</v>
      </c>
      <c r="L1791">
        <f>K1791*(MIN(Inputs!$B$22+(F1808-Calc!F22),(Inputs!$B$23+(IF(ArtifactsInput!$M$15,CHOOSE(ArtifactsInput!$N$15+1,25,30,35,40,45,50)/100*(Inputs!$B$11-Inputs!$B$11),0))))/100+(Inputs!$B$23+(IF(ArtifactsInput!$M$15,CHOOSE(ArtifactsInput!$N$15+1,25,30,35,40,45,50)/100*(Inputs!$B$11-Inputs!$B$11),0)))/100)/2</f>
        <v>15101903567570.277</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791">
        <f>L1791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791">
        <f>(1-Summary!$B$11)*S1791+Summary!$B$11*U1791</f>
        <v>1046004996783807</v>
      </c>
      <c r="P1791">
        <f>IF(B1827=0,0,O1791/B1827)</f>
        <v>3.1613923166633758E-2</v>
      </c>
      <c r="Q1791">
        <f>IFERROR(1/(IF(Inputs!$B$38="pvp",15,MAX(0.1,Skills!E5-IF(FALSE=TRUE,Inputs!$B$32,0)))*(1-IF(AND(ArtifactsInput!$M$27,Inputs!$B$4="Chapter Hunt"),CHOOSE(ArtifactsInput!$N$27+1,20,24,28,32,36,40),0)/100)),0)</f>
        <v>1</v>
      </c>
      <c r="R1791">
        <f>IF(AND(Inputs!$B$38&lt;&gt;"pvp",Inputs!$B$43&gt;0),IF(MAX(0,Inputs!$B$43-B1824)&lt;=0,0,(INT(MAX(0,Inputs!$B$43-B1824)/(IF(Inputs!$B$38="pvp",15,MAX(0.1,Skills!E5-IF(FALSE=TRUE,Inputs!$B$32,0)))*(1-IF(AND(ArtifactsInput!$M$27,Inputs!$B$4="Chapter Hunt"),CHOOSE(ArtifactsInput!$N$27+1,20,24,28,32,36,40),0)/100)))+1)),0)</f>
        <v>38</v>
      </c>
      <c r="S1791">
        <f>IF(C1791,(H1791*N1791*IF(AND(Inputs!$B$38&lt;&gt;"pvp",Inputs!$B$43&gt;0),((Skills!G5*((R1791-1)*IF(Skills!H5&gt;0,Skills!I5/Skills!H5,1)+IF(Skills!H5&gt;0,MIN(Skills!I5,MAX(0,MAX(0,Inputs!$B$43-B1824)-((R1791-1)*(IF(Inputs!$B$38="pvp",15,MAX(0.1,Skills!E5-IF(FALSE=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791">
        <f>IF(C1791,(H1791*N1791*IF(AND(Inputs!$B$38&lt;&gt;"pvp",Inputs!$B$43&gt;0),((Skills!G5*((R1791-1)*IF(Skills!H5&gt;0,Skills!I5/Skills!H5,1)+IF(Skills!H5&gt;0,MIN(Skills!I5,MAX(0,MAX(0,Inputs!$B$43-B1824)-((R1791-1)*(IF(Inputs!$B$38="pvp",15,MAX(0.1,Skills!E5-IF(FALSE=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792" spans="1:26" x14ac:dyDescent="0.2">
      <c r="A1792" t="str">
        <f>Skills!A6</f>
        <v>MEDITATION</v>
      </c>
      <c r="B1792" t="str">
        <f>Skills!B6</f>
        <v>Meditation</v>
      </c>
      <c r="C1792" t="b">
        <f>TRUE</f>
        <v>1</v>
      </c>
      <c r="D1792">
        <f>IF(Skills!C6=1,60+Inputs!$B$25+Inputs!$B$29,IF(Skills!C6=2,90+Inputs!$B$26+Inputs!$B$29,IF(Skills!C6=3,120+Inputs!$B$27+Inputs!$B$29,MAX(0,(Inputs!$B$3-100)*3)+Inputs!$B$28+Inputs!$B$29)))</f>
        <v>168</v>
      </c>
      <c r="E1792">
        <f>INDEX(FactorTable!$B$2:$Y$301, MATCH(ROUND(MIN(300,MAX(1,D1792)),0), FactorTable!$A$2:$A$301,0), Skills!M6+1)</f>
        <v>1672</v>
      </c>
      <c r="F1792">
        <f>IF(Skills!N6=TRUE,(Skills!L6/10)*(E1792/1000),Skills!L6/10)+Skills!O6</f>
        <v>33.44</v>
      </c>
      <c r="G1792">
        <f>Calc!G6</f>
        <v>1</v>
      </c>
      <c r="H1792">
        <f>Calc!H6</f>
        <v>1</v>
      </c>
      <c r="I1792">
        <f>IF(Skills!X6&lt;&gt;"",1+(Skills!X6/10)*(Z1789/1000)/100,1)</f>
        <v>1</v>
      </c>
      <c r="O1792">
        <f>(1-Summary!$B$11)*S1792+Summary!$B$11*U1792</f>
        <v>0</v>
      </c>
      <c r="P1792">
        <f>IF(B1827=0,0,O1792/B1827)</f>
        <v>0</v>
      </c>
      <c r="Q1792">
        <f>IFERROR(1/(IF(Inputs!$B$38="pvp",15,MAX(0.1,Skills!E6-IF(TRUE=TRUE,Inputs!$B$32,0)))*(1-IF(AND(ArtifactsInput!$M$27,Inputs!$B$4="Chapter Hunt"),CHOOSE(ArtifactsInput!$N$27+1,20,24,28,32,36,40),0)/100)),0)</f>
        <v>3.3333333333333333E-2</v>
      </c>
      <c r="R1792">
        <f>IF(AND(Inputs!$B$38&lt;&gt;"pvp",Inputs!$B$43&gt;0),IF(Inputs!$B$43&lt;=0,0,(INT(Inputs!$B$43/(IF(Inputs!$B$38="pvp",15,MAX(0.1,Skills!E6-IF(TRUE=TRUE,Inputs!$B$32,0)))*(1-IF(AND(ArtifactsInput!$M$27,Inputs!$B$4="Chapter Hunt"),CHOOSE(ArtifactsInput!$N$27+1,20,24,28,32,36,40),0)/100)))+1)),0)</f>
        <v>2</v>
      </c>
      <c r="S1792">
        <v>0</v>
      </c>
      <c r="U1792">
        <v>0</v>
      </c>
    </row>
    <row r="1793" spans="1:21" x14ac:dyDescent="0.2">
      <c r="A1793" t="str">
        <f>Skills!A7</f>
        <v>POISON_MIST_BURST</v>
      </c>
      <c r="B1793" t="str">
        <f>Skills!B7</f>
        <v>Poison Mist (burst)</v>
      </c>
      <c r="C1793" t="b">
        <f>TRUE</f>
        <v>1</v>
      </c>
      <c r="D1793">
        <f>IF(Skills!C7=1,60+Inputs!$B$25+Inputs!$B$29,IF(Skills!C7=2,90+Inputs!$B$26+Inputs!$B$29,IF(Skills!C7=3,120+Inputs!$B$27+Inputs!$B$29,MAX(0,(Inputs!$B$3-100)*3)+Inputs!$B$28+Inputs!$B$29)))</f>
        <v>184</v>
      </c>
      <c r="E1793">
        <f>INDEX(FactorTable!$B$2:$Y$301, MATCH(ROUND(MIN(300,MAX(1,D1793)),0), FactorTable!$A$2:$A$301,0), Skills!M7+1)</f>
        <v>1920</v>
      </c>
      <c r="F1793">
        <f>IF(Skills!N7=TRUE,(Skills!L7/10)*(E1793/1000),Skills!L7/10)+Skills!O7</f>
        <v>357.2</v>
      </c>
      <c r="G1793">
        <f>Calc!G7</f>
        <v>3</v>
      </c>
      <c r="H1793">
        <f>Calc!H7</f>
        <v>1</v>
      </c>
      <c r="I1793">
        <f>IF(Skills!X7&lt;&gt;"",1+(Skills!X7/10)*(Z1789/1000)/100,1)</f>
        <v>1.7650000000000001</v>
      </c>
      <c r="J1793">
        <f>((Inputs!$B$6*(1+Inputs!$B$7/100))+(((Inputs!$B$12*(1+Inputs!$B$13/100))-(Inputs!$B$12*(1+Inputs!$B$13/100)))+0.25*(Inputs!$B$14-Inputs!$B$14))*(1+Inputs!$B$7/100))*(F1793/100)</f>
        <v>1289972510.4086521</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11440318873772.086</v>
      </c>
      <c r="L1793">
        <f>K1793*(MIN(Inputs!$B$22+(F1808-Calc!F22),(Inputs!$B$23+(IF(ArtifactsInput!$M$15,CHOOSE(ArtifactsInput!$N$15+1,25,30,35,40,45,50)/100*(Inputs!$B$11-Inputs!$B$11),0))))/100+(Inputs!$B$23+(IF(ArtifactsInput!$M$15,CHOOSE(ArtifactsInput!$N$15+1,25,30,35,40,45,50)/100*(Inputs!$B$11-Inputs!$B$11),0)))/100)/2</f>
        <v>38039060255292.188</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793">
        <f>L1793*(1-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793">
        <f>(1-Summary!$B$11)*S1793+Summary!$B$11*U1793</f>
        <v>447913158316422</v>
      </c>
      <c r="P1793">
        <f>IF(B1827=0,0,O1793/B1827)</f>
        <v>1.3537499549121505E-2</v>
      </c>
      <c r="Q1793">
        <f>IFERROR(1/(IF(Inputs!$B$38="pvp",15,MAX(0.1,Skills!E7-IF(TRUE=TRUE,Inputs!$B$32,0)))*(1-IF(AND(ArtifactsInput!$M$27,Inputs!$B$4="Chapter Hunt"),CHOOSE(ArtifactsInput!$N$27+1,20,24,28,32,36,40),0)/100)),0)</f>
        <v>4.0816326530612242E-2</v>
      </c>
      <c r="R1793">
        <f>IF(AND(Inputs!$B$38&lt;&gt;"pvp",Inputs!$B$43&gt;0),IF(MAX(0,Inputs!$B$43-B1824)&lt;=0,0,(INT(MAX(0,Inputs!$B$43-B1824)/(IF(Inputs!$B$38="pvp",15,MAX(0.1,Skills!E7-IF(TRUE=TRUE,Inputs!$B$32,0)))*(1-IF(AND(ArtifactsInput!$M$27,Inputs!$B$4="Chapter Hunt"),CHOOSE(ArtifactsInput!$N$27+1,20,24,28,32,36,40),0)/100)))+1)),0)</f>
        <v>2</v>
      </c>
      <c r="S1793">
        <f>IF(C1793,(H1793*N1793*IF(AND(Inputs!$B$38&lt;&gt;"pvp",Inputs!$B$43&gt;0),((Skills!G7*((R1793-1)*IF(Skills!H7&gt;0,Skills!I7/Skills!H7,1)+IF(Skills!H7&gt;0,MIN(Skills!I7,MAX(0,MAX(0,Inputs!$B$43-B1824)-((R1793-1)*(IF(Inputs!$B$38="pvp",15,MAX(0.1,Skills!E7-IF(TRUE=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793">
        <f>IF(C1793,(H1793*N1793*IF(AND(Inputs!$B$38&lt;&gt;"pvp",Inputs!$B$43&gt;0),((Skills!G7*((R1793-1)*IF(Skills!H7&gt;0,Skills!I7/Skills!H7,1)+IF(Skills!H7&gt;0,MIN(Skills!I7,MAX(0,MAX(0,Inputs!$B$43-B1824)-((R1793-1)*(IF(Inputs!$B$38="pvp",15,MAX(0.1,Skills!E7-IF(TRUE=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794" spans="1:21" x14ac:dyDescent="0.2">
      <c r="A1794" t="str">
        <f>Skills!A8</f>
        <v>POISON_MIST_DOT</v>
      </c>
      <c r="B1794" t="str">
        <f>Skills!B8</f>
        <v>Poison Mist (fog DoT)</v>
      </c>
      <c r="C1794" t="b">
        <f>TRUE</f>
        <v>1</v>
      </c>
      <c r="D1794">
        <f>IF(Skills!C8=1,60+Inputs!$B$25+Inputs!$B$29,IF(Skills!C8=2,90+Inputs!$B$26+Inputs!$B$29,IF(Skills!C8=3,120+Inputs!$B$27+Inputs!$B$29,MAX(0,(Inputs!$B$3-100)*3)+Inputs!$B$28+Inputs!$B$29)))</f>
        <v>184</v>
      </c>
      <c r="E1794">
        <f>INDEX(FactorTable!$B$2:$Y$301, MATCH(ROUND(MIN(300,MAX(1,D1794)),0), FactorTable!$A$2:$A$301,0), Skills!M8+1)</f>
        <v>1920</v>
      </c>
      <c r="F1794">
        <f>IF(Skills!N8=TRUE,(Skills!L8/10)*(E1794/1000),Skills!L8/10)+Skills!O8</f>
        <v>134.4</v>
      </c>
      <c r="G1794">
        <f>Calc!G8</f>
        <v>50</v>
      </c>
      <c r="H1794">
        <f>Calc!H8</f>
        <v>1</v>
      </c>
      <c r="I1794">
        <f>IF(Skills!X8&lt;&gt;"",1+(Skills!X8/10)*(Z1789/1000)/100,1)</f>
        <v>1.7650000000000001</v>
      </c>
      <c r="J1794">
        <f>((Inputs!$B$6*(1+Inputs!$B$7/100))+(((Inputs!$B$12*(1+Inputs!$B$13/100))-(Inputs!$B$12*(1+Inputs!$B$13/100)))+0.25*(Inputs!$B$14-Inputs!$B$14))*(1+Inputs!$B$7/100))*(F1794/100)</f>
        <v>485364796.74950409</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4304532073446.1597</v>
      </c>
      <c r="L1794">
        <f>K1794*(MIN(Inputs!$B$22+(F1808-Calc!F22),(Inputs!$B$23+(IF(ArtifactsInput!$M$15,CHOOSE(ArtifactsInput!$N$15+1,25,30,35,40,45,50)/100*(Inputs!$B$11-Inputs!$B$11),0))))/100+(Inputs!$B$23+(IF(ArtifactsInput!$M$15,CHOOSE(ArtifactsInput!$N$15+1,25,30,35,40,45,50)/100*(Inputs!$B$11-Inputs!$B$11),0)))/100)/2</f>
        <v>14312569144208.482</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794">
        <f>L1794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794">
        <f>(1-Summary!$B$11)*S1794+Summary!$B$11*U1794</f>
        <v>2327471980535951</v>
      </c>
      <c r="P1794">
        <f>IF(B1827=0,0,O1794/B1827)</f>
        <v>7.0344329703392813E-2</v>
      </c>
      <c r="Q1794">
        <f>IFERROR(1/(IF(Inputs!$B$38="pvp",15,MAX(0.1,Skills!E8-IF(TRUE=TRUE,Inputs!$B$32,0)))*(1-IF(AND(ArtifactsInput!$M$27,Inputs!$B$4="Chapter Hunt"),CHOOSE(ArtifactsInput!$N$27+1,20,24,28,32,36,40),0)/100)),0)</f>
        <v>4.0816326530612242E-2</v>
      </c>
      <c r="R1794">
        <f>IF(AND(Inputs!$B$38&lt;&gt;"pvp",Inputs!$B$43&gt;0),IF(MAX(0,Inputs!$B$43-B1824)&lt;=0,0,(INT(MAX(0,Inputs!$B$43-B1824)/(IF(Inputs!$B$38="pvp",15,MAX(0.1,Skills!E8-IF(TRUE=TRUE,Inputs!$B$32,0)))*(1-IF(AND(ArtifactsInput!$M$27,Inputs!$B$4="Chapter Hunt"),CHOOSE(ArtifactsInput!$N$27+1,20,24,28,32,36,40),0)/100)))+1)),0)</f>
        <v>2</v>
      </c>
      <c r="S1794">
        <f>IF(C1794,(H1794*N1794*IF(AND(Inputs!$B$38&lt;&gt;"pvp",Inputs!$B$43&gt;0),((Skills!G8*((R1794-1)*IF(Skills!H8&gt;0,Skills!I8/Skills!H8,1)+IF(Skills!H8&gt;0,MIN(Skills!I8,MAX(0,MAX(0,Inputs!$B$43-B1824)-((R1794-1)*(IF(Inputs!$B$38="pvp",15,MAX(0.1,Skills!E8-IF(TRUE=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794">
        <f>IF(C1794,(H1794*N1794*IF(AND(Inputs!$B$38&lt;&gt;"pvp",Inputs!$B$43&gt;0),((Skills!G8*((R1794-1)*IF(Skills!H8&gt;0,Skills!I8/Skills!H8,1)+IF(Skills!H8&gt;0,MIN(Skills!I8,MAX(0,MAX(0,Inputs!$B$43-B1824)-((R1794-1)*(IF(Inputs!$B$38="pvp",15,MAX(0.1,Skills!E8-IF(TRUE=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795" spans="1:21" x14ac:dyDescent="0.2">
      <c r="A1795" t="str">
        <f>Skills!A9</f>
        <v>MIST_ERUPTION</v>
      </c>
      <c r="B1795" t="str">
        <f>Skills!B9</f>
        <v>Mist Eruption</v>
      </c>
      <c r="C1795" t="b">
        <f>Inputs!$B$3&gt;=103</f>
        <v>1</v>
      </c>
      <c r="D1795">
        <f>IF(Skills!C9=1,60+Inputs!$B$25+Inputs!$B$29,IF(Skills!C9=2,90+Inputs!$B$26+Inputs!$B$29,IF(Skills!C9=3,120+Inputs!$B$27+Inputs!$B$29,MAX(0,(Inputs!$B$3-100)*3)+Inputs!$B$28+Inputs!$B$29)))</f>
        <v>185</v>
      </c>
      <c r="E1795">
        <f>INDEX(FactorTable!$B$2:$Y$301, MATCH(ROUND(MIN(300,MAX(1,D1795)),0), FactorTable!$A$2:$A$301,0), Skills!M9+1)</f>
        <v>1925</v>
      </c>
      <c r="F1795">
        <f>IF(Skills!N9=TRUE,(Skills!L9/10)*(E1795/1000),Skills!L9/10)+Skills!O9</f>
        <v>5775</v>
      </c>
      <c r="G1795">
        <f>Calc!G9</f>
        <v>2.5</v>
      </c>
      <c r="H1795">
        <f>Calc!H9</f>
        <v>1</v>
      </c>
      <c r="I1795">
        <f>IF(Skills!X9&lt;&gt;"",1+(Skills!X9/10)*(Z1789/1000)/100,1)</f>
        <v>1</v>
      </c>
      <c r="J1795">
        <f>((Inputs!$B$6*(1+Inputs!$B$7/100))+(((Inputs!$B$12*(1+Inputs!$B$13/100))-(Inputs!$B$12*(1+Inputs!$B$13/100)))+0.25*(Inputs!$B$14-Inputs!$B$14))*(1+Inputs!$B$7/100))*(F1795/100)</f>
        <v>20855518610.330254</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104793406533081.95</v>
      </c>
      <c r="L1795">
        <f>K1795*(MIN(Inputs!$B$22+(F1808-Calc!F22),(Inputs!$B$23+(IF(ArtifactsInput!$M$15,CHOOSE(ArtifactsInput!$N$15+1,25,30,35,40,45,50)/100*(Inputs!$B$11-Inputs!$B$11),0))))/100+(Inputs!$B$23+(IF(ArtifactsInput!$M$15,CHOOSE(ArtifactsInput!$N$15+1,25,30,35,40,45,50)/100*(Inputs!$B$11-Inputs!$B$11),0)))/100)/2</f>
        <v>348438076722497.5</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795">
        <f>L1795*(1-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795">
        <f>(1-Summary!$B$11)*S1795+Summary!$B$11*U1795</f>
        <v>3419073236278675</v>
      </c>
      <c r="P1795">
        <f>IF(B1827=0,0,O1795/B1827)</f>
        <v>0.10333633101673266</v>
      </c>
      <c r="Q1795">
        <f>IFERROR(1/(IF(Inputs!$B$38="pvp",15,MAX(0.1,Skills!E9-IF(TRUE=TRUE,Inputs!$B$32,0)))*(1-IF(AND(ArtifactsInput!$M$27,Inputs!$B$4="Chapter Hunt"),CHOOSE(ArtifactsInput!$N$27+1,20,24,28,32,36,40),0)/100)),0)</f>
        <v>4.0816326530612242E-2</v>
      </c>
      <c r="R1795">
        <f>IF(AND(Inputs!$B$38&lt;&gt;"pvp",Inputs!$B$43&gt;0),IF(MAX(0,Inputs!$B$43-B1824)&lt;=0,0,(INT(MAX(0,Inputs!$B$43-B1824)/(IF(Inputs!$B$38="pvp",15,MAX(0.1,Skills!E9-IF(TRUE=TRUE,Inputs!$B$32,0)))*(1-IF(AND(ArtifactsInput!$M$27,Inputs!$B$4="Chapter Hunt"),CHOOSE(ArtifactsInput!$N$27+1,20,24,28,32,36,40),0)/100)))+1)),0)</f>
        <v>2</v>
      </c>
      <c r="S1795">
        <f>IF(C1795,(H1795*N1795*IF(AND(Inputs!$B$38&lt;&gt;"pvp",Inputs!$B$43&gt;0),((Skills!G9*((R1795-1)*IF(Skills!H9&gt;0,Skills!I9/Skills!H9,1)+IF(Skills!H9&gt;0,MIN(Skills!I9,MAX(0,MAX(0,Inputs!$B$43-B1824)-((R1795-1)*(IF(Inputs!$B$38="pvp",15,MAX(0.1,Skills!E9-IF(TRUE=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795">
        <f>IF(C1795,(H1795*N1795*IF(AND(Inputs!$B$38&lt;&gt;"pvp",Inputs!$B$43&gt;0),((Skills!G9*((R1795-1)*IF(Skills!H9&gt;0,Skills!I9/Skills!H9,1)+IF(Skills!H9&gt;0,MIN(Skills!I9,MAX(0,MAX(0,Inputs!$B$43-B1824)-((R1795-1)*(IF(Inputs!$B$38="pvp",15,MAX(0.1,Skills!E9-IF(TRUE=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796" spans="1:21" x14ac:dyDescent="0.2">
      <c r="A1796" t="str">
        <f>Skills!A10</f>
        <v>CREEPING_TOXIN</v>
      </c>
      <c r="B1796" t="str">
        <f>Skills!B10</f>
        <v>Creeping Toxin</v>
      </c>
      <c r="C1796" t="b">
        <f>TRUE</f>
        <v>1</v>
      </c>
      <c r="D1796">
        <f>IF(Skills!C10=1,60+Inputs!$B$25+Inputs!$B$29,IF(Skills!C10=2,90+Inputs!$B$26+Inputs!$B$29,IF(Skills!C10=3,120+Inputs!$B$27+Inputs!$B$29,MAX(0,(Inputs!$B$3-100)*3)+Inputs!$B$28+Inputs!$B$29)))</f>
        <v>184</v>
      </c>
      <c r="E1796">
        <f>INDEX(FactorTable!$B$2:$Y$301, MATCH(ROUND(MIN(300,MAX(1,D1796)),0), FactorTable!$A$2:$A$301,0), Skills!M10+1)</f>
        <v>1920</v>
      </c>
      <c r="F1796">
        <f>IF(Skills!N10=TRUE,(Skills!L10/10)*(E1796/1000),Skills!L10/10)+Skills!O10</f>
        <v>280.39999999999998</v>
      </c>
      <c r="G1796">
        <f>Calc!G10</f>
        <v>15</v>
      </c>
      <c r="H1796">
        <f>Calc!H10</f>
        <v>1</v>
      </c>
      <c r="I1796">
        <f>IF(Skills!X10&lt;&gt;"",1+(Skills!X10/10)*(Z1789/1000)/100,1)</f>
        <v>1.7650000000000001</v>
      </c>
      <c r="J1796">
        <f>((Inputs!$B$6*(1+Inputs!$B$7/100))+(((Inputs!$B$12*(1+Inputs!$B$13/100))-(Inputs!$B$12*(1+Inputs!$B$13/100)))+0.25*(Inputs!$B$14-Inputs!$B$14))*(1+Inputs!$B$7/100))*(F1796/100)</f>
        <v>1012621197.9803641</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8980586260374.2793</v>
      </c>
      <c r="L1796">
        <f>K1796*(MIN(Inputs!$B$22+(F1808-Calc!F22),(Inputs!$B$23+(IF(ArtifactsInput!$M$15,CHOOSE(ArtifactsInput!$N$15+1,25,30,35,40,45,50)/100*(Inputs!$B$11-Inputs!$B$11),0))))/100+(Inputs!$B$23+(IF(ArtifactsInput!$M$15,CHOOSE(ArtifactsInput!$N$15+1,25,30,35,40,45,50)/100*(Inputs!$B$11-Inputs!$B$11),0)))/100)/2</f>
        <v>29860449315744.48</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796">
        <f>L1796*(1-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796">
        <f>(1-Summary!$B$11)*S1796+Summary!$B$11*U1796</f>
        <v>324323455609081.62</v>
      </c>
      <c r="P1796">
        <f>IF(B1827=0,0,O1796/B1827)</f>
        <v>9.8021872154419789E-3</v>
      </c>
      <c r="Q1796">
        <f>IFERROR(1/(IF(Inputs!$B$38="pvp",15,MAX(0.1,Skills!E10-IF(TRUE=TRUE,Inputs!$B$32,0)))*(1-IF(AND(ArtifactsInput!$M$27,Inputs!$B$4="Chapter Hunt"),CHOOSE(ArtifactsInput!$N$27+1,20,24,28,32,36,40),0)/100)),0)</f>
        <v>3.7037037037037035E-2</v>
      </c>
      <c r="R1796">
        <f>IF(AND(Inputs!$B$38&lt;&gt;"pvp",Inputs!$B$43&gt;0),IF(MAX(0,Inputs!$B$43-B1824)&lt;=0,0,(INT(MAX(0,Inputs!$B$43-B1824)/(IF(Inputs!$B$38="pvp",15,MAX(0.1,Skills!E10-IF(TRUE=TRUE,Inputs!$B$32,0)))*(1-IF(AND(ArtifactsInput!$M$27,Inputs!$B$4="Chapter Hunt"),CHOOSE(ArtifactsInput!$N$27+1,20,24,28,32,36,40),0)/100)))+1)),0)</f>
        <v>2</v>
      </c>
      <c r="S1796">
        <f>IF(C1796,(H1796*N1796*IF(AND(Inputs!$B$38&lt;&gt;"pvp",Inputs!$B$43&gt;0),((Skills!G10*((R1796-1)*IF(Skills!H10&gt;0,Skills!I10/Skills!H10,1)+IF(Skills!H10&gt;0,MIN(Skills!I10,MAX(0,MAX(0,Inputs!$B$43-B1824)-((R1796-1)*(IF(Inputs!$B$38="pvp",15,MAX(0.1,Skills!E10-IF(TRUE=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796">
        <f>IF(C1796,(H1796*N1796*IF(AND(Inputs!$B$38&lt;&gt;"pvp",Inputs!$B$43&gt;0),((Skills!G10*((R1796-1)*IF(Skills!H10&gt;0,Skills!I10/Skills!H10,1)+IF(Skills!H10&gt;0,MIN(Skills!I10,MAX(0,MAX(0,Inputs!$B$43-B1824)-((R1796-1)*(IF(Inputs!$B$38="pvp",15,MAX(0.1,Skills!E10-IF(TRUE=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797" spans="1:21" x14ac:dyDescent="0.2">
      <c r="A1797" t="str">
        <f>Skills!A11</f>
        <v>BURNING_MAGIC</v>
      </c>
      <c r="B1797" t="str">
        <f>Skills!B11</f>
        <v>Burning Magic</v>
      </c>
      <c r="C1797" t="b">
        <f>TRUE</f>
        <v>1</v>
      </c>
      <c r="D1797">
        <f>IF(Skills!C11=1,60+Inputs!$B$25+Inputs!$B$29,IF(Skills!C11=2,90+Inputs!$B$26+Inputs!$B$29,IF(Skills!C11=3,120+Inputs!$B$27+Inputs!$B$29,MAX(0,(Inputs!$B$3-100)*3)+Inputs!$B$28+Inputs!$B$29)))</f>
        <v>184</v>
      </c>
      <c r="E1797">
        <f>INDEX(FactorTable!$B$2:$Y$301, MATCH(ROUND(MIN(300,MAX(1,D1797)),0), FactorTable!$A$2:$A$301,0), Skills!M11+1)</f>
        <v>0</v>
      </c>
      <c r="F1797">
        <f>IF(Skills!N11=TRUE,(Skills!L11/10)*(E1797/1000),Skills!L11/10)+Skills!O11</f>
        <v>5</v>
      </c>
      <c r="G1797">
        <f>Calc!G11</f>
        <v>1</v>
      </c>
      <c r="H1797">
        <f>Calc!H11</f>
        <v>1</v>
      </c>
      <c r="I1797">
        <f>IF(Skills!X11&lt;&gt;"",1+(Skills!X11/10)*(Z1789/1000)/100,1)</f>
        <v>1</v>
      </c>
      <c r="O1797">
        <f>(1-Summary!$B$11)*S1797+Summary!$B$11*U1797</f>
        <v>0</v>
      </c>
      <c r="P1797">
        <f>IF(B1827=0,0,O1797/B1827)</f>
        <v>0</v>
      </c>
      <c r="Q1797">
        <f>IFERROR(1/(IF(Inputs!$B$38="pvp",15,MAX(0.1,Skills!E11-IF(TRUE=TRUE,Inputs!$B$32,0)))*(1-IF(AND(ArtifactsInput!$M$27,Inputs!$B$4="Chapter Hunt"),CHOOSE(ArtifactsInput!$N$27+1,20,24,28,32,36,40),0)/100)),0)</f>
        <v>10</v>
      </c>
      <c r="R1797">
        <v>0</v>
      </c>
      <c r="S1797">
        <v>0</v>
      </c>
      <c r="U1797">
        <v>0</v>
      </c>
    </row>
    <row r="1798" spans="1:21" x14ac:dyDescent="0.2">
      <c r="A1798" t="str">
        <f>Skills!A12</f>
        <v>ELEMENTAL_DECREASE</v>
      </c>
      <c r="B1798" t="str">
        <f>Skills!B12</f>
        <v>Elemental Decrease</v>
      </c>
      <c r="C1798" t="b">
        <f>TRUE</f>
        <v>1</v>
      </c>
      <c r="D1798">
        <f>IF(Skills!C12=1,60+Inputs!$B$25+Inputs!$B$29,IF(Skills!C12=2,90+Inputs!$B$26+Inputs!$B$29,IF(Skills!C12=3,120+Inputs!$B$27+Inputs!$B$29,MAX(0,(Inputs!$B$3-100)*3)+Inputs!$B$28+Inputs!$B$29)))</f>
        <v>184</v>
      </c>
      <c r="E1798">
        <f>INDEX(FactorTable!$B$2:$Y$301, MATCH(ROUND(MIN(300,MAX(1,D1798)),0), FactorTable!$A$2:$A$301,0), Skills!M12+1)</f>
        <v>1552</v>
      </c>
      <c r="F1798">
        <f>IF(Skills!N12=TRUE,(Skills!L12/10)*(E1798/1000),Skills!L12/10)+Skills!O12</f>
        <v>18.624000000000002</v>
      </c>
      <c r="G1798">
        <f>Calc!G12</f>
        <v>1</v>
      </c>
      <c r="H1798">
        <f>Calc!H12</f>
        <v>0.5</v>
      </c>
      <c r="I1798">
        <f>IF(Skills!X12&lt;&gt;"",1+(Skills!X12/10)*(Z1789/1000)/100,1)</f>
        <v>1</v>
      </c>
      <c r="O1798">
        <f>(1-Summary!$B$11)*S1798+Summary!$B$11*U1798</f>
        <v>0</v>
      </c>
      <c r="P1798">
        <f>IF(B1827=0,0,O1798/B1827)</f>
        <v>0</v>
      </c>
      <c r="Q1798">
        <f>IFERROR(1/(IF(Inputs!$B$38="pvp",15,MAX(0.1,Skills!E12-IF(TRUE=TRUE,Inputs!$B$32,0)))*(1-IF(AND(ArtifactsInput!$M$27,Inputs!$B$4="Chapter Hunt"),CHOOSE(ArtifactsInput!$N$27+1,20,24,28,32,36,40),0)/100)),0)</f>
        <v>10</v>
      </c>
      <c r="R1798">
        <v>0</v>
      </c>
      <c r="S1798">
        <v>0</v>
      </c>
      <c r="U1798">
        <v>0</v>
      </c>
    </row>
    <row r="1799" spans="1:21" x14ac:dyDescent="0.2">
      <c r="A1799" t="str">
        <f>Skills!A13</f>
        <v>METEOR_SHOWER_BURST</v>
      </c>
      <c r="B1799" t="str">
        <f>Skills!B13</f>
        <v>Meteor Shower (burst)</v>
      </c>
      <c r="C1799" t="b">
        <f>Inputs!$B$3&gt;=105</f>
        <v>1</v>
      </c>
      <c r="D1799">
        <f>IF(Skills!C13=1,60+Inputs!$B$25+Inputs!$B$29,IF(Skills!C13=2,90+Inputs!$B$26+Inputs!$B$29,IF(Skills!C13=3,120+Inputs!$B$27+Inputs!$B$29,MAX(0,(Inputs!$B$3-100)*3)+Inputs!$B$28+Inputs!$B$29)))</f>
        <v>185</v>
      </c>
      <c r="E1799">
        <f>INDEX(FactorTable!$B$2:$Y$301, MATCH(ROUND(MIN(300,MAX(1,D1799)),0), FactorTable!$A$2:$A$301,0), Skills!M13+1)</f>
        <v>1925</v>
      </c>
      <c r="F1799">
        <f>IF(Skills!N13=TRUE,(Skills!L13/10)*(E1799/1000),Skills!L13/10)+Skills!O13</f>
        <v>1155</v>
      </c>
      <c r="G1799">
        <f>Calc!G13</f>
        <v>9</v>
      </c>
      <c r="H1799">
        <f>Calc!H13</f>
        <v>1</v>
      </c>
      <c r="I1799">
        <f>IF(Skills!X13&lt;&gt;"",1+(Skills!X13/10)*(Z1789/1000)/100,1)</f>
        <v>1</v>
      </c>
      <c r="J1799">
        <f>((Inputs!$B$6*(1+Inputs!$B$7/100))+(((Inputs!$B$12*(1+Inputs!$B$13/100))-(Inputs!$B$12*(1+Inputs!$B$13/100)))+0.25*(Inputs!$B$14-Inputs!$B$14))*(1+Inputs!$B$7/100))*(F1799/100)</f>
        <v>4171103722.0660505</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20958681306616.391</v>
      </c>
      <c r="L1799">
        <f>K1799*(MIN(Inputs!$B$22+(F1808-Calc!F22),(Inputs!$B$23+(IF(ArtifactsInput!$M$15,CHOOSE(ArtifactsInput!$N$15+1,25,30,35,40,45,50)/100*(Inputs!$B$11-Inputs!$B$11),0))))/100+(Inputs!$B$23+(IF(ArtifactsInput!$M$15,CHOOSE(ArtifactsInput!$N$15+1,25,30,35,40,45,50)/100*(Inputs!$B$11-Inputs!$B$11),0)))/100)/2</f>
        <v>69687615344499.5</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799">
        <f>L1799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799">
        <f>(1-Summary!$B$11)*S1799+Summary!$B$11*U1799</f>
        <v>1793579843045520.5</v>
      </c>
      <c r="P1799">
        <f>IF(B1827=0,0,O1799/B1827)</f>
        <v>5.4208245204954375E-2</v>
      </c>
      <c r="Q1799">
        <f>IFERROR(1/(IF(Inputs!$B$38="pvp",15,MAX(0.1,Skills!E13-IF(TRUE=TRUE,Inputs!$B$32,0)))*(1-IF(AND(ArtifactsInput!$M$27,Inputs!$B$4="Chapter Hunt"),CHOOSE(ArtifactsInput!$N$27+1,20,24,28,32,36,40),0)/100)),0)</f>
        <v>3.0303030303030304E-2</v>
      </c>
      <c r="R1799">
        <f>IF(AND(Inputs!$B$38&lt;&gt;"pvp",Inputs!$B$43&gt;0),IF(MAX(0,Inputs!$B$43-B1824)&lt;=0,0,(INT(MAX(0,Inputs!$B$43-B1824)/(IF(Inputs!$B$38="pvp",15,MAX(0.1,Skills!E13-IF(TRUE=TRUE,Inputs!$B$32,0)))*(1-IF(AND(ArtifactsInput!$M$27,Inputs!$B$4="Chapter Hunt"),CHOOSE(ArtifactsInput!$N$27+1,20,24,28,32,36,40),0)/100)))+1)),0)</f>
        <v>2</v>
      </c>
      <c r="S1799">
        <f>IF(C1799,(H1799*N1799*IF(AND(Inputs!$B$38&lt;&gt;"pvp",Inputs!$B$43&gt;0),((Skills!G13*((R1799-1)*IF(Skills!H13&gt;0,Skills!I13/Skills!H13,1)+IF(Skills!H13&gt;0,MIN(Skills!I13,MAX(0,MAX(0,Inputs!$B$43-B1824)-((R1799-1)*(IF(Inputs!$B$38="pvp",15,MAX(0.1,Skills!E13-IF(TRUE=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799">
        <f>IF(C1799,(H1799*N1799*IF(AND(Inputs!$B$38&lt;&gt;"pvp",Inputs!$B$43&gt;0),((Skills!G13*((R1799-1)*IF(Skills!H13&gt;0,Skills!I13/Skills!H13,1)+IF(Skills!H13&gt;0,MIN(Skills!I13,MAX(0,MAX(0,Inputs!$B$43-B1824)-((R1799-1)*(IF(Inputs!$B$38="pvp",15,MAX(0.1,Skills!E13-IF(TRUE=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800" spans="1:21" x14ac:dyDescent="0.2">
      <c r="A1800" t="str">
        <f>Skills!A14</f>
        <v>METEOR_PROC</v>
      </c>
      <c r="B1800" t="str">
        <f>Skills!B14</f>
        <v>Meteor Proc (30% on-hit, 1s ICD)</v>
      </c>
      <c r="C1800" t="b">
        <f>Inputs!$B$3&gt;=113</f>
        <v>1</v>
      </c>
      <c r="D1800">
        <f>IF(Skills!C14=1,60+Inputs!$B$25+Inputs!$B$29,IF(Skills!C14=2,90+Inputs!$B$26+Inputs!$B$29,IF(Skills!C14=3,120+Inputs!$B$27+Inputs!$B$29,MAX(0,(Inputs!$B$3-100)*3)+Inputs!$B$28+Inputs!$B$29)))</f>
        <v>185</v>
      </c>
      <c r="E1800">
        <f>INDEX(FactorTable!$B$2:$Y$301, MATCH(ROUND(MIN(300,MAX(1,D1800)),0), FactorTable!$A$2:$A$301,0), Skills!M14+1)</f>
        <v>1740</v>
      </c>
      <c r="F1800">
        <f>IF(Skills!N14=TRUE,(Skills!L14/10)*(E1800/1000),Skills!L14/10)+Skills!O14</f>
        <v>1653</v>
      </c>
      <c r="G1800">
        <f>Calc!G14</f>
        <v>0</v>
      </c>
      <c r="H1800">
        <f>Calc!H14</f>
        <v>0.30000000000000004</v>
      </c>
      <c r="I1800">
        <f>IF(Skills!X14&lt;&gt;"",1+(Skills!X14/10)*(Z1789/1000)/100,1)</f>
        <v>1</v>
      </c>
      <c r="J1800">
        <f>((Inputs!$B$6*(1+Inputs!$B$7/100))+(((Inputs!$B$12*(1+Inputs!$B$13/100))-(Inputs!$B$12*(1+Inputs!$B$13/100)))+0.25*(Inputs!$B$14-Inputs!$B$14))*(1+Inputs!$B$7/100))*(F1800/100)</f>
        <v>5969553638.5932312</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29995411428430.203</v>
      </c>
      <c r="L1800">
        <f>K1800*(MIN(Inputs!$B$22+(F1808-Calc!F22),(Inputs!$B$23+(IF(ArtifactsInput!$M$15,CHOOSE(ArtifactsInput!$N$15+1,25,30,35,40,45,50)/100*(Inputs!$B$11-Inputs!$B$11),0))))/100+(Inputs!$B$23+(IF(ArtifactsInput!$M$15,CHOOSE(ArtifactsInput!$N$15+1,25,30,35,40,45,50)/100*(Inputs!$B$11-Inputs!$B$11),0)))/100)/2</f>
        <v>99734742999530.438</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800">
        <f>L1800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800">
        <f>(1-Summary!$B$11)*S1800+Summary!$B$11*U1800</f>
        <v>461258197543910.38</v>
      </c>
      <c r="P1800">
        <f>IF(B1827=0,0,O1800/B1827)</f>
        <v>1.3940833229257574E-2</v>
      </c>
      <c r="Q1800">
        <f>IFERROR(1/(IF(Inputs!$B$38="pvp",15,MAX(0.1,Skills!E14-IF(TRUE=TRUE,Inputs!$B$32,0)))*(1-IF(AND(ArtifactsInput!$M$27,Inputs!$B$4="Chapter Hunt"),CHOOSE(ArtifactsInput!$N$27+1,20,24,28,32,36,40),0)/100)),0)</f>
        <v>10</v>
      </c>
      <c r="R1800">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801" spans="1:21" x14ac:dyDescent="0.2">
      <c r="A1801" t="str">
        <f>Skills!A15</f>
        <v>FLAME_HAZE_BURST</v>
      </c>
      <c r="B1801" t="str">
        <f>Skills!B15</f>
        <v>Flame Haze (burst)</v>
      </c>
      <c r="C1801" t="b">
        <f>Inputs!$B$3&gt;=107</f>
        <v>1</v>
      </c>
      <c r="D1801">
        <f>IF(Skills!C15=1,60+Inputs!$B$25+Inputs!$B$29,IF(Skills!C15=2,90+Inputs!$B$26+Inputs!$B$29,IF(Skills!C15=3,120+Inputs!$B$27+Inputs!$B$29,MAX(0,(Inputs!$B$3-100)*3)+Inputs!$B$28+Inputs!$B$29)))</f>
        <v>185</v>
      </c>
      <c r="E1801">
        <f>INDEX(FactorTable!$B$2:$Y$301, MATCH(ROUND(MIN(300,MAX(1,D1801)),0), FactorTable!$A$2:$A$301,0), Skills!M15+1)</f>
        <v>1925</v>
      </c>
      <c r="F1801">
        <f>IF(Skills!N15=TRUE,(Skills!L15/10)*(E1801/1000),Skills!L15/10)+Skills!O15</f>
        <v>2310</v>
      </c>
      <c r="G1801">
        <f>Calc!G15</f>
        <v>3</v>
      </c>
      <c r="H1801">
        <f>Calc!H15</f>
        <v>1</v>
      </c>
      <c r="I1801">
        <f>IF(Skills!X15&lt;&gt;"",1+(Skills!X15/10)*(Z1789/1000)/100,1)</f>
        <v>1</v>
      </c>
      <c r="J1801">
        <f>((Inputs!$B$6*(1+Inputs!$B$7/100))+(((Inputs!$B$12*(1+Inputs!$B$13/100))-(Inputs!$B$12*(1+Inputs!$B$13/100)))+0.25*(Inputs!$B$14-Inputs!$B$14))*(1+Inputs!$B$7/100))*(F1801/100)</f>
        <v>8342207444.1321011</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41917362613232.781</v>
      </c>
      <c r="L1801">
        <f>K1801*(MIN(Inputs!$B$22+(F1808-Calc!F22),(Inputs!$B$23+(IF(ArtifactsInput!$M$15,CHOOSE(ArtifactsInput!$N$15+1,25,30,35,40,45,50)/100*(Inputs!$B$11-Inputs!$B$11),0))))/100+(Inputs!$B$23+(IF(ArtifactsInput!$M$15,CHOOSE(ArtifactsInput!$N$15+1,25,30,35,40,45,50)/100*(Inputs!$B$11-Inputs!$B$11),0)))/100)/2</f>
        <v>139375230688999</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801">
        <f>L1801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801">
        <f>(1-Summary!$B$11)*S1801+Summary!$B$11*U1801</f>
        <v>1641155153413763.8</v>
      </c>
      <c r="P1801">
        <f>IF(B1827=0,0,O1801/B1827)</f>
        <v>4.9601438888031674E-2</v>
      </c>
      <c r="Q1801">
        <f>IFERROR(1/(IF(Inputs!$B$38="pvp",15,MAX(0.1,Skills!E15-IF(TRUE=TRUE,Inputs!$B$32,0)))*(1-IF(AND(ArtifactsInput!$M$27,Inputs!$B$4="Chapter Hunt"),CHOOSE(ArtifactsInput!$N$27+1,20,24,28,32,36,40),0)/100)),0)</f>
        <v>0.04</v>
      </c>
      <c r="R1801">
        <f>IF(AND(Inputs!$B$38&lt;&gt;"pvp",Inputs!$B$43&gt;0),IF(MAX(0,Inputs!$B$43-B1824)&lt;=0,0,(INT(MAX(0,Inputs!$B$43-B1824)/(IF(Inputs!$B$38="pvp",15,MAX(0.1,Skills!E15-IF(TRUE=TRUE,Inputs!$B$32,0)))*(1-IF(AND(ArtifactsInput!$M$27,Inputs!$B$4="Chapter Hunt"),CHOOSE(ArtifactsInput!$N$27+1,20,24,28,32,36,40),0)/100)))+1)),0)</f>
        <v>2</v>
      </c>
      <c r="S1801">
        <f>IF(C1801,(H1801*N1801*IF(AND(Inputs!$B$38&lt;&gt;"pvp",Inputs!$B$43&gt;0),((Skills!G15*((R1801-1)*IF(Skills!H15&gt;0,Skills!I15/Skills!H15,1)+IF(Skills!H15&gt;0,MIN(Skills!I15,MAX(0,MAX(0,Inputs!$B$43-B1824)-((R1801-1)*(IF(Inputs!$B$38="pvp",15,MAX(0.1,Skills!E15-IF(TRUE=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801">
        <f>IF(C1801,(H1801*N1801*IF(AND(Inputs!$B$38&lt;&gt;"pvp",Inputs!$B$43&gt;0),((Skills!G15*((R1801-1)*IF(Skills!H15&gt;0,Skills!I15/Skills!H15,1)+IF(Skills!H15&gt;0,MIN(Skills!I15,MAX(0,MAX(0,Inputs!$B$43-B1824)-((R1801-1)*(IF(Inputs!$B$38="pvp",15,MAX(0.1,Skills!E15-IF(TRUE=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802" spans="1:21" x14ac:dyDescent="0.2">
      <c r="A1802" t="str">
        <f>Skills!A16</f>
        <v>FLAME_HAZE_DOT</v>
      </c>
      <c r="B1802" t="str">
        <f>Skills!B16</f>
        <v>Flame Haze (burn DoT)</v>
      </c>
      <c r="C1802" t="b">
        <f>Inputs!$B$3&gt;=107</f>
        <v>1</v>
      </c>
      <c r="D1802">
        <f>IF(Skills!C16=1,60+Inputs!$B$25+Inputs!$B$29,IF(Skills!C16=2,90+Inputs!$B$26+Inputs!$B$29,IF(Skills!C16=3,120+Inputs!$B$27+Inputs!$B$29,MAX(0,(Inputs!$B$3-100)*3)+Inputs!$B$28+Inputs!$B$29)))</f>
        <v>185</v>
      </c>
      <c r="E1802">
        <f>INDEX(FactorTable!$B$2:$Y$301, MATCH(ROUND(MIN(300,MAX(1,D1802)),0), FactorTable!$A$2:$A$301,0), Skills!M16+1)</f>
        <v>1925</v>
      </c>
      <c r="F1802">
        <f>IF(Skills!N16=TRUE,(Skills!L16/10)*(E1802/1000),Skills!L16/10)+Skills!O16</f>
        <v>288.75</v>
      </c>
      <c r="G1802">
        <f>Calc!G16</f>
        <v>30</v>
      </c>
      <c r="H1802">
        <f>Calc!H16</f>
        <v>1</v>
      </c>
      <c r="I1802">
        <f>IF(Skills!X16&lt;&gt;"",1+(Skills!X16/10)*(Z1789/1000)/100,1)</f>
        <v>1</v>
      </c>
      <c r="J1802">
        <f>((Inputs!$B$6*(1+Inputs!$B$7/100))+(((Inputs!$B$12*(1+Inputs!$B$13/100))-(Inputs!$B$12*(1+Inputs!$B$13/100)))+0.25*(Inputs!$B$14-Inputs!$B$14))*(1+Inputs!$B$7/100))*(F1802/100)</f>
        <v>1042775930.5165126</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5239670326654.0977</v>
      </c>
      <c r="L1802">
        <f>K1802*(MIN(Inputs!$B$22+(F1808-Calc!F22),(Inputs!$B$23+(IF(ArtifactsInput!$M$15,CHOOSE(ArtifactsInput!$N$15+1,25,30,35,40,45,50)/100*(Inputs!$B$11-Inputs!$B$11),0))))/100+(Inputs!$B$23+(IF(ArtifactsInput!$M$15,CHOOSE(ArtifactsInput!$N$15+1,25,30,35,40,45,50)/100*(Inputs!$B$11-Inputs!$B$11),0)))/100)/2</f>
        <v>17421903836124.875</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802">
        <f>L1802*(1-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802">
        <f>(1-Summary!$B$11)*S1802+Summary!$B$11*U1802</f>
        <v>1890384927888193</v>
      </c>
      <c r="P1802">
        <f>IF(B1827=0,0,O1802/B1827)</f>
        <v>5.7134032867313167E-2</v>
      </c>
      <c r="Q1802">
        <f>IFERROR(1/(IF(Inputs!$B$38="pvp",15,MAX(0.1,Skills!E16-IF(TRUE=TRUE,Inputs!$B$32,0)))*(1-IF(AND(ArtifactsInput!$M$27,Inputs!$B$4="Chapter Hunt"),CHOOSE(ArtifactsInput!$N$27+1,20,24,28,32,36,40),0)/100)),0)</f>
        <v>0.04</v>
      </c>
      <c r="R1802">
        <f>IF(AND(Inputs!$B$38&lt;&gt;"pvp",Inputs!$B$43&gt;0),IF(MAX(0,Inputs!$B$43-B1824)&lt;=0,0,(INT(MAX(0,Inputs!$B$43-B1824)/(IF(Inputs!$B$38="pvp",15,MAX(0.1,Skills!E16-IF(TRUE=TRUE,Inputs!$B$32,0)))*(1-IF(AND(ArtifactsInput!$M$27,Inputs!$B$4="Chapter Hunt"),CHOOSE(ArtifactsInput!$N$27+1,20,24,28,32,36,40),0)/100)))+1)),0)</f>
        <v>2</v>
      </c>
      <c r="S1802">
        <f>IF(C1802,(H1802*N1802*IF(AND(Inputs!$B$38&lt;&gt;"pvp",Inputs!$B$43&gt;0),((Skills!G16*((R1802-1)*IF(Skills!H16&gt;0,Skills!I16/Skills!H16,1)+IF(Skills!H16&gt;0,MIN(Skills!I16,MAX(0,MAX(0,Inputs!$B$43-B1824)-((R1802-1)*(IF(Inputs!$B$38="pvp",15,MAX(0.1,Skills!E16-IF(TRUE=TRUE,Inputs!$B$32,0)))*(1-IF(AND(ArtifactsInput!$M$27,Inputs!$B$4="Chapter Hunt"),CHOOSE(ArtifactsInput!$N$27+1,20,24,28,32,36,40),0)/100)))))/Skills!H16,1)))/Inputs!$B$43),G1802*Q1802)*(1+IF(Inputs!$B$3&gt;=126,0.05*(B1822+Q1799+(H1800*B1823)/(1+Skills!H14*H1800*B1823)+Q1810),0)*(1/Q1801)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802">
        <f>IF(C1802,(H1802*N1802*IF(AND(Inputs!$B$38&lt;&gt;"pvp",Inputs!$B$43&gt;0),((Skills!G16*((R1802-1)*IF(Skills!H16&gt;0,Skills!I16/Skills!H16,1)+IF(Skills!H16&gt;0,MIN(Skills!I16,MAX(0,MAX(0,Inputs!$B$43-B1824)-((R1802-1)*(IF(Inputs!$B$38="pvp",15,MAX(0.1,Skills!E16-IF(TRUE=TRUE,Inputs!$B$32,0)))*(1-IF(AND(ArtifactsInput!$M$27,Inputs!$B$4="Chapter Hunt"),CHOOSE(ArtifactsInput!$N$27+1,20,24,28,32,36,40),0)/100)))))/Skills!H16,1)))/Inputs!$B$43),G1802*Q1802)*(1+IF(Inputs!$B$3&gt;=126,0.05*(B1822+Q1799+(H1800*B1823)/(1+Skills!H14*H1800*B1823)+Q1810),0)*(1/Q1801)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803" spans="1:21" x14ac:dyDescent="0.2">
      <c r="A1803" t="str">
        <f>Skills!A17</f>
        <v>MAGIC_GUARD</v>
      </c>
      <c r="B1803" t="str">
        <f>Skills!B17</f>
        <v>Magic Guard</v>
      </c>
      <c r="C1803" t="b">
        <f>TRUE</f>
        <v>1</v>
      </c>
      <c r="D1803">
        <f>IF(Skills!C17=1,60+Inputs!$B$25+Inputs!$B$29,IF(Skills!C17=2,90+Inputs!$B$26+Inputs!$B$29,IF(Skills!C17=3,120+Inputs!$B$27+Inputs!$B$29,MAX(0,(Inputs!$B$3-100)*3)+Inputs!$B$28+Inputs!$B$29)))</f>
        <v>127</v>
      </c>
      <c r="E1803">
        <f>INDEX(FactorTable!$B$2:$Y$301, MATCH(ROUND(MIN(300,MAX(1,D1803)),0), FactorTable!$A$2:$A$301,0), Skills!M17+1)</f>
        <v>1508</v>
      </c>
      <c r="F1803">
        <f>IF(Skills!N17=TRUE,(Skills!L17/10)*(E1803/1000),Skills!L17/10)+Skills!O17</f>
        <v>18.096</v>
      </c>
      <c r="G1803">
        <f>Calc!G17</f>
        <v>1</v>
      </c>
      <c r="H1803">
        <f>Calc!H17</f>
        <v>1</v>
      </c>
      <c r="I1803">
        <f>IF(Skills!X17&lt;&gt;"",1+(Skills!X17/10)*(Z1789/1000)/100,1)</f>
        <v>1</v>
      </c>
      <c r="O1803">
        <f>(1-Summary!$B$11)*S1803+Summary!$B$11*U1803</f>
        <v>0</v>
      </c>
      <c r="P1803">
        <f>IF(B1827=0,0,O1803/B1827)</f>
        <v>0</v>
      </c>
      <c r="Q1803">
        <f>IFERROR(1/(IF(Inputs!$B$38="pvp",15,MAX(0.1,Skills!E17-IF(TRUE=TRUE,Inputs!$B$32,0)))*(1-IF(AND(ArtifactsInput!$M$27,Inputs!$B$4="Chapter Hunt"),CHOOSE(ArtifactsInput!$N$27+1,20,24,28,32,36,40),0)/100)),0)</f>
        <v>4.7619047619047616E-2</v>
      </c>
      <c r="R1803">
        <f>IF(AND(Inputs!$B$38&lt;&gt;"pvp",Inputs!$B$43&gt;0),IF(Inputs!$B$43&lt;=0,0,(INT(Inputs!$B$43/(IF(Inputs!$B$38="pvp",15,MAX(0.1,Skills!E17-IF(TRUE=TRUE,Inputs!$B$32,0)))*(1-IF(AND(ArtifactsInput!$M$27,Inputs!$B$4="Chapter Hunt"),CHOOSE(ArtifactsInput!$N$27+1,20,24,28,32,36,40),0)/100)))+1)),0)</f>
        <v>2</v>
      </c>
      <c r="S1803">
        <v>0</v>
      </c>
      <c r="U1803">
        <v>0</v>
      </c>
    </row>
    <row r="1804" spans="1:21" x14ac:dyDescent="0.2">
      <c r="A1804" t="str">
        <f>Skills!A18</f>
        <v>NIMBLE_FEET</v>
      </c>
      <c r="B1804" t="str">
        <f>Skills!B18</f>
        <v>Nimble Feet</v>
      </c>
      <c r="C1804" t="b">
        <f>TRUE</f>
        <v>1</v>
      </c>
      <c r="D1804">
        <f>IF(Skills!C18=1,60+Inputs!$B$25+Inputs!$B$29,IF(Skills!C18=2,90+Inputs!$B$26+Inputs!$B$29,IF(Skills!C18=3,120+Inputs!$B$27+Inputs!$B$29,MAX(0,(Inputs!$B$3-100)*3)+Inputs!$B$28+Inputs!$B$29)))</f>
        <v>127</v>
      </c>
      <c r="E1804">
        <f>INDEX(FactorTable!$B$2:$Y$301, MATCH(ROUND(MIN(300,MAX(1,D1804)),0), FactorTable!$A$2:$A$301,0), Skills!M18+1)</f>
        <v>0</v>
      </c>
      <c r="F1804">
        <f>IF(Skills!N18=TRUE,(Skills!L18/10)*(E1804/1000),Skills!L18/10)+Skills!O18</f>
        <v>15</v>
      </c>
      <c r="G1804">
        <f>Calc!G18</f>
        <v>1</v>
      </c>
      <c r="H1804">
        <f>Calc!H18</f>
        <v>1</v>
      </c>
      <c r="I1804">
        <f>IF(Skills!X18&lt;&gt;"",1+(Skills!X18/10)*(Z1789/1000)/100,1)</f>
        <v>1</v>
      </c>
      <c r="O1804">
        <f>(1-Summary!$B$11)*S1804+Summary!$B$11*U1804</f>
        <v>0</v>
      </c>
      <c r="P1804">
        <f>IF(B1827=0,0,O1804/B1827)</f>
        <v>0</v>
      </c>
      <c r="Q1804">
        <f>IFERROR(1/(IF(Inputs!$B$38="pvp",15,MAX(0.1,Skills!E18-IF(TRUE=TRUE,Inputs!$B$32,0)))*(1-IF(AND(ArtifactsInput!$M$27,Inputs!$B$4="Chapter Hunt"),CHOOSE(ArtifactsInput!$N$27+1,20,24,28,32,36,40),0)/100)),0)</f>
        <v>1.6666666666666666E-2</v>
      </c>
      <c r="R1804">
        <f>IF(AND(Inputs!$B$38&lt;&gt;"pvp",Inputs!$B$43&gt;0),IF(Inputs!$B$43&lt;=0,0,(INT(Inputs!$B$43/(IF(Inputs!$B$38="pvp",15,MAX(0.1,Skills!E18-IF(TRUE=TRUE,Inputs!$B$32,0)))*(1-IF(AND(ArtifactsInput!$M$27,Inputs!$B$4="Chapter Hunt"),CHOOSE(ArtifactsInput!$N$27+1,20,24,28,32,36,40),0)/100)))+1)),0)</f>
        <v>1</v>
      </c>
      <c r="S1804">
        <v>0</v>
      </c>
      <c r="U1804">
        <v>0</v>
      </c>
    </row>
    <row r="1805" spans="1:21" x14ac:dyDescent="0.2">
      <c r="A1805" t="str">
        <f>Skills!A19</f>
        <v>INFINITY</v>
      </c>
      <c r="B1805" t="str">
        <f>Skills!B19</f>
        <v>Infinity</v>
      </c>
      <c r="C1805" t="b">
        <f>Inputs!$B$3&gt;=110</f>
        <v>1</v>
      </c>
      <c r="D1805">
        <f>IF(Skills!C19=1,60+Inputs!$B$25+Inputs!$B$29,IF(Skills!C19=2,90+Inputs!$B$26+Inputs!$B$29,IF(Skills!C19=3,120+Inputs!$B$27+Inputs!$B$29,MAX(0,(Inputs!$B$3-100)*3)+Inputs!$B$28+Inputs!$B$29)))</f>
        <v>185</v>
      </c>
      <c r="E1805">
        <f>INDEX(FactorTable!$B$2:$Y$301, MATCH(ROUND(MIN(300,MAX(1,D1805)),0), FactorTable!$A$2:$A$301,0), Skills!M19+1)</f>
        <v>1740</v>
      </c>
      <c r="F1805">
        <f>IF(Skills!N19=TRUE,(Skills!L19/10)*(E1805/1000),Skills!L19/10)+Skills!O19</f>
        <v>37.700579999999995</v>
      </c>
      <c r="G1805">
        <f>Calc!G19</f>
        <v>1</v>
      </c>
      <c r="H1805">
        <f>Calc!H19</f>
        <v>1</v>
      </c>
      <c r="I1805">
        <f>IF(Skills!X19&lt;&gt;"",1+(Skills!X19/10)*(Z1789/1000)/100,1)</f>
        <v>1</v>
      </c>
      <c r="O1805">
        <f>(1-Summary!$B$11)*S1805+Summary!$B$11*U1805</f>
        <v>0</v>
      </c>
      <c r="P1805">
        <f>IF(B1827=0,0,O1805/B1827)</f>
        <v>0</v>
      </c>
      <c r="Q1805">
        <f>IFERROR(1/(IF(Inputs!$B$38="pvp",15,MAX(0.1,Skills!E19-IF(TRUE=TRUE,Inputs!$B$32,0)))*(1-IF(AND(ArtifactsInput!$M$27,Inputs!$B$4="Chapter Hunt"),CHOOSE(ArtifactsInput!$N$27+1,20,24,28,32,36,40),0)/100)),0)</f>
        <v>3.3333333333333333E-2</v>
      </c>
      <c r="R1805">
        <f>IF(AND(Inputs!$B$38&lt;&gt;"pvp",Inputs!$B$43&gt;0),IF(Inputs!$B$43&lt;=0,0,(INT(Inputs!$B$43/(IF(Inputs!$B$38="pvp",15,MAX(0.1,Skills!E19-IF(TRUE=TRUE,Inputs!$B$32,0)))*(1-IF(AND(ArtifactsInput!$M$27,Inputs!$B$4="Chapter Hunt"),CHOOSE(ArtifactsInput!$N$27+1,20,24,28,32,36,40),0)/100)))+1)),0)</f>
        <v>2</v>
      </c>
      <c r="S1805">
        <v>0</v>
      </c>
      <c r="U1805">
        <v>0</v>
      </c>
    </row>
    <row r="1806" spans="1:21" x14ac:dyDescent="0.2">
      <c r="A1806" t="str">
        <f>Skills!A20</f>
        <v>MAGIC_CRITICAL_RATE</v>
      </c>
      <c r="B1806" t="str">
        <f>Skills!B20</f>
        <v>Magic Critical (Crit Rate)</v>
      </c>
      <c r="C1806" t="b">
        <f>TRUE</f>
        <v>1</v>
      </c>
      <c r="D1806">
        <f>IF(Skills!C20=1,60+Inputs!$B$25+Inputs!$B$29,IF(Skills!C20=2,90+Inputs!$B$26+Inputs!$B$29,IF(Skills!C20=3,120+Inputs!$B$27+Inputs!$B$29,MAX(0,(Inputs!$B$3-100)*3)+Inputs!$B$28+Inputs!$B$29)))</f>
        <v>184</v>
      </c>
      <c r="E1806">
        <f>INDEX(FactorTable!$B$2:$Y$301, MATCH(ROUND(MIN(300,MAX(1,D1806)),0), FactorTable!$A$2:$A$301,0), Skills!M20+1)</f>
        <v>1552</v>
      </c>
      <c r="F1806">
        <f>IF(Skills!N20=TRUE,(Skills!L20/10)*(E1806/1000),Skills!L20/10)+Skills!O20</f>
        <v>12.416</v>
      </c>
      <c r="G1806">
        <f>Calc!G20</f>
        <v>1</v>
      </c>
      <c r="H1806">
        <f>Calc!H20</f>
        <v>1</v>
      </c>
      <c r="I1806">
        <f>IF(Skills!X20&lt;&gt;"",1+(Skills!X20/10)*(Z1789/1000)/100,1)</f>
        <v>1</v>
      </c>
      <c r="O1806">
        <f>(1-Summary!$B$11)*S1806+Summary!$B$11*U1806</f>
        <v>0</v>
      </c>
      <c r="P1806">
        <f>IF(B1827=0,0,O1806/B1827)</f>
        <v>0</v>
      </c>
      <c r="Q1806">
        <f>IFERROR(1/(IF(Inputs!$B$38="pvp",15,MAX(0.1,Skills!E20-IF(TRUE=TRUE,Inputs!$B$32,0)))*(1-IF(AND(ArtifactsInput!$M$27,Inputs!$B$4="Chapter Hunt"),CHOOSE(ArtifactsInput!$N$27+1,20,24,28,32,36,40),0)/100)),0)</f>
        <v>10</v>
      </c>
      <c r="R1806">
        <v>0</v>
      </c>
      <c r="S1806">
        <v>0</v>
      </c>
      <c r="U1806">
        <v>0</v>
      </c>
    </row>
    <row r="1807" spans="1:21" x14ac:dyDescent="0.2">
      <c r="A1807" t="str">
        <f>Skills!A21</f>
        <v>MAGIC_CRITICAL_DAMAGE</v>
      </c>
      <c r="B1807" t="str">
        <f>Skills!B21</f>
        <v>Magic Critical (Crit Damage)</v>
      </c>
      <c r="C1807" t="b">
        <f>TRUE</f>
        <v>1</v>
      </c>
      <c r="D1807">
        <f>IF(Skills!C21=1,60+Inputs!$B$25+Inputs!$B$29,IF(Skills!C21=2,90+Inputs!$B$26+Inputs!$B$29,IF(Skills!C21=3,120+Inputs!$B$27+Inputs!$B$29,MAX(0,(Inputs!$B$3-100)*3)+Inputs!$B$28+Inputs!$B$29)))</f>
        <v>184</v>
      </c>
      <c r="E1807">
        <f>INDEX(FactorTable!$B$2:$Y$301, MATCH(ROUND(MIN(300,MAX(1,D1807)),0), FactorTable!$A$2:$A$301,0), Skills!M21+1)</f>
        <v>1552</v>
      </c>
      <c r="F1807">
        <f>IF(Skills!N21=TRUE,(Skills!L21/10)*(E1807/1000),Skills!L21/10)+Skills!O21</f>
        <v>18.624000000000002</v>
      </c>
      <c r="G1807">
        <f>Calc!G21</f>
        <v>1</v>
      </c>
      <c r="H1807">
        <f>Calc!H21</f>
        <v>1</v>
      </c>
      <c r="I1807">
        <f>IF(Skills!X21&lt;&gt;"",1+(Skills!X21/10)*(Z1789/1000)/100,1)</f>
        <v>1</v>
      </c>
      <c r="O1807">
        <f>(1-Summary!$B$11)*S1807+Summary!$B$11*U1807</f>
        <v>0</v>
      </c>
      <c r="P1807">
        <f>IF(B1827=0,0,O1807/B1827)</f>
        <v>0</v>
      </c>
      <c r="Q1807">
        <f>IFERROR(1/(IF(Inputs!$B$38="pvp",15,MAX(0.1,Skills!E21-IF(TRUE=TRUE,Inputs!$B$32,0)))*(1-IF(AND(ArtifactsInput!$M$27,Inputs!$B$4="Chapter Hunt"),CHOOSE(ArtifactsInput!$N$27+1,20,24,28,32,36,40),0)/100)),0)</f>
        <v>10</v>
      </c>
      <c r="R1807">
        <v>0</v>
      </c>
      <c r="S1807">
        <v>0</v>
      </c>
      <c r="U1807">
        <v>0</v>
      </c>
    </row>
    <row r="1808" spans="1:21" x14ac:dyDescent="0.2">
      <c r="A1808" t="str">
        <f>Skills!A22</f>
        <v>SPELL_MASTERY</v>
      </c>
      <c r="B1808" t="str">
        <f>Skills!B22</f>
        <v>Spell Mastery</v>
      </c>
      <c r="C1808" t="b">
        <f>TRUE</f>
        <v>1</v>
      </c>
      <c r="D1808">
        <f>IF(Skills!C22=1,60+Inputs!$B$25+Inputs!$B$29,IF(Skills!C22=2,90+Inputs!$B$26+Inputs!$B$29,IF(Skills!C22=3,120+Inputs!$B$27+Inputs!$B$29,MAX(0,(Inputs!$B$3-100)*3)+Inputs!$B$28+Inputs!$B$29)))</f>
        <v>168</v>
      </c>
      <c r="E1808">
        <f>INDEX(FactorTable!$B$2:$Y$301, MATCH(ROUND(MIN(300,MAX(1,D1808)),0), FactorTable!$A$2:$A$301,0), Skills!M22+1)</f>
        <v>1504</v>
      </c>
      <c r="F1808">
        <f>IF(Skills!N22=TRUE,(Skills!L22/10)*(E1808/1000),Skills!L22/10)+Skills!O22</f>
        <v>22.56</v>
      </c>
      <c r="G1808">
        <f>Calc!G22</f>
        <v>1</v>
      </c>
      <c r="H1808">
        <f>Calc!H22</f>
        <v>1</v>
      </c>
      <c r="I1808">
        <f>IF(Skills!X22&lt;&gt;"",1+(Skills!X22/10)*(Z1789/1000)/100,1)</f>
        <v>1</v>
      </c>
      <c r="O1808">
        <f>(1-Summary!$B$11)*S1808+Summary!$B$11*U1808</f>
        <v>0</v>
      </c>
      <c r="P1808">
        <f>IF(B1827=0,0,O1808/B1827)</f>
        <v>0</v>
      </c>
      <c r="Q1808">
        <f>IFERROR(1/(IF(Inputs!$B$38="pvp",15,MAX(0.1,Skills!E22-IF(TRUE=TRUE,Inputs!$B$32,0)))*(1-IF(AND(ArtifactsInput!$M$27,Inputs!$B$4="Chapter Hunt"),CHOOSE(ArtifactsInput!$N$27+1,20,24,28,32,36,40),0)/100)),0)</f>
        <v>10</v>
      </c>
      <c r="R1808">
        <v>0</v>
      </c>
      <c r="S1808">
        <v>0</v>
      </c>
      <c r="U1808">
        <v>0</v>
      </c>
    </row>
    <row r="1809" spans="1:21" x14ac:dyDescent="0.2">
      <c r="A1809" t="str">
        <f>Skills!A23</f>
        <v>ELEMENT_AMPLIFICATION</v>
      </c>
      <c r="B1809" t="str">
        <f>Skills!B23</f>
        <v>Element Amplification</v>
      </c>
      <c r="C1809" t="b">
        <f>TRUE</f>
        <v>1</v>
      </c>
      <c r="D1809">
        <f>IF(Skills!C23=1,60+Inputs!$B$25+Inputs!$B$29,IF(Skills!C23=2,90+Inputs!$B$26+Inputs!$B$29,IF(Skills!C23=3,120+Inputs!$B$27+Inputs!$B$29,MAX(0,(Inputs!$B$3-100)*3)+Inputs!$B$28+Inputs!$B$29)))</f>
        <v>185</v>
      </c>
      <c r="E1809">
        <f>INDEX(FactorTable!$B$2:$Y$301, MATCH(ROUND(MIN(300,MAX(1,D1809)),0), FactorTable!$A$2:$A$301,0), Skills!M23+1)</f>
        <v>1555</v>
      </c>
      <c r="F1809">
        <f>IF(Skills!N23=TRUE,(Skills!L23/10)*(E1809/1000),Skills!L23/10)+Skills!O23</f>
        <v>23.324999999999999</v>
      </c>
      <c r="G1809">
        <f>Calc!G23</f>
        <v>1</v>
      </c>
      <c r="H1809">
        <f>Calc!H23</f>
        <v>1</v>
      </c>
      <c r="I1809">
        <f>IF(Skills!X23&lt;&gt;"",1+(Skills!X23/10)*(Z1789/1000)/100,1)</f>
        <v>1</v>
      </c>
      <c r="O1809">
        <f>(1-Summary!$B$11)*S1809+Summary!$B$11*U1809</f>
        <v>0</v>
      </c>
      <c r="P1809">
        <f>IF(B1827=0,0,O1809/B1827)</f>
        <v>0</v>
      </c>
      <c r="Q1809">
        <f>IFERROR(1/(IF(Inputs!$B$38="pvp",15,MAX(0.1,Skills!E23-IF(TRUE=TRUE,Inputs!$B$32,0)))*(1-IF(AND(ArtifactsInput!$M$27,Inputs!$B$4="Chapter Hunt"),CHOOSE(ArtifactsInput!$N$27+1,20,24,28,32,36,40),0)/100)),0)</f>
        <v>10</v>
      </c>
      <c r="R1809">
        <v>0</v>
      </c>
      <c r="S1809">
        <v>0</v>
      </c>
      <c r="U1809">
        <v>0</v>
      </c>
    </row>
    <row r="1810" spans="1:21" x14ac:dyDescent="0.2">
      <c r="A1810" t="str">
        <f>Skills!A24</f>
        <v>IFRIT</v>
      </c>
      <c r="B1810" t="str">
        <f>Skills!B24</f>
        <v>Ifrit</v>
      </c>
      <c r="C1810" t="b">
        <f>Inputs!$B$3&gt;=115</f>
        <v>1</v>
      </c>
      <c r="D1810">
        <f>IF(Skills!C24=1,60+Inputs!$B$25+Inputs!$B$29,IF(Skills!C24=2,90+Inputs!$B$26+Inputs!$B$29,IF(Skills!C24=3,120+Inputs!$B$27+Inputs!$B$29,MAX(0,(Inputs!$B$3-100)*3)+Inputs!$B$28+Inputs!$B$29)))</f>
        <v>185</v>
      </c>
      <c r="E1810">
        <f>INDEX(FactorTable!$B$2:$Y$301, MATCH(ROUND(MIN(300,MAX(1,D1810)),0), FactorTable!$A$2:$A$301,0), Skills!M24+1)</f>
        <v>1925</v>
      </c>
      <c r="F1810">
        <f>IF(Skills!N24=TRUE,(Skills!L24/10)*(E1810/1000),Skills!L24/10)+Skills!O24</f>
        <v>6737.5</v>
      </c>
      <c r="G1810">
        <f>Calc!G24</f>
        <v>7.5</v>
      </c>
      <c r="H1810">
        <f>Calc!H24</f>
        <v>1</v>
      </c>
      <c r="I1810">
        <f>IF(Skills!X24&lt;&gt;"",1+(Skills!X24/10)*(Z1789/1000)/100,1)</f>
        <v>1</v>
      </c>
      <c r="J1810">
        <f>((Inputs!$B$6*(1+Inputs!$B$7/100))+(((Inputs!$B$12*(1+Inputs!$B$13/100))-(Inputs!$B$12*(1+Inputs!$B$13/100)))+0.25*(Inputs!$B$14-Inputs!$B$14))*(1+Inputs!$B$7/100))*(F1810/100)</f>
        <v>24331438378.718628</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122258974288595.61</v>
      </c>
      <c r="L1810">
        <f>K1810*(MIN(Inputs!$B$22+(F1808-Calc!F22),(Inputs!$B$23+(IF(ArtifactsInput!$M$15,CHOOSE(ArtifactsInput!$N$15+1,25,30,35,40,45,50)/100*(Inputs!$B$11-Inputs!$B$11),0))))/100+(Inputs!$B$23+(IF(ArtifactsInput!$M$15,CHOOSE(ArtifactsInput!$N$15+1,25,30,35,40,45,50)/100*(Inputs!$B$11-Inputs!$B$11),0)))/100)/2</f>
        <v>406511089509580.44</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810">
        <f>L1810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810">
        <f>(1-Summary!$B$11)*S1810+Summary!$B$11*U1810</f>
        <v>2194085169658842.8</v>
      </c>
      <c r="P1810">
        <f>IF(B1827=0,0,O1810/B1827)</f>
        <v>6.6312914553869617E-2</v>
      </c>
      <c r="Q1810">
        <f>IFERROR(1/(IF(Inputs!$B$38="pvp",15,MAX(0.1,Skills!E24-IF(TRUE=TRUE,Inputs!$B$32,0)))*(1-IF(AND(ArtifactsInput!$M$27,Inputs!$B$4="Chapter Hunt"),CHOOSE(ArtifactsInput!$N$27+1,20,24,28,32,36,40),0)/100)),0)</f>
        <v>1.2500000000000001E-2</v>
      </c>
      <c r="R1810">
        <f>IF(AND(Inputs!$B$38&lt;&gt;"pvp",Inputs!$B$43&gt;0),IF(MAX(0,Inputs!$B$43-B1824)&lt;=0,0,(INT(MAX(0,Inputs!$B$43-B1824)/(IF(Inputs!$B$38="pvp",15,MAX(0.1,Skills!E24-IF(TRUE=TRUE,Inputs!$B$32,0)))*(1-IF(AND(ArtifactsInput!$M$27,Inputs!$B$4="Chapter Hunt"),CHOOSE(ArtifactsInput!$N$27+1,20,24,28,32,36,40),0)/100)))+1)),0)</f>
        <v>1</v>
      </c>
      <c r="S1810">
        <f>IF(C1810,(H1810*N1810*IF(AND(Inputs!$B$38&lt;&gt;"pvp",Inputs!$B$43&gt;0),((Skills!G24*((R1810-1)*IF(Skills!H24&gt;0,Skills!I24/Skills!H24,1)+IF(Skills!H24&gt;0,MIN(Skills!I24,MAX(0,MAX(0,Inputs!$B$43-B1824)-((R1810-1)*(IF(Inputs!$B$38="pvp",15,MAX(0.1,Skills!E24-IF(TRUE=TRUE,Inputs!$B$32,0)))*(1-IF(AND(ArtifactsInput!$M$27,Inputs!$B$4="Chapter Hunt"),CHOOSE(ArtifactsInput!$N$27+1,20,24,28,32,36,40),0)/100)))))/Skills!H24,1)))/Inputs!$B$43),G1810*Q1810)*(1+IF(Inputs!$B$3&gt;=130,0.2*(Skills!I16/(1/Q1801)+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810">
        <f>IF(C1810,(H1810*N1810*IF(AND(Inputs!$B$38&lt;&gt;"pvp",Inputs!$B$43&gt;0),((Skills!G24*((R1810-1)*IF(Skills!H24&gt;0,Skills!I24/Skills!H24,1)+IF(Skills!H24&gt;0,MIN(Skills!I24,MAX(0,MAX(0,Inputs!$B$43-B1824)-((R1810-1)*(IF(Inputs!$B$38="pvp",15,MAX(0.1,Skills!E24-IF(TRUE=TRUE,Inputs!$B$32,0)))*(1-IF(AND(ArtifactsInput!$M$27,Inputs!$B$4="Chapter Hunt"),CHOOSE(ArtifactsInput!$N$27+1,20,24,28,32,36,40),0)/100)))))/Skills!H24,1)))/Inputs!$B$43),G1810*Q1810)*(1+IF(Inputs!$B$3&gt;=130,0.2*(Skills!I16/(1/Q1801)+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811" spans="1:21" x14ac:dyDescent="0.2">
      <c r="A1811" t="str">
        <f>Skills!A25</f>
        <v>BUFF_MASTERY</v>
      </c>
      <c r="B1811" t="str">
        <f>Skills!B25</f>
        <v>Buff Mastery</v>
      </c>
      <c r="C1811" t="b">
        <f>Inputs!$B$3&gt;=117</f>
        <v>1</v>
      </c>
      <c r="D1811">
        <f>IF(Skills!C25=1,60+Inputs!$B$25+Inputs!$B$29,IF(Skills!C25=2,90+Inputs!$B$26+Inputs!$B$29,IF(Skills!C25=3,120+Inputs!$B$27+Inputs!$B$29,MAX(0,(Inputs!$B$3-100)*3)+Inputs!$B$28+Inputs!$B$29)))</f>
        <v>185</v>
      </c>
      <c r="E1811">
        <f>INDEX(FactorTable!$B$2:$Y$301, MATCH(ROUND(MIN(300,MAX(1,D1811)),0), FactorTable!$A$2:$A$301,0), Skills!M25+1)</f>
        <v>1555</v>
      </c>
      <c r="F1811">
        <f>IF(Skills!N25=TRUE,(Skills!L25/10)*(E1811/1000),Skills!L25/10)+Skills!O25</f>
        <v>15.549999999999999</v>
      </c>
      <c r="G1811">
        <f>Calc!G25</f>
        <v>1</v>
      </c>
      <c r="H1811">
        <f>Calc!H25</f>
        <v>1</v>
      </c>
      <c r="I1811">
        <f>IF(Skills!X25&lt;&gt;"",1+(Skills!X25/10)*(Z1789/1000)/100,1)</f>
        <v>1</v>
      </c>
      <c r="O1811">
        <f>(1-Summary!$B$11)*S1811+Summary!$B$11*U1811</f>
        <v>0</v>
      </c>
      <c r="P1811">
        <f>IF(B1827=0,0,O1811/B1827)</f>
        <v>0</v>
      </c>
      <c r="Q1811">
        <f>IFERROR(1/(IF(Inputs!$B$38="pvp",15,MAX(0.1,Skills!E25-IF(TRUE=TRUE,Inputs!$B$32,0)))*(1-IF(AND(ArtifactsInput!$M$27,Inputs!$B$4="Chapter Hunt"),CHOOSE(ArtifactsInput!$N$27+1,20,24,28,32,36,40),0)/100)),0)</f>
        <v>10</v>
      </c>
      <c r="R1811">
        <v>0</v>
      </c>
      <c r="S1811">
        <v>0</v>
      </c>
      <c r="U1811">
        <v>0</v>
      </c>
    </row>
    <row r="1812" spans="1:21" x14ac:dyDescent="0.2">
      <c r="A1812" t="str">
        <f>Skills!A26</f>
        <v>ARCANE_AIM</v>
      </c>
      <c r="B1812" t="str">
        <f>Skills!B26</f>
        <v>Arcane Aim</v>
      </c>
      <c r="C1812" t="b">
        <f>Inputs!$B$3&gt;=120</f>
        <v>0</v>
      </c>
      <c r="D1812">
        <f>IF(Skills!C26=1,60+Inputs!$B$25+Inputs!$B$29,IF(Skills!C26=2,90+Inputs!$B$26+Inputs!$B$29,IF(Skills!C26=3,120+Inputs!$B$27+Inputs!$B$29,MAX(0,(Inputs!$B$3-100)*3)+Inputs!$B$28+Inputs!$B$29)))</f>
        <v>185</v>
      </c>
      <c r="E1812">
        <f>INDEX(FactorTable!$B$2:$Y$301, MATCH(ROUND(MIN(300,MAX(1,D1812)),0), FactorTable!$A$2:$A$301,0), Skills!M26+1)</f>
        <v>1555</v>
      </c>
      <c r="F1812">
        <f>IF(Skills!N26=TRUE,(Skills!L26/10)*(E1812/1000),Skills!L26/10)+Skills!O26</f>
        <v>4.665</v>
      </c>
      <c r="G1812">
        <f>Calc!G26</f>
        <v>1</v>
      </c>
      <c r="H1812">
        <f>Calc!H26</f>
        <v>1</v>
      </c>
      <c r="I1812">
        <f>IF(Skills!X26&lt;&gt;"",1+(Skills!X26/10)*(Z1789/1000)/100,1)</f>
        <v>1</v>
      </c>
      <c r="O1812">
        <f>(1-Summary!$B$11)*S1812+Summary!$B$11*U1812</f>
        <v>0</v>
      </c>
      <c r="P1812">
        <f>IF(B1827=0,0,O1812/B1827)</f>
        <v>0</v>
      </c>
      <c r="Q1812">
        <f>IFERROR(1/(IF(Inputs!$B$38="pvp",15,MAX(0.1,Skills!E26-IF(TRUE=TRUE,Inputs!$B$32,0)))*(1-IF(AND(ArtifactsInput!$M$27,Inputs!$B$4="Chapter Hunt"),CHOOSE(ArtifactsInput!$N$27+1,20,24,28,32,36,40),0)/100)),0)</f>
        <v>10</v>
      </c>
      <c r="R1812">
        <v>0</v>
      </c>
      <c r="S1812">
        <v>0</v>
      </c>
      <c r="U1812">
        <v>0</v>
      </c>
    </row>
    <row r="1813" spans="1:21" x14ac:dyDescent="0.2">
      <c r="A1813" t="str">
        <f>Skills!A27</f>
        <v>FERVENT_DRAIN</v>
      </c>
      <c r="B1813" t="str">
        <f>Skills!B27</f>
        <v>Fervent Drain</v>
      </c>
      <c r="C1813" t="b">
        <f>Inputs!$B$3&gt;=125</f>
        <v>0</v>
      </c>
      <c r="D1813">
        <f>IF(Skills!C27=1,60+Inputs!$B$25+Inputs!$B$29,IF(Skills!C27=2,90+Inputs!$B$26+Inputs!$B$29,IF(Skills!C27=3,120+Inputs!$B$27+Inputs!$B$29,MAX(0,(Inputs!$B$3-100)*3)+Inputs!$B$28+Inputs!$B$29)))</f>
        <v>185</v>
      </c>
      <c r="E1813">
        <f>INDEX(FactorTable!$B$2:$Y$301, MATCH(ROUND(MIN(300,MAX(1,D1813)),0), FactorTable!$A$2:$A$301,0), Skills!M27+1)</f>
        <v>1555</v>
      </c>
      <c r="F1813">
        <f>IF(Skills!N27=TRUE,(Skills!L27/10)*(E1813/1000),Skills!L27/10)+Skills!O27</f>
        <v>6.22</v>
      </c>
      <c r="G1813">
        <f>Calc!G27</f>
        <v>1</v>
      </c>
      <c r="H1813">
        <f>Calc!H27</f>
        <v>1</v>
      </c>
      <c r="I1813">
        <f>IF(Skills!X27&lt;&gt;"",1+(Skills!X27/10)*(Z1789/1000)/100,1)</f>
        <v>1</v>
      </c>
      <c r="O1813">
        <f>(1-Summary!$B$11)*S1813+Summary!$B$11*U1813</f>
        <v>0</v>
      </c>
      <c r="P1813">
        <f>IF(B1827=0,0,O1813/B1827)</f>
        <v>0</v>
      </c>
      <c r="Q1813">
        <f>IFERROR(1/(IF(Inputs!$B$38="pvp",15,MAX(0.1,Skills!E27-IF(TRUE=TRUE,Inputs!$B$32,0)))*(1-IF(AND(ArtifactsInput!$M$27,Inputs!$B$4="Chapter Hunt"),CHOOSE(ArtifactsInput!$N$27+1,20,24,28,32,36,40),0)/100)),0)</f>
        <v>10</v>
      </c>
      <c r="R1813">
        <v>0</v>
      </c>
      <c r="S1813">
        <v>0</v>
      </c>
      <c r="U1813">
        <v>0</v>
      </c>
    </row>
    <row r="1814" spans="1:21" x14ac:dyDescent="0.2">
      <c r="A1814" t="str">
        <f>Skills!A28</f>
        <v>FLAME_HAZE_FOG</v>
      </c>
      <c r="B1814" t="str">
        <f>Skills!B28</f>
        <v>Flame Haze (poison fog DoT)</v>
      </c>
      <c r="C1814" t="b">
        <f>Inputs!$B$3&gt;=118</f>
        <v>0</v>
      </c>
      <c r="D1814">
        <f>IF(Skills!C28=1,60+Inputs!$B$25+Inputs!$B$29,IF(Skills!C28=2,90+Inputs!$B$26+Inputs!$B$29,IF(Skills!C28=3,120+Inputs!$B$27+Inputs!$B$29,MAX(0,(Inputs!$B$3-100)*3)+Inputs!$B$28+Inputs!$B$29)))</f>
        <v>185</v>
      </c>
      <c r="E1814">
        <f>INDEX(FactorTable!$B$2:$Y$301, MATCH(ROUND(MIN(300,MAX(1,D1814)),0), FactorTable!$A$2:$A$301,0), Skills!M28+1)</f>
        <v>1925</v>
      </c>
      <c r="F1814">
        <f>IF(Skills!N28=TRUE,(Skills!L28/10)*(E1814/1000),Skills!L28/10)+Skills!O28</f>
        <v>134.75</v>
      </c>
      <c r="G1814">
        <f>Calc!G28</f>
        <v>50</v>
      </c>
      <c r="H1814">
        <f>Calc!H28</f>
        <v>1</v>
      </c>
      <c r="I1814">
        <f>IF(Skills!X28&lt;&gt;"",1+(Skills!X28/10)*(Z1789/1000)/100,1)</f>
        <v>1</v>
      </c>
      <c r="J1814">
        <f>((Inputs!$B$6*(1+Inputs!$B$7/100))+(((Inputs!$B$12*(1+Inputs!$B$13/100))-(Inputs!$B$12*(1+Inputs!$B$13/100)))+0.25*(Inputs!$B$14-Inputs!$B$14))*(1+Inputs!$B$7/100))*(F1814/100)</f>
        <v>486628767.57437253</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2445179485771.9116</v>
      </c>
      <c r="L1814">
        <f>K1814*(MIN(Inputs!$B$22+(F1808-Calc!F22),(Inputs!$B$23+(IF(ArtifactsInput!$M$15,CHOOSE(ArtifactsInput!$N$15+1,25,30,35,40,45,50)/100*(Inputs!$B$11-Inputs!$B$11),0))))/100+(Inputs!$B$23+(IF(ArtifactsInput!$M$15,CHOOSE(ArtifactsInput!$N$15+1,25,30,35,40,45,50)/100*(Inputs!$B$11-Inputs!$B$11),0)))/100)/2</f>
        <v>8130221790191.6064</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814">
        <f>L1814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814">
        <f>(1-Summary!$B$11)*S1814+Summary!$B$11*U1814</f>
        <v>0</v>
      </c>
      <c r="P1814">
        <f>IF(B1827=0,0,O1814/B1827)</f>
        <v>0</v>
      </c>
      <c r="Q1814">
        <f>IFERROR(1/(IF(Inputs!$B$38="pvp",15,MAX(0.1,Skills!E28-IF(TRUE=TRUE,Inputs!$B$32,0)))*(1-IF(AND(ArtifactsInput!$M$27,Inputs!$B$4="Chapter Hunt"),CHOOSE(ArtifactsInput!$N$27+1,20,24,28,32,36,40),0)/100)),0)</f>
        <v>0.04</v>
      </c>
      <c r="R1814">
        <f>IF(AND(Inputs!$B$38&lt;&gt;"pvp",Inputs!$B$43&gt;0),IF(MAX(0,Inputs!$B$43-B1824)&lt;=0,0,(INT(MAX(0,Inputs!$B$43-B1824)/(IF(Inputs!$B$38="pvp",15,MAX(0.1,Skills!E28-IF(TRUE=TRUE,Inputs!$B$32,0)))*(1-IF(AND(ArtifactsInput!$M$27,Inputs!$B$4="Chapter Hunt"),CHOOSE(ArtifactsInput!$N$27+1,20,24,28,32,36,40),0)/100)))+1)),0)</f>
        <v>2</v>
      </c>
      <c r="S1814">
        <f>IF(C1814,(H1814*N1814*IF(AND(Inputs!$B$38&lt;&gt;"pvp",Inputs!$B$43&gt;0),((Skills!G28*((R1814-1)*IF(Skills!H28&gt;0,Skills!I28/Skills!H28,1)+IF(Skills!H28&gt;0,MIN(Skills!I28,MAX(0,MAX(0,Inputs!$B$43-B1824)-((R1814-1)*(IF(Inputs!$B$38="pvp",15,MAX(0.1,Skills!E28-IF(TRUE=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14">
        <f>IF(C1814,(H1814*N1814*IF(AND(Inputs!$B$38&lt;&gt;"pvp",Inputs!$B$43&gt;0),((Skills!G28*((R1814-1)*IF(Skills!H28&gt;0,Skills!I28/Skills!H28,1)+IF(Skills!H28&gt;0,MIN(Skills!I28,MAX(0,MAX(0,Inputs!$B$43-B1824)-((R1814-1)*(IF(Inputs!$B$38="pvp",15,MAX(0.1,Skills!E28-IF(TRUE=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16" spans="1:21" x14ac:dyDescent="0.2">
      <c r="A1816" t="s">
        <v>356</v>
      </c>
      <c r="B1816">
        <f>1+(F1797*Skills!Z11)/100</f>
        <v>1.25</v>
      </c>
    </row>
    <row r="1817" spans="1:21" x14ac:dyDescent="0.2">
      <c r="A1817" t="s">
        <v>435</v>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1.18624</v>
      </c>
    </row>
    <row r="1818" spans="1:21" x14ac:dyDescent="0.2">
      <c r="A1818" t="s">
        <v>358</v>
      </c>
      <c r="B1818">
        <f>(1+(F1792*IF(AND(Inputs!$B$38&lt;&gt;"pvp",Inputs!$B$43&gt;0),(((R1792-1)*MIN((Skills!T6*(1+((Inputs!$B$34+(ArtifactsInput!$M$7-ArtifactsInput!$M$7)*CHOOSE(ArtifactsInput!$N$7+1,6,7.2,8.4,9.6,10.8,12)))/100)),(1/Q1792))+MIN((Skills!T6*(1+((Inputs!$B$34+(ArtifactsInput!$M$7-ArtifactsInput!$M$7)*CHOOSE(ArtifactsInput!$N$7+1,6,7.2,8.4,9.6,10.8,12)))/100)),MAX(0,Inputs!$B$43-((R1792-1)*(1/Q1792)))))/Inputs!$B$43),IF(Inputs!$B$38="pvp",MIN((Skills!T6*(1+((Inputs!$B$34+(ArtifactsInput!$M$7-ArtifactsInput!$M$7)*CHOOSE(ArtifactsInput!$N$7+1,6,7.2,8.4,9.6,10.8,12)))/100)),15)/15,MIN(1,(Skills!T6*(1+((Inputs!$B$34+(ArtifactsInput!$M$7-ArtifactsInput!$M$7)*CHOOSE(ArtifactsInput!$N$7+1,6,7.2,8.4,9.6,10.8,12)))/100))/(1/Q1792))))+F1803*IF(AND(Inputs!$B$38&lt;&gt;"pvp",Inputs!$B$43&gt;0),(((R1803-1)*MIN((Skills!T17*(1+((Inputs!$B$34+(ArtifactsInput!$M$7-ArtifactsInput!$M$7)*CHOOSE(ArtifactsInput!$N$7+1,6,7.2,8.4,9.6,10.8,12)))/100)),(1/Q1803))+MIN((Skills!T17*(1+((Inputs!$B$34+(ArtifactsInput!$M$7-ArtifactsInput!$M$7)*CHOOSE(ArtifactsInput!$N$7+1,6,7.2,8.4,9.6,10.8,12)))/100)),MAX(0,Inputs!$B$43-((R1803-1)*(1/Q1803)))))/Inputs!$B$43),IF(Inputs!$B$38="pvp",MIN((Skills!T17*(1+((Inputs!$B$34+(ArtifactsInput!$M$7-ArtifactsInput!$M$7)*CHOOSE(ArtifactsInput!$N$7+1,6,7.2,8.4,9.6,10.8,12)))/100)),15)/15,MIN(1,(Skills!T17*(1+((Inputs!$B$34+(ArtifactsInput!$M$7-ArtifactsInput!$M$7)*CHOOSE(ArtifactsInput!$N$7+1,6,7.2,8.4,9.6,10.8,12)))/100))/(1/Q1803))))+(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MIN((Skills!T19*(1+((Inputs!$B$34+(ArtifactsInput!$M$7-ArtifactsInput!$M$7)*CHOOSE(ArtifactsInput!$N$7+1,6,7.2,8.4,9.6,10.8,12)))/100)),(1/Q1805))+MIN((Skills!T19*(1+((Inputs!$B$34+(ArtifactsInput!$M$7-ArtifactsInput!$M$7)*CHOOSE(ArtifactsInput!$N$7+1,6,7.2,8.4,9.6,10.8,12)))/100)),MAX(0,Inputs!$B$43-((R1805-1)*(1/Q1805)))))/Inputs!$B$43),IF(Inputs!$B$38="pvp",MIN((Skills!T19*(1+((Inputs!$B$34+(ArtifactsInput!$M$7-ArtifactsInput!$M$7)*CHOOSE(ArtifactsInput!$N$7+1,6,7.2,8.4,9.6,10.8,12)))/100)),15)/15,MIN(1,(Skills!T19*(1+((Inputs!$B$34+(ArtifactsInput!$M$7-ArtifactsInput!$M$7)*CHOOSE(ArtifactsInput!$N$7+1,6,7.2,8.4,9.6,10.8,12)))/100))/(1/Q1805))))/100),1)</f>
        <v>1.7965808377980694</v>
      </c>
    </row>
    <row r="1819" spans="1:21" x14ac:dyDescent="0.2">
      <c r="A1819" t="s">
        <v>359</v>
      </c>
      <c r="B1819">
        <f>F1804*IF(AND(Inputs!$B$38&lt;&gt;"pvp",Inputs!$B$43&gt;0),(((R1804-1)*MIN((Skills!T18*(1+((Inputs!$B$34+(ArtifactsInput!$M$7-ArtifactsInput!$M$7)*CHOOSE(ArtifactsInput!$N$7+1,6,7.2,8.4,9.6,10.8,12)))/100)),(1/Q1804))+MIN((Skills!T18*(1+((Inputs!$B$34+(ArtifactsInput!$M$7-ArtifactsInput!$M$7)*CHOOSE(ArtifactsInput!$N$7+1,6,7.2,8.4,9.6,10.8,12)))/100)),MAX(0,Inputs!$B$43-((R1804-1)*(1/Q1804)))))/Inputs!$B$43),IF(Inputs!$B$38="pvp",MIN((Skills!T18*(1+((Inputs!$B$34+(ArtifactsInput!$M$7-ArtifactsInput!$M$7)*CHOOSE(ArtifactsInput!$N$7+1,6,7.2,8.4,9.6,10.8,12)))/100)),15)/15,MIN(1,(Skills!T18*(1+((Inputs!$B$34+(ArtifactsInput!$M$7-ArtifactsInput!$M$7)*CHOOSE(ArtifactsInput!$N$7+1,6,7.2,8.4,9.6,10.8,12)))/100))/(1/Q1804))))</f>
        <v>6.4968749999999993</v>
      </c>
    </row>
    <row r="1820" spans="1:21" x14ac:dyDescent="0.2">
      <c r="A1820" t="s">
        <v>436</v>
      </c>
      <c r="B1820">
        <f>1+MIN(150,150*(1-(1-(Inputs!$B$11+(ArtifactsInput!$M$15-ArtifactsInput!$M$15)*CHOOSE(ArtifactsInput!$N$15+1,8,9.6,11.2,12.8,14.4,16))/150)*(1-B1819/150)))/100</f>
        <v>1.6982958749999999</v>
      </c>
    </row>
    <row r="1821" spans="1:21" x14ac:dyDescent="0.2">
      <c r="A1821" t="s">
        <v>437</v>
      </c>
      <c r="B1821">
        <f>IF(AND(Inputs!$B$38&lt;&gt;"pvp",Inputs!$B$43&gt;0),SUMPRODUCT((Skills!F2:F28=TRUE)*(C1788:C1814=TRUE)*R1788:R1814)/Inputs!$B$43,SUMPRODUCT((Skills!F2:F28=TRUE)*(C1788:C1814=TRUE)*Q1788:Q1814))</f>
        <v>0.47499999999999998</v>
      </c>
    </row>
    <row r="1822" spans="1:21" x14ac:dyDescent="0.2">
      <c r="A1822" t="s">
        <v>362</v>
      </c>
      <c r="B1822">
        <f>MAX(0,B1820-B1821)</f>
        <v>1.2232958749999998</v>
      </c>
    </row>
    <row r="1823" spans="1:21" x14ac:dyDescent="0.2">
      <c r="A1823" t="s">
        <v>438</v>
      </c>
      <c r="B1823">
        <f>IF(AND(Inputs!$B$38&lt;&gt;"pvp",Inputs!$B$43&gt;0),SUMPRODUCT((Skills!V2:V28=TRUE)*(C1788:C1814=TRUE)*R1788:R1814*Skills!W2:W28)/Inputs!$B$43,SUMPRODUCT((Skills!V2:V28=TRUE)*(C1788:C1814=TRUE)*Q1788:Q1814*Skills!W2:W28))+B1822</f>
        <v>1.5482958749999998</v>
      </c>
    </row>
    <row r="1824" spans="1:21" x14ac:dyDescent="0.2">
      <c r="A1824" t="s">
        <v>439</v>
      </c>
      <c r="B1824">
        <f>IF(AND(Inputs!$B$38&lt;&gt;"pvp",Inputs!$B$43&gt;0),SUMPRODUCT((Skills!T2:T28&gt;0)*(Skills!F2:F28=TRUE)*(C1788:C1814=TRUE))/B1820,0)</f>
        <v>2.3553021937358238</v>
      </c>
    </row>
    <row r="1825" spans="1:26" x14ac:dyDescent="0.2">
      <c r="A1825" t="s">
        <v>440</v>
      </c>
      <c r="B1825">
        <f>SUM(S1788:S1814)</f>
        <v>9517263078933292</v>
      </c>
    </row>
    <row r="1826" spans="1:26" x14ac:dyDescent="0.2">
      <c r="A1826" t="s">
        <v>441</v>
      </c>
      <c r="B1826">
        <f>SUM(U1788:U1814)</f>
        <v>5.6656428257660488E+16</v>
      </c>
    </row>
    <row r="1827" spans="1:26" x14ac:dyDescent="0.2">
      <c r="A1827" s="6" t="s">
        <v>348</v>
      </c>
      <c r="B1827" s="6">
        <f>SUM(O1788:O1814)</f>
        <v>3.3086845668296892E+16</v>
      </c>
    </row>
    <row r="1830" spans="1:26" x14ac:dyDescent="0.2">
      <c r="A1830" s="6" t="s">
        <v>481</v>
      </c>
    </row>
    <row r="1831" spans="1:26" x14ac:dyDescent="0.2">
      <c r="A1831" s="5" t="s">
        <v>136</v>
      </c>
      <c r="B1831" s="5" t="s">
        <v>137</v>
      </c>
      <c r="C1831" s="5" t="s">
        <v>328</v>
      </c>
      <c r="D1831" s="5" t="s">
        <v>329</v>
      </c>
      <c r="E1831" s="5" t="s">
        <v>330</v>
      </c>
      <c r="F1831" s="5" t="s">
        <v>331</v>
      </c>
      <c r="G1831" s="5" t="s">
        <v>332</v>
      </c>
      <c r="H1831" s="5" t="s">
        <v>333</v>
      </c>
      <c r="I1831" s="5" t="s">
        <v>334</v>
      </c>
      <c r="J1831" s="5" t="s">
        <v>335</v>
      </c>
      <c r="K1831" s="5" t="s">
        <v>336</v>
      </c>
      <c r="L1831" s="5" t="s">
        <v>337</v>
      </c>
      <c r="M1831" s="5" t="s">
        <v>338</v>
      </c>
      <c r="N1831" s="5" t="s">
        <v>339</v>
      </c>
      <c r="O1831" s="5" t="s">
        <v>340</v>
      </c>
      <c r="P1831" s="5" t="s">
        <v>341</v>
      </c>
      <c r="R1831" t="s">
        <v>434</v>
      </c>
    </row>
    <row r="1832" spans="1:26" x14ac:dyDescent="0.2">
      <c r="A1832" t="str">
        <f>Skills!A2</f>
        <v>BASIC_ATTACK</v>
      </c>
      <c r="B1832" t="str">
        <f>Skills!B2</f>
        <v>Basic Attack</v>
      </c>
      <c r="C1832" t="b">
        <f>TRUE</f>
        <v>1</v>
      </c>
      <c r="F1832">
        <f>T1834+Skills!O2</f>
        <v>537.6</v>
      </c>
      <c r="G1832">
        <f>Calc!G2</f>
        <v>5</v>
      </c>
      <c r="H1832">
        <f>Calc!H2</f>
        <v>1</v>
      </c>
      <c r="I1832">
        <f>IF(Skills!X2&lt;&gt;"",1+(Skills!X2/10)*(Z1833/1000)/100,1)</f>
        <v>1</v>
      </c>
      <c r="J1832">
        <f>((Inputs!$B$6*(1+Inputs!$B$7/100))+(((Inputs!$B$12*(1+Inputs!$B$13/100))-(Inputs!$B$12*(1+Inputs!$B$13/100)))+0.25*(Inputs!$B$14-Inputs!$B$14))*(1+Inputs!$B$7/100))*(F1832/100)</f>
        <v>1941459186.9980164</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7607688529220.1201</v>
      </c>
      <c r="L1832">
        <f>K1832*(MIN(Inputs!$B$22+(F1852-Calc!F22),(Inputs!$B$23+(IF(ArtifactsInput!$M$15,CHOOSE(ArtifactsInput!$N$15+1,25,30,35,40,45,50)/100*(Inputs!$B$11-Inputs!$B$11),0))))/100+(Inputs!$B$23+(IF(ArtifactsInput!$M$15,CHOOSE(ArtifactsInput!$N$15+1,25,30,35,40,45,50)/100*(Inputs!$B$11-Inputs!$B$11),0)))/100)/2</f>
        <v>25295564359656.902</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119369768213220.91</v>
      </c>
      <c r="N1832">
        <f>L1832*(1-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119369768213220.91</v>
      </c>
      <c r="O1832">
        <f>(1-Summary!$B$11)*S1832+Summary!$B$11*U1832</f>
        <v>1.437976707428514E+16</v>
      </c>
      <c r="P1832">
        <f>IF(B1871=0,0,O1832/B1871)</f>
        <v>0.37819938885449506</v>
      </c>
      <c r="Q1832">
        <f>IFERROR(1/(IF(Inputs!$B$38="pvp",15,MAX(0.1,Skills!E2-IF(TRUE=TRUE,Inputs!$B$32,0)))*(1-IF(AND(ArtifactsInput!$M$27,Inputs!$B$4="Chapter Hunt"),CHOOSE(ArtifactsInput!$N$27+1,20,24,28,32,36,40),0)/100)),0)</f>
        <v>10</v>
      </c>
      <c r="R1832">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2387501311648256.5</v>
      </c>
      <c r="T1832">
        <f>MAX(0,(Inputs!$B$3-100)*3)+Inputs!$B$28+Inputs!$B$29</f>
        <v>185</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2.6372032836922024E+16</v>
      </c>
      <c r="Z1832">
        <f>MAX(0,(Inputs!$B$3-100)*3)+Inputs!$B$28+Inputs!$B$29</f>
        <v>185</v>
      </c>
    </row>
    <row r="1833" spans="1:26" x14ac:dyDescent="0.2">
      <c r="A1833" t="str">
        <f>Skills!A3</f>
        <v>IGNITE</v>
      </c>
      <c r="B1833" t="str">
        <f>Skills!B3</f>
        <v>Ignite</v>
      </c>
      <c r="C1833" t="b">
        <f>TRUE</f>
        <v>1</v>
      </c>
      <c r="D1833">
        <f>IF(Skills!C3=1,60+Inputs!$B$25+Inputs!$B$29,IF(Skills!C3=2,90+Inputs!$B$26+Inputs!$B$29,IF(Skills!C3=3,120+Inputs!$B$27+Inputs!$B$29,MAX(0,(Inputs!$B$3-100)*3)+Inputs!$B$28+Inputs!$B$29)))</f>
        <v>168</v>
      </c>
      <c r="E1833">
        <f>INDEX(FactorTable!$B$2:$Y$301, MATCH(ROUND(MIN(300,MAX(1,D1833)),0), FactorTable!$A$2:$A$301,0), Skills!M3+1)</f>
        <v>1672</v>
      </c>
      <c r="F1833">
        <f>IF(Skills!N3=TRUE,(Skills!L3/10)*(E1833/1000),Skills!L3/10)+Skills!O3</f>
        <v>121.736</v>
      </c>
      <c r="G1833">
        <f>Calc!G3</f>
        <v>3</v>
      </c>
      <c r="H1833">
        <f>Calc!H3</f>
        <v>1</v>
      </c>
      <c r="I1833">
        <f>IF(Skills!X3&lt;&gt;"",1+(Skills!X3/10)*(Z1833/1000)/100,1)</f>
        <v>4.8250000000000002</v>
      </c>
      <c r="J1833">
        <f>((Inputs!$B$6*(1+Inputs!$B$7/100))+(((Inputs!$B$12*(1+Inputs!$B$13/100))-(Inputs!$B$12*(1+Inputs!$B$13/100)))+0.25*(Inputs!$B$14-Inputs!$B$14))*(1+Inputs!$B$7/100))*(F1833/100)</f>
        <v>439630720.9605478</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12248248186301.842</v>
      </c>
      <c r="L1833">
        <f>K1833*(MIN(Inputs!$B$22+(F1852-Calc!F22),(Inputs!$B$23+(IF(ArtifactsInput!$M$15,CHOOSE(ArtifactsInput!$N$15+1,25,30,35,40,45,50)/100*(Inputs!$B$11-Inputs!$B$11),0))))/100+(Inputs!$B$23+(IF(ArtifactsInput!$M$15,CHOOSE(ArtifactsInput!$N$15+1,25,30,35,40,45,50)/100*(Inputs!$B$11-Inputs!$B$11),0)))/100)/2</f>
        <v>40725425219453.625</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192183281610601.62</v>
      </c>
      <c r="N1833">
        <f>L1833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192183281610601.62</v>
      </c>
      <c r="O1833">
        <f>(1-Summary!$B$11)*S1833+Summary!$B$11*U1833</f>
        <v>3341106350800309</v>
      </c>
      <c r="P1833">
        <f>IF(B1871=0,0,O1833/B1871)</f>
        <v>8.7873772463965064E-2</v>
      </c>
      <c r="Q1833">
        <f>IFERROR(1/(IF(Inputs!$B$38="pvp",15,MAX(0.1,Skills!E3-IF(FALSE=TRUE,Inputs!$B$32,0)))*(1-IF(AND(ArtifactsInput!$M$27,Inputs!$B$4="Chapter Hunt"),CHOOSE(ArtifactsInput!$N$27+1,20,24,28,32,36,40),0)/100)),0)</f>
        <v>1</v>
      </c>
      <c r="R1833">
        <f>IF(AND(Inputs!$B$38&lt;&gt;"pvp",Inputs!$B$43&gt;0),IF(MAX(0,Inputs!$B$43-B1868)&lt;=0,0,(INT(MAX(0,Inputs!$B$43-B1868)/(IF(Inputs!$B$38="pvp",15,MAX(0.1,Skills!E3-IF(FALSE=TRUE,Inputs!$B$32,0)))*(1-IF(AND(ArtifactsInput!$M$27,Inputs!$B$4="Chapter Hunt"),CHOOSE(ArtifactsInput!$N$27+1,20,24,28,32,36,40),0)/100)))+1)),0)</f>
        <v>38</v>
      </c>
      <c r="S1833">
        <f>IF(C1833,(H1833*N1833*IF(AND(Inputs!$B$38&lt;&gt;"pvp",Inputs!$B$43&gt;0),((Skills!G3*((R1833-1)*IF(Skills!H3&gt;0,Skills!I3/Skills!H3,1)+IF(Skills!H3&gt;0,MIN(Skills!I3,MAX(0,MAX(0,Inputs!$B$43-B1868)-((R1833-1)*(IF(Inputs!$B$38="pvp",15,MAX(0.1,Skills!E3-IF(FALSE=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1736279857710980.2</v>
      </c>
      <c r="T1833">
        <f>INDEX(FactorTable!$B$2:$Y$301, MATCH(ROUND(MIN(300,MAX(1,T1832)),0), FactorTable!$A$2:$A$301,0), 22)</f>
        <v>1740</v>
      </c>
      <c r="U1833">
        <f>IF(C1833,(H1833*N1833*IF(AND(Inputs!$B$38&lt;&gt;"pvp",Inputs!$B$43&gt;0),((Skills!G3*((R1833-1)*IF(Skills!H3&gt;0,Skills!I3/Skills!H3,1)+IF(Skills!H3&gt;0,MIN(Skills!I3,MAX(0,MAX(0,Inputs!$B$43-B1868)-((R1833-1)*(IF(Inputs!$B$38="pvp",15,MAX(0.1,Skills!E3-IF(FALSE=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4945932843889638</v>
      </c>
      <c r="Z1833">
        <f>INDEX(FactorTable!$B$2:$Y$301, MATCH(ROUND(MIN(300,MAX(1,Z1832)),0), FactorTable!$A$2:$A$301,0), 24)</f>
        <v>7650</v>
      </c>
    </row>
    <row r="1834" spans="1:26" x14ac:dyDescent="0.2">
      <c r="A1834" t="str">
        <f>Skills!A4</f>
        <v>POISON_BREATH</v>
      </c>
      <c r="B1834" t="str">
        <f>Skills!B4</f>
        <v>Poison Breath</v>
      </c>
      <c r="C1834" t="b">
        <f>TRUE</f>
        <v>1</v>
      </c>
      <c r="D1834">
        <f>IF(Skills!C4=1,60+Inputs!$B$25+Inputs!$B$29,IF(Skills!C4=2,90+Inputs!$B$26+Inputs!$B$29,IF(Skills!C4=3,120+Inputs!$B$27+Inputs!$B$29,MAX(0,(Inputs!$B$3-100)*3)+Inputs!$B$28+Inputs!$B$29)))</f>
        <v>168</v>
      </c>
      <c r="E1834">
        <f>INDEX(FactorTable!$B$2:$Y$301, MATCH(ROUND(MIN(300,MAX(1,D1834)),0), FactorTable!$A$2:$A$301,0), Skills!M4+1)</f>
        <v>1840</v>
      </c>
      <c r="F1834">
        <f>IF(Skills!N4=TRUE,(Skills!L4/10)*(E1834/1000),Skills!L4/10)+Skills!O4</f>
        <v>438</v>
      </c>
      <c r="G1834">
        <f>Calc!G4</f>
        <v>3</v>
      </c>
      <c r="H1834">
        <f>Calc!H4</f>
        <v>1</v>
      </c>
      <c r="I1834">
        <f>IF(Skills!X4&lt;&gt;"",1+(Skills!X4/10)*(Z1833/1000)/100,1)</f>
        <v>7.12</v>
      </c>
      <c r="J1834">
        <f>((Inputs!$B$6*(1+Inputs!$B$7/100))+(((Inputs!$B$12*(1+Inputs!$B$13/100))-(Inputs!$B$12*(1+Inputs!$B$13/100)))+0.25*(Inputs!$B$14-Inputs!$B$14))*(1+Inputs!$B$7/100))*(F1834/100)</f>
        <v>1581769203.69258</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65029697941240.164</v>
      </c>
      <c r="L1834">
        <f>K1834*(MIN(Inputs!$B$22+(F1852-Calc!F22),(Inputs!$B$23+(IF(ArtifactsInput!$M$15,CHOOSE(ArtifactsInput!$N$15+1,25,30,35,40,45,50)/100*(Inputs!$B$11-Inputs!$B$11),0))))/100+(Inputs!$B$23+(IF(ArtifactsInput!$M$15,CHOOSE(ArtifactsInput!$N$15+1,25,30,35,40,45,50)/100*(Inputs!$B$11-Inputs!$B$11),0)))/100)/2</f>
        <v>216223745654623.56</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1020359855744168.5</v>
      </c>
      <c r="N1834">
        <f>L1834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1020359855744168.5</v>
      </c>
      <c r="O1834">
        <f>(1-Summary!$B$11)*S1834+Summary!$B$11*U1834</f>
        <v>2437001970462978.5</v>
      </c>
      <c r="P1834">
        <f>IF(B1871=0,0,O1834/B1871)</f>
        <v>6.4095103286790731E-2</v>
      </c>
      <c r="Q1834">
        <f>IFERROR(1/(IF(Inputs!$B$38="pvp",15,MAX(0.1,Skills!E4-IF(TRUE=TRUE,Inputs!$B$32,0)))*(1-IF(AND(ArtifactsInput!$M$27,Inputs!$B$4="Chapter Hunt"),CHOOSE(ArtifactsInput!$N$27+1,20,24,28,32,36,40),0)/100)),0)</f>
        <v>5.5555555555555552E-2</v>
      </c>
      <c r="R1834">
        <f>IF(AND(Inputs!$B$38&lt;&gt;"pvp",Inputs!$B$43&gt;0),IF(MAX(0,Inputs!$B$43-B1868)&lt;=0,0,(INT(MAX(0,Inputs!$B$43-B1868)/(IF(Inputs!$B$38="pvp",15,MAX(0.1,Skills!E4-IF(TRUE=TRUE,Inputs!$B$32,0)))*(1-IF(AND(ArtifactsInput!$M$27,Inputs!$B$4="Chapter Hunt"),CHOOSE(ArtifactsInput!$N$27+1,20,24,28,32,36,40),0)/100)))+1)),0)</f>
        <v>3</v>
      </c>
      <c r="S1834">
        <f>IF(C1834,(H1834*N1834*IF(AND(Inputs!$B$38&lt;&gt;"pvp",Inputs!$B$43&gt;0),((Skills!G4*((R1834-1)*IF(Skills!H4&gt;0,Skills!I4/Skills!H4,1)+IF(Skills!H4&gt;0,MIN(Skills!I4,MAX(0,MAX(0,Inputs!$B$43-B1868)-((R1834-1)*(IF(Inputs!$B$38="pvp",15,MAX(0.1,Skills!E4-IF(TRUE=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727771667109528.12</v>
      </c>
      <c r="T1834">
        <f>290*T1833/1000</f>
        <v>504.6</v>
      </c>
      <c r="U1834">
        <f>IF(C1834,(H1834*N1834*IF(AND(Inputs!$B$38&lt;&gt;"pvp",Inputs!$B$43&gt;0),((Skills!G4*((R1834-1)*IF(Skills!H4&gt;0,Skills!I4/Skills!H4,1)+IF(Skills!H4&gt;0,MIN(Skills!I4,MAX(0,MAX(0,Inputs!$B$43-B1868)-((R1834-1)*(IF(Inputs!$B$38="pvp",15,MAX(0.1,Skills!E4-IF(TRUE=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4146232273816428.5</v>
      </c>
    </row>
    <row r="1835" spans="1:26" x14ac:dyDescent="0.2">
      <c r="A1835" t="str">
        <f>Skills!A5</f>
        <v>ELEMENTAL_DRAIN</v>
      </c>
      <c r="B1835" t="str">
        <f>Skills!B5</f>
        <v>Elemental Drain</v>
      </c>
      <c r="C1835" t="b">
        <f>TRUE</f>
        <v>1</v>
      </c>
      <c r="D1835">
        <f>IF(Skills!C5=1,60+Inputs!$B$25+Inputs!$B$29,IF(Skills!C5=2,90+Inputs!$B$26+Inputs!$B$29,IF(Skills!C5=3,120+Inputs!$B$27+Inputs!$B$29,MAX(0,(Inputs!$B$3-100)*3)+Inputs!$B$28+Inputs!$B$29)))</f>
        <v>168</v>
      </c>
      <c r="E1835">
        <f>INDEX(FactorTable!$B$2:$Y$301, MATCH(ROUND(MIN(300,MAX(1,D1835)),0), FactorTable!$A$2:$A$301,0), Skills!M5+1)</f>
        <v>1672</v>
      </c>
      <c r="F1835">
        <f>IF(Skills!N5=TRUE,(Skills!L5/10)*(E1835/1000),Skills!L5/10)+Skills!O5</f>
        <v>20.064</v>
      </c>
      <c r="G1835">
        <f>Calc!G5</f>
        <v>5</v>
      </c>
      <c r="H1835">
        <f>Calc!H5</f>
        <v>1</v>
      </c>
      <c r="I1835">
        <f>IF(Skills!X5&lt;&gt;"",1+(Skills!X5/10)*(Z1833/1000)/100,1)</f>
        <v>12.475</v>
      </c>
      <c r="J1835">
        <f>((Inputs!$B$6*(1+Inputs!$B$7/100))+(((Inputs!$B$12*(1+Inputs!$B$13/100))-(Inputs!$B$12*(1+Inputs!$B$13/100)))+0.25*(Inputs!$B$14-Inputs!$B$14))*(1+Inputs!$B$7/100))*(F1835/100)</f>
        <v>72458030.371890247</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5219341409873.6943</v>
      </c>
      <c r="L1835">
        <f>K1835*(MIN(Inputs!$B$22+(F1852-Calc!F22),(Inputs!$B$23+(IF(ArtifactsInput!$M$15,CHOOSE(ArtifactsInput!$N$15+1,25,30,35,40,45,50)/100*(Inputs!$B$11-Inputs!$B$11),0))))/100+(Inputs!$B$23+(IF(ArtifactsInput!$M$15,CHOOSE(ArtifactsInput!$N$15+1,25,30,35,40,45,50)/100*(Inputs!$B$11-Inputs!$B$11),0)))/100)/2</f>
        <v>17354310187830.035</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81894989776369.922</v>
      </c>
      <c r="N1835">
        <f>L1835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81894989776369.922</v>
      </c>
      <c r="O1835">
        <f>(1-Summary!$B$11)*S1835+Summary!$B$11*U1835</f>
        <v>1202013712442669.5</v>
      </c>
      <c r="P1835">
        <f>IF(B1871=0,0,O1835/B1871)</f>
        <v>3.1613923166633758E-2</v>
      </c>
      <c r="Q1835">
        <f>IFERROR(1/(IF(Inputs!$B$38="pvp",15,MAX(0.1,Skills!E5-IF(FALSE=TRUE,Inputs!$B$32,0)))*(1-IF(AND(ArtifactsInput!$M$27,Inputs!$B$4="Chapter Hunt"),CHOOSE(ArtifactsInput!$N$27+1,20,24,28,32,36,40),0)/100)),0)</f>
        <v>1</v>
      </c>
      <c r="R1835">
        <f>IF(AND(Inputs!$B$38&lt;&gt;"pvp",Inputs!$B$43&gt;0),IF(MAX(0,Inputs!$B$43-B1868)&lt;=0,0,(INT(MAX(0,Inputs!$B$43-B1868)/(IF(Inputs!$B$38="pvp",15,MAX(0.1,Skills!E5-IF(FALSE=TRUE,Inputs!$B$32,0)))*(1-IF(AND(ArtifactsInput!$M$27,Inputs!$B$4="Chapter Hunt"),CHOOSE(ArtifactsInput!$N$27+1,20,24,28,32,36,40),0)/100)))+1)),0)</f>
        <v>38</v>
      </c>
      <c r="S1835">
        <f>IF(C1835,(H1835*N1835*IF(AND(Inputs!$B$38&lt;&gt;"pvp",Inputs!$B$43&gt;0),((Skills!G5*((R1835-1)*IF(Skills!H5&gt;0,Skills!I5/Skills!H5,1)+IF(Skills!H5&gt;0,MIN(Skills!I5,MAX(0,MAX(0,Inputs!$B$43-B1868)-((R1835-1)*(IF(Inputs!$B$38="pvp",15,MAX(0.1,Skills!E5-IF(FALSE=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1233133808557690</v>
      </c>
      <c r="U1835">
        <f>IF(C1835,(H1835*N1835*IF(AND(Inputs!$B$38&lt;&gt;"pvp",Inputs!$B$43&gt;0),((Skills!G5*((R1835-1)*IF(Skills!H5&gt;0,Skills!I5/Skills!H5,1)+IF(Skills!H5&gt;0,MIN(Skills!I5,MAX(0,MAX(0,Inputs!$B$43-B1868)-((R1835-1)*(IF(Inputs!$B$38="pvp",15,MAX(0.1,Skills!E5-IF(FALSE=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1170893616327648.8</v>
      </c>
    </row>
    <row r="1836" spans="1:26" x14ac:dyDescent="0.2">
      <c r="A1836" t="str">
        <f>Skills!A6</f>
        <v>MEDITATION</v>
      </c>
      <c r="B1836" t="str">
        <f>Skills!B6</f>
        <v>Meditation</v>
      </c>
      <c r="C1836" t="b">
        <f>TRUE</f>
        <v>1</v>
      </c>
      <c r="D1836">
        <f>IF(Skills!C6=1,60+Inputs!$B$25+Inputs!$B$29,IF(Skills!C6=2,90+Inputs!$B$26+Inputs!$B$29,IF(Skills!C6=3,120+Inputs!$B$27+Inputs!$B$29,MAX(0,(Inputs!$B$3-100)*3)+Inputs!$B$28+Inputs!$B$29)))</f>
        <v>168</v>
      </c>
      <c r="E1836">
        <f>INDEX(FactorTable!$B$2:$Y$301, MATCH(ROUND(MIN(300,MAX(1,D1836)),0), FactorTable!$A$2:$A$301,0), Skills!M6+1)</f>
        <v>1672</v>
      </c>
      <c r="F1836">
        <f>IF(Skills!N6=TRUE,(Skills!L6/10)*(E1836/1000),Skills!L6/10)+Skills!O6</f>
        <v>33.44</v>
      </c>
      <c r="G1836">
        <f>Calc!G6</f>
        <v>1</v>
      </c>
      <c r="H1836">
        <f>Calc!H6</f>
        <v>1</v>
      </c>
      <c r="I1836">
        <f>IF(Skills!X6&lt;&gt;"",1+(Skills!X6/10)*(Z1833/1000)/100,1)</f>
        <v>1</v>
      </c>
      <c r="O1836">
        <f>(1-Summary!$B$11)*S1836+Summary!$B$11*U1836</f>
        <v>0</v>
      </c>
      <c r="P1836">
        <f>IF(B1871=0,0,O1836/B1871)</f>
        <v>0</v>
      </c>
      <c r="Q1836">
        <f>IFERROR(1/(IF(Inputs!$B$38="pvp",15,MAX(0.1,Skills!E6-IF(TRUE=TRUE,Inputs!$B$32,0)))*(1-IF(AND(ArtifactsInput!$M$27,Inputs!$B$4="Chapter Hunt"),CHOOSE(ArtifactsInput!$N$27+1,20,24,28,32,36,40),0)/100)),0)</f>
        <v>3.3333333333333333E-2</v>
      </c>
      <c r="R1836">
        <f>IF(AND(Inputs!$B$38&lt;&gt;"pvp",Inputs!$B$43&gt;0),IF(Inputs!$B$43&lt;=0,0,(INT(Inputs!$B$43/(IF(Inputs!$B$38="pvp",15,MAX(0.1,Skills!E6-IF(TRUE=TRUE,Inputs!$B$32,0)))*(1-IF(AND(ArtifactsInput!$M$27,Inputs!$B$4="Chapter Hunt"),CHOOSE(ArtifactsInput!$N$27+1,20,24,28,32,36,40),0)/100)))+1)),0)</f>
        <v>2</v>
      </c>
      <c r="S1836">
        <v>0</v>
      </c>
      <c r="U1836">
        <v>0</v>
      </c>
    </row>
    <row r="1837" spans="1:26" x14ac:dyDescent="0.2">
      <c r="A1837" t="str">
        <f>Skills!A7</f>
        <v>POISON_MIST_BURST</v>
      </c>
      <c r="B1837" t="str">
        <f>Skills!B7</f>
        <v>Poison Mist (burst)</v>
      </c>
      <c r="C1837" t="b">
        <f>TRUE</f>
        <v>1</v>
      </c>
      <c r="D1837">
        <f>IF(Skills!C7=1,60+Inputs!$B$25+Inputs!$B$29,IF(Skills!C7=2,90+Inputs!$B$26+Inputs!$B$29,IF(Skills!C7=3,120+Inputs!$B$27+Inputs!$B$29,MAX(0,(Inputs!$B$3-100)*3)+Inputs!$B$28+Inputs!$B$29)))</f>
        <v>184</v>
      </c>
      <c r="E1837">
        <f>INDEX(FactorTable!$B$2:$Y$301, MATCH(ROUND(MIN(300,MAX(1,D1837)),0), FactorTable!$A$2:$A$301,0), Skills!M7+1)</f>
        <v>1920</v>
      </c>
      <c r="F1837">
        <f>IF(Skills!N7=TRUE,(Skills!L7/10)*(E1837/1000),Skills!L7/10)+Skills!O7</f>
        <v>357.2</v>
      </c>
      <c r="G1837">
        <f>Calc!G7</f>
        <v>3</v>
      </c>
      <c r="H1837">
        <f>Calc!H7</f>
        <v>1</v>
      </c>
      <c r="I1837">
        <f>IF(Skills!X7&lt;&gt;"",1+(Skills!X7/10)*(Z1833/1000)/100,1)</f>
        <v>1.7650000000000001</v>
      </c>
      <c r="J1837">
        <f>((Inputs!$B$6*(1+Inputs!$B$7/100))+(((Inputs!$B$12*(1+Inputs!$B$13/100))-(Inputs!$B$12*(1+Inputs!$B$13/100)))+0.25*(Inputs!$B$14-Inputs!$B$14))*(1+Inputs!$B$7/100))*(F1837/100)</f>
        <v>1289972510.4086521</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13146610392180.496</v>
      </c>
      <c r="L1837">
        <f>K1837*(MIN(Inputs!$B$22+(F1852-Calc!F22),(Inputs!$B$23+(IF(ArtifactsInput!$M$15,CHOOSE(ArtifactsInput!$N$15+1,25,30,35,40,45,50)/100*(Inputs!$B$11-Inputs!$B$11),0))))/100+(Inputs!$B$23+(IF(ArtifactsInput!$M$15,CHOOSE(ArtifactsInput!$N$15+1,25,30,35,40,45,50)/100*(Inputs!$B$11-Inputs!$B$11),0)))/100)/2</f>
        <v>43712479554000.148</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206279191015326.69</v>
      </c>
      <c r="N1837">
        <f>L1837*(1-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206279191015326.69</v>
      </c>
      <c r="O1837">
        <f>(1-Summary!$B$11)*S1837+Summary!$B$11*U1837</f>
        <v>514718151380993.94</v>
      </c>
      <c r="P1837">
        <f>IF(B1871=0,0,O1837/B1871)</f>
        <v>1.3537499549121507E-2</v>
      </c>
      <c r="Q1837">
        <f>IFERROR(1/(IF(Inputs!$B$38="pvp",15,MAX(0.1,Skills!E7-IF(TRUE=TRUE,Inputs!$B$32,0)))*(1-IF(AND(ArtifactsInput!$M$27,Inputs!$B$4="Chapter Hunt"),CHOOSE(ArtifactsInput!$N$27+1,20,24,28,32,36,40),0)/100)),0)</f>
        <v>4.0816326530612242E-2</v>
      </c>
      <c r="R1837">
        <f>IF(AND(Inputs!$B$38&lt;&gt;"pvp",Inputs!$B$43&gt;0),IF(MAX(0,Inputs!$B$43-B1868)&lt;=0,0,(INT(MAX(0,Inputs!$B$43-B1868)/(IF(Inputs!$B$38="pvp",15,MAX(0.1,Skills!E7-IF(TRUE=TRUE,Inputs!$B$32,0)))*(1-IF(AND(ArtifactsInput!$M$27,Inputs!$B$4="Chapter Hunt"),CHOOSE(ArtifactsInput!$N$27+1,20,24,28,32,36,40),0)/100)))+1)),0)</f>
        <v>2</v>
      </c>
      <c r="S1837">
        <f>IF(C1837,(H1837*N1837*IF(AND(Inputs!$B$38&lt;&gt;"pvp",Inputs!$B$43&gt;0),((Skills!G7*((R1837-1)*IF(Skills!H7&gt;0,Skills!I7/Skills!H7,1)+IF(Skills!H7&gt;0,MIN(Skills!I7,MAX(0,MAX(0,Inputs!$B$43-B1868)-((R1837-1)*(IF(Inputs!$B$38="pvp",15,MAX(0.1,Skills!E7-IF(TRUE=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98085755327787.844</v>
      </c>
      <c r="U1837">
        <f>IF(C1837,(H1837*N1837*IF(AND(Inputs!$B$38&lt;&gt;"pvp",Inputs!$B$43&gt;0),((Skills!G7*((R1837-1)*IF(Skills!H7&gt;0,Skills!I7/Skills!H7,1)+IF(Skills!H7&gt;0,MIN(Skills!I7,MAX(0,MAX(0,Inputs!$B$43-B1868)-((R1837-1)*(IF(Inputs!$B$38="pvp",15,MAX(0.1,Skills!E7-IF(TRUE=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931350547434200</v>
      </c>
    </row>
    <row r="1838" spans="1:26" x14ac:dyDescent="0.2">
      <c r="A1838" t="str">
        <f>Skills!A8</f>
        <v>POISON_MIST_DOT</v>
      </c>
      <c r="B1838" t="str">
        <f>Skills!B8</f>
        <v>Poison Mist (fog DoT)</v>
      </c>
      <c r="C1838" t="b">
        <f>TRUE</f>
        <v>1</v>
      </c>
      <c r="D1838">
        <f>IF(Skills!C8=1,60+Inputs!$B$25+Inputs!$B$29,IF(Skills!C8=2,90+Inputs!$B$26+Inputs!$B$29,IF(Skills!C8=3,120+Inputs!$B$27+Inputs!$B$29,MAX(0,(Inputs!$B$3-100)*3)+Inputs!$B$28+Inputs!$B$29)))</f>
        <v>184</v>
      </c>
      <c r="E1838">
        <f>INDEX(FactorTable!$B$2:$Y$301, MATCH(ROUND(MIN(300,MAX(1,D1838)),0), FactorTable!$A$2:$A$301,0), Skills!M8+1)</f>
        <v>1920</v>
      </c>
      <c r="F1838">
        <f>IF(Skills!N8=TRUE,(Skills!L8/10)*(E1838/1000),Skills!L8/10)+Skills!O8</f>
        <v>134.4</v>
      </c>
      <c r="G1838">
        <f>Calc!G8</f>
        <v>50</v>
      </c>
      <c r="H1838">
        <f>Calc!H8</f>
        <v>1</v>
      </c>
      <c r="I1838">
        <f>IF(Skills!X8&lt;&gt;"",1+(Skills!X8/10)*(Z1833/1000)/100,1)</f>
        <v>1.7650000000000001</v>
      </c>
      <c r="J1838">
        <f>((Inputs!$B$6*(1+Inputs!$B$7/100))+(((Inputs!$B$12*(1+Inputs!$B$13/100))-(Inputs!$B$12*(1+Inputs!$B$13/100)))+0.25*(Inputs!$B$14-Inputs!$B$14))*(1+Inputs!$B$7/100))*(F1838/100)</f>
        <v>485364796.74950409</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4946540976229.167</v>
      </c>
      <c r="L1838">
        <f>K1838*(MIN(Inputs!$B$22+(F1852-Calc!F22),(Inputs!$B$23+(IF(ArtifactsInput!$M$15,CHOOSE(ArtifactsInput!$N$15+1,25,30,35,40,45,50)/100*(Inputs!$B$11-Inputs!$B$11),0))))/100+(Inputs!$B$23+(IF(ArtifactsInput!$M$15,CHOOSE(ArtifactsInput!$N$15+1,25,30,35,40,45,50)/100*(Inputs!$B$11-Inputs!$B$11),0)))/100)/2</f>
        <v>16447248745961.98</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77614566832194.578</v>
      </c>
      <c r="N1838">
        <f>L1838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77614566832194.578</v>
      </c>
      <c r="O1838">
        <f>(1-Summary!$B$11)*S1838+Summary!$B$11*U1838</f>
        <v>2674607907736928.5</v>
      </c>
      <c r="P1838">
        <f>IF(B1871=0,0,O1838/B1871)</f>
        <v>7.0344329703392799E-2</v>
      </c>
      <c r="Q1838">
        <f>IFERROR(1/(IF(Inputs!$B$38="pvp",15,MAX(0.1,Skills!E8-IF(TRUE=TRUE,Inputs!$B$32,0)))*(1-IF(AND(ArtifactsInput!$M$27,Inputs!$B$4="Chapter Hunt"),CHOOSE(ArtifactsInput!$N$27+1,20,24,28,32,36,40),0)/100)),0)</f>
        <v>4.0816326530612242E-2</v>
      </c>
      <c r="R1838">
        <f>IF(AND(Inputs!$B$38&lt;&gt;"pvp",Inputs!$B$43&gt;0),IF(MAX(0,Inputs!$B$43-B1868)&lt;=0,0,(INT(MAX(0,Inputs!$B$43-B1868)/(IF(Inputs!$B$38="pvp",15,MAX(0.1,Skills!E8-IF(TRUE=TRUE,Inputs!$B$32,0)))*(1-IF(AND(ArtifactsInput!$M$27,Inputs!$B$4="Chapter Hunt"),CHOOSE(ArtifactsInput!$N$27+1,20,24,28,32,36,40),0)/100)))+1)),0)</f>
        <v>2</v>
      </c>
      <c r="S1838">
        <f>IF(C1838,(H1838*N1838*IF(AND(Inputs!$B$38&lt;&gt;"pvp",Inputs!$B$43&gt;0),((Skills!G8*((R1838-1)*IF(Skills!H8&gt;0,Skills!I8/Skills!H8,1)+IF(Skills!H8&gt;0,MIN(Skills!I8,MAX(0,MAX(0,Inputs!$B$43-B1868)-((R1838-1)*(IF(Inputs!$B$38="pvp",15,MAX(0.1,Skills!E8-IF(TRUE=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509678813797779.56</v>
      </c>
      <c r="U1838">
        <f>IF(C1838,(H1838*N1838*IF(AND(Inputs!$B$38&lt;&gt;"pvp",Inputs!$B$43&gt;0),((Skills!G8*((R1838-1)*IF(Skills!H8&gt;0,Skills!I8/Skills!H8,1)+IF(Skills!H8&gt;0,MIN(Skills!I8,MAX(0,MAX(0,Inputs!$B$43-B1868)-((R1838-1)*(IF(Inputs!$B$38="pvp",15,MAX(0.1,Skills!E8-IF(TRUE=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4839537001676077</v>
      </c>
    </row>
    <row r="1839" spans="1:26" x14ac:dyDescent="0.2">
      <c r="A1839" t="str">
        <f>Skills!A9</f>
        <v>MIST_ERUPTION</v>
      </c>
      <c r="B1839" t="str">
        <f>Skills!B9</f>
        <v>Mist Eruption</v>
      </c>
      <c r="C1839" t="b">
        <f>Inputs!$B$3&gt;=103</f>
        <v>1</v>
      </c>
      <c r="D1839">
        <f>IF(Skills!C9=1,60+Inputs!$B$25+Inputs!$B$29,IF(Skills!C9=2,90+Inputs!$B$26+Inputs!$B$29,IF(Skills!C9=3,120+Inputs!$B$27+Inputs!$B$29,MAX(0,(Inputs!$B$3-100)*3)+Inputs!$B$28+Inputs!$B$29)))</f>
        <v>185</v>
      </c>
      <c r="E1839">
        <f>INDEX(FactorTable!$B$2:$Y$301, MATCH(ROUND(MIN(300,MAX(1,D1839)),0), FactorTable!$A$2:$A$301,0), Skills!M9+1)</f>
        <v>1925</v>
      </c>
      <c r="F1839">
        <f>IF(Skills!N9=TRUE,(Skills!L9/10)*(E1839/1000),Skills!L9/10)+Skills!O9</f>
        <v>5775</v>
      </c>
      <c r="G1839">
        <f>Calc!G9</f>
        <v>2.5</v>
      </c>
      <c r="H1839">
        <f>Calc!H9</f>
        <v>1</v>
      </c>
      <c r="I1839">
        <f>IF(Skills!X9&lt;&gt;"",1+(Skills!X9/10)*(Z1833/1000)/100,1)</f>
        <v>1</v>
      </c>
      <c r="J1839">
        <f>((Inputs!$B$6*(1+Inputs!$B$7/100))+(((Inputs!$B$12*(1+Inputs!$B$13/100))-(Inputs!$B$12*(1+Inputs!$B$13/100)))+0.25*(Inputs!$B$14-Inputs!$B$14))*(1+Inputs!$B$7/100))*(F1839/100)</f>
        <v>20855518610.330254</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120423049616060.62</v>
      </c>
      <c r="L1839">
        <f>K1839*(MIN(Inputs!$B$22+(F1852-Calc!F22),(Inputs!$B$23+(IF(ArtifactsInput!$M$15,CHOOSE(ArtifactsInput!$N$15+1,25,30,35,40,45,50)/100*(Inputs!$B$11-Inputs!$B$11),0))))/100+(Inputs!$B$23+(IF(ArtifactsInput!$M$15,CHOOSE(ArtifactsInput!$N$15+1,25,30,35,40,45,50)/100*(Inputs!$B$11-Inputs!$B$11),0)))/100)/2</f>
        <v>400406639973401.62</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1889518934034482</v>
      </c>
      <c r="N1839">
        <f>L1839*(1-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1889518934034482</v>
      </c>
      <c r="O1839">
        <f>(1-Summary!$B$11)*S1839+Summary!$B$11*U1839</f>
        <v>3929018433457951</v>
      </c>
      <c r="P1839">
        <f>IF(B1871=0,0,O1839/B1871)</f>
        <v>0.10333633101673266</v>
      </c>
      <c r="Q1839">
        <f>IFERROR(1/(IF(Inputs!$B$38="pvp",15,MAX(0.1,Skills!E9-IF(TRUE=TRUE,Inputs!$B$32,0)))*(1-IF(AND(ArtifactsInput!$M$27,Inputs!$B$4="Chapter Hunt"),CHOOSE(ArtifactsInput!$N$27+1,20,24,28,32,36,40),0)/100)),0)</f>
        <v>4.0816326530612242E-2</v>
      </c>
      <c r="R1839">
        <f>IF(AND(Inputs!$B$38&lt;&gt;"pvp",Inputs!$B$43&gt;0),IF(MAX(0,Inputs!$B$43-B1868)&lt;=0,0,(INT(MAX(0,Inputs!$B$43-B1868)/(IF(Inputs!$B$38="pvp",15,MAX(0.1,Skills!E9-IF(TRUE=TRUE,Inputs!$B$32,0)))*(1-IF(AND(ArtifactsInput!$M$27,Inputs!$B$4="Chapter Hunt"),CHOOSE(ArtifactsInput!$N$27+1,20,24,28,32,36,40),0)/100)))+1)),0)</f>
        <v>2</v>
      </c>
      <c r="S1839">
        <f>IF(C1839,(H1839*N1839*IF(AND(Inputs!$B$38&lt;&gt;"pvp",Inputs!$B$43&gt;0),((Skills!G9*((R1839-1)*IF(Skills!H9&gt;0,Skills!I9/Skills!H9,1)+IF(Skills!H9&gt;0,MIN(Skills!I9,MAX(0,MAX(0,Inputs!$B$43-B1868)-((R1839-1)*(IF(Inputs!$B$38="pvp",15,MAX(0.1,Skills!E9-IF(TRUE=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748721877611163.5</v>
      </c>
      <c r="U1839">
        <f>IF(C1839,(H1839*N1839*IF(AND(Inputs!$B$38&lt;&gt;"pvp",Inputs!$B$43&gt;0),((Skills!G9*((R1839-1)*IF(Skills!H9&gt;0,Skills!I9/Skills!H9,1)+IF(Skills!H9&gt;0,MIN(Skills!I9,MAX(0,MAX(0,Inputs!$B$43-B1868)-((R1839-1)*(IF(Inputs!$B$38="pvp",15,MAX(0.1,Skills!E9-IF(TRUE=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7109314989304738</v>
      </c>
    </row>
    <row r="1840" spans="1:26" x14ac:dyDescent="0.2">
      <c r="A1840" t="str">
        <f>Skills!A10</f>
        <v>CREEPING_TOXIN</v>
      </c>
      <c r="B1840" t="str">
        <f>Skills!B10</f>
        <v>Creeping Toxin</v>
      </c>
      <c r="C1840" t="b">
        <f>TRUE</f>
        <v>1</v>
      </c>
      <c r="D1840">
        <f>IF(Skills!C10=1,60+Inputs!$B$25+Inputs!$B$29,IF(Skills!C10=2,90+Inputs!$B$26+Inputs!$B$29,IF(Skills!C10=3,120+Inputs!$B$27+Inputs!$B$29,MAX(0,(Inputs!$B$3-100)*3)+Inputs!$B$28+Inputs!$B$29)))</f>
        <v>184</v>
      </c>
      <c r="E1840">
        <f>INDEX(FactorTable!$B$2:$Y$301, MATCH(ROUND(MIN(300,MAX(1,D1840)),0), FactorTable!$A$2:$A$301,0), Skills!M10+1)</f>
        <v>1920</v>
      </c>
      <c r="F1840">
        <f>IF(Skills!N10=TRUE,(Skills!L10/10)*(E1840/1000),Skills!L10/10)+Skills!O10</f>
        <v>280.39999999999998</v>
      </c>
      <c r="G1840">
        <f>Calc!G10</f>
        <v>15</v>
      </c>
      <c r="H1840">
        <f>Calc!H10</f>
        <v>1</v>
      </c>
      <c r="I1840">
        <f>IF(Skills!X10&lt;&gt;"",1+(Skills!X10/10)*(Z1833/1000)/100,1)</f>
        <v>1.7650000000000001</v>
      </c>
      <c r="J1840">
        <f>((Inputs!$B$6*(1+Inputs!$B$7/100))+(((Inputs!$B$12*(1+Inputs!$B$13/100))-(Inputs!$B$12*(1+Inputs!$B$13/100)))+0.25*(Inputs!$B$14-Inputs!$B$14))*(1+Inputs!$B$7/100))*(F1840/100)</f>
        <v>1012621197.9803641</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10320015548620.971</v>
      </c>
      <c r="L1840">
        <f>K1840*(MIN(Inputs!$B$22+(F1852-Calc!F22),(Inputs!$B$23+(IF(ArtifactsInput!$M$15,CHOOSE(ArtifactsInput!$N$15+1,25,30,35,40,45,50)/100*(Inputs!$B$11-Inputs!$B$11),0))))/100+(Inputs!$B$23+(IF(ArtifactsInput!$M$15,CHOOSE(ArtifactsInput!$N$15+1,25,30,35,40,45,50)/100*(Inputs!$B$11-Inputs!$B$11),0)))/100)/2</f>
        <v>34314051699164.73</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161928009968358.34</v>
      </c>
      <c r="N1840">
        <f>L1840*(1-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161928009968358.34</v>
      </c>
      <c r="O1840">
        <f>(1-Summary!$B$11)*S1840+Summary!$B$11*U1840</f>
        <v>372695390660243.38</v>
      </c>
      <c r="P1840">
        <f>IF(B1871=0,0,O1840/B1871)</f>
        <v>9.8021872154419806E-3</v>
      </c>
      <c r="Q1840">
        <f>IFERROR(1/(IF(Inputs!$B$38="pvp",15,MAX(0.1,Skills!E10-IF(TRUE=TRUE,Inputs!$B$32,0)))*(1-IF(AND(ArtifactsInput!$M$27,Inputs!$B$4="Chapter Hunt"),CHOOSE(ArtifactsInput!$N$27+1,20,24,28,32,36,40),0)/100)),0)</f>
        <v>3.7037037037037035E-2</v>
      </c>
      <c r="R1840">
        <f>IF(AND(Inputs!$B$38&lt;&gt;"pvp",Inputs!$B$43&gt;0),IF(MAX(0,Inputs!$B$43-B1868)&lt;=0,0,(INT(MAX(0,Inputs!$B$43-B1868)/(IF(Inputs!$B$38="pvp",15,MAX(0.1,Skills!E10-IF(TRUE=TRUE,Inputs!$B$32,0)))*(1-IF(AND(ArtifactsInput!$M$27,Inputs!$B$4="Chapter Hunt"),CHOOSE(ArtifactsInput!$N$27+1,20,24,28,32,36,40),0)/100)))+1)),0)</f>
        <v>2</v>
      </c>
      <c r="S1840">
        <f>IF(C1840,(H1840*N1840*IF(AND(Inputs!$B$38&lt;&gt;"pvp",Inputs!$B$43&gt;0),((Skills!G10*((R1840-1)*IF(Skills!H10&gt;0,Skills!I10/Skills!H10,1)+IF(Skills!H10&gt;0,MIN(Skills!I10,MAX(0,MAX(0,Inputs!$B$43-B1868)-((R1840-1)*(IF(Inputs!$B$38="pvp",15,MAX(0.1,Skills!E10-IF(TRUE=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329093144399156.44</v>
      </c>
      <c r="U1840">
        <f>IF(C1840,(H1840*N1840*IF(AND(Inputs!$B$38&lt;&gt;"pvp",Inputs!$B$43&gt;0),((Skills!G10*((R1840-1)*IF(Skills!H10&gt;0,Skills!I10/Skills!H10,1)+IF(Skills!H10&gt;0,MIN(Skills!I10,MAX(0,MAX(0,Inputs!$B$43-B1868)-((R1840-1)*(IF(Inputs!$B$38="pvp",15,MAX(0.1,Skills!E10-IF(TRUE=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416297636921330.38</v>
      </c>
    </row>
    <row r="1841" spans="1:21" x14ac:dyDescent="0.2">
      <c r="A1841" t="str">
        <f>Skills!A11</f>
        <v>BURNING_MAGIC</v>
      </c>
      <c r="B1841" t="str">
        <f>Skills!B11</f>
        <v>Burning Magic</v>
      </c>
      <c r="C1841" t="b">
        <f>TRUE</f>
        <v>1</v>
      </c>
      <c r="D1841">
        <f>IF(Skills!C11=1,60+Inputs!$B$25+Inputs!$B$29,IF(Skills!C11=2,90+Inputs!$B$26+Inputs!$B$29,IF(Skills!C11=3,120+Inputs!$B$27+Inputs!$B$29,MAX(0,(Inputs!$B$3-100)*3)+Inputs!$B$28+Inputs!$B$29)))</f>
        <v>184</v>
      </c>
      <c r="E1841">
        <f>INDEX(FactorTable!$B$2:$Y$301, MATCH(ROUND(MIN(300,MAX(1,D1841)),0), FactorTable!$A$2:$A$301,0), Skills!M11+1)</f>
        <v>0</v>
      </c>
      <c r="F1841">
        <f>IF(Skills!N11=TRUE,(Skills!L11/10)*(E1841/1000),Skills!L11/10)+Skills!O11</f>
        <v>5</v>
      </c>
      <c r="G1841">
        <f>Calc!G11</f>
        <v>1</v>
      </c>
      <c r="H1841">
        <f>Calc!H11</f>
        <v>1</v>
      </c>
      <c r="I1841">
        <f>IF(Skills!X11&lt;&gt;"",1+(Skills!X11/10)*(Z1833/1000)/100,1)</f>
        <v>1</v>
      </c>
      <c r="O1841">
        <f>(1-Summary!$B$11)*S1841+Summary!$B$11*U1841</f>
        <v>0</v>
      </c>
      <c r="P1841">
        <f>IF(B1871=0,0,O1841/B1871)</f>
        <v>0</v>
      </c>
      <c r="Q1841">
        <f>IFERROR(1/(IF(Inputs!$B$38="pvp",15,MAX(0.1,Skills!E11-IF(TRUE=TRUE,Inputs!$B$32,0)))*(1-IF(AND(ArtifactsInput!$M$27,Inputs!$B$4="Chapter Hunt"),CHOOSE(ArtifactsInput!$N$27+1,20,24,28,32,36,40),0)/100)),0)</f>
        <v>10</v>
      </c>
      <c r="R1841">
        <v>0</v>
      </c>
      <c r="S1841">
        <v>0</v>
      </c>
      <c r="U1841">
        <v>0</v>
      </c>
    </row>
    <row r="1842" spans="1:21" x14ac:dyDescent="0.2">
      <c r="A1842" t="str">
        <f>Skills!A12</f>
        <v>ELEMENTAL_DECREASE</v>
      </c>
      <c r="B1842" t="str">
        <f>Skills!B12</f>
        <v>Elemental Decrease</v>
      </c>
      <c r="C1842" t="b">
        <f>TRUE</f>
        <v>1</v>
      </c>
      <c r="D1842">
        <f>IF(Skills!C12=1,60+Inputs!$B$25+Inputs!$B$29,IF(Skills!C12=2,90+Inputs!$B$26+Inputs!$B$29,IF(Skills!C12=3,120+Inputs!$B$27+Inputs!$B$29,MAX(0,(Inputs!$B$3-100)*3)+Inputs!$B$28+Inputs!$B$29)))</f>
        <v>184</v>
      </c>
      <c r="E1842">
        <f>INDEX(FactorTable!$B$2:$Y$301, MATCH(ROUND(MIN(300,MAX(1,D1842)),0), FactorTable!$A$2:$A$301,0), Skills!M12+1)</f>
        <v>1552</v>
      </c>
      <c r="F1842">
        <f>IF(Skills!N12=TRUE,(Skills!L12/10)*(E1842/1000),Skills!L12/10)+Skills!O12</f>
        <v>18.624000000000002</v>
      </c>
      <c r="G1842">
        <f>Calc!G12</f>
        <v>1</v>
      </c>
      <c r="H1842">
        <f>Calc!H12</f>
        <v>0.5</v>
      </c>
      <c r="I1842">
        <f>IF(Skills!X12&lt;&gt;"",1+(Skills!X12/10)*(Z1833/1000)/100,1)</f>
        <v>1</v>
      </c>
      <c r="O1842">
        <f>(1-Summary!$B$11)*S1842+Summary!$B$11*U1842</f>
        <v>0</v>
      </c>
      <c r="P1842">
        <f>IF(B1871=0,0,O1842/B1871)</f>
        <v>0</v>
      </c>
      <c r="Q1842">
        <f>IFERROR(1/(IF(Inputs!$B$38="pvp",15,MAX(0.1,Skills!E12-IF(TRUE=TRUE,Inputs!$B$32,0)))*(1-IF(AND(ArtifactsInput!$M$27,Inputs!$B$4="Chapter Hunt"),CHOOSE(ArtifactsInput!$N$27+1,20,24,28,32,36,40),0)/100)),0)</f>
        <v>10</v>
      </c>
      <c r="R1842">
        <v>0</v>
      </c>
      <c r="S1842">
        <v>0</v>
      </c>
      <c r="U1842">
        <v>0</v>
      </c>
    </row>
    <row r="1843" spans="1:21" x14ac:dyDescent="0.2">
      <c r="A1843" t="str">
        <f>Skills!A13</f>
        <v>METEOR_SHOWER_BURST</v>
      </c>
      <c r="B1843" t="str">
        <f>Skills!B13</f>
        <v>Meteor Shower (burst)</v>
      </c>
      <c r="C1843" t="b">
        <f>Inputs!$B$3&gt;=105</f>
        <v>1</v>
      </c>
      <c r="D1843">
        <f>IF(Skills!C13=1,60+Inputs!$B$25+Inputs!$B$29,IF(Skills!C13=2,90+Inputs!$B$26+Inputs!$B$29,IF(Skills!C13=3,120+Inputs!$B$27+Inputs!$B$29,MAX(0,(Inputs!$B$3-100)*3)+Inputs!$B$28+Inputs!$B$29)))</f>
        <v>185</v>
      </c>
      <c r="E1843">
        <f>INDEX(FactorTable!$B$2:$Y$301, MATCH(ROUND(MIN(300,MAX(1,D1843)),0), FactorTable!$A$2:$A$301,0), Skills!M13+1)</f>
        <v>1925</v>
      </c>
      <c r="F1843">
        <f>IF(Skills!N13=TRUE,(Skills!L13/10)*(E1843/1000),Skills!L13/10)+Skills!O13</f>
        <v>1155</v>
      </c>
      <c r="G1843">
        <f>Calc!G13</f>
        <v>9</v>
      </c>
      <c r="H1843">
        <f>Calc!H13</f>
        <v>1</v>
      </c>
      <c r="I1843">
        <f>IF(Skills!X13&lt;&gt;"",1+(Skills!X13/10)*(Z1833/1000)/100,1)</f>
        <v>1</v>
      </c>
      <c r="J1843">
        <f>((Inputs!$B$6*(1+Inputs!$B$7/100))+(((Inputs!$B$12*(1+Inputs!$B$13/100))-(Inputs!$B$12*(1+Inputs!$B$13/100)))+0.25*(Inputs!$B$14-Inputs!$B$14))*(1+Inputs!$B$7/100))*(F1843/100)</f>
        <v>4171103722.0660505</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24084609923212.125</v>
      </c>
      <c r="L1843">
        <f>K1843*(MIN(Inputs!$B$22+(F1852-Calc!F22),(Inputs!$B$23+(IF(ArtifactsInput!$M$15,CHOOSE(ArtifactsInput!$N$15+1,25,30,35,40,45,50)/100*(Inputs!$B$11-Inputs!$B$11),0))))/100+(Inputs!$B$23+(IF(ArtifactsInput!$M$15,CHOOSE(ArtifactsInput!$N$15+1,25,30,35,40,45,50)/100*(Inputs!$B$11-Inputs!$B$11),0)))/100)/2</f>
        <v>80081327994680.312</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377903786806896.38</v>
      </c>
      <c r="N1843">
        <f>L1843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377903786806896.38</v>
      </c>
      <c r="O1843">
        <f>(1-Summary!$B$11)*S1843+Summary!$B$11*U1843</f>
        <v>2061087253244812.8</v>
      </c>
      <c r="P1843">
        <f>IF(B1871=0,0,O1843/B1871)</f>
        <v>5.4208245204954361E-2</v>
      </c>
      <c r="Q1843">
        <f>IFERROR(1/(IF(Inputs!$B$38="pvp",15,MAX(0.1,Skills!E13-IF(TRUE=TRUE,Inputs!$B$32,0)))*(1-IF(AND(ArtifactsInput!$M$27,Inputs!$B$4="Chapter Hunt"),CHOOSE(ArtifactsInput!$N$27+1,20,24,28,32,36,40),0)/100)),0)</f>
        <v>3.0303030303030304E-2</v>
      </c>
      <c r="R1843">
        <f>IF(AND(Inputs!$B$38&lt;&gt;"pvp",Inputs!$B$43&gt;0),IF(MAX(0,Inputs!$B$43-B1868)&lt;=0,0,(INT(MAX(0,Inputs!$B$43-B1868)/(IF(Inputs!$B$38="pvp",15,MAX(0.1,Skills!E13-IF(TRUE=TRUE,Inputs!$B$32,0)))*(1-IF(AND(ArtifactsInput!$M$27,Inputs!$B$4="Chapter Hunt"),CHOOSE(ArtifactsInput!$N$27+1,20,24,28,32,36,40),0)/100)))+1)),0)</f>
        <v>2</v>
      </c>
      <c r="S1843">
        <f>IF(C1843,(H1843*N1843*IF(AND(Inputs!$B$38&lt;&gt;"pvp",Inputs!$B$43&gt;0),((Skills!G13*((R1843-1)*IF(Skills!H13&gt;0,Skills!I13/Skills!H13,1)+IF(Skills!H13&gt;0,MIN(Skills!I13,MAX(0,MAX(0,Inputs!$B$43-B1868)-((R1843-1)*(IF(Inputs!$B$38="pvp",15,MAX(0.1,Skills!E13-IF(TRUE=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539079751880037.69</v>
      </c>
      <c r="U1843">
        <f>IF(C1843,(H1843*N1843*IF(AND(Inputs!$B$38&lt;&gt;"pvp",Inputs!$B$43&gt;0),((Skills!G13*((R1843-1)*IF(Skills!H13&gt;0,Skills!I13/Skills!H13,1)+IF(Skills!H13&gt;0,MIN(Skills!I13,MAX(0,MAX(0,Inputs!$B$43-B1868)-((R1843-1)*(IF(Inputs!$B$38="pvp",15,MAX(0.1,Skills!E13-IF(TRUE=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3583094754609588</v>
      </c>
    </row>
    <row r="1844" spans="1:21" x14ac:dyDescent="0.2">
      <c r="A1844" t="str">
        <f>Skills!A14</f>
        <v>METEOR_PROC</v>
      </c>
      <c r="B1844" t="str">
        <f>Skills!B14</f>
        <v>Meteor Proc (30% on-hit, 1s ICD)</v>
      </c>
      <c r="C1844" t="b">
        <f>Inputs!$B$3&gt;=113</f>
        <v>1</v>
      </c>
      <c r="D1844">
        <f>IF(Skills!C14=1,60+Inputs!$B$25+Inputs!$B$29,IF(Skills!C14=2,90+Inputs!$B$26+Inputs!$B$29,IF(Skills!C14=3,120+Inputs!$B$27+Inputs!$B$29,MAX(0,(Inputs!$B$3-100)*3)+Inputs!$B$28+Inputs!$B$29)))</f>
        <v>185</v>
      </c>
      <c r="E1844">
        <f>INDEX(FactorTable!$B$2:$Y$301, MATCH(ROUND(MIN(300,MAX(1,D1844)),0), FactorTable!$A$2:$A$301,0), Skills!M14+1)</f>
        <v>1740</v>
      </c>
      <c r="F1844">
        <f>IF(Skills!N14=TRUE,(Skills!L14/10)*(E1844/1000),Skills!L14/10)+Skills!O14</f>
        <v>1653</v>
      </c>
      <c r="G1844">
        <f>Calc!G14</f>
        <v>0</v>
      </c>
      <c r="H1844">
        <f>Calc!H14</f>
        <v>0.30000000000000004</v>
      </c>
      <c r="I1844">
        <f>IF(Skills!X14&lt;&gt;"",1+(Skills!X14/10)*(Z1833/1000)/100,1)</f>
        <v>1</v>
      </c>
      <c r="J1844">
        <f>((Inputs!$B$6*(1+Inputs!$B$7/100))+(((Inputs!$B$12*(1+Inputs!$B$13/100))-(Inputs!$B$12*(1+Inputs!$B$13/100)))+0.25*(Inputs!$B$14-Inputs!$B$14))*(1+Inputs!$B$7/100))*(F1844/100)</f>
        <v>5969553638.5932312</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34469143032960.723</v>
      </c>
      <c r="L1844">
        <f>K1844*(MIN(Inputs!$B$22+(F1852-Calc!F22),(Inputs!$B$23+(IF(ArtifactsInput!$M$15,CHOOSE(ArtifactsInput!$N$15+1,25,30,35,40,45,50)/100*(Inputs!$B$11-Inputs!$B$11),0))))/100+(Inputs!$B$23+(IF(ArtifactsInput!$M$15,CHOOSE(ArtifactsInput!$N$15+1,25,30,35,40,45,50)/100*(Inputs!$B$11-Inputs!$B$11),0)))/100)/2</f>
        <v>114609900584594.41</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540844120858700.94</v>
      </c>
      <c r="N1844">
        <f>L1844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540844120858700.94</v>
      </c>
      <c r="O1844">
        <f>(1-Summary!$B$11)*S1844+Summary!$B$11*U1844</f>
        <v>530053565832978.25</v>
      </c>
      <c r="P1844">
        <f>IF(B1871=0,0,O1844/B1871)</f>
        <v>1.3940833229257573E-2</v>
      </c>
      <c r="Q1844">
        <f>IFERROR(1/(IF(Inputs!$B$38="pvp",15,MAX(0.1,Skills!E14-IF(TRUE=TRUE,Inputs!$B$32,0)))*(1-IF(AND(ArtifactsInput!$M$27,Inputs!$B$4="Chapter Hunt"),CHOOSE(ArtifactsInput!$N$27+1,20,24,28,32,36,40),0)/100)),0)</f>
        <v>10</v>
      </c>
      <c r="R1844">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543776635498556.94</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516330496167399.5</v>
      </c>
    </row>
    <row r="1845" spans="1:21" x14ac:dyDescent="0.2">
      <c r="A1845" t="str">
        <f>Skills!A15</f>
        <v>FLAME_HAZE_BURST</v>
      </c>
      <c r="B1845" t="str">
        <f>Skills!B15</f>
        <v>Flame Haze (burst)</v>
      </c>
      <c r="C1845" t="b">
        <f>Inputs!$B$3&gt;=107</f>
        <v>1</v>
      </c>
      <c r="D1845">
        <f>IF(Skills!C15=1,60+Inputs!$B$25+Inputs!$B$29,IF(Skills!C15=2,90+Inputs!$B$26+Inputs!$B$29,IF(Skills!C15=3,120+Inputs!$B$27+Inputs!$B$29,MAX(0,(Inputs!$B$3-100)*3)+Inputs!$B$28+Inputs!$B$29)))</f>
        <v>185</v>
      </c>
      <c r="E1845">
        <f>INDEX(FactorTable!$B$2:$Y$301, MATCH(ROUND(MIN(300,MAX(1,D1845)),0), FactorTable!$A$2:$A$301,0), Skills!M15+1)</f>
        <v>1925</v>
      </c>
      <c r="F1845">
        <f>IF(Skills!N15=TRUE,(Skills!L15/10)*(E1845/1000),Skills!L15/10)+Skills!O15</f>
        <v>2310</v>
      </c>
      <c r="G1845">
        <f>Calc!G15</f>
        <v>3</v>
      </c>
      <c r="H1845">
        <f>Calc!H15</f>
        <v>1</v>
      </c>
      <c r="I1845">
        <f>IF(Skills!X15&lt;&gt;"",1+(Skills!X15/10)*(Z1833/1000)/100,1)</f>
        <v>1</v>
      </c>
      <c r="J1845">
        <f>((Inputs!$B$6*(1+Inputs!$B$7/100))+(((Inputs!$B$12*(1+Inputs!$B$13/100))-(Inputs!$B$12*(1+Inputs!$B$13/100)))+0.25*(Inputs!$B$14-Inputs!$B$14))*(1+Inputs!$B$7/100))*(F1845/100)</f>
        <v>8342207444.1321011</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48169219846424.25</v>
      </c>
      <c r="L1845">
        <f>K1845*(MIN(Inputs!$B$22+(F1852-Calc!F22),(Inputs!$B$23+(IF(ArtifactsInput!$M$15,CHOOSE(ArtifactsInput!$N$15+1,25,30,35,40,45,50)/100*(Inputs!$B$11-Inputs!$B$11),0))))/100+(Inputs!$B$23+(IF(ArtifactsInput!$M$15,CHOOSE(ArtifactsInput!$N$15+1,25,30,35,40,45,50)/100*(Inputs!$B$11-Inputs!$B$11),0)))/100)/2</f>
        <v>160162655989360.62</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755807573613792.75</v>
      </c>
      <c r="N1845">
        <f>L1845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755807573613792.75</v>
      </c>
      <c r="O1845">
        <f>(1-Summary!$B$11)*S1845+Summary!$B$11*U1845</f>
        <v>1885928848059816.2</v>
      </c>
      <c r="P1845">
        <f>IF(B1871=0,0,O1845/B1871)</f>
        <v>4.9601438888031674E-2</v>
      </c>
      <c r="Q1845">
        <f>IFERROR(1/(IF(Inputs!$B$38="pvp",15,MAX(0.1,Skills!E15-IF(TRUE=TRUE,Inputs!$B$32,0)))*(1-IF(AND(ArtifactsInput!$M$27,Inputs!$B$4="Chapter Hunt"),CHOOSE(ArtifactsInput!$N$27+1,20,24,28,32,36,40),0)/100)),0)</f>
        <v>0.04</v>
      </c>
      <c r="R1845">
        <f>IF(AND(Inputs!$B$38&lt;&gt;"pvp",Inputs!$B$43&gt;0),IF(MAX(0,Inputs!$B$43-B1868)&lt;=0,0,(INT(MAX(0,Inputs!$B$43-B1868)/(IF(Inputs!$B$38="pvp",15,MAX(0.1,Skills!E15-IF(TRUE=TRUE,Inputs!$B$32,0)))*(1-IF(AND(ArtifactsInput!$M$27,Inputs!$B$4="Chapter Hunt"),CHOOSE(ArtifactsInput!$N$27+1,20,24,28,32,36,40),0)/100)))+1)),0)</f>
        <v>2</v>
      </c>
      <c r="S1845">
        <f>IF(C1845,(H1845*N1845*IF(AND(Inputs!$B$38&lt;&gt;"pvp",Inputs!$B$43&gt;0),((Skills!G15*((R1845-1)*IF(Skills!H15&gt;0,Skills!I15/Skills!H15,1)+IF(Skills!H15&gt;0,MIN(Skills!I15,MAX(0,MAX(0,Inputs!$B$43-B1868)-((R1845-1)*(IF(Inputs!$B$38="pvp",15,MAX(0.1,Skills!E15-IF(TRUE=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359386501253358.44</v>
      </c>
      <c r="U1845">
        <f>IF(C1845,(H1845*N1845*IF(AND(Inputs!$B$38&lt;&gt;"pvp",Inputs!$B$43&gt;0),((Skills!G15*((R1845-1)*IF(Skills!H15&gt;0,Skills!I15/Skills!H15,1)+IF(Skills!H15&gt;0,MIN(Skills!I15,MAX(0,MAX(0,Inputs!$B$43-B1868)-((R1845-1)*(IF(Inputs!$B$38="pvp",15,MAX(0.1,Skills!E15-IF(TRUE=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3412471194866274</v>
      </c>
    </row>
    <row r="1846" spans="1:21" x14ac:dyDescent="0.2">
      <c r="A1846" t="str">
        <f>Skills!A16</f>
        <v>FLAME_HAZE_DOT</v>
      </c>
      <c r="B1846" t="str">
        <f>Skills!B16</f>
        <v>Flame Haze (burn DoT)</v>
      </c>
      <c r="C1846" t="b">
        <f>Inputs!$B$3&gt;=107</f>
        <v>1</v>
      </c>
      <c r="D1846">
        <f>IF(Skills!C16=1,60+Inputs!$B$25+Inputs!$B$29,IF(Skills!C16=2,90+Inputs!$B$26+Inputs!$B$29,IF(Skills!C16=3,120+Inputs!$B$27+Inputs!$B$29,MAX(0,(Inputs!$B$3-100)*3)+Inputs!$B$28+Inputs!$B$29)))</f>
        <v>185</v>
      </c>
      <c r="E1846">
        <f>INDEX(FactorTable!$B$2:$Y$301, MATCH(ROUND(MIN(300,MAX(1,D1846)),0), FactorTable!$A$2:$A$301,0), Skills!M16+1)</f>
        <v>1925</v>
      </c>
      <c r="F1846">
        <f>IF(Skills!N16=TRUE,(Skills!L16/10)*(E1846/1000),Skills!L16/10)+Skills!O16</f>
        <v>288.75</v>
      </c>
      <c r="G1846">
        <f>Calc!G16</f>
        <v>30</v>
      </c>
      <c r="H1846">
        <f>Calc!H16</f>
        <v>1</v>
      </c>
      <c r="I1846">
        <f>IF(Skills!X16&lt;&gt;"",1+(Skills!X16/10)*(Z1833/1000)/100,1)</f>
        <v>1</v>
      </c>
      <c r="J1846">
        <f>((Inputs!$B$6*(1+Inputs!$B$7/100))+(((Inputs!$B$12*(1+Inputs!$B$13/100))-(Inputs!$B$12*(1+Inputs!$B$13/100)))+0.25*(Inputs!$B$14-Inputs!$B$14))*(1+Inputs!$B$7/100))*(F1846/100)</f>
        <v>1042775930.5165126</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6021152480803.0312</v>
      </c>
      <c r="L1846">
        <f>K1846*(MIN(Inputs!$B$22+(F1852-Calc!F22),(Inputs!$B$23+(IF(ArtifactsInput!$M$15,CHOOSE(ArtifactsInput!$N$15+1,25,30,35,40,45,50)/100*(Inputs!$B$11-Inputs!$B$11),0))))/100+(Inputs!$B$23+(IF(ArtifactsInput!$M$15,CHOOSE(ArtifactsInput!$N$15+1,25,30,35,40,45,50)/100*(Inputs!$B$11-Inputs!$B$11),0)))/100)/2</f>
        <v>20020331998670.078</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94475946701724.094</v>
      </c>
      <c r="N1846">
        <f>L1846*(1-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94475946701724.094</v>
      </c>
      <c r="O1846">
        <f>(1-Summary!$B$11)*S1846+Summary!$B$11*U1846</f>
        <v>2172330545363730.5</v>
      </c>
      <c r="P1846">
        <f>IF(B1871=0,0,O1846/B1871)</f>
        <v>5.713403286731316E-2</v>
      </c>
      <c r="Q1846">
        <f>IFERROR(1/(IF(Inputs!$B$38="pvp",15,MAX(0.1,Skills!E16-IF(TRUE=TRUE,Inputs!$B$32,0)))*(1-IF(AND(ArtifactsInput!$M$27,Inputs!$B$4="Chapter Hunt"),CHOOSE(ArtifactsInput!$N$27+1,20,24,28,32,36,40),0)/100)),0)</f>
        <v>0.04</v>
      </c>
      <c r="R1846">
        <f>IF(AND(Inputs!$B$38&lt;&gt;"pvp",Inputs!$B$43&gt;0),IF(MAX(0,Inputs!$B$43-B1868)&lt;=0,0,(INT(MAX(0,Inputs!$B$43-B1868)/(IF(Inputs!$B$38="pvp",15,MAX(0.1,Skills!E16-IF(TRUE=TRUE,Inputs!$B$32,0)))*(1-IF(AND(ArtifactsInput!$M$27,Inputs!$B$4="Chapter Hunt"),CHOOSE(ArtifactsInput!$N$27+1,20,24,28,32,36,40),0)/100)))+1)),0)</f>
        <v>2</v>
      </c>
      <c r="S1846">
        <f>IF(C1846,(H1846*N1846*IF(AND(Inputs!$B$38&lt;&gt;"pvp",Inputs!$B$43&gt;0),((Skills!G16*((R1846-1)*IF(Skills!H16&gt;0,Skills!I16/Skills!H16,1)+IF(Skills!H16&gt;0,MIN(Skills!I16,MAX(0,MAX(0,Inputs!$B$43-B1868)-((R1846-1)*(IF(Inputs!$B$38="pvp",15,MAX(0.1,Skills!E16-IF(TRUE=TRUE,Inputs!$B$32,0)))*(1-IF(AND(ArtifactsInput!$M$27,Inputs!$B$4="Chapter Hunt"),CHOOSE(ArtifactsInput!$N$27+1,20,24,28,32,36,40),0)/100)))))/Skills!H16,1)))/Inputs!$B$43),G1846*Q1846)*(1+IF(Inputs!$B$3&gt;=126,0.05*(B1866+Q1843+(H1844*B1867)/(1+Skills!H14*H1844*B1867)+Q1854),0)*(1/Q1845)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413963800949986.5</v>
      </c>
      <c r="U1846">
        <f>IF(C1846,(H1846*N1846*IF(AND(Inputs!$B$38&lt;&gt;"pvp",Inputs!$B$43&gt;0),((Skills!G16*((R1846-1)*IF(Skills!H16&gt;0,Skills!I16/Skills!H16,1)+IF(Skills!H16&gt;0,MIN(Skills!I16,MAX(0,MAX(0,Inputs!$B$43-B1868)-((R1846-1)*(IF(Inputs!$B$38="pvp",15,MAX(0.1,Skills!E16-IF(TRUE=TRUE,Inputs!$B$32,0)))*(1-IF(AND(ArtifactsInput!$M$27,Inputs!$B$4="Chapter Hunt"),CHOOSE(ArtifactsInput!$N$27+1,20,24,28,32,36,40),0)/100)))))/Skills!H16,1)))/Inputs!$B$43),G1846*Q1846)*(1+IF(Inputs!$B$3&gt;=126,0.05*(B1866+Q1843+(H1844*B1867)/(1+Skills!H14*H1844*B1867)+Q1854),0)*(1/Q1845)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3930697289777474.5</v>
      </c>
    </row>
    <row r="1847" spans="1:21" x14ac:dyDescent="0.2">
      <c r="A1847" t="str">
        <f>Skills!A17</f>
        <v>MAGIC_GUARD</v>
      </c>
      <c r="B1847" t="str">
        <f>Skills!B17</f>
        <v>Magic Guard</v>
      </c>
      <c r="C1847" t="b">
        <f>TRUE</f>
        <v>1</v>
      </c>
      <c r="D1847">
        <f>IF(Skills!C17=1,60+Inputs!$B$25+Inputs!$B$29,IF(Skills!C17=2,90+Inputs!$B$26+Inputs!$B$29,IF(Skills!C17=3,120+Inputs!$B$27+Inputs!$B$29,MAX(0,(Inputs!$B$3-100)*3)+Inputs!$B$28+Inputs!$B$29)))</f>
        <v>127</v>
      </c>
      <c r="E1847">
        <f>INDEX(FactorTable!$B$2:$Y$301, MATCH(ROUND(MIN(300,MAX(1,D1847)),0), FactorTable!$A$2:$A$301,0), Skills!M17+1)</f>
        <v>1508</v>
      </c>
      <c r="F1847">
        <f>IF(Skills!N17=TRUE,(Skills!L17/10)*(E1847/1000),Skills!L17/10)+Skills!O17</f>
        <v>18.096</v>
      </c>
      <c r="G1847">
        <f>Calc!G17</f>
        <v>1</v>
      </c>
      <c r="H1847">
        <f>Calc!H17</f>
        <v>1</v>
      </c>
      <c r="I1847">
        <f>IF(Skills!X17&lt;&gt;"",1+(Skills!X17/10)*(Z1833/1000)/100,1)</f>
        <v>1</v>
      </c>
      <c r="O1847">
        <f>(1-Summary!$B$11)*S1847+Summary!$B$11*U1847</f>
        <v>0</v>
      </c>
      <c r="P1847">
        <f>IF(B1871=0,0,O1847/B1871)</f>
        <v>0</v>
      </c>
      <c r="Q1847">
        <f>IFERROR(1/(IF(Inputs!$B$38="pvp",15,MAX(0.1,Skills!E17-IF(TRUE=TRUE,Inputs!$B$32,0)))*(1-IF(AND(ArtifactsInput!$M$27,Inputs!$B$4="Chapter Hunt"),CHOOSE(ArtifactsInput!$N$27+1,20,24,28,32,36,40),0)/100)),0)</f>
        <v>4.7619047619047616E-2</v>
      </c>
      <c r="R1847">
        <f>IF(AND(Inputs!$B$38&lt;&gt;"pvp",Inputs!$B$43&gt;0),IF(Inputs!$B$43&lt;=0,0,(INT(Inputs!$B$43/(IF(Inputs!$B$38="pvp",15,MAX(0.1,Skills!E17-IF(TRUE=TRUE,Inputs!$B$32,0)))*(1-IF(AND(ArtifactsInput!$M$27,Inputs!$B$4="Chapter Hunt"),CHOOSE(ArtifactsInput!$N$27+1,20,24,28,32,36,40),0)/100)))+1)),0)</f>
        <v>2</v>
      </c>
      <c r="S1847">
        <v>0</v>
      </c>
      <c r="U1847">
        <v>0</v>
      </c>
    </row>
    <row r="1848" spans="1:21" x14ac:dyDescent="0.2">
      <c r="A1848" t="str">
        <f>Skills!A18</f>
        <v>NIMBLE_FEET</v>
      </c>
      <c r="B1848" t="str">
        <f>Skills!B18</f>
        <v>Nimble Feet</v>
      </c>
      <c r="C1848" t="b">
        <f>TRUE</f>
        <v>1</v>
      </c>
      <c r="D1848">
        <f>IF(Skills!C18=1,60+Inputs!$B$25+Inputs!$B$29,IF(Skills!C18=2,90+Inputs!$B$26+Inputs!$B$29,IF(Skills!C18=3,120+Inputs!$B$27+Inputs!$B$29,MAX(0,(Inputs!$B$3-100)*3)+Inputs!$B$28+Inputs!$B$29)))</f>
        <v>127</v>
      </c>
      <c r="E1848">
        <f>INDEX(FactorTable!$B$2:$Y$301, MATCH(ROUND(MIN(300,MAX(1,D1848)),0), FactorTable!$A$2:$A$301,0), Skills!M18+1)</f>
        <v>0</v>
      </c>
      <c r="F1848">
        <f>IF(Skills!N18=TRUE,(Skills!L18/10)*(E1848/1000),Skills!L18/10)+Skills!O18</f>
        <v>15</v>
      </c>
      <c r="G1848">
        <f>Calc!G18</f>
        <v>1</v>
      </c>
      <c r="H1848">
        <f>Calc!H18</f>
        <v>1</v>
      </c>
      <c r="I1848">
        <f>IF(Skills!X18&lt;&gt;"",1+(Skills!X18/10)*(Z1833/1000)/100,1)</f>
        <v>1</v>
      </c>
      <c r="O1848">
        <f>(1-Summary!$B$11)*S1848+Summary!$B$11*U1848</f>
        <v>0</v>
      </c>
      <c r="P1848">
        <f>IF(B1871=0,0,O1848/B1871)</f>
        <v>0</v>
      </c>
      <c r="Q1848">
        <f>IFERROR(1/(IF(Inputs!$B$38="pvp",15,MAX(0.1,Skills!E18-IF(TRUE=TRUE,Inputs!$B$32,0)))*(1-IF(AND(ArtifactsInput!$M$27,Inputs!$B$4="Chapter Hunt"),CHOOSE(ArtifactsInput!$N$27+1,20,24,28,32,36,40),0)/100)),0)</f>
        <v>1.6666666666666666E-2</v>
      </c>
      <c r="R1848">
        <f>IF(AND(Inputs!$B$38&lt;&gt;"pvp",Inputs!$B$43&gt;0),IF(Inputs!$B$43&lt;=0,0,(INT(Inputs!$B$43/(IF(Inputs!$B$38="pvp",15,MAX(0.1,Skills!E18-IF(TRUE=TRUE,Inputs!$B$32,0)))*(1-IF(AND(ArtifactsInput!$M$27,Inputs!$B$4="Chapter Hunt"),CHOOSE(ArtifactsInput!$N$27+1,20,24,28,32,36,40),0)/100)))+1)),0)</f>
        <v>1</v>
      </c>
      <c r="S1848">
        <v>0</v>
      </c>
      <c r="U1848">
        <v>0</v>
      </c>
    </row>
    <row r="1849" spans="1:21" x14ac:dyDescent="0.2">
      <c r="A1849" t="str">
        <f>Skills!A19</f>
        <v>INFINITY</v>
      </c>
      <c r="B1849" t="str">
        <f>Skills!B19</f>
        <v>Infinity</v>
      </c>
      <c r="C1849" t="b">
        <f>Inputs!$B$3&gt;=110</f>
        <v>1</v>
      </c>
      <c r="D1849">
        <f>IF(Skills!C19=1,60+Inputs!$B$25+Inputs!$B$29,IF(Skills!C19=2,90+Inputs!$B$26+Inputs!$B$29,IF(Skills!C19=3,120+Inputs!$B$27+Inputs!$B$29,MAX(0,(Inputs!$B$3-100)*3)+Inputs!$B$28+Inputs!$B$29)))</f>
        <v>185</v>
      </c>
      <c r="E1849">
        <f>INDEX(FactorTable!$B$2:$Y$301, MATCH(ROUND(MIN(300,MAX(1,D1849)),0), FactorTable!$A$2:$A$301,0), Skills!M19+1)</f>
        <v>1740</v>
      </c>
      <c r="F1849">
        <f>IF(Skills!N19=TRUE,(Skills!L19/10)*(E1849/1000),Skills!L19/10)+Skills!O19</f>
        <v>37.700579999999995</v>
      </c>
      <c r="G1849">
        <f>Calc!G19</f>
        <v>1</v>
      </c>
      <c r="H1849">
        <f>Calc!H19</f>
        <v>1</v>
      </c>
      <c r="I1849">
        <f>IF(Skills!X19&lt;&gt;"",1+(Skills!X19/10)*(Z1833/1000)/100,1)</f>
        <v>1</v>
      </c>
      <c r="O1849">
        <f>(1-Summary!$B$11)*S1849+Summary!$B$11*U1849</f>
        <v>0</v>
      </c>
      <c r="P1849">
        <f>IF(B1871=0,0,O1849/B1871)</f>
        <v>0</v>
      </c>
      <c r="Q1849">
        <f>IFERROR(1/(IF(Inputs!$B$38="pvp",15,MAX(0.1,Skills!E19-IF(TRUE=TRUE,Inputs!$B$32,0)))*(1-IF(AND(ArtifactsInput!$M$27,Inputs!$B$4="Chapter Hunt"),CHOOSE(ArtifactsInput!$N$27+1,20,24,28,32,36,40),0)/100)),0)</f>
        <v>3.3333333333333333E-2</v>
      </c>
      <c r="R1849">
        <f>IF(AND(Inputs!$B$38&lt;&gt;"pvp",Inputs!$B$43&gt;0),IF(Inputs!$B$43&lt;=0,0,(INT(Inputs!$B$43/(IF(Inputs!$B$38="pvp",15,MAX(0.1,Skills!E19-IF(TRUE=TRUE,Inputs!$B$32,0)))*(1-IF(AND(ArtifactsInput!$M$27,Inputs!$B$4="Chapter Hunt"),CHOOSE(ArtifactsInput!$N$27+1,20,24,28,32,36,40),0)/100)))+1)),0)</f>
        <v>2</v>
      </c>
      <c r="S1849">
        <v>0</v>
      </c>
      <c r="U1849">
        <v>0</v>
      </c>
    </row>
    <row r="1850" spans="1:21" x14ac:dyDescent="0.2">
      <c r="A1850" t="str">
        <f>Skills!A20</f>
        <v>MAGIC_CRITICAL_RATE</v>
      </c>
      <c r="B1850" t="str">
        <f>Skills!B20</f>
        <v>Magic Critical (Crit Rate)</v>
      </c>
      <c r="C1850" t="b">
        <f>TRUE</f>
        <v>1</v>
      </c>
      <c r="D1850">
        <f>IF(Skills!C20=1,60+Inputs!$B$25+Inputs!$B$29,IF(Skills!C20=2,90+Inputs!$B$26+Inputs!$B$29,IF(Skills!C20=3,120+Inputs!$B$27+Inputs!$B$29,MAX(0,(Inputs!$B$3-100)*3)+Inputs!$B$28+Inputs!$B$29)))</f>
        <v>184</v>
      </c>
      <c r="E1850">
        <f>INDEX(FactorTable!$B$2:$Y$301, MATCH(ROUND(MIN(300,MAX(1,D1850)),0), FactorTable!$A$2:$A$301,0), Skills!M20+1)</f>
        <v>1552</v>
      </c>
      <c r="F1850">
        <f>IF(Skills!N20=TRUE,(Skills!L20/10)*(E1850/1000),Skills!L20/10)+Skills!O20</f>
        <v>12.416</v>
      </c>
      <c r="G1850">
        <f>Calc!G20</f>
        <v>1</v>
      </c>
      <c r="H1850">
        <f>Calc!H20</f>
        <v>1</v>
      </c>
      <c r="I1850">
        <f>IF(Skills!X20&lt;&gt;"",1+(Skills!X20/10)*(Z1833/1000)/100,1)</f>
        <v>1</v>
      </c>
      <c r="O1850">
        <f>(1-Summary!$B$11)*S1850+Summary!$B$11*U1850</f>
        <v>0</v>
      </c>
      <c r="P1850">
        <f>IF(B1871=0,0,O1850/B1871)</f>
        <v>0</v>
      </c>
      <c r="Q1850">
        <f>IFERROR(1/(IF(Inputs!$B$38="pvp",15,MAX(0.1,Skills!E20-IF(TRUE=TRUE,Inputs!$B$32,0)))*(1-IF(AND(ArtifactsInput!$M$27,Inputs!$B$4="Chapter Hunt"),CHOOSE(ArtifactsInput!$N$27+1,20,24,28,32,36,40),0)/100)),0)</f>
        <v>10</v>
      </c>
      <c r="R1850">
        <v>0</v>
      </c>
      <c r="S1850">
        <v>0</v>
      </c>
      <c r="U1850">
        <v>0</v>
      </c>
    </row>
    <row r="1851" spans="1:21" x14ac:dyDescent="0.2">
      <c r="A1851" t="str">
        <f>Skills!A21</f>
        <v>MAGIC_CRITICAL_DAMAGE</v>
      </c>
      <c r="B1851" t="str">
        <f>Skills!B21</f>
        <v>Magic Critical (Crit Damage)</v>
      </c>
      <c r="C1851" t="b">
        <f>TRUE</f>
        <v>1</v>
      </c>
      <c r="D1851">
        <f>IF(Skills!C21=1,60+Inputs!$B$25+Inputs!$B$29,IF(Skills!C21=2,90+Inputs!$B$26+Inputs!$B$29,IF(Skills!C21=3,120+Inputs!$B$27+Inputs!$B$29,MAX(0,(Inputs!$B$3-100)*3)+Inputs!$B$28+Inputs!$B$29)))</f>
        <v>184</v>
      </c>
      <c r="E1851">
        <f>INDEX(FactorTable!$B$2:$Y$301, MATCH(ROUND(MIN(300,MAX(1,D1851)),0), FactorTable!$A$2:$A$301,0), Skills!M21+1)</f>
        <v>1552</v>
      </c>
      <c r="F1851">
        <f>IF(Skills!N21=TRUE,(Skills!L21/10)*(E1851/1000),Skills!L21/10)+Skills!O21</f>
        <v>18.624000000000002</v>
      </c>
      <c r="G1851">
        <f>Calc!G21</f>
        <v>1</v>
      </c>
      <c r="H1851">
        <f>Calc!H21</f>
        <v>1</v>
      </c>
      <c r="I1851">
        <f>IF(Skills!X21&lt;&gt;"",1+(Skills!X21/10)*(Z1833/1000)/100,1)</f>
        <v>1</v>
      </c>
      <c r="O1851">
        <f>(1-Summary!$B$11)*S1851+Summary!$B$11*U1851</f>
        <v>0</v>
      </c>
      <c r="P1851">
        <f>IF(B1871=0,0,O1851/B1871)</f>
        <v>0</v>
      </c>
      <c r="Q1851">
        <f>IFERROR(1/(IF(Inputs!$B$38="pvp",15,MAX(0.1,Skills!E21-IF(TRUE=TRUE,Inputs!$B$32,0)))*(1-IF(AND(ArtifactsInput!$M$27,Inputs!$B$4="Chapter Hunt"),CHOOSE(ArtifactsInput!$N$27+1,20,24,28,32,36,40),0)/100)),0)</f>
        <v>10</v>
      </c>
      <c r="R1851">
        <v>0</v>
      </c>
      <c r="S1851">
        <v>0</v>
      </c>
      <c r="U1851">
        <v>0</v>
      </c>
    </row>
    <row r="1852" spans="1:21" x14ac:dyDescent="0.2">
      <c r="A1852" t="str">
        <f>Skills!A22</f>
        <v>SPELL_MASTERY</v>
      </c>
      <c r="B1852" t="str">
        <f>Skills!B22</f>
        <v>Spell Mastery</v>
      </c>
      <c r="C1852" t="b">
        <f>TRUE</f>
        <v>1</v>
      </c>
      <c r="D1852">
        <f>IF(Skills!C22=1,60+Inputs!$B$25+Inputs!$B$29,IF(Skills!C22=2,90+Inputs!$B$26+Inputs!$B$29,IF(Skills!C22=3,120+Inputs!$B$27+Inputs!$B$29,MAX(0,(Inputs!$B$3-100)*3)+Inputs!$B$28+Inputs!$B$29)))</f>
        <v>168</v>
      </c>
      <c r="E1852">
        <f>INDEX(FactorTable!$B$2:$Y$301, MATCH(ROUND(MIN(300,MAX(1,D1852)),0), FactorTable!$A$2:$A$301,0), Skills!M22+1)</f>
        <v>1504</v>
      </c>
      <c r="F1852">
        <f>IF(Skills!N22=TRUE,(Skills!L22/10)*(E1852/1000),Skills!L22/10)+Skills!O22</f>
        <v>22.56</v>
      </c>
      <c r="G1852">
        <f>Calc!G22</f>
        <v>1</v>
      </c>
      <c r="H1852">
        <f>Calc!H22</f>
        <v>1</v>
      </c>
      <c r="I1852">
        <f>IF(Skills!X22&lt;&gt;"",1+(Skills!X22/10)*(Z1833/1000)/100,1)</f>
        <v>1</v>
      </c>
      <c r="O1852">
        <f>(1-Summary!$B$11)*S1852+Summary!$B$11*U1852</f>
        <v>0</v>
      </c>
      <c r="P1852">
        <f>IF(B1871=0,0,O1852/B1871)</f>
        <v>0</v>
      </c>
      <c r="Q1852">
        <f>IFERROR(1/(IF(Inputs!$B$38="pvp",15,MAX(0.1,Skills!E22-IF(TRUE=TRUE,Inputs!$B$32,0)))*(1-IF(AND(ArtifactsInput!$M$27,Inputs!$B$4="Chapter Hunt"),CHOOSE(ArtifactsInput!$N$27+1,20,24,28,32,36,40),0)/100)),0)</f>
        <v>10</v>
      </c>
      <c r="R1852">
        <v>0</v>
      </c>
      <c r="S1852">
        <v>0</v>
      </c>
      <c r="U1852">
        <v>0</v>
      </c>
    </row>
    <row r="1853" spans="1:21" x14ac:dyDescent="0.2">
      <c r="A1853" t="str">
        <f>Skills!A23</f>
        <v>ELEMENT_AMPLIFICATION</v>
      </c>
      <c r="B1853" t="str">
        <f>Skills!B23</f>
        <v>Element Amplification</v>
      </c>
      <c r="C1853" t="b">
        <f>TRUE</f>
        <v>1</v>
      </c>
      <c r="D1853">
        <f>IF(Skills!C23=1,60+Inputs!$B$25+Inputs!$B$29,IF(Skills!C23=2,90+Inputs!$B$26+Inputs!$B$29,IF(Skills!C23=3,120+Inputs!$B$27+Inputs!$B$29,MAX(0,(Inputs!$B$3-100)*3)+Inputs!$B$28+Inputs!$B$29)))</f>
        <v>185</v>
      </c>
      <c r="E1853">
        <f>INDEX(FactorTable!$B$2:$Y$301, MATCH(ROUND(MIN(300,MAX(1,D1853)),0), FactorTable!$A$2:$A$301,0), Skills!M23+1)</f>
        <v>1555</v>
      </c>
      <c r="F1853">
        <f>IF(Skills!N23=TRUE,(Skills!L23/10)*(E1853/1000),Skills!L23/10)+Skills!O23</f>
        <v>23.324999999999999</v>
      </c>
      <c r="G1853">
        <f>Calc!G23</f>
        <v>1</v>
      </c>
      <c r="H1853">
        <f>Calc!H23</f>
        <v>1</v>
      </c>
      <c r="I1853">
        <f>IF(Skills!X23&lt;&gt;"",1+(Skills!X23/10)*(Z1833/1000)/100,1)</f>
        <v>1</v>
      </c>
      <c r="O1853">
        <f>(1-Summary!$B$11)*S1853+Summary!$B$11*U1853</f>
        <v>0</v>
      </c>
      <c r="P1853">
        <f>IF(B1871=0,0,O1853/B1871)</f>
        <v>0</v>
      </c>
      <c r="Q1853">
        <f>IFERROR(1/(IF(Inputs!$B$38="pvp",15,MAX(0.1,Skills!E23-IF(TRUE=TRUE,Inputs!$B$32,0)))*(1-IF(AND(ArtifactsInput!$M$27,Inputs!$B$4="Chapter Hunt"),CHOOSE(ArtifactsInput!$N$27+1,20,24,28,32,36,40),0)/100)),0)</f>
        <v>10</v>
      </c>
      <c r="R1853">
        <v>0</v>
      </c>
      <c r="S1853">
        <v>0</v>
      </c>
      <c r="U1853">
        <v>0</v>
      </c>
    </row>
    <row r="1854" spans="1:21" x14ac:dyDescent="0.2">
      <c r="A1854" t="str">
        <f>Skills!A24</f>
        <v>IFRIT</v>
      </c>
      <c r="B1854" t="str">
        <f>Skills!B24</f>
        <v>Ifrit</v>
      </c>
      <c r="C1854" t="b">
        <f>Inputs!$B$3&gt;=115</f>
        <v>1</v>
      </c>
      <c r="D1854">
        <f>IF(Skills!C24=1,60+Inputs!$B$25+Inputs!$B$29,IF(Skills!C24=2,90+Inputs!$B$26+Inputs!$B$29,IF(Skills!C24=3,120+Inputs!$B$27+Inputs!$B$29,MAX(0,(Inputs!$B$3-100)*3)+Inputs!$B$28+Inputs!$B$29)))</f>
        <v>185</v>
      </c>
      <c r="E1854">
        <f>INDEX(FactorTable!$B$2:$Y$301, MATCH(ROUND(MIN(300,MAX(1,D1854)),0), FactorTable!$A$2:$A$301,0), Skills!M24+1)</f>
        <v>1925</v>
      </c>
      <c r="F1854">
        <f>IF(Skills!N24=TRUE,(Skills!L24/10)*(E1854/1000),Skills!L24/10)+Skills!O24</f>
        <v>6737.5</v>
      </c>
      <c r="G1854">
        <f>Calc!G24</f>
        <v>7.5</v>
      </c>
      <c r="H1854">
        <f>Calc!H24</f>
        <v>1</v>
      </c>
      <c r="I1854">
        <f>IF(Skills!X24&lt;&gt;"",1+(Skills!X24/10)*(Z1833/1000)/100,1)</f>
        <v>1</v>
      </c>
      <c r="J1854">
        <f>((Inputs!$B$6*(1+Inputs!$B$7/100))+(((Inputs!$B$12*(1+Inputs!$B$13/100))-(Inputs!$B$12*(1+Inputs!$B$13/100)))+0.25*(Inputs!$B$14-Inputs!$B$14))*(1+Inputs!$B$7/100))*(F1854/100)</f>
        <v>24331438378.718628</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140493557885404.08</v>
      </c>
      <c r="L1854">
        <f>K1854*(MIN(Inputs!$B$22+(F1852-Calc!F22),(Inputs!$B$23+(IF(ArtifactsInput!$M$15,CHOOSE(ArtifactsInput!$N$15+1,25,30,35,40,45,50)/100*(Inputs!$B$11-Inputs!$B$11),0))))/100+(Inputs!$B$23+(IF(ArtifactsInput!$M$15,CHOOSE(ArtifactsInput!$N$15+1,25,30,35,40,45,50)/100*(Inputs!$B$11-Inputs!$B$11),0)))/100)/2</f>
        <v>467141079968968.56</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2204438756373562.2</v>
      </c>
      <c r="N1854">
        <f>L1854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2204438756373562.2</v>
      </c>
      <c r="O1854">
        <f>(1-Summary!$B$11)*S1854+Summary!$B$11*U1854</f>
        <v>2521326827602262</v>
      </c>
      <c r="P1854">
        <f>IF(B1871=0,0,O1854/B1871)</f>
        <v>6.6312914553869617E-2</v>
      </c>
      <c r="Q1854">
        <f>IFERROR(1/(IF(Inputs!$B$38="pvp",15,MAX(0.1,Skills!E24-IF(TRUE=TRUE,Inputs!$B$32,0)))*(1-IF(AND(ArtifactsInput!$M$27,Inputs!$B$4="Chapter Hunt"),CHOOSE(ArtifactsInput!$N$27+1,20,24,28,32,36,40),0)/100)),0)</f>
        <v>1.2500000000000001E-2</v>
      </c>
      <c r="R1854">
        <f>IF(AND(Inputs!$B$38&lt;&gt;"pvp",Inputs!$B$43&gt;0),IF(MAX(0,Inputs!$B$43-B1868)&lt;=0,0,(INT(MAX(0,Inputs!$B$43-B1868)/(IF(Inputs!$B$38="pvp",15,MAX(0.1,Skills!E24-IF(TRUE=TRUE,Inputs!$B$32,0)))*(1-IF(AND(ArtifactsInput!$M$27,Inputs!$B$4="Chapter Hunt"),CHOOSE(ArtifactsInput!$N$27+1,20,24,28,32,36,40),0)/100)))+1)),0)</f>
        <v>1</v>
      </c>
      <c r="S1854">
        <f>IF(C1854,(H1854*N1854*IF(AND(Inputs!$B$38&lt;&gt;"pvp",Inputs!$B$43&gt;0),((Skills!G24*((R1854-1)*IF(Skills!H24&gt;0,Skills!I24/Skills!H24,1)+IF(Skills!H24&gt;0,MIN(Skills!I24,MAX(0,MAX(0,Inputs!$B$43-B1868)-((R1854-1)*(IF(Inputs!$B$38="pvp",15,MAX(0.1,Skills!E24-IF(TRUE=TRUE,Inputs!$B$32,0)))*(1-IF(AND(ArtifactsInput!$M$27,Inputs!$B$4="Chapter Hunt"),CHOOSE(ArtifactsInput!$N$27+1,20,24,28,32,36,40),0)/100)))))/Skills!H24,1)))/Inputs!$B$43),G1854*Q1854)*(1+IF(Inputs!$B$3&gt;=130,0.2*(Skills!I16/(1/Q1845)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1310263285819536</v>
      </c>
      <c r="U1854">
        <f>IF(C1854,(H1854*N1854*IF(AND(Inputs!$B$38&lt;&gt;"pvp",Inputs!$B$43&gt;0),((Skills!G24*((R1854-1)*IF(Skills!H24&gt;0,Skills!I24/Skills!H24,1)+IF(Skills!H24&gt;0,MIN(Skills!I24,MAX(0,MAX(0,Inputs!$B$43-B1868)-((R1854-1)*(IF(Inputs!$B$38="pvp",15,MAX(0.1,Skills!E24-IF(TRUE=TRUE,Inputs!$B$32,0)))*(1-IF(AND(ArtifactsInput!$M$27,Inputs!$B$4="Chapter Hunt"),CHOOSE(ArtifactsInput!$N$27+1,20,24,28,32,36,40),0)/100)))))/Skills!H24,1)))/Inputs!$B$43),G1854*Q1854)*(1+IF(Inputs!$B$3&gt;=130,0.2*(Skills!I16/(1/Q1845)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3732390369384987.5</v>
      </c>
    </row>
    <row r="1855" spans="1:21" x14ac:dyDescent="0.2">
      <c r="A1855" t="str">
        <f>Skills!A25</f>
        <v>BUFF_MASTERY</v>
      </c>
      <c r="B1855" t="str">
        <f>Skills!B25</f>
        <v>Buff Mastery</v>
      </c>
      <c r="C1855" t="b">
        <f>Inputs!$B$3&gt;=117</f>
        <v>1</v>
      </c>
      <c r="D1855">
        <f>IF(Skills!C25=1,60+Inputs!$B$25+Inputs!$B$29,IF(Skills!C25=2,90+Inputs!$B$26+Inputs!$B$29,IF(Skills!C25=3,120+Inputs!$B$27+Inputs!$B$29,MAX(0,(Inputs!$B$3-100)*3)+Inputs!$B$28+Inputs!$B$29)))</f>
        <v>185</v>
      </c>
      <c r="E1855">
        <f>INDEX(FactorTable!$B$2:$Y$301, MATCH(ROUND(MIN(300,MAX(1,D1855)),0), FactorTable!$A$2:$A$301,0), Skills!M25+1)</f>
        <v>1555</v>
      </c>
      <c r="F1855">
        <f>IF(Skills!N25=TRUE,(Skills!L25/10)*(E1855/1000),Skills!L25/10)+Skills!O25</f>
        <v>15.549999999999999</v>
      </c>
      <c r="G1855">
        <f>Calc!G25</f>
        <v>1</v>
      </c>
      <c r="H1855">
        <f>Calc!H25</f>
        <v>1</v>
      </c>
      <c r="I1855">
        <f>IF(Skills!X25&lt;&gt;"",1+(Skills!X25/10)*(Z1833/1000)/100,1)</f>
        <v>1</v>
      </c>
      <c r="O1855">
        <f>(1-Summary!$B$11)*S1855+Summary!$B$11*U1855</f>
        <v>0</v>
      </c>
      <c r="P1855">
        <f>IF(B1871=0,0,O1855/B1871)</f>
        <v>0</v>
      </c>
      <c r="Q1855">
        <f>IFERROR(1/(IF(Inputs!$B$38="pvp",15,MAX(0.1,Skills!E25-IF(TRUE=TRUE,Inputs!$B$32,0)))*(1-IF(AND(ArtifactsInput!$M$27,Inputs!$B$4="Chapter Hunt"),CHOOSE(ArtifactsInput!$N$27+1,20,24,28,32,36,40),0)/100)),0)</f>
        <v>10</v>
      </c>
      <c r="R1855">
        <v>0</v>
      </c>
      <c r="S1855">
        <v>0</v>
      </c>
      <c r="U1855">
        <v>0</v>
      </c>
    </row>
    <row r="1856" spans="1:21" x14ac:dyDescent="0.2">
      <c r="A1856" t="str">
        <f>Skills!A26</f>
        <v>ARCANE_AIM</v>
      </c>
      <c r="B1856" t="str">
        <f>Skills!B26</f>
        <v>Arcane Aim</v>
      </c>
      <c r="C1856" t="b">
        <f>Inputs!$B$3&gt;=120</f>
        <v>0</v>
      </c>
      <c r="D1856">
        <f>IF(Skills!C26=1,60+Inputs!$B$25+Inputs!$B$29,IF(Skills!C26=2,90+Inputs!$B$26+Inputs!$B$29,IF(Skills!C26=3,120+Inputs!$B$27+Inputs!$B$29,MAX(0,(Inputs!$B$3-100)*3)+Inputs!$B$28+Inputs!$B$29)))</f>
        <v>185</v>
      </c>
      <c r="E1856">
        <f>INDEX(FactorTable!$B$2:$Y$301, MATCH(ROUND(MIN(300,MAX(1,D1856)),0), FactorTable!$A$2:$A$301,0), Skills!M26+1)</f>
        <v>1555</v>
      </c>
      <c r="F1856">
        <f>IF(Skills!N26=TRUE,(Skills!L26/10)*(E1856/1000),Skills!L26/10)+Skills!O26</f>
        <v>4.665</v>
      </c>
      <c r="G1856">
        <f>Calc!G26</f>
        <v>1</v>
      </c>
      <c r="H1856">
        <f>Calc!H26</f>
        <v>1</v>
      </c>
      <c r="I1856">
        <f>IF(Skills!X26&lt;&gt;"",1+(Skills!X26/10)*(Z1833/1000)/100,1)</f>
        <v>1</v>
      </c>
      <c r="O1856">
        <f>(1-Summary!$B$11)*S1856+Summary!$B$11*U1856</f>
        <v>0</v>
      </c>
      <c r="P1856">
        <f>IF(B1871=0,0,O1856/B1871)</f>
        <v>0</v>
      </c>
      <c r="Q1856">
        <f>IFERROR(1/(IF(Inputs!$B$38="pvp",15,MAX(0.1,Skills!E26-IF(TRUE=TRUE,Inputs!$B$32,0)))*(1-IF(AND(ArtifactsInput!$M$27,Inputs!$B$4="Chapter Hunt"),CHOOSE(ArtifactsInput!$N$27+1,20,24,28,32,36,40),0)/100)),0)</f>
        <v>10</v>
      </c>
      <c r="R1856">
        <v>0</v>
      </c>
      <c r="S1856">
        <v>0</v>
      </c>
      <c r="U1856">
        <v>0</v>
      </c>
    </row>
    <row r="1857" spans="1:21" x14ac:dyDescent="0.2">
      <c r="A1857" t="str">
        <f>Skills!A27</f>
        <v>FERVENT_DRAIN</v>
      </c>
      <c r="B1857" t="str">
        <f>Skills!B27</f>
        <v>Fervent Drain</v>
      </c>
      <c r="C1857" t="b">
        <f>Inputs!$B$3&gt;=125</f>
        <v>0</v>
      </c>
      <c r="D1857">
        <f>IF(Skills!C27=1,60+Inputs!$B$25+Inputs!$B$29,IF(Skills!C27=2,90+Inputs!$B$26+Inputs!$B$29,IF(Skills!C27=3,120+Inputs!$B$27+Inputs!$B$29,MAX(0,(Inputs!$B$3-100)*3)+Inputs!$B$28+Inputs!$B$29)))</f>
        <v>185</v>
      </c>
      <c r="E1857">
        <f>INDEX(FactorTable!$B$2:$Y$301, MATCH(ROUND(MIN(300,MAX(1,D1857)),0), FactorTable!$A$2:$A$301,0), Skills!M27+1)</f>
        <v>1555</v>
      </c>
      <c r="F1857">
        <f>IF(Skills!N27=TRUE,(Skills!L27/10)*(E1857/1000),Skills!L27/10)+Skills!O27</f>
        <v>6.22</v>
      </c>
      <c r="G1857">
        <f>Calc!G27</f>
        <v>1</v>
      </c>
      <c r="H1857">
        <f>Calc!H27</f>
        <v>1</v>
      </c>
      <c r="I1857">
        <f>IF(Skills!X27&lt;&gt;"",1+(Skills!X27/10)*(Z1833/1000)/100,1)</f>
        <v>1</v>
      </c>
      <c r="O1857">
        <f>(1-Summary!$B$11)*S1857+Summary!$B$11*U1857</f>
        <v>0</v>
      </c>
      <c r="P1857">
        <f>IF(B1871=0,0,O1857/B1871)</f>
        <v>0</v>
      </c>
      <c r="Q1857">
        <f>IFERROR(1/(IF(Inputs!$B$38="pvp",15,MAX(0.1,Skills!E27-IF(TRUE=TRUE,Inputs!$B$32,0)))*(1-IF(AND(ArtifactsInput!$M$27,Inputs!$B$4="Chapter Hunt"),CHOOSE(ArtifactsInput!$N$27+1,20,24,28,32,36,40),0)/100)),0)</f>
        <v>10</v>
      </c>
      <c r="R1857">
        <v>0</v>
      </c>
      <c r="S1857">
        <v>0</v>
      </c>
      <c r="U1857">
        <v>0</v>
      </c>
    </row>
    <row r="1858" spans="1:21" x14ac:dyDescent="0.2">
      <c r="A1858" t="str">
        <f>Skills!A28</f>
        <v>FLAME_HAZE_FOG</v>
      </c>
      <c r="B1858" t="str">
        <f>Skills!B28</f>
        <v>Flame Haze (poison fog DoT)</v>
      </c>
      <c r="C1858" t="b">
        <f>Inputs!$B$3&gt;=118</f>
        <v>0</v>
      </c>
      <c r="D1858">
        <f>IF(Skills!C28=1,60+Inputs!$B$25+Inputs!$B$29,IF(Skills!C28=2,90+Inputs!$B$26+Inputs!$B$29,IF(Skills!C28=3,120+Inputs!$B$27+Inputs!$B$29,MAX(0,(Inputs!$B$3-100)*3)+Inputs!$B$28+Inputs!$B$29)))</f>
        <v>185</v>
      </c>
      <c r="E1858">
        <f>INDEX(FactorTable!$B$2:$Y$301, MATCH(ROUND(MIN(300,MAX(1,D1858)),0), FactorTable!$A$2:$A$301,0), Skills!M28+1)</f>
        <v>1925</v>
      </c>
      <c r="F1858">
        <f>IF(Skills!N28=TRUE,(Skills!L28/10)*(E1858/1000),Skills!L28/10)+Skills!O28</f>
        <v>134.75</v>
      </c>
      <c r="G1858">
        <f>Calc!G28</f>
        <v>50</v>
      </c>
      <c r="H1858">
        <f>Calc!H28</f>
        <v>1</v>
      </c>
      <c r="I1858">
        <f>IF(Skills!X28&lt;&gt;"",1+(Skills!X28/10)*(Z1833/1000)/100,1)</f>
        <v>1</v>
      </c>
      <c r="J1858">
        <f>((Inputs!$B$6*(1+Inputs!$B$7/100))+(((Inputs!$B$12*(1+Inputs!$B$13/100))-(Inputs!$B$12*(1+Inputs!$B$13/100)))+0.25*(Inputs!$B$14-Inputs!$B$14))*(1+Inputs!$B$7/100))*(F1858/100)</f>
        <v>486628767.57437253</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2809871157708.0806</v>
      </c>
      <c r="L1858">
        <f>K1858*(MIN(Inputs!$B$22+(F1852-Calc!F22),(Inputs!$B$23+(IF(ArtifactsInput!$M$15,CHOOSE(ArtifactsInput!$N$15+1,25,30,35,40,45,50)/100*(Inputs!$B$11-Inputs!$B$11),0))))/100+(Inputs!$B$23+(IF(ArtifactsInput!$M$15,CHOOSE(ArtifactsInput!$N$15+1,25,30,35,40,45,50)/100*(Inputs!$B$11-Inputs!$B$11),0)))/100)/2</f>
        <v>9342821599379.3691</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44088775127471.234</v>
      </c>
      <c r="N1858">
        <f>L1858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44088775127471.234</v>
      </c>
      <c r="O1858">
        <f>(1-Summary!$B$11)*S1858+Summary!$B$11*U1858</f>
        <v>0</v>
      </c>
      <c r="P1858">
        <f>IF(B1871=0,0,O1858/B1871)</f>
        <v>0</v>
      </c>
      <c r="Q1858">
        <f>IFERROR(1/(IF(Inputs!$B$38="pvp",15,MAX(0.1,Skills!E28-IF(TRUE=TRUE,Inputs!$B$32,0)))*(1-IF(AND(ArtifactsInput!$M$27,Inputs!$B$4="Chapter Hunt"),CHOOSE(ArtifactsInput!$N$27+1,20,24,28,32,36,40),0)/100)),0)</f>
        <v>0.04</v>
      </c>
      <c r="R1858">
        <f>IF(AND(Inputs!$B$38&lt;&gt;"pvp",Inputs!$B$43&gt;0),IF(MAX(0,Inputs!$B$43-B1868)&lt;=0,0,(INT(MAX(0,Inputs!$B$43-B1868)/(IF(Inputs!$B$38="pvp",15,MAX(0.1,Skills!E28-IF(TRUE=TRUE,Inputs!$B$32,0)))*(1-IF(AND(ArtifactsInput!$M$27,Inputs!$B$4="Chapter Hunt"),CHOOSE(ArtifactsInput!$N$27+1,20,24,28,32,36,40),0)/100)))+1)),0)</f>
        <v>2</v>
      </c>
      <c r="S1858">
        <f>IF(C1858,(H1858*N1858*IF(AND(Inputs!$B$38&lt;&gt;"pvp",Inputs!$B$43&gt;0),((Skills!G28*((R1858-1)*IF(Skills!H28&gt;0,Skills!I28/Skills!H28,1)+IF(Skills!H28&gt;0,MIN(Skills!I28,MAX(0,MAX(0,Inputs!$B$43-B1868)-((R1858-1)*(IF(Inputs!$B$38="pvp",15,MAX(0.1,Skills!E28-IF(TRUE=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58">
        <f>IF(C1858,(H1858*N1858*IF(AND(Inputs!$B$38&lt;&gt;"pvp",Inputs!$B$43&gt;0),((Skills!G28*((R1858-1)*IF(Skills!H28&gt;0,Skills!I28/Skills!H28,1)+IF(Skills!H28&gt;0,MIN(Skills!I28,MAX(0,MAX(0,Inputs!$B$43-B1868)-((R1858-1)*(IF(Inputs!$B$38="pvp",15,MAX(0.1,Skills!E28-IF(TRUE=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60" spans="1:21" x14ac:dyDescent="0.2">
      <c r="A1860" t="s">
        <v>356</v>
      </c>
      <c r="B1860">
        <f>1+(F1841*Skills!Z11)/100</f>
        <v>1.25</v>
      </c>
    </row>
    <row r="1861" spans="1:21" x14ac:dyDescent="0.2">
      <c r="A1861" t="s">
        <v>435</v>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1.3631643736236365</v>
      </c>
    </row>
    <row r="1862" spans="1:21" x14ac:dyDescent="0.2">
      <c r="A1862" t="s">
        <v>358</v>
      </c>
      <c r="B1862">
        <f>(1+(F1836*IF(AND(Inputs!$B$38&lt;&gt;"pvp",Inputs!$B$43&gt;0),(((R1836-1)*MIN((Skills!T6*(1+((Inputs!$B$34+(ArtifactsInput!$M$7-ArtifactsInput!$M$7)*CHOOSE(ArtifactsInput!$N$7+1,6,7.2,8.4,9.6,10.8,12)))/100)),(1/Q1836))+MIN((Skills!T6*(1+((Inputs!$B$34+(ArtifactsInput!$M$7-ArtifactsInput!$M$7)*CHOOSE(ArtifactsInput!$N$7+1,6,7.2,8.4,9.6,10.8,12)))/100)),MAX(0,Inputs!$B$43-((R1836-1)*(1/Q1836)))))/Inputs!$B$43),IF(Inputs!$B$38="pvp",MIN((Skills!T6*(1+((Inputs!$B$34+(ArtifactsInput!$M$7-ArtifactsInput!$M$7)*CHOOSE(ArtifactsInput!$N$7+1,6,7.2,8.4,9.6,10.8,12)))/100)),15)/15,MIN(1,(Skills!T6*(1+((Inputs!$B$34+(ArtifactsInput!$M$7-ArtifactsInput!$M$7)*CHOOSE(ArtifactsInput!$N$7+1,6,7.2,8.4,9.6,10.8,12)))/100))/(1/Q1836))))+F1847*IF(AND(Inputs!$B$38&lt;&gt;"pvp",Inputs!$B$43&gt;0),(((R1847-1)*MIN((Skills!T17*(1+((Inputs!$B$34+(ArtifactsInput!$M$7-ArtifactsInput!$M$7)*CHOOSE(ArtifactsInput!$N$7+1,6,7.2,8.4,9.6,10.8,12)))/100)),(1/Q1847))+MIN((Skills!T17*(1+((Inputs!$B$34+(ArtifactsInput!$M$7-ArtifactsInput!$M$7)*CHOOSE(ArtifactsInput!$N$7+1,6,7.2,8.4,9.6,10.8,12)))/100)),MAX(0,Inputs!$B$43-((R1847-1)*(1/Q1847)))))/Inputs!$B$43),IF(Inputs!$B$38="pvp",MIN((Skills!T17*(1+((Inputs!$B$34+(ArtifactsInput!$M$7-ArtifactsInput!$M$7)*CHOOSE(ArtifactsInput!$N$7+1,6,7.2,8.4,9.6,10.8,12)))/100)),15)/15,MIN(1,(Skills!T17*(1+((Inputs!$B$34+(ArtifactsInput!$M$7-ArtifactsInput!$M$7)*CHOOSE(ArtifactsInput!$N$7+1,6,7.2,8.4,9.6,10.8,12)))/100))/(1/Q1847)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MIN((Skills!T19*(1+((Inputs!$B$34+(ArtifactsInput!$M$7-ArtifactsInput!$M$7)*CHOOSE(ArtifactsInput!$N$7+1,6,7.2,8.4,9.6,10.8,12)))/100)),(1/Q1849))+MIN((Skills!T19*(1+((Inputs!$B$34+(ArtifactsInput!$M$7-ArtifactsInput!$M$7)*CHOOSE(ArtifactsInput!$N$7+1,6,7.2,8.4,9.6,10.8,12)))/100)),MAX(0,Inputs!$B$43-((R1849-1)*(1/Q1849)))))/Inputs!$B$43),IF(Inputs!$B$38="pvp",MIN((Skills!T19*(1+((Inputs!$B$34+(ArtifactsInput!$M$7-ArtifactsInput!$M$7)*CHOOSE(ArtifactsInput!$N$7+1,6,7.2,8.4,9.6,10.8,12)))/100)),15)/15,MIN(1,(Skills!T19*(1+((Inputs!$B$34+(ArtifactsInput!$M$7-ArtifactsInput!$M$7)*CHOOSE(ArtifactsInput!$N$7+1,6,7.2,8.4,9.6,10.8,12)))/100))/(1/Q1849))))/100),1)</f>
        <v>1.7965808377980694</v>
      </c>
    </row>
    <row r="1863" spans="1:21" x14ac:dyDescent="0.2">
      <c r="A1863" t="s">
        <v>359</v>
      </c>
      <c r="B1863">
        <f>F1848*IF(AND(Inputs!$B$38&lt;&gt;"pvp",Inputs!$B$43&gt;0),(((R1848-1)*MIN((Skills!T18*(1+((Inputs!$B$34+(ArtifactsInput!$M$7-ArtifactsInput!$M$7)*CHOOSE(ArtifactsInput!$N$7+1,6,7.2,8.4,9.6,10.8,12)))/100)),(1/Q1848))+MIN((Skills!T18*(1+((Inputs!$B$34+(ArtifactsInput!$M$7-ArtifactsInput!$M$7)*CHOOSE(ArtifactsInput!$N$7+1,6,7.2,8.4,9.6,10.8,12)))/100)),MAX(0,Inputs!$B$43-((R1848-1)*(1/Q1848)))))/Inputs!$B$43),IF(Inputs!$B$38="pvp",MIN((Skills!T18*(1+((Inputs!$B$34+(ArtifactsInput!$M$7-ArtifactsInput!$M$7)*CHOOSE(ArtifactsInput!$N$7+1,6,7.2,8.4,9.6,10.8,12)))/100)),15)/15,MIN(1,(Skills!T18*(1+((Inputs!$B$34+(ArtifactsInput!$M$7-ArtifactsInput!$M$7)*CHOOSE(ArtifactsInput!$N$7+1,6,7.2,8.4,9.6,10.8,12)))/100))/(1/Q1848))))</f>
        <v>6.4968749999999993</v>
      </c>
    </row>
    <row r="1864" spans="1:21" x14ac:dyDescent="0.2">
      <c r="A1864" t="s">
        <v>436</v>
      </c>
      <c r="B1864">
        <f>1+MIN(150,150*(1-(1-(Inputs!$B$11+(ArtifactsInput!$M$15-ArtifactsInput!$M$15)*CHOOSE(ArtifactsInput!$N$15+1,8,9.6,11.2,12.8,14.4,16))/150)*(1-B1863/150)))/100</f>
        <v>1.6982958749999999</v>
      </c>
    </row>
    <row r="1865" spans="1:21" x14ac:dyDescent="0.2">
      <c r="A1865" t="s">
        <v>437</v>
      </c>
      <c r="B1865">
        <f>IF(AND(Inputs!$B$38&lt;&gt;"pvp",Inputs!$B$43&gt;0),SUMPRODUCT((Skills!F2:F28=TRUE)*(C1832:C1858=TRUE)*R1832:R1858)/Inputs!$B$43,SUMPRODUCT((Skills!F2:F28=TRUE)*(C1832:C1858=TRUE)*Q1832:Q1858))</f>
        <v>0.47499999999999998</v>
      </c>
    </row>
    <row r="1866" spans="1:21" x14ac:dyDescent="0.2">
      <c r="A1866" t="s">
        <v>362</v>
      </c>
      <c r="B1866">
        <f>MAX(0,B1864-B1865)</f>
        <v>1.2232958749999998</v>
      </c>
    </row>
    <row r="1867" spans="1:21" x14ac:dyDescent="0.2">
      <c r="A1867" t="s">
        <v>438</v>
      </c>
      <c r="B1867">
        <f>IF(AND(Inputs!$B$38&lt;&gt;"pvp",Inputs!$B$43&gt;0),SUMPRODUCT((Skills!V2:V28=TRUE)*(C1832:C1858=TRUE)*R1832:R1858*Skills!W2:W28)/Inputs!$B$43,SUMPRODUCT((Skills!V2:V28=TRUE)*(C1832:C1858=TRUE)*Q1832:Q1858*Skills!W2:W28))+B1866</f>
        <v>1.5482958749999998</v>
      </c>
    </row>
    <row r="1868" spans="1:21" x14ac:dyDescent="0.2">
      <c r="A1868" t="s">
        <v>439</v>
      </c>
      <c r="B1868">
        <f>IF(AND(Inputs!$B$38&lt;&gt;"pvp",Inputs!$B$43&gt;0),SUMPRODUCT((Skills!T2:T28&gt;0)*(Skills!F2:F28=TRUE)*(C1832:C1858=TRUE))/B1864,0)</f>
        <v>2.3553021937358238</v>
      </c>
    </row>
    <row r="1869" spans="1:21" x14ac:dyDescent="0.2">
      <c r="A1869" t="s">
        <v>440</v>
      </c>
      <c r="B1869">
        <f>SUM(S1832:S1858)</f>
        <v>1.0936736211563818E+16</v>
      </c>
    </row>
    <row r="1870" spans="1:21" x14ac:dyDescent="0.2">
      <c r="A1870" t="s">
        <v>441</v>
      </c>
      <c r="B1870">
        <f>SUM(U1832:U1858)</f>
        <v>6.5106575851097808E+16</v>
      </c>
    </row>
    <row r="1871" spans="1:21" x14ac:dyDescent="0.2">
      <c r="A1871" s="6" t="s">
        <v>348</v>
      </c>
      <c r="B1871" s="6">
        <f>SUM(O1832:O1858)</f>
        <v>3.8021656031330816E+16</v>
      </c>
    </row>
    <row r="1874" spans="1:26" x14ac:dyDescent="0.2">
      <c r="A1874" s="6" t="s">
        <v>482</v>
      </c>
    </row>
    <row r="1875" spans="1:26" x14ac:dyDescent="0.2">
      <c r="A1875" s="5" t="s">
        <v>136</v>
      </c>
      <c r="B1875" s="5" t="s">
        <v>137</v>
      </c>
      <c r="C1875" s="5" t="s">
        <v>328</v>
      </c>
      <c r="D1875" s="5" t="s">
        <v>329</v>
      </c>
      <c r="E1875" s="5" t="s">
        <v>330</v>
      </c>
      <c r="F1875" s="5" t="s">
        <v>331</v>
      </c>
      <c r="G1875" s="5" t="s">
        <v>332</v>
      </c>
      <c r="H1875" s="5" t="s">
        <v>333</v>
      </c>
      <c r="I1875" s="5" t="s">
        <v>334</v>
      </c>
      <c r="J1875" s="5" t="s">
        <v>335</v>
      </c>
      <c r="K1875" s="5" t="s">
        <v>336</v>
      </c>
      <c r="L1875" s="5" t="s">
        <v>337</v>
      </c>
      <c r="M1875" s="5" t="s">
        <v>338</v>
      </c>
      <c r="N1875" s="5" t="s">
        <v>339</v>
      </c>
      <c r="O1875" s="5" t="s">
        <v>340</v>
      </c>
      <c r="P1875" s="5" t="s">
        <v>341</v>
      </c>
      <c r="R1875" t="s">
        <v>434</v>
      </c>
    </row>
    <row r="1876" spans="1:26" x14ac:dyDescent="0.2">
      <c r="A1876" t="str">
        <f>Skills!A2</f>
        <v>BASIC_ATTACK</v>
      </c>
      <c r="B1876" t="str">
        <f>Skills!B2</f>
        <v>Basic Attack</v>
      </c>
      <c r="C1876" t="b">
        <f>TRUE</f>
        <v>1</v>
      </c>
      <c r="F1876">
        <f>T1878+Skills!O2</f>
        <v>537.6</v>
      </c>
      <c r="G1876">
        <f>Calc!G2</f>
        <v>5</v>
      </c>
      <c r="H1876">
        <f>Calc!H2</f>
        <v>1</v>
      </c>
      <c r="I1876">
        <f>IF(Skills!X2&lt;&gt;"",1+(Skills!X2/10)*(Z1877/1000)/100,1)</f>
        <v>1</v>
      </c>
      <c r="J1876">
        <f>((Inputs!$B$6*(1+Inputs!$B$7/100))+(((Inputs!$B$12*(1+Inputs!$B$13/100))-(Inputs!$B$12*(1+Inputs!$B$13/100)))+0.25*(Inputs!$B$14-Inputs!$B$14))*(1+Inputs!$B$7/100))*(F1876/100)</f>
        <v>1941459186.9980164</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6620290711466.1074</v>
      </c>
      <c r="L1876">
        <f>K1876*(MIN(Inputs!$B$22+(F1896-Calc!F22),(Inputs!$B$23+(IF(ArtifactsInput!$M$15,CHOOSE(ArtifactsInput!$N$15+1,25,30,35,40,45,50)/100*(Inputs!$B$11-Inputs!$B$11),0))))/100+(Inputs!$B$23+(IF(ArtifactsInput!$M$15,CHOOSE(ArtifactsInput!$N$15+1,25,30,35,40,45,50)/100*(Inputs!$B$11-Inputs!$B$11),0)))/100)/2</f>
        <v>22012466615624.809</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876">
        <f>L1876*(1-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876">
        <f>(1-Summary!$B$11)*S1876+Summary!$B$11*U1876</f>
        <v>1.2672264932869236E+16</v>
      </c>
      <c r="P1876">
        <f>IF(B1915=0,0,O1876/B1915)</f>
        <v>0.37455994948419441</v>
      </c>
      <c r="Q1876">
        <f>IFERROR(1/(IF(Inputs!$B$38="pvp",15,MAX(0.1,Skills!E2-IF(TRUE=TRUE,Inputs!$B$32,0)))*(1-IF(AND(ArtifactsInput!$M$27,Inputs!$B$4="Chapter Hunt"),CHOOSE(ArtifactsInput!$N$27+1,20,24,28,32,36,40),0)/100)),0)</f>
        <v>10</v>
      </c>
      <c r="R1876">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2395309039705040</v>
      </c>
      <c r="T1876">
        <f>MAX(0,(Inputs!$B$3-100)*3)+Inputs!$B$28+Inputs!$B$29</f>
        <v>185</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876">
        <f>MAX(0,(Inputs!$B$3-100)*3)+Inputs!$B$28+Inputs!$B$29</f>
        <v>185</v>
      </c>
    </row>
    <row r="1877" spans="1:26" x14ac:dyDescent="0.2">
      <c r="A1877" t="str">
        <f>Skills!A3</f>
        <v>IGNITE</v>
      </c>
      <c r="B1877" t="str">
        <f>Skills!B3</f>
        <v>Ignite</v>
      </c>
      <c r="C1877" t="b">
        <f>TRUE</f>
        <v>1</v>
      </c>
      <c r="D1877">
        <f>IF(Skills!C3=1,60+Inputs!$B$25+Inputs!$B$29,IF(Skills!C3=2,90+Inputs!$B$26+Inputs!$B$29,IF(Skills!C3=3,120+Inputs!$B$27+Inputs!$B$29,MAX(0,(Inputs!$B$3-100)*3)+Inputs!$B$28+Inputs!$B$29)))</f>
        <v>168</v>
      </c>
      <c r="E1877">
        <f>INDEX(FactorTable!$B$2:$Y$301, MATCH(ROUND(MIN(300,MAX(1,D1877)),0), FactorTable!$A$2:$A$301,0), Skills!M3+1)</f>
        <v>1672</v>
      </c>
      <c r="F1877">
        <f>IF(Skills!N3=TRUE,(Skills!L3/10)*(E1877/1000),Skills!L3/10)+Skills!O3</f>
        <v>121.736</v>
      </c>
      <c r="G1877">
        <f>Calc!G3</f>
        <v>3</v>
      </c>
      <c r="H1877">
        <f>Calc!H3</f>
        <v>1</v>
      </c>
      <c r="I1877">
        <f>IF(Skills!X3&lt;&gt;"",1+(Skills!X3/10)*(Z1877/1000)/100,1)</f>
        <v>4.8250000000000002</v>
      </c>
      <c r="J1877">
        <f>((Inputs!$B$6*(1+Inputs!$B$7/100))+(((Inputs!$B$12*(1+Inputs!$B$13/100))-(Inputs!$B$12*(1+Inputs!$B$13/100)))+0.25*(Inputs!$B$14-Inputs!$B$14))*(1+Inputs!$B$7/100))*(F1877/100)</f>
        <v>439630720.9605478</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10658554617221.965</v>
      </c>
      <c r="L1877">
        <f>K1877*(MIN(Inputs!$B$22+(F1896-Calc!F22),(Inputs!$B$23+(IF(ArtifactsInput!$M$15,CHOOSE(ArtifactsInput!$N$15+1,25,30,35,40,45,50)/100*(Inputs!$B$11-Inputs!$B$11),0))))/100+(Inputs!$B$23+(IF(ArtifactsInput!$M$15,CHOOSE(ArtifactsInput!$N$15+1,25,30,35,40,45,50)/100*(Inputs!$B$11-Inputs!$B$11),0)))/100)/2</f>
        <v>35439694102263.031</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877">
        <f>L1877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877">
        <f>(1-Summary!$B$11)*S1877+Summary!$B$11*U1877</f>
        <v>3026624388290112.5</v>
      </c>
      <c r="P1877">
        <f>IF(B1915=0,0,O1877/B1915)</f>
        <v>8.945932585777272E-2</v>
      </c>
      <c r="Q1877">
        <f>IFERROR(1/(IF(Inputs!$B$38="pvp",15,MAX(0.1,Skills!E3-IF(FALSE=TRUE,Inputs!$B$32,0)))*(1-IF(AND(ArtifactsInput!$M$27,Inputs!$B$4="Chapter Hunt"),CHOOSE(ArtifactsInput!$N$27+1,20,24,28,32,36,40),0)/100)),0)</f>
        <v>1</v>
      </c>
      <c r="R1877">
        <f>IF(AND(Inputs!$B$38&lt;&gt;"pvp",Inputs!$B$43&gt;0),IF(MAX(0,Inputs!$B$43-B1912)&lt;=0,0,(INT(MAX(0,Inputs!$B$43-B1912)/(IF(Inputs!$B$38="pvp",15,MAX(0.1,Skills!E3-IF(FALSE=TRUE,Inputs!$B$32,0)))*(1-IF(AND(ArtifactsInput!$M$27,Inputs!$B$4="Chapter Hunt"),CHOOSE(ArtifactsInput!$N$27+1,20,24,28,32,36,40),0)/100)))+1)),0)</f>
        <v>38</v>
      </c>
      <c r="S1877">
        <f>IF(C1877,(H1877*N1877*IF(AND(Inputs!$B$38&lt;&gt;"pvp",Inputs!$B$43&gt;0),((Skills!G3*((R1877-1)*IF(Skills!H3&gt;0,Skills!I3/Skills!H3,1)+IF(Skills!H3&gt;0,MIN(Skills!I3,MAX(0,MAX(0,Inputs!$B$43-B1912)-((R1877-1)*(IF(Inputs!$B$38="pvp",15,MAX(0.1,Skills!E3-IF(FALSE=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1749245906303104.5</v>
      </c>
      <c r="T1877">
        <f>INDEX(FactorTable!$B$2:$Y$301, MATCH(ROUND(MIN(300,MAX(1,T1876)),0), FactorTable!$A$2:$A$301,0), 22)</f>
        <v>1740</v>
      </c>
      <c r="U1877">
        <f>IF(C1877,(H1877*N1877*IF(AND(Inputs!$B$38&lt;&gt;"pvp",Inputs!$B$43&gt;0),((Skills!G3*((R1877-1)*IF(Skills!H3&gt;0,Skills!I3/Skills!H3,1)+IF(Skills!H3&gt;0,MIN(Skills!I3,MAX(0,MAX(0,Inputs!$B$43-B1912)-((R1877-1)*(IF(Inputs!$B$38="pvp",15,MAX(0.1,Skills!E3-IF(FALSE=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877">
        <f>INDEX(FactorTable!$B$2:$Y$301, MATCH(ROUND(MIN(300,MAX(1,Z1876)),0), FactorTable!$A$2:$A$301,0), 24)</f>
        <v>7650</v>
      </c>
    </row>
    <row r="1878" spans="1:26" x14ac:dyDescent="0.2">
      <c r="A1878" t="str">
        <f>Skills!A4</f>
        <v>POISON_BREATH</v>
      </c>
      <c r="B1878" t="str">
        <f>Skills!B4</f>
        <v>Poison Breath</v>
      </c>
      <c r="C1878" t="b">
        <f>TRUE</f>
        <v>1</v>
      </c>
      <c r="D1878">
        <f>IF(Skills!C4=1,60+Inputs!$B$25+Inputs!$B$29,IF(Skills!C4=2,90+Inputs!$B$26+Inputs!$B$29,IF(Skills!C4=3,120+Inputs!$B$27+Inputs!$B$29,MAX(0,(Inputs!$B$3-100)*3)+Inputs!$B$28+Inputs!$B$29)))</f>
        <v>168</v>
      </c>
      <c r="E1878">
        <f>INDEX(FactorTable!$B$2:$Y$301, MATCH(ROUND(MIN(300,MAX(1,D1878)),0), FactorTable!$A$2:$A$301,0), Skills!M4+1)</f>
        <v>1840</v>
      </c>
      <c r="F1878">
        <f>IF(Skills!N4=TRUE,(Skills!L4/10)*(E1878/1000),Skills!L4/10)+Skills!O4</f>
        <v>438</v>
      </c>
      <c r="G1878">
        <f>Calc!G4</f>
        <v>3</v>
      </c>
      <c r="H1878">
        <f>Calc!H4</f>
        <v>1</v>
      </c>
      <c r="I1878">
        <f>IF(Skills!X4&lt;&gt;"",1+(Skills!X4/10)*(Z1877/1000)/100,1)</f>
        <v>7.12</v>
      </c>
      <c r="J1878">
        <f>((Inputs!$B$6*(1+Inputs!$B$7/100))+(((Inputs!$B$12*(1+Inputs!$B$13/100))-(Inputs!$B$12*(1+Inputs!$B$13/100)))+0.25*(Inputs!$B$14-Inputs!$B$14))*(1+Inputs!$B$7/100))*(F1878/100)</f>
        <v>1581769203.69258</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56589528290529.523</v>
      </c>
      <c r="L1878">
        <f>K1878*(MIN(Inputs!$B$22+(F1896-Calc!F22),(Inputs!$B$23+(IF(ArtifactsInput!$M$15,CHOOSE(ArtifactsInput!$N$15+1,25,30,35,40,45,50)/100*(Inputs!$B$11-Inputs!$B$11),0))))/100+(Inputs!$B$23+(IF(ArtifactsInput!$M$15,CHOOSE(ArtifactsInput!$N$15+1,25,30,35,40,45,50)/100*(Inputs!$B$11-Inputs!$B$11),0)))/100)/2</f>
        <v>188160181566010.69</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878">
        <f>L1878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878">
        <f>(1-Summary!$B$11)*S1878+Summary!$B$11*U1878</f>
        <v>2170650734739157</v>
      </c>
      <c r="P1878">
        <f>IF(B1915=0,0,O1878/B1915)</f>
        <v>6.4158919803110601E-2</v>
      </c>
      <c r="Q1878">
        <f>IFERROR(1/(IF(Inputs!$B$38="pvp",15,MAX(0.1,Skills!E4-IF(TRUE=TRUE,Inputs!$B$32,0)))*(1-IF(AND(ArtifactsInput!$M$27,Inputs!$B$4="Chapter Hunt"),CHOOSE(ArtifactsInput!$N$27+1,20,24,28,32,36,40),0)/100)),0)</f>
        <v>5.5555555555555552E-2</v>
      </c>
      <c r="R1878">
        <f>IF(AND(Inputs!$B$38&lt;&gt;"pvp",Inputs!$B$43&gt;0),IF(MAX(0,Inputs!$B$43-B1912)&lt;=0,0,(INT(MAX(0,Inputs!$B$43-B1912)/(IF(Inputs!$B$38="pvp",15,MAX(0.1,Skills!E4-IF(TRUE=TRUE,Inputs!$B$32,0)))*(1-IF(AND(ArtifactsInput!$M$27,Inputs!$B$4="Chapter Hunt"),CHOOSE(ArtifactsInput!$N$27+1,20,24,28,32,36,40),0)/100)))+1)),0)</f>
        <v>3</v>
      </c>
      <c r="S1878">
        <f>IF(C1878,(H1878*N1878*IF(AND(Inputs!$B$38&lt;&gt;"pvp",Inputs!$B$43&gt;0),((Skills!G4*((R1878-1)*IF(Skills!H4&gt;0,Skills!I4/Skills!H4,1)+IF(Skills!H4&gt;0,MIN(Skills!I4,MAX(0,MAX(0,Inputs!$B$43-B1912)-((R1878-1)*(IF(Inputs!$B$38="pvp",15,MAX(0.1,Skills!E4-IF(TRUE=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733206460790861.12</v>
      </c>
      <c r="T1878">
        <f>290*T1877/1000</f>
        <v>504.6</v>
      </c>
      <c r="U1878">
        <f>IF(C1878,(H1878*N1878*IF(AND(Inputs!$B$38&lt;&gt;"pvp",Inputs!$B$43&gt;0),((Skills!G4*((R1878-1)*IF(Skills!H4&gt;0,Skills!I4/Skills!H4,1)+IF(Skills!H4&gt;0,MIN(Skills!I4,MAX(0,MAX(0,Inputs!$B$43-B1912)-((R1878-1)*(IF(Inputs!$B$38="pvp",15,MAX(0.1,Skills!E4-IF(TRUE=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879" spans="1:26" x14ac:dyDescent="0.2">
      <c r="A1879" t="str">
        <f>Skills!A5</f>
        <v>ELEMENTAL_DRAIN</v>
      </c>
      <c r="B1879" t="str">
        <f>Skills!B5</f>
        <v>Elemental Drain</v>
      </c>
      <c r="C1879" t="b">
        <f>TRUE</f>
        <v>1</v>
      </c>
      <c r="D1879">
        <f>IF(Skills!C5=1,60+Inputs!$B$25+Inputs!$B$29,IF(Skills!C5=2,90+Inputs!$B$26+Inputs!$B$29,IF(Skills!C5=3,120+Inputs!$B$27+Inputs!$B$29,MAX(0,(Inputs!$B$3-100)*3)+Inputs!$B$28+Inputs!$B$29)))</f>
        <v>168</v>
      </c>
      <c r="E1879">
        <f>INDEX(FactorTable!$B$2:$Y$301, MATCH(ROUND(MIN(300,MAX(1,D1879)),0), FactorTable!$A$2:$A$301,0), Skills!M5+1)</f>
        <v>1672</v>
      </c>
      <c r="F1879">
        <f>IF(Skills!N5=TRUE,(Skills!L5/10)*(E1879/1000),Skills!L5/10)+Skills!O5</f>
        <v>20.064</v>
      </c>
      <c r="G1879">
        <f>Calc!G5</f>
        <v>5</v>
      </c>
      <c r="H1879">
        <f>Calc!H5</f>
        <v>1</v>
      </c>
      <c r="I1879">
        <f>IF(Skills!X5&lt;&gt;"",1+(Skills!X5/10)*(Z1877/1000)/100,1)</f>
        <v>12.475</v>
      </c>
      <c r="J1879">
        <f>((Inputs!$B$6*(1+Inputs!$B$7/100))+(((Inputs!$B$12*(1+Inputs!$B$13/100))-(Inputs!$B$12*(1+Inputs!$B$13/100)))+0.25*(Inputs!$B$14-Inputs!$B$14))*(1+Inputs!$B$7/100))*(F1879/100)</f>
        <v>72458030.371890247</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4541925884983.542</v>
      </c>
      <c r="L1879">
        <f>K1879*(MIN(Inputs!$B$22+(F1896-Calc!F22),(Inputs!$B$23+(IF(ArtifactsInput!$M$15,CHOOSE(ArtifactsInput!$N$15+1,25,30,35,40,45,50)/100*(Inputs!$B$11-Inputs!$B$11),0))))/100+(Inputs!$B$23+(IF(ArtifactsInput!$M$15,CHOOSE(ArtifactsInput!$N$15+1,25,30,35,40,45,50)/100*(Inputs!$B$11-Inputs!$B$11),0)))/100)/2</f>
        <v>15101903567570.277</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879">
        <f>L1879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879">
        <f>(1-Summary!$B$11)*S1879+Summary!$B$11*U1879</f>
        <v>1130633232769552</v>
      </c>
      <c r="P1879">
        <f>IF(B1915=0,0,O1879/B1915)</f>
        <v>3.3418645269392172E-2</v>
      </c>
      <c r="Q1879">
        <f>IFERROR(1/(IF(Inputs!$B$38="pvp",15,MAX(0.1,Skills!E5-IF(FALSE=TRUE,Inputs!$B$32,0)))*(1-IF(AND(ArtifactsInput!$M$27,Inputs!$B$4="Chapter Hunt"),CHOOSE(ArtifactsInput!$N$27+1,20,24,28,32,36,40),0)/100)),0)</f>
        <v>1</v>
      </c>
      <c r="R1879">
        <f>IF(AND(Inputs!$B$38&lt;&gt;"pvp",Inputs!$B$43&gt;0),IF(MAX(0,Inputs!$B$43-B1912)&lt;=0,0,(INT(MAX(0,Inputs!$B$43-B1912)/(IF(Inputs!$B$38="pvp",15,MAX(0.1,Skills!E5-IF(FALSE=TRUE,Inputs!$B$32,0)))*(1-IF(AND(ArtifactsInput!$M$27,Inputs!$B$4="Chapter Hunt"),CHOOSE(ArtifactsInput!$N$27+1,20,24,28,32,36,40),0)/100)))+1)),0)</f>
        <v>38</v>
      </c>
      <c r="S1879">
        <f>IF(C1879,(H1879*N1879*IF(AND(Inputs!$B$38&lt;&gt;"pvp",Inputs!$B$43&gt;0),((Skills!G5*((R1879-1)*IF(Skills!H5&gt;0,Skills!I5/Skills!H5,1)+IF(Skills!H5&gt;0,MIN(Skills!I5,MAX(0,MAX(0,Inputs!$B$43-B1912)-((R1879-1)*(IF(Inputs!$B$38="pvp",15,MAX(0.1,Skills!E5-IF(FALSE=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1242342504270735.2</v>
      </c>
      <c r="U1879">
        <f>IF(C1879,(H1879*N1879*IF(AND(Inputs!$B$38&lt;&gt;"pvp",Inputs!$B$43&gt;0),((Skills!G5*((R1879-1)*IF(Skills!H5&gt;0,Skills!I5/Skills!H5,1)+IF(Skills!H5&gt;0,MIN(Skills!I5,MAX(0,MAX(0,Inputs!$B$43-B1912)-((R1879-1)*(IF(Inputs!$B$38="pvp",15,MAX(0.1,Skills!E5-IF(FALSE=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880" spans="1:26" x14ac:dyDescent="0.2">
      <c r="A1880" t="str">
        <f>Skills!A6</f>
        <v>MEDITATION</v>
      </c>
      <c r="B1880" t="str">
        <f>Skills!B6</f>
        <v>Meditation</v>
      </c>
      <c r="C1880" t="b">
        <f>TRUE</f>
        <v>1</v>
      </c>
      <c r="D1880">
        <f>IF(Skills!C6=1,60+Inputs!$B$25+Inputs!$B$29,IF(Skills!C6=2,90+Inputs!$B$26+Inputs!$B$29,IF(Skills!C6=3,120+Inputs!$B$27+Inputs!$B$29,MAX(0,(Inputs!$B$3-100)*3)+Inputs!$B$28+Inputs!$B$29)))</f>
        <v>168</v>
      </c>
      <c r="E1880">
        <f>INDEX(FactorTable!$B$2:$Y$301, MATCH(ROUND(MIN(300,MAX(1,D1880)),0), FactorTable!$A$2:$A$301,0), Skills!M6+1)</f>
        <v>1672</v>
      </c>
      <c r="F1880">
        <f>IF(Skills!N6=TRUE,(Skills!L6/10)*(E1880/1000),Skills!L6/10)+Skills!O6</f>
        <v>33.44</v>
      </c>
      <c r="G1880">
        <f>Calc!G6</f>
        <v>1</v>
      </c>
      <c r="H1880">
        <f>Calc!H6</f>
        <v>1</v>
      </c>
      <c r="I1880">
        <f>IF(Skills!X6&lt;&gt;"",1+(Skills!X6/10)*(Z1877/1000)/100,1)</f>
        <v>1</v>
      </c>
      <c r="O1880">
        <f>(1-Summary!$B$11)*S1880+Summary!$B$11*U1880</f>
        <v>0</v>
      </c>
      <c r="P1880">
        <f>IF(B1915=0,0,O1880/B1915)</f>
        <v>0</v>
      </c>
      <c r="Q1880">
        <f>IFERROR(1/(IF(Inputs!$B$38="pvp",15,MAX(0.1,Skills!E6-IF(TRUE=TRUE,Inputs!$B$32,0)))*(1-IF(AND(ArtifactsInput!$M$27,Inputs!$B$4="Chapter Hunt"),CHOOSE(ArtifactsInput!$N$27+1,20,24,28,32,36,40),0)/100)),0)</f>
        <v>3.3333333333333333E-2</v>
      </c>
      <c r="R1880">
        <f>IF(AND(Inputs!$B$38&lt;&gt;"pvp",Inputs!$B$43&gt;0),IF(Inputs!$B$43&lt;=0,0,(INT(Inputs!$B$43/(IF(Inputs!$B$38="pvp",15,MAX(0.1,Skills!E6-IF(TRUE=TRUE,Inputs!$B$32,0)))*(1-IF(AND(ArtifactsInput!$M$27,Inputs!$B$4="Chapter Hunt"),CHOOSE(ArtifactsInput!$N$27+1,20,24,28,32,36,40),0)/100)))+1)),0)</f>
        <v>2</v>
      </c>
      <c r="S1880">
        <v>0</v>
      </c>
      <c r="U1880">
        <v>0</v>
      </c>
    </row>
    <row r="1881" spans="1:26" x14ac:dyDescent="0.2">
      <c r="A1881" t="str">
        <f>Skills!A7</f>
        <v>POISON_MIST_BURST</v>
      </c>
      <c r="B1881" t="str">
        <f>Skills!B7</f>
        <v>Poison Mist (burst)</v>
      </c>
      <c r="C1881" t="b">
        <f>TRUE</f>
        <v>1</v>
      </c>
      <c r="D1881">
        <f>IF(Skills!C7=1,60+Inputs!$B$25+Inputs!$B$29,IF(Skills!C7=2,90+Inputs!$B$26+Inputs!$B$29,IF(Skills!C7=3,120+Inputs!$B$27+Inputs!$B$29,MAX(0,(Inputs!$B$3-100)*3)+Inputs!$B$28+Inputs!$B$29)))</f>
        <v>184</v>
      </c>
      <c r="E1881">
        <f>INDEX(FactorTable!$B$2:$Y$301, MATCH(ROUND(MIN(300,MAX(1,D1881)),0), FactorTable!$A$2:$A$301,0), Skills!M7+1)</f>
        <v>1920</v>
      </c>
      <c r="F1881">
        <f>IF(Skills!N7=TRUE,(Skills!L7/10)*(E1881/1000),Skills!L7/10)+Skills!O7</f>
        <v>357.2</v>
      </c>
      <c r="G1881">
        <f>Calc!G7</f>
        <v>3</v>
      </c>
      <c r="H1881">
        <f>Calc!H7</f>
        <v>1</v>
      </c>
      <c r="I1881">
        <f>IF(Skills!X7&lt;&gt;"",1+(Skills!X7/10)*(Z1877/1000)/100,1)</f>
        <v>1.7650000000000001</v>
      </c>
      <c r="J1881">
        <f>((Inputs!$B$6*(1+Inputs!$B$7/100))+(((Inputs!$B$12*(1+Inputs!$B$13/100))-(Inputs!$B$12*(1+Inputs!$B$13/100)))+0.25*(Inputs!$B$14-Inputs!$B$14))*(1+Inputs!$B$7/100))*(F1881/100)</f>
        <v>1289972510.4086521</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11440318873772.086</v>
      </c>
      <c r="L1881">
        <f>K1881*(MIN(Inputs!$B$22+(F1896-Calc!F22),(Inputs!$B$23+(IF(ArtifactsInput!$M$15,CHOOSE(ArtifactsInput!$N$15+1,25,30,35,40,45,50)/100*(Inputs!$B$11-Inputs!$B$11),0))))/100+(Inputs!$B$23+(IF(ArtifactsInput!$M$15,CHOOSE(ArtifactsInput!$N$15+1,25,30,35,40,45,50)/100*(Inputs!$B$11-Inputs!$B$11),0)))/100)/2</f>
        <v>38039060255292.188</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881">
        <f>L1881*(1-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881">
        <f>(1-Summary!$B$11)*S1881+Summary!$B$11*U1881</f>
        <v>454644645516849.19</v>
      </c>
      <c r="P1881">
        <f>IF(B1915=0,0,O1881/B1915)</f>
        <v>1.34381404082193E-2</v>
      </c>
      <c r="Q1881">
        <f>IFERROR(1/(IF(Inputs!$B$38="pvp",15,MAX(0.1,Skills!E7-IF(TRUE=TRUE,Inputs!$B$32,0)))*(1-IF(AND(ArtifactsInput!$M$27,Inputs!$B$4="Chapter Hunt"),CHOOSE(ArtifactsInput!$N$27+1,20,24,28,32,36,40),0)/100)),0)</f>
        <v>4.0816326530612242E-2</v>
      </c>
      <c r="R1881">
        <f>IF(AND(Inputs!$B$38&lt;&gt;"pvp",Inputs!$B$43&gt;0),IF(MAX(0,Inputs!$B$43-B1912)&lt;=0,0,(INT(MAX(0,Inputs!$B$43-B1912)/(IF(Inputs!$B$38="pvp",15,MAX(0.1,Skills!E7-IF(TRUE=TRUE,Inputs!$B$32,0)))*(1-IF(AND(ArtifactsInput!$M$27,Inputs!$B$4="Chapter Hunt"),CHOOSE(ArtifactsInput!$N$27+1,20,24,28,32,36,40),0)/100)))+1)),0)</f>
        <v>2</v>
      </c>
      <c r="S1881">
        <f>IF(C1881,(H1881*N1881*IF(AND(Inputs!$B$38&lt;&gt;"pvp",Inputs!$B$43&gt;0),((Skills!G7*((R1881-1)*IF(Skills!H7&gt;0,Skills!I7/Skills!H7,1)+IF(Skills!H7&gt;0,MIN(Skills!I7,MAX(0,MAX(0,Inputs!$B$43-B1912)-((R1881-1)*(IF(Inputs!$B$38="pvp",15,MAX(0.1,Skills!E7-IF(TRUE=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98818232102270.453</v>
      </c>
      <c r="U1881">
        <f>IF(C1881,(H1881*N1881*IF(AND(Inputs!$B$38&lt;&gt;"pvp",Inputs!$B$43&gt;0),((Skills!G7*((R1881-1)*IF(Skills!H7&gt;0,Skills!I7/Skills!H7,1)+IF(Skills!H7&gt;0,MIN(Skills!I7,MAX(0,MAX(0,Inputs!$B$43-B1912)-((R1881-1)*(IF(Inputs!$B$38="pvp",15,MAX(0.1,Skills!E7-IF(TRUE=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882" spans="1:26" x14ac:dyDescent="0.2">
      <c r="A1882" t="str">
        <f>Skills!A8</f>
        <v>POISON_MIST_DOT</v>
      </c>
      <c r="B1882" t="str">
        <f>Skills!B8</f>
        <v>Poison Mist (fog DoT)</v>
      </c>
      <c r="C1882" t="b">
        <f>TRUE</f>
        <v>1</v>
      </c>
      <c r="D1882">
        <f>IF(Skills!C8=1,60+Inputs!$B$25+Inputs!$B$29,IF(Skills!C8=2,90+Inputs!$B$26+Inputs!$B$29,IF(Skills!C8=3,120+Inputs!$B$27+Inputs!$B$29,MAX(0,(Inputs!$B$3-100)*3)+Inputs!$B$28+Inputs!$B$29)))</f>
        <v>184</v>
      </c>
      <c r="E1882">
        <f>INDEX(FactorTable!$B$2:$Y$301, MATCH(ROUND(MIN(300,MAX(1,D1882)),0), FactorTable!$A$2:$A$301,0), Skills!M8+1)</f>
        <v>1920</v>
      </c>
      <c r="F1882">
        <f>IF(Skills!N8=TRUE,(Skills!L8/10)*(E1882/1000),Skills!L8/10)+Skills!O8</f>
        <v>134.4</v>
      </c>
      <c r="G1882">
        <f>Calc!G8</f>
        <v>50</v>
      </c>
      <c r="H1882">
        <f>Calc!H8</f>
        <v>1</v>
      </c>
      <c r="I1882">
        <f>IF(Skills!X8&lt;&gt;"",1+(Skills!X8/10)*(Z1877/1000)/100,1)</f>
        <v>1.7650000000000001</v>
      </c>
      <c r="J1882">
        <f>((Inputs!$B$6*(1+Inputs!$B$7/100))+(((Inputs!$B$12*(1+Inputs!$B$13/100))-(Inputs!$B$12*(1+Inputs!$B$13/100)))+0.25*(Inputs!$B$14-Inputs!$B$14))*(1+Inputs!$B$7/100))*(F1882/100)</f>
        <v>485364796.74950409</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4304532073446.1597</v>
      </c>
      <c r="L1882">
        <f>K1882*(MIN(Inputs!$B$22+(F1896-Calc!F22),(Inputs!$B$23+(IF(ArtifactsInput!$M$15,CHOOSE(ArtifactsInput!$N$15+1,25,30,35,40,45,50)/100*(Inputs!$B$11-Inputs!$B$11),0))))/100+(Inputs!$B$23+(IF(ArtifactsInput!$M$15,CHOOSE(ArtifactsInput!$N$15+1,25,30,35,40,45,50)/100*(Inputs!$B$11-Inputs!$B$11),0)))/100)/2</f>
        <v>14312569144208.482</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882">
        <f>L1882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882">
        <f>(1-Summary!$B$11)*S1882+Summary!$B$11*U1882</f>
        <v>2362450519467961</v>
      </c>
      <c r="P1882">
        <f>IF(B1915=0,0,O1882/B1915)</f>
        <v>6.9828034050616647E-2</v>
      </c>
      <c r="Q1882">
        <f>IFERROR(1/(IF(Inputs!$B$38="pvp",15,MAX(0.1,Skills!E8-IF(TRUE=TRUE,Inputs!$B$32,0)))*(1-IF(AND(ArtifactsInput!$M$27,Inputs!$B$4="Chapter Hunt"),CHOOSE(ArtifactsInput!$N$27+1,20,24,28,32,36,40),0)/100)),0)</f>
        <v>4.0816326530612242E-2</v>
      </c>
      <c r="R1882">
        <f>IF(AND(Inputs!$B$38&lt;&gt;"pvp",Inputs!$B$43&gt;0),IF(MAX(0,Inputs!$B$43-B1912)&lt;=0,0,(INT(MAX(0,Inputs!$B$43-B1912)/(IF(Inputs!$B$38="pvp",15,MAX(0.1,Skills!E8-IF(TRUE=TRUE,Inputs!$B$32,0)))*(1-IF(AND(ArtifactsInput!$M$27,Inputs!$B$4="Chapter Hunt"),CHOOSE(ArtifactsInput!$N$27+1,20,24,28,32,36,40),0)/100)))+1)),0)</f>
        <v>2</v>
      </c>
      <c r="S1882">
        <f>IF(C1882,(H1882*N1882*IF(AND(Inputs!$B$38&lt;&gt;"pvp",Inputs!$B$43&gt;0),((Skills!G8*((R1882-1)*IF(Skills!H8&gt;0,Skills!I8/Skills!H8,1)+IF(Skills!H8&gt;0,MIN(Skills!I8,MAX(0,MAX(0,Inputs!$B$43-B1912)-((R1882-1)*(IF(Inputs!$B$38="pvp",15,MAX(0.1,Skills!E8-IF(TRUE=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513484951521908.06</v>
      </c>
      <c r="U1882">
        <f>IF(C1882,(H1882*N1882*IF(AND(Inputs!$B$38&lt;&gt;"pvp",Inputs!$B$43&gt;0),((Skills!G8*((R1882-1)*IF(Skills!H8&gt;0,Skills!I8/Skills!H8,1)+IF(Skills!H8&gt;0,MIN(Skills!I8,MAX(0,MAX(0,Inputs!$B$43-B1912)-((R1882-1)*(IF(Inputs!$B$38="pvp",15,MAX(0.1,Skills!E8-IF(TRUE=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883" spans="1:26" x14ac:dyDescent="0.2">
      <c r="A1883" t="str">
        <f>Skills!A9</f>
        <v>MIST_ERUPTION</v>
      </c>
      <c r="B1883" t="str">
        <f>Skills!B9</f>
        <v>Mist Eruption</v>
      </c>
      <c r="C1883" t="b">
        <f>Inputs!$B$3&gt;=103</f>
        <v>1</v>
      </c>
      <c r="D1883">
        <f>IF(Skills!C9=1,60+Inputs!$B$25+Inputs!$B$29,IF(Skills!C9=2,90+Inputs!$B$26+Inputs!$B$29,IF(Skills!C9=3,120+Inputs!$B$27+Inputs!$B$29,MAX(0,(Inputs!$B$3-100)*3)+Inputs!$B$28+Inputs!$B$29)))</f>
        <v>185</v>
      </c>
      <c r="E1883">
        <f>INDEX(FactorTable!$B$2:$Y$301, MATCH(ROUND(MIN(300,MAX(1,D1883)),0), FactorTable!$A$2:$A$301,0), Skills!M9+1)</f>
        <v>1925</v>
      </c>
      <c r="F1883">
        <f>IF(Skills!N9=TRUE,(Skills!L9/10)*(E1883/1000),Skills!L9/10)+Skills!O9</f>
        <v>5775</v>
      </c>
      <c r="G1883">
        <f>Calc!G9</f>
        <v>2.5</v>
      </c>
      <c r="H1883">
        <f>Calc!H9</f>
        <v>1</v>
      </c>
      <c r="I1883">
        <f>IF(Skills!X9&lt;&gt;"",1+(Skills!X9/10)*(Z1877/1000)/100,1)</f>
        <v>1</v>
      </c>
      <c r="J1883">
        <f>((Inputs!$B$6*(1+Inputs!$B$7/100))+(((Inputs!$B$12*(1+Inputs!$B$13/100))-(Inputs!$B$12*(1+Inputs!$B$13/100)))+0.25*(Inputs!$B$14-Inputs!$B$14))*(1+Inputs!$B$7/100))*(F1883/100)</f>
        <v>20855518610.330254</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104793406533081.95</v>
      </c>
      <c r="L1883">
        <f>K1883*(MIN(Inputs!$B$22+(F1896-Calc!F22),(Inputs!$B$23+(IF(ArtifactsInput!$M$15,CHOOSE(ArtifactsInput!$N$15+1,25,30,35,40,45,50)/100*(Inputs!$B$11-Inputs!$B$11),0))))/100+(Inputs!$B$23+(IF(ArtifactsInput!$M$15,CHOOSE(ArtifactsInput!$N$15+1,25,30,35,40,45,50)/100*(Inputs!$B$11-Inputs!$B$11),0)))/100)/2</f>
        <v>348438076722497.5</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883">
        <f>L1883*(1-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883">
        <f>(1-Summary!$B$11)*S1883+Summary!$B$11*U1883</f>
        <v>3470456963905345.5</v>
      </c>
      <c r="P1883">
        <f>IF(B1915=0,0,O1883/B1915)</f>
        <v>0.10257788895462563</v>
      </c>
      <c r="Q1883">
        <f>IFERROR(1/(IF(Inputs!$B$38="pvp",15,MAX(0.1,Skills!E9-IF(TRUE=TRUE,Inputs!$B$32,0)))*(1-IF(AND(ArtifactsInput!$M$27,Inputs!$B$4="Chapter Hunt"),CHOOSE(ArtifactsInput!$N$27+1,20,24,28,32,36,40),0)/100)),0)</f>
        <v>4.0816326530612242E-2</v>
      </c>
      <c r="R1883">
        <f>IF(AND(Inputs!$B$38&lt;&gt;"pvp",Inputs!$B$43&gt;0),IF(MAX(0,Inputs!$B$43-B1912)&lt;=0,0,(INT(MAX(0,Inputs!$B$43-B1912)/(IF(Inputs!$B$38="pvp",15,MAX(0.1,Skills!E9-IF(TRUE=TRUE,Inputs!$B$32,0)))*(1-IF(AND(ArtifactsInput!$M$27,Inputs!$B$4="Chapter Hunt"),CHOOSE(ArtifactsInput!$N$27+1,20,24,28,32,36,40),0)/100)))+1)),0)</f>
        <v>2</v>
      </c>
      <c r="S1883">
        <f>IF(C1883,(H1883*N1883*IF(AND(Inputs!$B$38&lt;&gt;"pvp",Inputs!$B$43&gt;0),((Skills!G9*((R1883-1)*IF(Skills!H9&gt;0,Skills!I9/Skills!H9,1)+IF(Skills!H9&gt;0,MIN(Skills!I9,MAX(0,MAX(0,Inputs!$B$43-B1912)-((R1883-1)*(IF(Inputs!$B$38="pvp",15,MAX(0.1,Skills!E9-IF(TRUE=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754313121559527.25</v>
      </c>
      <c r="U1883">
        <f>IF(C1883,(H1883*N1883*IF(AND(Inputs!$B$38&lt;&gt;"pvp",Inputs!$B$43&gt;0),((Skills!G9*((R1883-1)*IF(Skills!H9&gt;0,Skills!I9/Skills!H9,1)+IF(Skills!H9&gt;0,MIN(Skills!I9,MAX(0,MAX(0,Inputs!$B$43-B1912)-((R1883-1)*(IF(Inputs!$B$38="pvp",15,MAX(0.1,Skills!E9-IF(TRUE=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884" spans="1:26" x14ac:dyDescent="0.2">
      <c r="A1884" t="str">
        <f>Skills!A10</f>
        <v>CREEPING_TOXIN</v>
      </c>
      <c r="B1884" t="str">
        <f>Skills!B10</f>
        <v>Creeping Toxin</v>
      </c>
      <c r="C1884" t="b">
        <f>TRUE</f>
        <v>1</v>
      </c>
      <c r="D1884">
        <f>IF(Skills!C10=1,60+Inputs!$B$25+Inputs!$B$29,IF(Skills!C10=2,90+Inputs!$B$26+Inputs!$B$29,IF(Skills!C10=3,120+Inputs!$B$27+Inputs!$B$29,MAX(0,(Inputs!$B$3-100)*3)+Inputs!$B$28+Inputs!$B$29)))</f>
        <v>184</v>
      </c>
      <c r="E1884">
        <f>INDEX(FactorTable!$B$2:$Y$301, MATCH(ROUND(MIN(300,MAX(1,D1884)),0), FactorTable!$A$2:$A$301,0), Skills!M10+1)</f>
        <v>1920</v>
      </c>
      <c r="F1884">
        <f>IF(Skills!N10=TRUE,(Skills!L10/10)*(E1884/1000),Skills!L10/10)+Skills!O10</f>
        <v>280.39999999999998</v>
      </c>
      <c r="G1884">
        <f>Calc!G10</f>
        <v>15</v>
      </c>
      <c r="H1884">
        <f>Calc!H10</f>
        <v>1</v>
      </c>
      <c r="I1884">
        <f>IF(Skills!X10&lt;&gt;"",1+(Skills!X10/10)*(Z1877/1000)/100,1)</f>
        <v>1.7650000000000001</v>
      </c>
      <c r="J1884">
        <f>((Inputs!$B$6*(1+Inputs!$B$7/100))+(((Inputs!$B$12*(1+Inputs!$B$13/100))-(Inputs!$B$12*(1+Inputs!$B$13/100)))+0.25*(Inputs!$B$14-Inputs!$B$14))*(1+Inputs!$B$7/100))*(F1884/100)</f>
        <v>1012621197.9803641</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8980586260374.2793</v>
      </c>
      <c r="L1884">
        <f>K1884*(MIN(Inputs!$B$22+(F1896-Calc!F22),(Inputs!$B$23+(IF(ArtifactsInput!$M$15,CHOOSE(ArtifactsInput!$N$15+1,25,30,35,40,45,50)/100*(Inputs!$B$11-Inputs!$B$11),0))))/100+(Inputs!$B$23+(IF(ArtifactsInput!$M$15,CHOOSE(ArtifactsInput!$N$15+1,25,30,35,40,45,50)/100*(Inputs!$B$11-Inputs!$B$11),0)))/100)/2</f>
        <v>29860449315744.48</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884">
        <f>L1884*(1-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884">
        <f>(1-Summary!$B$11)*S1884+Summary!$B$11*U1884</f>
        <v>346908654467652.81</v>
      </c>
      <c r="P1884">
        <f>IF(B1915=0,0,O1884/B1915)</f>
        <v>1.0253738284464157E-2</v>
      </c>
      <c r="Q1884">
        <f>IFERROR(1/(IF(Inputs!$B$38="pvp",15,MAX(0.1,Skills!E10-IF(TRUE=TRUE,Inputs!$B$32,0)))*(1-IF(AND(ArtifactsInput!$M$27,Inputs!$B$4="Chapter Hunt"),CHOOSE(ArtifactsInput!$N$27+1,20,24,28,32,36,40),0)/100)),0)</f>
        <v>3.7037037037037035E-2</v>
      </c>
      <c r="R1884">
        <f>IF(AND(Inputs!$B$38&lt;&gt;"pvp",Inputs!$B$43&gt;0),IF(MAX(0,Inputs!$B$43-B1912)&lt;=0,0,(INT(MAX(0,Inputs!$B$43-B1912)/(IF(Inputs!$B$38="pvp",15,MAX(0.1,Skills!E10-IF(TRUE=TRUE,Inputs!$B$32,0)))*(1-IF(AND(ArtifactsInput!$M$27,Inputs!$B$4="Chapter Hunt"),CHOOSE(ArtifactsInput!$N$27+1,20,24,28,32,36,40),0)/100)))+1)),0)</f>
        <v>2</v>
      </c>
      <c r="S1884">
        <f>IF(C1884,(H1884*N1884*IF(AND(Inputs!$B$38&lt;&gt;"pvp",Inputs!$B$43&gt;0),((Skills!G10*((R1884-1)*IF(Skills!H10&gt;0,Skills!I10/Skills!H10,1)+IF(Skills!H10&gt;0,MIN(Skills!I10,MAX(0,MAX(0,Inputs!$B$43-B1912)-((R1884-1)*(IF(Inputs!$B$38="pvp",15,MAX(0.1,Skills!E10-IF(TRUE=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331550719243824.44</v>
      </c>
      <c r="U1884">
        <f>IF(C1884,(H1884*N1884*IF(AND(Inputs!$B$38&lt;&gt;"pvp",Inputs!$B$43&gt;0),((Skills!G10*((R1884-1)*IF(Skills!H10&gt;0,Skills!I10/Skills!H10,1)+IF(Skills!H10&gt;0,MIN(Skills!I10,MAX(0,MAX(0,Inputs!$B$43-B1912)-((R1884-1)*(IF(Inputs!$B$38="pvp",15,MAX(0.1,Skills!E10-IF(TRUE=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885" spans="1:26" x14ac:dyDescent="0.2">
      <c r="A1885" t="str">
        <f>Skills!A11</f>
        <v>BURNING_MAGIC</v>
      </c>
      <c r="B1885" t="str">
        <f>Skills!B11</f>
        <v>Burning Magic</v>
      </c>
      <c r="C1885" t="b">
        <f>TRUE</f>
        <v>1</v>
      </c>
      <c r="D1885">
        <f>IF(Skills!C11=1,60+Inputs!$B$25+Inputs!$B$29,IF(Skills!C11=2,90+Inputs!$B$26+Inputs!$B$29,IF(Skills!C11=3,120+Inputs!$B$27+Inputs!$B$29,MAX(0,(Inputs!$B$3-100)*3)+Inputs!$B$28+Inputs!$B$29)))</f>
        <v>184</v>
      </c>
      <c r="E1885">
        <f>INDEX(FactorTable!$B$2:$Y$301, MATCH(ROUND(MIN(300,MAX(1,D1885)),0), FactorTable!$A$2:$A$301,0), Skills!M11+1)</f>
        <v>0</v>
      </c>
      <c r="F1885">
        <f>IF(Skills!N11=TRUE,(Skills!L11/10)*(E1885/1000),Skills!L11/10)+Skills!O11</f>
        <v>5</v>
      </c>
      <c r="G1885">
        <f>Calc!G11</f>
        <v>1</v>
      </c>
      <c r="H1885">
        <f>Calc!H11</f>
        <v>1</v>
      </c>
      <c r="I1885">
        <f>IF(Skills!X11&lt;&gt;"",1+(Skills!X11/10)*(Z1877/1000)/100,1)</f>
        <v>1</v>
      </c>
      <c r="O1885">
        <f>(1-Summary!$B$11)*S1885+Summary!$B$11*U1885</f>
        <v>0</v>
      </c>
      <c r="P1885">
        <f>IF(B1915=0,0,O1885/B1915)</f>
        <v>0</v>
      </c>
      <c r="Q1885">
        <f>IFERROR(1/(IF(Inputs!$B$38="pvp",15,MAX(0.1,Skills!E11-IF(TRUE=TRUE,Inputs!$B$32,0)))*(1-IF(AND(ArtifactsInput!$M$27,Inputs!$B$4="Chapter Hunt"),CHOOSE(ArtifactsInput!$N$27+1,20,24,28,32,36,40),0)/100)),0)</f>
        <v>10</v>
      </c>
      <c r="R1885">
        <v>0</v>
      </c>
      <c r="S1885">
        <v>0</v>
      </c>
      <c r="U1885">
        <v>0</v>
      </c>
    </row>
    <row r="1886" spans="1:26" x14ac:dyDescent="0.2">
      <c r="A1886" t="str">
        <f>Skills!A12</f>
        <v>ELEMENTAL_DECREASE</v>
      </c>
      <c r="B1886" t="str">
        <f>Skills!B12</f>
        <v>Elemental Decrease</v>
      </c>
      <c r="C1886" t="b">
        <f>TRUE</f>
        <v>1</v>
      </c>
      <c r="D1886">
        <f>IF(Skills!C12=1,60+Inputs!$B$25+Inputs!$B$29,IF(Skills!C12=2,90+Inputs!$B$26+Inputs!$B$29,IF(Skills!C12=3,120+Inputs!$B$27+Inputs!$B$29,MAX(0,(Inputs!$B$3-100)*3)+Inputs!$B$28+Inputs!$B$29)))</f>
        <v>184</v>
      </c>
      <c r="E1886">
        <f>INDEX(FactorTable!$B$2:$Y$301, MATCH(ROUND(MIN(300,MAX(1,D1886)),0), FactorTable!$A$2:$A$301,0), Skills!M12+1)</f>
        <v>1552</v>
      </c>
      <c r="F1886">
        <f>IF(Skills!N12=TRUE,(Skills!L12/10)*(E1886/1000),Skills!L12/10)+Skills!O12</f>
        <v>18.624000000000002</v>
      </c>
      <c r="G1886">
        <f>Calc!G12</f>
        <v>1</v>
      </c>
      <c r="H1886">
        <f>Calc!H12</f>
        <v>0.5</v>
      </c>
      <c r="I1886">
        <f>IF(Skills!X12&lt;&gt;"",1+(Skills!X12/10)*(Z1877/1000)/100,1)</f>
        <v>1</v>
      </c>
      <c r="O1886">
        <f>(1-Summary!$B$11)*S1886+Summary!$B$11*U1886</f>
        <v>0</v>
      </c>
      <c r="P1886">
        <f>IF(B1915=0,0,O1886/B1915)</f>
        <v>0</v>
      </c>
      <c r="Q1886">
        <f>IFERROR(1/(IF(Inputs!$B$38="pvp",15,MAX(0.1,Skills!E12-IF(TRUE=TRUE,Inputs!$B$32,0)))*(1-IF(AND(ArtifactsInput!$M$27,Inputs!$B$4="Chapter Hunt"),CHOOSE(ArtifactsInput!$N$27+1,20,24,28,32,36,40),0)/100)),0)</f>
        <v>10</v>
      </c>
      <c r="R1886">
        <v>0</v>
      </c>
      <c r="S1886">
        <v>0</v>
      </c>
      <c r="U1886">
        <v>0</v>
      </c>
    </row>
    <row r="1887" spans="1:26" x14ac:dyDescent="0.2">
      <c r="A1887" t="str">
        <f>Skills!A13</f>
        <v>METEOR_SHOWER_BURST</v>
      </c>
      <c r="B1887" t="str">
        <f>Skills!B13</f>
        <v>Meteor Shower (burst)</v>
      </c>
      <c r="C1887" t="b">
        <f>Inputs!$B$3&gt;=105</f>
        <v>1</v>
      </c>
      <c r="D1887">
        <f>IF(Skills!C13=1,60+Inputs!$B$25+Inputs!$B$29,IF(Skills!C13=2,90+Inputs!$B$26+Inputs!$B$29,IF(Skills!C13=3,120+Inputs!$B$27+Inputs!$B$29,MAX(0,(Inputs!$B$3-100)*3)+Inputs!$B$28+Inputs!$B$29)))</f>
        <v>185</v>
      </c>
      <c r="E1887">
        <f>INDEX(FactorTable!$B$2:$Y$301, MATCH(ROUND(MIN(300,MAX(1,D1887)),0), FactorTable!$A$2:$A$301,0), Skills!M13+1)</f>
        <v>1925</v>
      </c>
      <c r="F1887">
        <f>IF(Skills!N13=TRUE,(Skills!L13/10)*(E1887/1000),Skills!L13/10)+Skills!O13</f>
        <v>1155</v>
      </c>
      <c r="G1887">
        <f>Calc!G13</f>
        <v>9</v>
      </c>
      <c r="H1887">
        <f>Calc!H13</f>
        <v>1</v>
      </c>
      <c r="I1887">
        <f>IF(Skills!X13&lt;&gt;"",1+(Skills!X13/10)*(Z1877/1000)/100,1)</f>
        <v>1</v>
      </c>
      <c r="J1887">
        <f>((Inputs!$B$6*(1+Inputs!$B$7/100))+(((Inputs!$B$12*(1+Inputs!$B$13/100))-(Inputs!$B$12*(1+Inputs!$B$13/100)))+0.25*(Inputs!$B$14-Inputs!$B$14))*(1+Inputs!$B$7/100))*(F1887/100)</f>
        <v>4171103722.0660505</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20958681306616.391</v>
      </c>
      <c r="L1887">
        <f>K1887*(MIN(Inputs!$B$22+(F1896-Calc!F22),(Inputs!$B$23+(IF(ArtifactsInput!$M$15,CHOOSE(ArtifactsInput!$N$15+1,25,30,35,40,45,50)/100*(Inputs!$B$11-Inputs!$B$11),0))))/100+(Inputs!$B$23+(IF(ArtifactsInput!$M$15,CHOOSE(ArtifactsInput!$N$15+1,25,30,35,40,45,50)/100*(Inputs!$B$11-Inputs!$B$11),0)))/100)/2</f>
        <v>69687615344499.5</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887">
        <f>L1887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887">
        <f>(1-Summary!$B$11)*S1887+Summary!$B$11*U1887</f>
        <v>1830576126936723.2</v>
      </c>
      <c r="P1887">
        <f>IF(B1915=0,0,O1887/B1915)</f>
        <v>5.4107178571837597E-2</v>
      </c>
      <c r="Q1887">
        <f>IFERROR(1/(IF(Inputs!$B$38="pvp",15,MAX(0.1,Skills!E13-IF(TRUE=TRUE,Inputs!$B$32,0)))*(1-IF(AND(ArtifactsInput!$M$27,Inputs!$B$4="Chapter Hunt"),CHOOSE(ArtifactsInput!$N$27+1,20,24,28,32,36,40),0)/100)),0)</f>
        <v>3.0303030303030304E-2</v>
      </c>
      <c r="R1887">
        <f>IF(AND(Inputs!$B$38&lt;&gt;"pvp",Inputs!$B$43&gt;0),IF(MAX(0,Inputs!$B$43-B1912)&lt;=0,0,(INT(MAX(0,Inputs!$B$43-B1912)/(IF(Inputs!$B$38="pvp",15,MAX(0.1,Skills!E13-IF(TRUE=TRUE,Inputs!$B$32,0)))*(1-IF(AND(ArtifactsInput!$M$27,Inputs!$B$4="Chapter Hunt"),CHOOSE(ArtifactsInput!$N$27+1,20,24,28,32,36,40),0)/100)))+1)),0)</f>
        <v>2</v>
      </c>
      <c r="S1887">
        <f>IF(C1887,(H1887*N1887*IF(AND(Inputs!$B$38&lt;&gt;"pvp",Inputs!$B$43&gt;0),((Skills!G13*((R1887-1)*IF(Skills!H13&gt;0,Skills!I13/Skills!H13,1)+IF(Skills!H13&gt;0,MIN(Skills!I13,MAX(0,MAX(0,Inputs!$B$43-B1912)-((R1887-1)*(IF(Inputs!$B$38="pvp",15,MAX(0.1,Skills!E13-IF(TRUE=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543105447522859.69</v>
      </c>
      <c r="U1887">
        <f>IF(C1887,(H1887*N1887*IF(AND(Inputs!$B$38&lt;&gt;"pvp",Inputs!$B$43&gt;0),((Skills!G13*((R1887-1)*IF(Skills!H13&gt;0,Skills!I13/Skills!H13,1)+IF(Skills!H13&gt;0,MIN(Skills!I13,MAX(0,MAX(0,Inputs!$B$43-B1912)-((R1887-1)*(IF(Inputs!$B$38="pvp",15,MAX(0.1,Skills!E13-IF(TRUE=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888" spans="1:26" x14ac:dyDescent="0.2">
      <c r="A1888" t="str">
        <f>Skills!A14</f>
        <v>METEOR_PROC</v>
      </c>
      <c r="B1888" t="str">
        <f>Skills!B14</f>
        <v>Meteor Proc (30% on-hit, 1s ICD)</v>
      </c>
      <c r="C1888" t="b">
        <f>Inputs!$B$3&gt;=113</f>
        <v>1</v>
      </c>
      <c r="D1888">
        <f>IF(Skills!C14=1,60+Inputs!$B$25+Inputs!$B$29,IF(Skills!C14=2,90+Inputs!$B$26+Inputs!$B$29,IF(Skills!C14=3,120+Inputs!$B$27+Inputs!$B$29,MAX(0,(Inputs!$B$3-100)*3)+Inputs!$B$28+Inputs!$B$29)))</f>
        <v>185</v>
      </c>
      <c r="E1888">
        <f>INDEX(FactorTable!$B$2:$Y$301, MATCH(ROUND(MIN(300,MAX(1,D1888)),0), FactorTable!$A$2:$A$301,0), Skills!M14+1)</f>
        <v>1740</v>
      </c>
      <c r="F1888">
        <f>IF(Skills!N14=TRUE,(Skills!L14/10)*(E1888/1000),Skills!L14/10)+Skills!O14</f>
        <v>1653</v>
      </c>
      <c r="G1888">
        <f>Calc!G14</f>
        <v>0</v>
      </c>
      <c r="H1888">
        <f>Calc!H14</f>
        <v>0.30000000000000004</v>
      </c>
      <c r="I1888">
        <f>IF(Skills!X14&lt;&gt;"",1+(Skills!X14/10)*(Z1877/1000)/100,1)</f>
        <v>1</v>
      </c>
      <c r="J1888">
        <f>((Inputs!$B$6*(1+Inputs!$B$7/100))+(((Inputs!$B$12*(1+Inputs!$B$13/100))-(Inputs!$B$12*(1+Inputs!$B$13/100)))+0.25*(Inputs!$B$14-Inputs!$B$14))*(1+Inputs!$B$7/100))*(F1888/100)</f>
        <v>5969553638.5932312</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29995411428430.203</v>
      </c>
      <c r="L1888">
        <f>K1888*(MIN(Inputs!$B$22+(F1896-Calc!F22),(Inputs!$B$23+(IF(ArtifactsInput!$M$15,CHOOSE(ArtifactsInput!$N$15+1,25,30,35,40,45,50)/100*(Inputs!$B$11-Inputs!$B$11),0))))/100+(Inputs!$B$23+(IF(ArtifactsInput!$M$15,CHOOSE(ArtifactsInput!$N$15+1,25,30,35,40,45,50)/100*(Inputs!$B$11-Inputs!$B$11),0)))/100)/2</f>
        <v>99734742999530.438</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888">
        <f>L1888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888">
        <f>(1-Summary!$B$11)*S1888+Summary!$B$11*U1888</f>
        <v>498576821940666.88</v>
      </c>
      <c r="P1888">
        <f>IF(B1915=0,0,O1888/B1915)</f>
        <v>1.4736663905731917E-2</v>
      </c>
      <c r="Q1888">
        <f>IFERROR(1/(IF(Inputs!$B$38="pvp",15,MAX(0.1,Skills!E14-IF(TRUE=TRUE,Inputs!$B$32,0)))*(1-IF(AND(ArtifactsInput!$M$27,Inputs!$B$4="Chapter Hunt"),CHOOSE(ArtifactsInput!$N$27+1,20,24,28,32,36,40),0)/100)),0)</f>
        <v>10</v>
      </c>
      <c r="R1888">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547837406144385.44</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889" spans="1:21" x14ac:dyDescent="0.2">
      <c r="A1889" t="str">
        <f>Skills!A15</f>
        <v>FLAME_HAZE_BURST</v>
      </c>
      <c r="B1889" t="str">
        <f>Skills!B15</f>
        <v>Flame Haze (burst)</v>
      </c>
      <c r="C1889" t="b">
        <f>Inputs!$B$3&gt;=107</f>
        <v>1</v>
      </c>
      <c r="D1889">
        <f>IF(Skills!C15=1,60+Inputs!$B$25+Inputs!$B$29,IF(Skills!C15=2,90+Inputs!$B$26+Inputs!$B$29,IF(Skills!C15=3,120+Inputs!$B$27+Inputs!$B$29,MAX(0,(Inputs!$B$3-100)*3)+Inputs!$B$28+Inputs!$B$29)))</f>
        <v>185</v>
      </c>
      <c r="E1889">
        <f>INDEX(FactorTable!$B$2:$Y$301, MATCH(ROUND(MIN(300,MAX(1,D1889)),0), FactorTable!$A$2:$A$301,0), Skills!M15+1)</f>
        <v>1925</v>
      </c>
      <c r="F1889">
        <f>IF(Skills!N15=TRUE,(Skills!L15/10)*(E1889/1000),Skills!L15/10)+Skills!O15</f>
        <v>2310</v>
      </c>
      <c r="G1889">
        <f>Calc!G15</f>
        <v>3</v>
      </c>
      <c r="H1889">
        <f>Calc!H15</f>
        <v>1</v>
      </c>
      <c r="I1889">
        <f>IF(Skills!X15&lt;&gt;"",1+(Skills!X15/10)*(Z1877/1000)/100,1)</f>
        <v>1</v>
      </c>
      <c r="J1889">
        <f>((Inputs!$B$6*(1+Inputs!$B$7/100))+(((Inputs!$B$12*(1+Inputs!$B$13/100))-(Inputs!$B$12*(1+Inputs!$B$13/100)))+0.25*(Inputs!$B$14-Inputs!$B$14))*(1+Inputs!$B$7/100))*(F1889/100)</f>
        <v>8342207444.1321011</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41917362613232.781</v>
      </c>
      <c r="L1889">
        <f>K1889*(MIN(Inputs!$B$22+(F1896-Calc!F22),(Inputs!$B$23+(IF(ArtifactsInput!$M$15,CHOOSE(ArtifactsInput!$N$15+1,25,30,35,40,45,50)/100*(Inputs!$B$11-Inputs!$B$11),0))))/100+(Inputs!$B$23+(IF(ArtifactsInput!$M$15,CHOOSE(ArtifactsInput!$N$15+1,25,30,35,40,45,50)/100*(Inputs!$B$11-Inputs!$B$11),0)))/100)/2</f>
        <v>139375230688999</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889">
        <f>L1889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889">
        <f>(1-Summary!$B$11)*S1889+Summary!$B$11*U1889</f>
        <v>1665819342674565.8</v>
      </c>
      <c r="P1889">
        <f>IF(B1915=0,0,O1889/B1915)</f>
        <v>4.9237386698220302E-2</v>
      </c>
      <c r="Q1889">
        <f>IFERROR(1/(IF(Inputs!$B$38="pvp",15,MAX(0.1,Skills!E15-IF(TRUE=TRUE,Inputs!$B$32,0)))*(1-IF(AND(ArtifactsInput!$M$27,Inputs!$B$4="Chapter Hunt"),CHOOSE(ArtifactsInput!$N$27+1,20,24,28,32,36,40),0)/100)),0)</f>
        <v>0.04</v>
      </c>
      <c r="R1889">
        <f>IF(AND(Inputs!$B$38&lt;&gt;"pvp",Inputs!$B$43&gt;0),IF(MAX(0,Inputs!$B$43-B1912)&lt;=0,0,(INT(MAX(0,Inputs!$B$43-B1912)/(IF(Inputs!$B$38="pvp",15,MAX(0.1,Skills!E15-IF(TRUE=TRUE,Inputs!$B$32,0)))*(1-IF(AND(ArtifactsInput!$M$27,Inputs!$B$4="Chapter Hunt"),CHOOSE(ArtifactsInput!$N$27+1,20,24,28,32,36,40),0)/100)))+1)),0)</f>
        <v>2</v>
      </c>
      <c r="S1889">
        <f>IF(C1889,(H1889*N1889*IF(AND(Inputs!$B$38&lt;&gt;"pvp",Inputs!$B$43&gt;0),((Skills!G15*((R1889-1)*IF(Skills!H15&gt;0,Skills!I15/Skills!H15,1)+IF(Skills!H15&gt;0,MIN(Skills!I15,MAX(0,MAX(0,Inputs!$B$43-B1912)-((R1889-1)*(IF(Inputs!$B$38="pvp",15,MAX(0.1,Skills!E15-IF(TRUE=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362070298348573.12</v>
      </c>
      <c r="U1889">
        <f>IF(C1889,(H1889*N1889*IF(AND(Inputs!$B$38&lt;&gt;"pvp",Inputs!$B$43&gt;0),((Skills!G15*((R1889-1)*IF(Skills!H15&gt;0,Skills!I15/Skills!H15,1)+IF(Skills!H15&gt;0,MIN(Skills!I15,MAX(0,MAX(0,Inputs!$B$43-B1912)-((R1889-1)*(IF(Inputs!$B$38="pvp",15,MAX(0.1,Skills!E15-IF(TRUE=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890" spans="1:21" x14ac:dyDescent="0.2">
      <c r="A1890" t="str">
        <f>Skills!A16</f>
        <v>FLAME_HAZE_DOT</v>
      </c>
      <c r="B1890" t="str">
        <f>Skills!B16</f>
        <v>Flame Haze (burn DoT)</v>
      </c>
      <c r="C1890" t="b">
        <f>Inputs!$B$3&gt;=107</f>
        <v>1</v>
      </c>
      <c r="D1890">
        <f>IF(Skills!C16=1,60+Inputs!$B$25+Inputs!$B$29,IF(Skills!C16=2,90+Inputs!$B$26+Inputs!$B$29,IF(Skills!C16=3,120+Inputs!$B$27+Inputs!$B$29,MAX(0,(Inputs!$B$3-100)*3)+Inputs!$B$28+Inputs!$B$29)))</f>
        <v>185</v>
      </c>
      <c r="E1890">
        <f>INDEX(FactorTable!$B$2:$Y$301, MATCH(ROUND(MIN(300,MAX(1,D1890)),0), FactorTable!$A$2:$A$301,0), Skills!M16+1)</f>
        <v>1925</v>
      </c>
      <c r="F1890">
        <f>IF(Skills!N16=TRUE,(Skills!L16/10)*(E1890/1000),Skills!L16/10)+Skills!O16</f>
        <v>288.75</v>
      </c>
      <c r="G1890">
        <f>Calc!G16</f>
        <v>30</v>
      </c>
      <c r="H1890">
        <f>Calc!H16</f>
        <v>1</v>
      </c>
      <c r="I1890">
        <f>IF(Skills!X16&lt;&gt;"",1+(Skills!X16/10)*(Z1877/1000)/100,1)</f>
        <v>1</v>
      </c>
      <c r="J1890">
        <f>((Inputs!$B$6*(1+Inputs!$B$7/100))+(((Inputs!$B$12*(1+Inputs!$B$13/100))-(Inputs!$B$12*(1+Inputs!$B$13/100)))+0.25*(Inputs!$B$14-Inputs!$B$14))*(1+Inputs!$B$7/100))*(F1890/100)</f>
        <v>1042775930.5165126</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5239670326654.0977</v>
      </c>
      <c r="L1890">
        <f>K1890*(MIN(Inputs!$B$22+(F1896-Calc!F22),(Inputs!$B$23+(IF(ArtifactsInput!$M$15,CHOOSE(ArtifactsInput!$N$15+1,25,30,35,40,45,50)/100*(Inputs!$B$11-Inputs!$B$11),0))))/100+(Inputs!$B$23+(IF(ArtifactsInput!$M$15,CHOOSE(ArtifactsInput!$N$15+1,25,30,35,40,45,50)/100*(Inputs!$B$11-Inputs!$B$11),0)))/100)/2</f>
        <v>17421903836124.875</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890">
        <f>L1890*(1-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890">
        <f>(1-Summary!$B$11)*S1890+Summary!$B$11*U1890</f>
        <v>1918794680336167</v>
      </c>
      <c r="P1890">
        <f>IF(B1915=0,0,O1890/B1915)</f>
        <v>5.6714694835102997E-2</v>
      </c>
      <c r="Q1890">
        <f>IFERROR(1/(IF(Inputs!$B$38="pvp",15,MAX(0.1,Skills!E16-IF(TRUE=TRUE,Inputs!$B$32,0)))*(1-IF(AND(ArtifactsInput!$M$27,Inputs!$B$4="Chapter Hunt"),CHOOSE(ArtifactsInput!$N$27+1,20,24,28,32,36,40),0)/100)),0)</f>
        <v>0.04</v>
      </c>
      <c r="R1890">
        <f>IF(AND(Inputs!$B$38&lt;&gt;"pvp",Inputs!$B$43&gt;0),IF(MAX(0,Inputs!$B$43-B1912)&lt;=0,0,(INT(MAX(0,Inputs!$B$43-B1912)/(IF(Inputs!$B$38="pvp",15,MAX(0.1,Skills!E16-IF(TRUE=TRUE,Inputs!$B$32,0)))*(1-IF(AND(ArtifactsInput!$M$27,Inputs!$B$4="Chapter Hunt"),CHOOSE(ArtifactsInput!$N$27+1,20,24,28,32,36,40),0)/100)))+1)),0)</f>
        <v>2</v>
      </c>
      <c r="S1890">
        <f>IF(C1890,(H1890*N1890*IF(AND(Inputs!$B$38&lt;&gt;"pvp",Inputs!$B$43&gt;0),((Skills!G16*((R1890-1)*IF(Skills!H16&gt;0,Skills!I16/Skills!H16,1)+IF(Skills!H16&gt;0,MIN(Skills!I16,MAX(0,MAX(0,Inputs!$B$43-B1912)-((R1890-1)*(IF(Inputs!$B$38="pvp",15,MAX(0.1,Skills!E16-IF(TRUE=TRUE,Inputs!$B$32,0)))*(1-IF(AND(ArtifactsInput!$M$27,Inputs!$B$4="Chapter Hunt"),CHOOSE(ArtifactsInput!$N$27+1,20,24,28,32,36,40),0)/100)))))/Skills!H16,1)))/Inputs!$B$43),G1890*Q1890)*(1+IF(Inputs!$B$3&gt;=126,0.05*(B1910+Q1887+(H1888*B1911)/(1+Skills!H14*H1888*B1911)+Q1898),0)*(1/Q1889)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417055165936259</v>
      </c>
      <c r="U1890">
        <f>IF(C1890,(H1890*N1890*IF(AND(Inputs!$B$38&lt;&gt;"pvp",Inputs!$B$43&gt;0),((Skills!G16*((R1890-1)*IF(Skills!H16&gt;0,Skills!I16/Skills!H16,1)+IF(Skills!H16&gt;0,MIN(Skills!I16,MAX(0,MAX(0,Inputs!$B$43-B1912)-((R1890-1)*(IF(Inputs!$B$38="pvp",15,MAX(0.1,Skills!E16-IF(TRUE=TRUE,Inputs!$B$32,0)))*(1-IF(AND(ArtifactsInput!$M$27,Inputs!$B$4="Chapter Hunt"),CHOOSE(ArtifactsInput!$N$27+1,20,24,28,32,36,40),0)/100)))))/Skills!H16,1)))/Inputs!$B$43),G1890*Q1890)*(1+IF(Inputs!$B$3&gt;=126,0.05*(B1910+Q1887+(H1888*B1911)/(1+Skills!H14*H1888*B1911)+Q1898),0)*(1/Q1889)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891" spans="1:21" x14ac:dyDescent="0.2">
      <c r="A1891" t="str">
        <f>Skills!A17</f>
        <v>MAGIC_GUARD</v>
      </c>
      <c r="B1891" t="str">
        <f>Skills!B17</f>
        <v>Magic Guard</v>
      </c>
      <c r="C1891" t="b">
        <f>TRUE</f>
        <v>1</v>
      </c>
      <c r="D1891">
        <f>IF(Skills!C17=1,60+Inputs!$B$25+Inputs!$B$29,IF(Skills!C17=2,90+Inputs!$B$26+Inputs!$B$29,IF(Skills!C17=3,120+Inputs!$B$27+Inputs!$B$29,MAX(0,(Inputs!$B$3-100)*3)+Inputs!$B$28+Inputs!$B$29)))</f>
        <v>127</v>
      </c>
      <c r="E1891">
        <f>INDEX(FactorTable!$B$2:$Y$301, MATCH(ROUND(MIN(300,MAX(1,D1891)),0), FactorTable!$A$2:$A$301,0), Skills!M17+1)</f>
        <v>1508</v>
      </c>
      <c r="F1891">
        <f>IF(Skills!N17=TRUE,(Skills!L17/10)*(E1891/1000),Skills!L17/10)+Skills!O17</f>
        <v>18.096</v>
      </c>
      <c r="G1891">
        <f>Calc!G17</f>
        <v>1</v>
      </c>
      <c r="H1891">
        <f>Calc!H17</f>
        <v>1</v>
      </c>
      <c r="I1891">
        <f>IF(Skills!X17&lt;&gt;"",1+(Skills!X17/10)*(Z1877/1000)/100,1)</f>
        <v>1</v>
      </c>
      <c r="O1891">
        <f>(1-Summary!$B$11)*S1891+Summary!$B$11*U1891</f>
        <v>0</v>
      </c>
      <c r="P1891">
        <f>IF(B1915=0,0,O1891/B1915)</f>
        <v>0</v>
      </c>
      <c r="Q1891">
        <f>IFERROR(1/(IF(Inputs!$B$38="pvp",15,MAX(0.1,Skills!E17-IF(TRUE=TRUE,Inputs!$B$32,0)))*(1-IF(AND(ArtifactsInput!$M$27,Inputs!$B$4="Chapter Hunt"),CHOOSE(ArtifactsInput!$N$27+1,20,24,28,32,36,40),0)/100)),0)</f>
        <v>4.7619047619047616E-2</v>
      </c>
      <c r="R1891">
        <f>IF(AND(Inputs!$B$38&lt;&gt;"pvp",Inputs!$B$43&gt;0),IF(Inputs!$B$43&lt;=0,0,(INT(Inputs!$B$43/(IF(Inputs!$B$38="pvp",15,MAX(0.1,Skills!E17-IF(TRUE=TRUE,Inputs!$B$32,0)))*(1-IF(AND(ArtifactsInput!$M$27,Inputs!$B$4="Chapter Hunt"),CHOOSE(ArtifactsInput!$N$27+1,20,24,28,32,36,40),0)/100)))+1)),0)</f>
        <v>2</v>
      </c>
      <c r="S1891">
        <v>0</v>
      </c>
      <c r="U1891">
        <v>0</v>
      </c>
    </row>
    <row r="1892" spans="1:21" x14ac:dyDescent="0.2">
      <c r="A1892" t="str">
        <f>Skills!A18</f>
        <v>NIMBLE_FEET</v>
      </c>
      <c r="B1892" t="str">
        <f>Skills!B18</f>
        <v>Nimble Feet</v>
      </c>
      <c r="C1892" t="b">
        <f>TRUE</f>
        <v>1</v>
      </c>
      <c r="D1892">
        <f>IF(Skills!C18=1,60+Inputs!$B$25+Inputs!$B$29,IF(Skills!C18=2,90+Inputs!$B$26+Inputs!$B$29,IF(Skills!C18=3,120+Inputs!$B$27+Inputs!$B$29,MAX(0,(Inputs!$B$3-100)*3)+Inputs!$B$28+Inputs!$B$29)))</f>
        <v>127</v>
      </c>
      <c r="E1892">
        <f>INDEX(FactorTable!$B$2:$Y$301, MATCH(ROUND(MIN(300,MAX(1,D1892)),0), FactorTable!$A$2:$A$301,0), Skills!M18+1)</f>
        <v>0</v>
      </c>
      <c r="F1892">
        <f>IF(Skills!N18=TRUE,(Skills!L18/10)*(E1892/1000),Skills!L18/10)+Skills!O18</f>
        <v>15</v>
      </c>
      <c r="G1892">
        <f>Calc!G18</f>
        <v>1</v>
      </c>
      <c r="H1892">
        <f>Calc!H18</f>
        <v>1</v>
      </c>
      <c r="I1892">
        <f>IF(Skills!X18&lt;&gt;"",1+(Skills!X18/10)*(Z1877/1000)/100,1)</f>
        <v>1</v>
      </c>
      <c r="O1892">
        <f>(1-Summary!$B$11)*S1892+Summary!$B$11*U1892</f>
        <v>0</v>
      </c>
      <c r="P1892">
        <f>IF(B1915=0,0,O1892/B1915)</f>
        <v>0</v>
      </c>
      <c r="Q1892">
        <f>IFERROR(1/(IF(Inputs!$B$38="pvp",15,MAX(0.1,Skills!E18-IF(TRUE=TRUE,Inputs!$B$32,0)))*(1-IF(AND(ArtifactsInput!$M$27,Inputs!$B$4="Chapter Hunt"),CHOOSE(ArtifactsInput!$N$27+1,20,24,28,32,36,40),0)/100)),0)</f>
        <v>1.6666666666666666E-2</v>
      </c>
      <c r="R1892">
        <f>IF(AND(Inputs!$B$38&lt;&gt;"pvp",Inputs!$B$43&gt;0),IF(Inputs!$B$43&lt;=0,0,(INT(Inputs!$B$43/(IF(Inputs!$B$38="pvp",15,MAX(0.1,Skills!E18-IF(TRUE=TRUE,Inputs!$B$32,0)))*(1-IF(AND(ArtifactsInput!$M$27,Inputs!$B$4="Chapter Hunt"),CHOOSE(ArtifactsInput!$N$27+1,20,24,28,32,36,40),0)/100)))+1)),0)</f>
        <v>1</v>
      </c>
      <c r="S1892">
        <v>0</v>
      </c>
      <c r="U1892">
        <v>0</v>
      </c>
    </row>
    <row r="1893" spans="1:21" x14ac:dyDescent="0.2">
      <c r="A1893" t="str">
        <f>Skills!A19</f>
        <v>INFINITY</v>
      </c>
      <c r="B1893" t="str">
        <f>Skills!B19</f>
        <v>Infinity</v>
      </c>
      <c r="C1893" t="b">
        <f>Inputs!$B$3&gt;=110</f>
        <v>1</v>
      </c>
      <c r="D1893">
        <f>IF(Skills!C19=1,60+Inputs!$B$25+Inputs!$B$29,IF(Skills!C19=2,90+Inputs!$B$26+Inputs!$B$29,IF(Skills!C19=3,120+Inputs!$B$27+Inputs!$B$29,MAX(0,(Inputs!$B$3-100)*3)+Inputs!$B$28+Inputs!$B$29)))</f>
        <v>185</v>
      </c>
      <c r="E1893">
        <f>INDEX(FactorTable!$B$2:$Y$301, MATCH(ROUND(MIN(300,MAX(1,D1893)),0), FactorTable!$A$2:$A$301,0), Skills!M19+1)</f>
        <v>1740</v>
      </c>
      <c r="F1893">
        <f>IF(Skills!N19=TRUE,(Skills!L19/10)*(E1893/1000),Skills!L19/10)+Skills!O19</f>
        <v>37.700579999999995</v>
      </c>
      <c r="G1893">
        <f>Calc!G19</f>
        <v>1</v>
      </c>
      <c r="H1893">
        <f>Calc!H19</f>
        <v>1</v>
      </c>
      <c r="I1893">
        <f>IF(Skills!X19&lt;&gt;"",1+(Skills!X19/10)*(Z1877/1000)/100,1)</f>
        <v>1</v>
      </c>
      <c r="O1893">
        <f>(1-Summary!$B$11)*S1893+Summary!$B$11*U1893</f>
        <v>0</v>
      </c>
      <c r="P1893">
        <f>IF(B1915=0,0,O1893/B1915)</f>
        <v>0</v>
      </c>
      <c r="Q1893">
        <f>IFERROR(1/(IF(Inputs!$B$38="pvp",15,MAX(0.1,Skills!E19-IF(TRUE=TRUE,Inputs!$B$32,0)))*(1-IF(AND(ArtifactsInput!$M$27,Inputs!$B$4="Chapter Hunt"),CHOOSE(ArtifactsInput!$N$27+1,20,24,28,32,36,40),0)/100)),0)</f>
        <v>3.3333333333333333E-2</v>
      </c>
      <c r="R1893">
        <f>IF(AND(Inputs!$B$38&lt;&gt;"pvp",Inputs!$B$43&gt;0),IF(Inputs!$B$43&lt;=0,0,(INT(Inputs!$B$43/(IF(Inputs!$B$38="pvp",15,MAX(0.1,Skills!E19-IF(TRUE=TRUE,Inputs!$B$32,0)))*(1-IF(AND(ArtifactsInput!$M$27,Inputs!$B$4="Chapter Hunt"),CHOOSE(ArtifactsInput!$N$27+1,20,24,28,32,36,40),0)/100)))+1)),0)</f>
        <v>2</v>
      </c>
      <c r="S1893">
        <v>0</v>
      </c>
      <c r="U1893">
        <v>0</v>
      </c>
    </row>
    <row r="1894" spans="1:21" x14ac:dyDescent="0.2">
      <c r="A1894" t="str">
        <f>Skills!A20</f>
        <v>MAGIC_CRITICAL_RATE</v>
      </c>
      <c r="B1894" t="str">
        <f>Skills!B20</f>
        <v>Magic Critical (Crit Rate)</v>
      </c>
      <c r="C1894" t="b">
        <f>TRUE</f>
        <v>1</v>
      </c>
      <c r="D1894">
        <f>IF(Skills!C20=1,60+Inputs!$B$25+Inputs!$B$29,IF(Skills!C20=2,90+Inputs!$B$26+Inputs!$B$29,IF(Skills!C20=3,120+Inputs!$B$27+Inputs!$B$29,MAX(0,(Inputs!$B$3-100)*3)+Inputs!$B$28+Inputs!$B$29)))</f>
        <v>184</v>
      </c>
      <c r="E1894">
        <f>INDEX(FactorTable!$B$2:$Y$301, MATCH(ROUND(MIN(300,MAX(1,D1894)),0), FactorTable!$A$2:$A$301,0), Skills!M20+1)</f>
        <v>1552</v>
      </c>
      <c r="F1894">
        <f>IF(Skills!N20=TRUE,(Skills!L20/10)*(E1894/1000),Skills!L20/10)+Skills!O20</f>
        <v>12.416</v>
      </c>
      <c r="G1894">
        <f>Calc!G20</f>
        <v>1</v>
      </c>
      <c r="H1894">
        <f>Calc!H20</f>
        <v>1</v>
      </c>
      <c r="I1894">
        <f>IF(Skills!X20&lt;&gt;"",1+(Skills!X20/10)*(Z1877/1000)/100,1)</f>
        <v>1</v>
      </c>
      <c r="O1894">
        <f>(1-Summary!$B$11)*S1894+Summary!$B$11*U1894</f>
        <v>0</v>
      </c>
      <c r="P1894">
        <f>IF(B1915=0,0,O1894/B1915)</f>
        <v>0</v>
      </c>
      <c r="Q1894">
        <f>IFERROR(1/(IF(Inputs!$B$38="pvp",15,MAX(0.1,Skills!E20-IF(TRUE=TRUE,Inputs!$B$32,0)))*(1-IF(AND(ArtifactsInput!$M$27,Inputs!$B$4="Chapter Hunt"),CHOOSE(ArtifactsInput!$N$27+1,20,24,28,32,36,40),0)/100)),0)</f>
        <v>10</v>
      </c>
      <c r="R1894">
        <v>0</v>
      </c>
      <c r="S1894">
        <v>0</v>
      </c>
      <c r="U1894">
        <v>0</v>
      </c>
    </row>
    <row r="1895" spans="1:21" x14ac:dyDescent="0.2">
      <c r="A1895" t="str">
        <f>Skills!A21</f>
        <v>MAGIC_CRITICAL_DAMAGE</v>
      </c>
      <c r="B1895" t="str">
        <f>Skills!B21</f>
        <v>Magic Critical (Crit Damage)</v>
      </c>
      <c r="C1895" t="b">
        <f>TRUE</f>
        <v>1</v>
      </c>
      <c r="D1895">
        <f>IF(Skills!C21=1,60+Inputs!$B$25+Inputs!$B$29,IF(Skills!C21=2,90+Inputs!$B$26+Inputs!$B$29,IF(Skills!C21=3,120+Inputs!$B$27+Inputs!$B$29,MAX(0,(Inputs!$B$3-100)*3)+Inputs!$B$28+Inputs!$B$29)))</f>
        <v>184</v>
      </c>
      <c r="E1895">
        <f>INDEX(FactorTable!$B$2:$Y$301, MATCH(ROUND(MIN(300,MAX(1,D1895)),0), FactorTable!$A$2:$A$301,0), Skills!M21+1)</f>
        <v>1552</v>
      </c>
      <c r="F1895">
        <f>IF(Skills!N21=TRUE,(Skills!L21/10)*(E1895/1000),Skills!L21/10)+Skills!O21</f>
        <v>18.624000000000002</v>
      </c>
      <c r="G1895">
        <f>Calc!G21</f>
        <v>1</v>
      </c>
      <c r="H1895">
        <f>Calc!H21</f>
        <v>1</v>
      </c>
      <c r="I1895">
        <f>IF(Skills!X21&lt;&gt;"",1+(Skills!X21/10)*(Z1877/1000)/100,1)</f>
        <v>1</v>
      </c>
      <c r="O1895">
        <f>(1-Summary!$B$11)*S1895+Summary!$B$11*U1895</f>
        <v>0</v>
      </c>
      <c r="P1895">
        <f>IF(B1915=0,0,O1895/B1915)</f>
        <v>0</v>
      </c>
      <c r="Q1895">
        <f>IFERROR(1/(IF(Inputs!$B$38="pvp",15,MAX(0.1,Skills!E21-IF(TRUE=TRUE,Inputs!$B$32,0)))*(1-IF(AND(ArtifactsInput!$M$27,Inputs!$B$4="Chapter Hunt"),CHOOSE(ArtifactsInput!$N$27+1,20,24,28,32,36,40),0)/100)),0)</f>
        <v>10</v>
      </c>
      <c r="R1895">
        <v>0</v>
      </c>
      <c r="S1895">
        <v>0</v>
      </c>
      <c r="U1895">
        <v>0</v>
      </c>
    </row>
    <row r="1896" spans="1:21" x14ac:dyDescent="0.2">
      <c r="A1896" t="str">
        <f>Skills!A22</f>
        <v>SPELL_MASTERY</v>
      </c>
      <c r="B1896" t="str">
        <f>Skills!B22</f>
        <v>Spell Mastery</v>
      </c>
      <c r="C1896" t="b">
        <f>TRUE</f>
        <v>1</v>
      </c>
      <c r="D1896">
        <f>IF(Skills!C22=1,60+Inputs!$B$25+Inputs!$B$29,IF(Skills!C22=2,90+Inputs!$B$26+Inputs!$B$29,IF(Skills!C22=3,120+Inputs!$B$27+Inputs!$B$29,MAX(0,(Inputs!$B$3-100)*3)+Inputs!$B$28+Inputs!$B$29)))</f>
        <v>168</v>
      </c>
      <c r="E1896">
        <f>INDEX(FactorTable!$B$2:$Y$301, MATCH(ROUND(MIN(300,MAX(1,D1896)),0), FactorTable!$A$2:$A$301,0), Skills!M22+1)</f>
        <v>1504</v>
      </c>
      <c r="F1896">
        <f>IF(Skills!N22=TRUE,(Skills!L22/10)*(E1896/1000),Skills!L22/10)+Skills!O22</f>
        <v>22.56</v>
      </c>
      <c r="G1896">
        <f>Calc!G22</f>
        <v>1</v>
      </c>
      <c r="H1896">
        <f>Calc!H22</f>
        <v>1</v>
      </c>
      <c r="I1896">
        <f>IF(Skills!X22&lt;&gt;"",1+(Skills!X22/10)*(Z1877/1000)/100,1)</f>
        <v>1</v>
      </c>
      <c r="O1896">
        <f>(1-Summary!$B$11)*S1896+Summary!$B$11*U1896</f>
        <v>0</v>
      </c>
      <c r="P1896">
        <f>IF(B1915=0,0,O1896/B1915)</f>
        <v>0</v>
      </c>
      <c r="Q1896">
        <f>IFERROR(1/(IF(Inputs!$B$38="pvp",15,MAX(0.1,Skills!E22-IF(TRUE=TRUE,Inputs!$B$32,0)))*(1-IF(AND(ArtifactsInput!$M$27,Inputs!$B$4="Chapter Hunt"),CHOOSE(ArtifactsInput!$N$27+1,20,24,28,32,36,40),0)/100)),0)</f>
        <v>10</v>
      </c>
      <c r="R1896">
        <v>0</v>
      </c>
      <c r="S1896">
        <v>0</v>
      </c>
      <c r="U1896">
        <v>0</v>
      </c>
    </row>
    <row r="1897" spans="1:21" x14ac:dyDescent="0.2">
      <c r="A1897" t="str">
        <f>Skills!A23</f>
        <v>ELEMENT_AMPLIFICATION</v>
      </c>
      <c r="B1897" t="str">
        <f>Skills!B23</f>
        <v>Element Amplification</v>
      </c>
      <c r="C1897" t="b">
        <f>TRUE</f>
        <v>1</v>
      </c>
      <c r="D1897">
        <f>IF(Skills!C23=1,60+Inputs!$B$25+Inputs!$B$29,IF(Skills!C23=2,90+Inputs!$B$26+Inputs!$B$29,IF(Skills!C23=3,120+Inputs!$B$27+Inputs!$B$29,MAX(0,(Inputs!$B$3-100)*3)+Inputs!$B$28+Inputs!$B$29)))</f>
        <v>185</v>
      </c>
      <c r="E1897">
        <f>INDEX(FactorTable!$B$2:$Y$301, MATCH(ROUND(MIN(300,MAX(1,D1897)),0), FactorTable!$A$2:$A$301,0), Skills!M23+1)</f>
        <v>1555</v>
      </c>
      <c r="F1897">
        <f>IF(Skills!N23=TRUE,(Skills!L23/10)*(E1897/1000),Skills!L23/10)+Skills!O23</f>
        <v>23.324999999999999</v>
      </c>
      <c r="G1897">
        <f>Calc!G23</f>
        <v>1</v>
      </c>
      <c r="H1897">
        <f>Calc!H23</f>
        <v>1</v>
      </c>
      <c r="I1897">
        <f>IF(Skills!X23&lt;&gt;"",1+(Skills!X23/10)*(Z1877/1000)/100,1)</f>
        <v>1</v>
      </c>
      <c r="O1897">
        <f>(1-Summary!$B$11)*S1897+Summary!$B$11*U1897</f>
        <v>0</v>
      </c>
      <c r="P1897">
        <f>IF(B1915=0,0,O1897/B1915)</f>
        <v>0</v>
      </c>
      <c r="Q1897">
        <f>IFERROR(1/(IF(Inputs!$B$38="pvp",15,MAX(0.1,Skills!E23-IF(TRUE=TRUE,Inputs!$B$32,0)))*(1-IF(AND(ArtifactsInput!$M$27,Inputs!$B$4="Chapter Hunt"),CHOOSE(ArtifactsInput!$N$27+1,20,24,28,32,36,40),0)/100)),0)</f>
        <v>10</v>
      </c>
      <c r="R1897">
        <v>0</v>
      </c>
      <c r="S1897">
        <v>0</v>
      </c>
      <c r="U1897">
        <v>0</v>
      </c>
    </row>
    <row r="1898" spans="1:21" x14ac:dyDescent="0.2">
      <c r="A1898" t="str">
        <f>Skills!A24</f>
        <v>IFRIT</v>
      </c>
      <c r="B1898" t="str">
        <f>Skills!B24</f>
        <v>Ifrit</v>
      </c>
      <c r="C1898" t="b">
        <f>Inputs!$B$3&gt;=115</f>
        <v>1</v>
      </c>
      <c r="D1898">
        <f>IF(Skills!C24=1,60+Inputs!$B$25+Inputs!$B$29,IF(Skills!C24=2,90+Inputs!$B$26+Inputs!$B$29,IF(Skills!C24=3,120+Inputs!$B$27+Inputs!$B$29,MAX(0,(Inputs!$B$3-100)*3)+Inputs!$B$28+Inputs!$B$29)))</f>
        <v>185</v>
      </c>
      <c r="E1898">
        <f>INDEX(FactorTable!$B$2:$Y$301, MATCH(ROUND(MIN(300,MAX(1,D1898)),0), FactorTable!$A$2:$A$301,0), Skills!M24+1)</f>
        <v>1925</v>
      </c>
      <c r="F1898">
        <f>IF(Skills!N24=TRUE,(Skills!L24/10)*(E1898/1000),Skills!L24/10)+Skills!O24</f>
        <v>6737.5</v>
      </c>
      <c r="G1898">
        <f>Calc!G24</f>
        <v>7.5</v>
      </c>
      <c r="H1898">
        <f>Calc!H24</f>
        <v>1</v>
      </c>
      <c r="I1898">
        <f>IF(Skills!X24&lt;&gt;"",1+(Skills!X24/10)*(Z1877/1000)/100,1)</f>
        <v>1</v>
      </c>
      <c r="J1898">
        <f>((Inputs!$B$6*(1+Inputs!$B$7/100))+(((Inputs!$B$12*(1+Inputs!$B$13/100))-(Inputs!$B$12*(1+Inputs!$B$13/100)))+0.25*(Inputs!$B$14-Inputs!$B$14))*(1+Inputs!$B$7/100))*(F1898/100)</f>
        <v>24331438378.718628</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122258974288595.61</v>
      </c>
      <c r="L1898">
        <f>K1898*(MIN(Inputs!$B$22+(F1896-Calc!F22),(Inputs!$B$23+(IF(ArtifactsInput!$M$15,CHOOSE(ArtifactsInput!$N$15+1,25,30,35,40,45,50)/100*(Inputs!$B$11-Inputs!$B$11),0))))/100+(Inputs!$B$23+(IF(ArtifactsInput!$M$15,CHOOSE(ArtifactsInput!$N$15+1,25,30,35,40,45,50)/100*(Inputs!$B$11-Inputs!$B$11),0)))/100)/2</f>
        <v>406511089509580.44</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898">
        <f>L1898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898">
        <f>(1-Summary!$B$11)*S1898+Summary!$B$11*U1898</f>
        <v>2284006693005516.5</v>
      </c>
      <c r="P1898">
        <f>IF(B1915=0,0,O1898/B1915)</f>
        <v>6.7509433876711711E-2</v>
      </c>
      <c r="Q1898">
        <f>IFERROR(1/(IF(Inputs!$B$38="pvp",15,MAX(0.1,Skills!E24-IF(TRUE=TRUE,Inputs!$B$32,0)))*(1-IF(AND(ArtifactsInput!$M$27,Inputs!$B$4="Chapter Hunt"),CHOOSE(ArtifactsInput!$N$27+1,20,24,28,32,36,40),0)/100)),0)</f>
        <v>1.2500000000000001E-2</v>
      </c>
      <c r="R1898">
        <f>IF(AND(Inputs!$B$38&lt;&gt;"pvp",Inputs!$B$43&gt;0),IF(MAX(0,Inputs!$B$43-B1912)&lt;=0,0,(INT(MAX(0,Inputs!$B$43-B1912)/(IF(Inputs!$B$38="pvp",15,MAX(0.1,Skills!E24-IF(TRUE=TRUE,Inputs!$B$32,0)))*(1-IF(AND(ArtifactsInput!$M$27,Inputs!$B$4="Chapter Hunt"),CHOOSE(ArtifactsInput!$N$27+1,20,24,28,32,36,40),0)/100)))+1)),0)</f>
        <v>1</v>
      </c>
      <c r="S1898">
        <f>IF(C1898,(H1898*N1898*IF(AND(Inputs!$B$38&lt;&gt;"pvp",Inputs!$B$43&gt;0),((Skills!G24*((R1898-1)*IF(Skills!H24&gt;0,Skills!I24/Skills!H24,1)+IF(Skills!H24&gt;0,MIN(Skills!I24,MAX(0,MAX(0,Inputs!$B$43-B1912)-((R1898-1)*(IF(Inputs!$B$38="pvp",15,MAX(0.1,Skills!E24-IF(TRUE=TRUE,Inputs!$B$32,0)))*(1-IF(AND(ArtifactsInput!$M$27,Inputs!$B$4="Chapter Hunt"),CHOOSE(ArtifactsInput!$N$27+1,20,24,28,32,36,40),0)/100)))))/Skills!H24,1)))/Inputs!$B$43),G1898*Q1898)*(1+IF(Inputs!$B$3&gt;=130,0.2*(Skills!I16/(1/Q1889)+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1320047962729172.8</v>
      </c>
      <c r="U1898">
        <f>IF(C1898,(H1898*N1898*IF(AND(Inputs!$B$38&lt;&gt;"pvp",Inputs!$B$43&gt;0),((Skills!G24*((R1898-1)*IF(Skills!H24&gt;0,Skills!I24/Skills!H24,1)+IF(Skills!H24&gt;0,MIN(Skills!I24,MAX(0,MAX(0,Inputs!$B$43-B1912)-((R1898-1)*(IF(Inputs!$B$38="pvp",15,MAX(0.1,Skills!E24-IF(TRUE=TRUE,Inputs!$B$32,0)))*(1-IF(AND(ArtifactsInput!$M$27,Inputs!$B$4="Chapter Hunt"),CHOOSE(ArtifactsInput!$N$27+1,20,24,28,32,36,40),0)/100)))))/Skills!H24,1)))/Inputs!$B$43),G1898*Q1898)*(1+IF(Inputs!$B$3&gt;=130,0.2*(Skills!I16/(1/Q1889)+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899" spans="1:21" x14ac:dyDescent="0.2">
      <c r="A1899" t="str">
        <f>Skills!A25</f>
        <v>BUFF_MASTERY</v>
      </c>
      <c r="B1899" t="str">
        <f>Skills!B25</f>
        <v>Buff Mastery</v>
      </c>
      <c r="C1899" t="b">
        <f>Inputs!$B$3&gt;=117</f>
        <v>1</v>
      </c>
      <c r="D1899">
        <f>IF(Skills!C25=1,60+Inputs!$B$25+Inputs!$B$29,IF(Skills!C25=2,90+Inputs!$B$26+Inputs!$B$29,IF(Skills!C25=3,120+Inputs!$B$27+Inputs!$B$29,MAX(0,(Inputs!$B$3-100)*3)+Inputs!$B$28+Inputs!$B$29)))</f>
        <v>185</v>
      </c>
      <c r="E1899">
        <f>INDEX(FactorTable!$B$2:$Y$301, MATCH(ROUND(MIN(300,MAX(1,D1899)),0), FactorTable!$A$2:$A$301,0), Skills!M25+1)</f>
        <v>1555</v>
      </c>
      <c r="F1899">
        <f>IF(Skills!N25=TRUE,(Skills!L25/10)*(E1899/1000),Skills!L25/10)+Skills!O25</f>
        <v>15.549999999999999</v>
      </c>
      <c r="G1899">
        <f>Calc!G25</f>
        <v>1</v>
      </c>
      <c r="H1899">
        <f>Calc!H25</f>
        <v>1</v>
      </c>
      <c r="I1899">
        <f>IF(Skills!X25&lt;&gt;"",1+(Skills!X25/10)*(Z1877/1000)/100,1)</f>
        <v>1</v>
      </c>
      <c r="O1899">
        <f>(1-Summary!$B$11)*S1899+Summary!$B$11*U1899</f>
        <v>0</v>
      </c>
      <c r="P1899">
        <f>IF(B1915=0,0,O1899/B1915)</f>
        <v>0</v>
      </c>
      <c r="Q1899">
        <f>IFERROR(1/(IF(Inputs!$B$38="pvp",15,MAX(0.1,Skills!E25-IF(TRUE=TRUE,Inputs!$B$32,0)))*(1-IF(AND(ArtifactsInput!$M$27,Inputs!$B$4="Chapter Hunt"),CHOOSE(ArtifactsInput!$N$27+1,20,24,28,32,36,40),0)/100)),0)</f>
        <v>10</v>
      </c>
      <c r="R1899">
        <v>0</v>
      </c>
      <c r="S1899">
        <v>0</v>
      </c>
      <c r="U1899">
        <v>0</v>
      </c>
    </row>
    <row r="1900" spans="1:21" x14ac:dyDescent="0.2">
      <c r="A1900" t="str">
        <f>Skills!A26</f>
        <v>ARCANE_AIM</v>
      </c>
      <c r="B1900" t="str">
        <f>Skills!B26</f>
        <v>Arcane Aim</v>
      </c>
      <c r="C1900" t="b">
        <f>Inputs!$B$3&gt;=120</f>
        <v>0</v>
      </c>
      <c r="D1900">
        <f>IF(Skills!C26=1,60+Inputs!$B$25+Inputs!$B$29,IF(Skills!C26=2,90+Inputs!$B$26+Inputs!$B$29,IF(Skills!C26=3,120+Inputs!$B$27+Inputs!$B$29,MAX(0,(Inputs!$B$3-100)*3)+Inputs!$B$28+Inputs!$B$29)))</f>
        <v>185</v>
      </c>
      <c r="E1900">
        <f>INDEX(FactorTable!$B$2:$Y$301, MATCH(ROUND(MIN(300,MAX(1,D1900)),0), FactorTable!$A$2:$A$301,0), Skills!M26+1)</f>
        <v>1555</v>
      </c>
      <c r="F1900">
        <f>IF(Skills!N26=TRUE,(Skills!L26/10)*(E1900/1000),Skills!L26/10)+Skills!O26</f>
        <v>4.665</v>
      </c>
      <c r="G1900">
        <f>Calc!G26</f>
        <v>1</v>
      </c>
      <c r="H1900">
        <f>Calc!H26</f>
        <v>1</v>
      </c>
      <c r="I1900">
        <f>IF(Skills!X26&lt;&gt;"",1+(Skills!X26/10)*(Z1877/1000)/100,1)</f>
        <v>1</v>
      </c>
      <c r="O1900">
        <f>(1-Summary!$B$11)*S1900+Summary!$B$11*U1900</f>
        <v>0</v>
      </c>
      <c r="P1900">
        <f>IF(B1915=0,0,O1900/B1915)</f>
        <v>0</v>
      </c>
      <c r="Q1900">
        <f>IFERROR(1/(IF(Inputs!$B$38="pvp",15,MAX(0.1,Skills!E26-IF(TRUE=TRUE,Inputs!$B$32,0)))*(1-IF(AND(ArtifactsInput!$M$27,Inputs!$B$4="Chapter Hunt"),CHOOSE(ArtifactsInput!$N$27+1,20,24,28,32,36,40),0)/100)),0)</f>
        <v>10</v>
      </c>
      <c r="R1900">
        <v>0</v>
      </c>
      <c r="S1900">
        <v>0</v>
      </c>
      <c r="U1900">
        <v>0</v>
      </c>
    </row>
    <row r="1901" spans="1:21" x14ac:dyDescent="0.2">
      <c r="A1901" t="str">
        <f>Skills!A27</f>
        <v>FERVENT_DRAIN</v>
      </c>
      <c r="B1901" t="str">
        <f>Skills!B27</f>
        <v>Fervent Drain</v>
      </c>
      <c r="C1901" t="b">
        <f>Inputs!$B$3&gt;=125</f>
        <v>0</v>
      </c>
      <c r="D1901">
        <f>IF(Skills!C27=1,60+Inputs!$B$25+Inputs!$B$29,IF(Skills!C27=2,90+Inputs!$B$26+Inputs!$B$29,IF(Skills!C27=3,120+Inputs!$B$27+Inputs!$B$29,MAX(0,(Inputs!$B$3-100)*3)+Inputs!$B$28+Inputs!$B$29)))</f>
        <v>185</v>
      </c>
      <c r="E1901">
        <f>INDEX(FactorTable!$B$2:$Y$301, MATCH(ROUND(MIN(300,MAX(1,D1901)),0), FactorTable!$A$2:$A$301,0), Skills!M27+1)</f>
        <v>1555</v>
      </c>
      <c r="F1901">
        <f>IF(Skills!N27=TRUE,(Skills!L27/10)*(E1901/1000),Skills!L27/10)+Skills!O27</f>
        <v>6.22</v>
      </c>
      <c r="G1901">
        <f>Calc!G27</f>
        <v>1</v>
      </c>
      <c r="H1901">
        <f>Calc!H27</f>
        <v>1</v>
      </c>
      <c r="I1901">
        <f>IF(Skills!X27&lt;&gt;"",1+(Skills!X27/10)*(Z1877/1000)/100,1)</f>
        <v>1</v>
      </c>
      <c r="O1901">
        <f>(1-Summary!$B$11)*S1901+Summary!$B$11*U1901</f>
        <v>0</v>
      </c>
      <c r="P1901">
        <f>IF(B1915=0,0,O1901/B1915)</f>
        <v>0</v>
      </c>
      <c r="Q1901">
        <f>IFERROR(1/(IF(Inputs!$B$38="pvp",15,MAX(0.1,Skills!E27-IF(TRUE=TRUE,Inputs!$B$32,0)))*(1-IF(AND(ArtifactsInput!$M$27,Inputs!$B$4="Chapter Hunt"),CHOOSE(ArtifactsInput!$N$27+1,20,24,28,32,36,40),0)/100)),0)</f>
        <v>10</v>
      </c>
      <c r="R1901">
        <v>0</v>
      </c>
      <c r="S1901">
        <v>0</v>
      </c>
      <c r="U1901">
        <v>0</v>
      </c>
    </row>
    <row r="1902" spans="1:21" x14ac:dyDescent="0.2">
      <c r="A1902" t="str">
        <f>Skills!A28</f>
        <v>FLAME_HAZE_FOG</v>
      </c>
      <c r="B1902" t="str">
        <f>Skills!B28</f>
        <v>Flame Haze (poison fog DoT)</v>
      </c>
      <c r="C1902" t="b">
        <f>Inputs!$B$3&gt;=118</f>
        <v>0</v>
      </c>
      <c r="D1902">
        <f>IF(Skills!C28=1,60+Inputs!$B$25+Inputs!$B$29,IF(Skills!C28=2,90+Inputs!$B$26+Inputs!$B$29,IF(Skills!C28=3,120+Inputs!$B$27+Inputs!$B$29,MAX(0,(Inputs!$B$3-100)*3)+Inputs!$B$28+Inputs!$B$29)))</f>
        <v>185</v>
      </c>
      <c r="E1902">
        <f>INDEX(FactorTable!$B$2:$Y$301, MATCH(ROUND(MIN(300,MAX(1,D1902)),0), FactorTable!$A$2:$A$301,0), Skills!M28+1)</f>
        <v>1925</v>
      </c>
      <c r="F1902">
        <f>IF(Skills!N28=TRUE,(Skills!L28/10)*(E1902/1000),Skills!L28/10)+Skills!O28</f>
        <v>134.75</v>
      </c>
      <c r="G1902">
        <f>Calc!G28</f>
        <v>50</v>
      </c>
      <c r="H1902">
        <f>Calc!H28</f>
        <v>1</v>
      </c>
      <c r="I1902">
        <f>IF(Skills!X28&lt;&gt;"",1+(Skills!X28/10)*(Z1877/1000)/100,1)</f>
        <v>1</v>
      </c>
      <c r="J1902">
        <f>((Inputs!$B$6*(1+Inputs!$B$7/100))+(((Inputs!$B$12*(1+Inputs!$B$13/100))-(Inputs!$B$12*(1+Inputs!$B$13/100)))+0.25*(Inputs!$B$14-Inputs!$B$14))*(1+Inputs!$B$7/100))*(F1902/100)</f>
        <v>486628767.57437253</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2445179485771.9116</v>
      </c>
      <c r="L1902">
        <f>K1902*(MIN(Inputs!$B$22+(F1896-Calc!F22),(Inputs!$B$23+(IF(ArtifactsInput!$M$15,CHOOSE(ArtifactsInput!$N$15+1,25,30,35,40,45,50)/100*(Inputs!$B$11-Inputs!$B$11),0))))/100+(Inputs!$B$23+(IF(ArtifactsInput!$M$15,CHOOSE(ArtifactsInput!$N$15+1,25,30,35,40,45,50)/100*(Inputs!$B$11-Inputs!$B$11),0)))/100)/2</f>
        <v>8130221790191.6064</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902">
        <f>L1902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902">
        <f>(1-Summary!$B$11)*S1902+Summary!$B$11*U1902</f>
        <v>0</v>
      </c>
      <c r="P1902">
        <f>IF(B1915=0,0,O1902/B1915)</f>
        <v>0</v>
      </c>
      <c r="Q1902">
        <f>IFERROR(1/(IF(Inputs!$B$38="pvp",15,MAX(0.1,Skills!E28-IF(TRUE=TRUE,Inputs!$B$32,0)))*(1-IF(AND(ArtifactsInput!$M$27,Inputs!$B$4="Chapter Hunt"),CHOOSE(ArtifactsInput!$N$27+1,20,24,28,32,36,40),0)/100)),0)</f>
        <v>0.04</v>
      </c>
      <c r="R1902">
        <f>IF(AND(Inputs!$B$38&lt;&gt;"pvp",Inputs!$B$43&gt;0),IF(MAX(0,Inputs!$B$43-B1912)&lt;=0,0,(INT(MAX(0,Inputs!$B$43-B1912)/(IF(Inputs!$B$38="pvp",15,MAX(0.1,Skills!E28-IF(TRUE=TRUE,Inputs!$B$32,0)))*(1-IF(AND(ArtifactsInput!$M$27,Inputs!$B$4="Chapter Hunt"),CHOOSE(ArtifactsInput!$N$27+1,20,24,28,32,36,40),0)/100)))+1)),0)</f>
        <v>2</v>
      </c>
      <c r="S1902">
        <f>IF(C1902,(H1902*N1902*IF(AND(Inputs!$B$38&lt;&gt;"pvp",Inputs!$B$43&gt;0),((Skills!G28*((R1902-1)*IF(Skills!H28&gt;0,Skills!I28/Skills!H28,1)+IF(Skills!H28&gt;0,MIN(Skills!I28,MAX(0,MAX(0,Inputs!$B$43-B1912)-((R1902-1)*(IF(Inputs!$B$38="pvp",15,MAX(0.1,Skills!E28-IF(TRUE=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02">
        <f>IF(C1902,(H1902*N1902*IF(AND(Inputs!$B$38&lt;&gt;"pvp",Inputs!$B$43&gt;0),((Skills!G28*((R1902-1)*IF(Skills!H28&gt;0,Skills!I28/Skills!H28,1)+IF(Skills!H28&gt;0,MIN(Skills!I28,MAX(0,MAX(0,Inputs!$B$43-B1912)-((R1902-1)*(IF(Inputs!$B$38="pvp",15,MAX(0.1,Skills!E28-IF(TRUE=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04" spans="1:21" x14ac:dyDescent="0.2">
      <c r="A1904" t="s">
        <v>356</v>
      </c>
      <c r="B1904">
        <f>1+(F1885*Skills!Z11)/100</f>
        <v>1.25</v>
      </c>
    </row>
    <row r="1905" spans="1:26" x14ac:dyDescent="0.2">
      <c r="A1905" t="s">
        <v>435</v>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1.18624</v>
      </c>
    </row>
    <row r="1906" spans="1:26" x14ac:dyDescent="0.2">
      <c r="A1906" t="s">
        <v>358</v>
      </c>
      <c r="B1906">
        <f>(1+(F1880*IF(AND(Inputs!$B$38&lt;&gt;"pvp",Inputs!$B$43&gt;0),(((R1880-1)*MIN((Skills!T6*(1+((Inputs!$B$34+(ArtifactsInput!$M$7-ArtifactsInput!$M$7)*CHOOSE(ArtifactsInput!$N$7+1,6,7.2,8.4,9.6,10.8,12)))/100)),(1/Q1880))+MIN((Skills!T6*(1+((Inputs!$B$34+(ArtifactsInput!$M$7-ArtifactsInput!$M$7)*CHOOSE(ArtifactsInput!$N$7+1,6,7.2,8.4,9.6,10.8,12)))/100)),MAX(0,Inputs!$B$43-((R1880-1)*(1/Q1880)))))/Inputs!$B$43),IF(Inputs!$B$38="pvp",MIN((Skills!T6*(1+((Inputs!$B$34+(ArtifactsInput!$M$7-ArtifactsInput!$M$7)*CHOOSE(ArtifactsInput!$N$7+1,6,7.2,8.4,9.6,10.8,12)))/100)),15)/15,MIN(1,(Skills!T6*(1+((Inputs!$B$34+(ArtifactsInput!$M$7-ArtifactsInput!$M$7)*CHOOSE(ArtifactsInput!$N$7+1,6,7.2,8.4,9.6,10.8,12)))/100))/(1/Q1880))))+F1891*IF(AND(Inputs!$B$38&lt;&gt;"pvp",Inputs!$B$43&gt;0),(((R1891-1)*MIN((Skills!T17*(1+((Inputs!$B$34+(ArtifactsInput!$M$7-ArtifactsInput!$M$7)*CHOOSE(ArtifactsInput!$N$7+1,6,7.2,8.4,9.6,10.8,12)))/100)),(1/Q1891))+MIN((Skills!T17*(1+((Inputs!$B$34+(ArtifactsInput!$M$7-ArtifactsInput!$M$7)*CHOOSE(ArtifactsInput!$N$7+1,6,7.2,8.4,9.6,10.8,12)))/100)),MAX(0,Inputs!$B$43-((R1891-1)*(1/Q1891)))))/Inputs!$B$43),IF(Inputs!$B$38="pvp",MIN((Skills!T17*(1+((Inputs!$B$34+(ArtifactsInput!$M$7-ArtifactsInput!$M$7)*CHOOSE(ArtifactsInput!$N$7+1,6,7.2,8.4,9.6,10.8,12)))/100)),15)/15,MIN(1,(Skills!T17*(1+((Inputs!$B$34+(ArtifactsInput!$M$7-ArtifactsInput!$M$7)*CHOOSE(ArtifactsInput!$N$7+1,6,7.2,8.4,9.6,10.8,12)))/100))/(1/Q1891)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MIN((Skills!T19*(1+((Inputs!$B$34+(ArtifactsInput!$M$7-ArtifactsInput!$M$7)*CHOOSE(ArtifactsInput!$N$7+1,6,7.2,8.4,9.6,10.8,12)))/100)),(1/Q1893))+MIN((Skills!T19*(1+((Inputs!$B$34+(ArtifactsInput!$M$7-ArtifactsInput!$M$7)*CHOOSE(ArtifactsInput!$N$7+1,6,7.2,8.4,9.6,10.8,12)))/100)),MAX(0,Inputs!$B$43-((R1893-1)*(1/Q1893)))))/Inputs!$B$43),IF(Inputs!$B$38="pvp",MIN((Skills!T19*(1+((Inputs!$B$34+(ArtifactsInput!$M$7-ArtifactsInput!$M$7)*CHOOSE(ArtifactsInput!$N$7+1,6,7.2,8.4,9.6,10.8,12)))/100)),15)/15,MIN(1,(Skills!T19*(1+((Inputs!$B$34+(ArtifactsInput!$M$7-ArtifactsInput!$M$7)*CHOOSE(ArtifactsInput!$N$7+1,6,7.2,8.4,9.6,10.8,12)))/100))/(1/Q1893))))/100),1)</f>
        <v>1.7965808377980694</v>
      </c>
    </row>
    <row r="1907" spans="1:26" x14ac:dyDescent="0.2">
      <c r="A1907" t="s">
        <v>359</v>
      </c>
      <c r="B1907">
        <f>F1892*IF(AND(Inputs!$B$38&lt;&gt;"pvp",Inputs!$B$43&gt;0),(((R1892-1)*MIN((Skills!T18*(1+((Inputs!$B$34+(ArtifactsInput!$M$7-ArtifactsInput!$M$7)*CHOOSE(ArtifactsInput!$N$7+1,6,7.2,8.4,9.6,10.8,12)))/100)),(1/Q1892))+MIN((Skills!T18*(1+((Inputs!$B$34+(ArtifactsInput!$M$7-ArtifactsInput!$M$7)*CHOOSE(ArtifactsInput!$N$7+1,6,7.2,8.4,9.6,10.8,12)))/100)),MAX(0,Inputs!$B$43-((R1892-1)*(1/Q1892)))))/Inputs!$B$43),IF(Inputs!$B$38="pvp",MIN((Skills!T18*(1+((Inputs!$B$34+(ArtifactsInput!$M$7-ArtifactsInput!$M$7)*CHOOSE(ArtifactsInput!$N$7+1,6,7.2,8.4,9.6,10.8,12)))/100)),15)/15,MIN(1,(Skills!T18*(1+((Inputs!$B$34+(ArtifactsInput!$M$7-ArtifactsInput!$M$7)*CHOOSE(ArtifactsInput!$N$7+1,6,7.2,8.4,9.6,10.8,12)))/100))/(1/Q1892))))</f>
        <v>6.4968749999999993</v>
      </c>
    </row>
    <row r="1908" spans="1:26" x14ac:dyDescent="0.2">
      <c r="A1908" t="s">
        <v>436</v>
      </c>
      <c r="B1908">
        <f>1+MIN(150,150*(1-(1-(Inputs!$B$11+(ArtifactsInput!$M$15-ArtifactsInput!$M$15)*CHOOSE(ArtifactsInput!$N$15+1,8,9.6,11.2,12.8,14.4,16))/150)*(1-B1907/150)))/100</f>
        <v>1.6982958749999999</v>
      </c>
    </row>
    <row r="1909" spans="1:26" x14ac:dyDescent="0.2">
      <c r="A1909" t="s">
        <v>437</v>
      </c>
      <c r="B1909">
        <f>IF(AND(Inputs!$B$38&lt;&gt;"pvp",Inputs!$B$43&gt;0),SUMPRODUCT((Skills!F2:F28=TRUE)*(C1876:C1902=TRUE)*R1876:R1902)/Inputs!$B$43,SUMPRODUCT((Skills!F2:F28=TRUE)*(C1876:C1902=TRUE)*Q1876:Q1902))</f>
        <v>0.47499999999999998</v>
      </c>
    </row>
    <row r="1910" spans="1:26" x14ac:dyDescent="0.2">
      <c r="A1910" t="s">
        <v>362</v>
      </c>
      <c r="B1910">
        <f>MAX(0,B1908-B1909)</f>
        <v>1.2232958749999998</v>
      </c>
    </row>
    <row r="1911" spans="1:26" x14ac:dyDescent="0.2">
      <c r="A1911" t="s">
        <v>438</v>
      </c>
      <c r="B1911">
        <f>IF(AND(Inputs!$B$38&lt;&gt;"pvp",Inputs!$B$43&gt;0),SUMPRODUCT((Skills!V2:V28=TRUE)*(C1876:C1902=TRUE)*R1876:R1902*Skills!W2:W28)/Inputs!$B$43,SUMPRODUCT((Skills!V2:V28=TRUE)*(C1876:C1902=TRUE)*Q1876:Q1902*Skills!W2:W28))+B1910</f>
        <v>1.5482958749999998</v>
      </c>
    </row>
    <row r="1912" spans="1:26" x14ac:dyDescent="0.2">
      <c r="A1912" t="s">
        <v>439</v>
      </c>
      <c r="B1912">
        <f>IF(AND(Inputs!$B$38&lt;&gt;"pvp",Inputs!$B$43&gt;0),SUMPRODUCT((Skills!T2:T28&gt;0)*(Skills!F2:F28=TRUE)*(C1876:C1902=TRUE))/B1908,0)</f>
        <v>2.3553021937358238</v>
      </c>
    </row>
    <row r="1913" spans="1:26" x14ac:dyDescent="0.2">
      <c r="A1913" t="s">
        <v>440</v>
      </c>
      <c r="B1913">
        <f>SUM(S1876:S1902)</f>
        <v>1.100838721617852E+16</v>
      </c>
    </row>
    <row r="1914" spans="1:26" x14ac:dyDescent="0.2">
      <c r="A1914" t="s">
        <v>441</v>
      </c>
      <c r="B1914">
        <f>SUM(U1876:U1902)</f>
        <v>5.6656428257660488E+16</v>
      </c>
    </row>
    <row r="1915" spans="1:26" x14ac:dyDescent="0.2">
      <c r="A1915" s="6" t="s">
        <v>348</v>
      </c>
      <c r="B1915" s="6">
        <f>SUM(O1876:O1902)</f>
        <v>3.38324077369195E+16</v>
      </c>
    </row>
    <row r="1918" spans="1:26" x14ac:dyDescent="0.2">
      <c r="A1918" s="6" t="s">
        <v>483</v>
      </c>
    </row>
    <row r="1919" spans="1:26" x14ac:dyDescent="0.2">
      <c r="A1919" s="5" t="s">
        <v>136</v>
      </c>
      <c r="B1919" s="5" t="s">
        <v>137</v>
      </c>
      <c r="C1919" s="5" t="s">
        <v>328</v>
      </c>
      <c r="D1919" s="5" t="s">
        <v>329</v>
      </c>
      <c r="E1919" s="5" t="s">
        <v>330</v>
      </c>
      <c r="F1919" s="5" t="s">
        <v>331</v>
      </c>
      <c r="G1919" s="5" t="s">
        <v>332</v>
      </c>
      <c r="H1919" s="5" t="s">
        <v>333</v>
      </c>
      <c r="I1919" s="5" t="s">
        <v>334</v>
      </c>
      <c r="J1919" s="5" t="s">
        <v>335</v>
      </c>
      <c r="K1919" s="5" t="s">
        <v>336</v>
      </c>
      <c r="L1919" s="5" t="s">
        <v>337</v>
      </c>
      <c r="M1919" s="5" t="s">
        <v>338</v>
      </c>
      <c r="N1919" s="5" t="s">
        <v>339</v>
      </c>
      <c r="O1919" s="5" t="s">
        <v>340</v>
      </c>
      <c r="P1919" s="5" t="s">
        <v>341</v>
      </c>
      <c r="R1919" t="s">
        <v>434</v>
      </c>
    </row>
    <row r="1920" spans="1:26" x14ac:dyDescent="0.2">
      <c r="A1920" t="str">
        <f>Skills!A2</f>
        <v>BASIC_ATTACK</v>
      </c>
      <c r="B1920" t="str">
        <f>Skills!B2</f>
        <v>Basic Attack</v>
      </c>
      <c r="C1920" t="b">
        <f>TRUE</f>
        <v>1</v>
      </c>
      <c r="F1920">
        <f>T1922+Skills!O2</f>
        <v>537.6</v>
      </c>
      <c r="G1920">
        <f>Calc!G2</f>
        <v>5</v>
      </c>
      <c r="H1920">
        <f>Calc!H2</f>
        <v>1</v>
      </c>
      <c r="I1920">
        <f>IF(Skills!X2&lt;&gt;"",1+(Skills!X2/10)*(Z1921/1000)/100,1)</f>
        <v>1</v>
      </c>
      <c r="J1920">
        <f>((Inputs!$B$6*(1+Inputs!$B$7/100))+(((Inputs!$B$12*(1+Inputs!$B$13/100))-(Inputs!$B$12*(1+Inputs!$B$13/100)))+0.25*(Inputs!$B$14-Inputs!$B$14))*(1+Inputs!$B$7/100))*(F1920/100)</f>
        <v>1941459186.9980164</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6306867682114.2588</v>
      </c>
      <c r="L1920">
        <f>K1920*(MIN(Inputs!$B$22+(F1940-Calc!F22),(Inputs!$B$23+(IF(ArtifactsInput!$M$15,CHOOSE(ArtifactsInput!$N$15+1,25,30,35,40,45,50)/100*(Inputs!$B$11-Inputs!$B$11),0))))/100+(Inputs!$B$23+(IF(ArtifactsInput!$M$15,CHOOSE(ArtifactsInput!$N$15+1,25,30,35,40,45,50)/100*(Inputs!$B$11-Inputs!$B$11),0)))/100)/2</f>
        <v>20970335043029.91</v>
      </c>
      <c r="M1920">
        <f>L1920*(1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87453846450050.234</v>
      </c>
      <c r="N1920">
        <f>L1920*(1-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87453846450050.234</v>
      </c>
      <c r="O1920">
        <f>(1-Summary!$B$11)*S1920+Summary!$B$11*U1920</f>
        <v>1.0535045518859758E+16</v>
      </c>
      <c r="P1920">
        <f>IF(B1959=0,0,O1920/B1959)</f>
        <v>0.3668630631086725</v>
      </c>
      <c r="Q1920">
        <f>IFERROR(1/(IF(Inputs!$B$38="pvp",15,MAX(0.1,Skills!E2-IF(TRUE=TRUE,Inputs!$B$32,0)))*(1-IF(AND(ArtifactsInput!$M$27,Inputs!$B$4="Chapter Hunt"),CHOOSE(ArtifactsInput!$N$27+1,20,24,28,32,36,40),0)/100)),0)</f>
        <v>10</v>
      </c>
      <c r="R1920">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1749154549209007.8</v>
      </c>
      <c r="T1920">
        <f>MAX(0,(Inputs!$B$3-100)*3)+Inputs!$B$28+Inputs!$B$29</f>
        <v>185</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1.9320936488510508E+16</v>
      </c>
      <c r="Z1920">
        <f>MAX(0,(Inputs!$B$3-100)*3)+Inputs!$B$28+Inputs!$B$29</f>
        <v>185</v>
      </c>
    </row>
    <row r="1921" spans="1:26" x14ac:dyDescent="0.2">
      <c r="A1921" t="str">
        <f>Skills!A3</f>
        <v>IGNITE</v>
      </c>
      <c r="B1921" t="str">
        <f>Skills!B3</f>
        <v>Ignite</v>
      </c>
      <c r="C1921" t="b">
        <f>TRUE</f>
        <v>1</v>
      </c>
      <c r="D1921">
        <f>IF(Skills!C3=1,60+Inputs!$B$25+Inputs!$B$29,IF(Skills!C3=2,90+Inputs!$B$26+Inputs!$B$29,IF(Skills!C3=3,120+Inputs!$B$27+Inputs!$B$29,MAX(0,(Inputs!$B$3-100)*3)+Inputs!$B$28+Inputs!$B$29)))</f>
        <v>168</v>
      </c>
      <c r="E1921">
        <f>INDEX(FactorTable!$B$2:$Y$301, MATCH(ROUND(MIN(300,MAX(1,D1921)),0), FactorTable!$A$2:$A$301,0), Skills!M3+1)</f>
        <v>1672</v>
      </c>
      <c r="F1921">
        <f>IF(Skills!N3=TRUE,(Skills!L3/10)*(E1921/1000),Skills!L3/10)+Skills!O3</f>
        <v>121.736</v>
      </c>
      <c r="G1921">
        <f>Calc!G3</f>
        <v>3</v>
      </c>
      <c r="H1921">
        <f>Calc!H3</f>
        <v>1</v>
      </c>
      <c r="I1921">
        <f>IF(Skills!X3&lt;&gt;"",1+(Skills!X3/10)*(Z1921/1000)/100,1)</f>
        <v>4.8250000000000002</v>
      </c>
      <c r="J1921">
        <f>((Inputs!$B$6*(1+Inputs!$B$7/100))+(((Inputs!$B$12*(1+Inputs!$B$13/100))-(Inputs!$B$12*(1+Inputs!$B$13/100)))+0.25*(Inputs!$B$14-Inputs!$B$14))*(1+Inputs!$B$7/100))*(F1921/100)</f>
        <v>439630720.9605478</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10658554617221.965</v>
      </c>
      <c r="L1921">
        <f>K1921*(MIN(Inputs!$B$22+(F1940-Calc!F22),(Inputs!$B$23+(IF(ArtifactsInput!$M$15,CHOOSE(ArtifactsInput!$N$15+1,25,30,35,40,45,50)/100*(Inputs!$B$11-Inputs!$B$11),0))))/100+(Inputs!$B$23+(IF(ArtifactsInput!$M$15,CHOOSE(ArtifactsInput!$N$15+1,25,30,35,40,45,50)/100*(Inputs!$B$11-Inputs!$B$11),0)))/100)/2</f>
        <v>35439694102263.031</v>
      </c>
      <c r="M1921">
        <f>L1921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147796282696313.69</v>
      </c>
      <c r="N1921">
        <f>L1921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147796282696313.69</v>
      </c>
      <c r="O1921">
        <f>(1-Summary!$B$11)*S1921+Summary!$B$11*U1921</f>
        <v>2569438374675413</v>
      </c>
      <c r="P1921">
        <f>IF(B1959=0,0,O1921/B1959)</f>
        <v>8.9475838610749064E-2</v>
      </c>
      <c r="Q1921">
        <f>IFERROR(1/(IF(Inputs!$B$38="pvp",15,MAX(0.1,Skills!E3-IF(FALSE=TRUE,Inputs!$B$32,0)))*(1-IF(AND(ArtifactsInput!$M$27,Inputs!$B$4="Chapter Hunt"),CHOOSE(ArtifactsInput!$N$27+1,20,24,28,32,36,40),0)/100)),0)</f>
        <v>1</v>
      </c>
      <c r="R1921">
        <f>IF(AND(Inputs!$B$38&lt;&gt;"pvp",Inputs!$B$43&gt;0),IF(MAX(0,Inputs!$B$43-B1956)&lt;=0,0,(INT(MAX(0,Inputs!$B$43-B1956)/(IF(Inputs!$B$38="pvp",15,MAX(0.1,Skills!E3-IF(FALSE=TRUE,Inputs!$B$32,0)))*(1-IF(AND(ArtifactsInput!$M$27,Inputs!$B$4="Chapter Hunt"),CHOOSE(ArtifactsInput!$N$27+1,20,24,28,32,36,40),0)/100)))+1)),0)</f>
        <v>38</v>
      </c>
      <c r="S1921">
        <f>IF(C1921,(H1921*N1921*IF(AND(Inputs!$B$38&lt;&gt;"pvp",Inputs!$B$43&gt;0),((Skills!G3*((R1921-1)*IF(Skills!H3&gt;0,Skills!I3/Skills!H3,1)+IF(Skills!H3&gt;0,MIN(Skills!I3,MAX(0,MAX(0,Inputs!$B$43-B1956)-((R1921-1)*(IF(Inputs!$B$38="pvp",15,MAX(0.1,Skills!E3-IF(FALSE=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1335265516019846</v>
      </c>
      <c r="T1921">
        <f>INDEX(FactorTable!$B$2:$Y$301, MATCH(ROUND(MIN(300,MAX(1,T1920)),0), FactorTable!$A$2:$A$301,0), 22)</f>
        <v>1740</v>
      </c>
      <c r="U1921">
        <f>IF(C1921,(H1921*N1921*IF(AND(Inputs!$B$38&lt;&gt;"pvp",Inputs!$B$43&gt;0),((Skills!G3*((R1921-1)*IF(Skills!H3&gt;0,Skills!I3/Skills!H3,1)+IF(Skills!H3&gt;0,MIN(Skills!I3,MAX(0,MAX(0,Inputs!$B$43-B1956)-((R1921-1)*(IF(Inputs!$B$38="pvp",15,MAX(0.1,Skills!E3-IF(FALSE=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3803611233330980.5</v>
      </c>
      <c r="Z1921">
        <f>INDEX(FactorTable!$B$2:$Y$301, MATCH(ROUND(MIN(300,MAX(1,Z1920)),0), FactorTable!$A$2:$A$301,0), 24)</f>
        <v>7650</v>
      </c>
    </row>
    <row r="1922" spans="1:26" x14ac:dyDescent="0.2">
      <c r="A1922" t="str">
        <f>Skills!A4</f>
        <v>POISON_BREATH</v>
      </c>
      <c r="B1922" t="str">
        <f>Skills!B4</f>
        <v>Poison Breath</v>
      </c>
      <c r="C1922" t="b">
        <f>TRUE</f>
        <v>1</v>
      </c>
      <c r="D1922">
        <f>IF(Skills!C4=1,60+Inputs!$B$25+Inputs!$B$29,IF(Skills!C4=2,90+Inputs!$B$26+Inputs!$B$29,IF(Skills!C4=3,120+Inputs!$B$27+Inputs!$B$29,MAX(0,(Inputs!$B$3-100)*3)+Inputs!$B$28+Inputs!$B$29)))</f>
        <v>168</v>
      </c>
      <c r="E1922">
        <f>INDEX(FactorTable!$B$2:$Y$301, MATCH(ROUND(MIN(300,MAX(1,D1922)),0), FactorTable!$A$2:$A$301,0), Skills!M4+1)</f>
        <v>1840</v>
      </c>
      <c r="F1922">
        <f>IF(Skills!N4=TRUE,(Skills!L4/10)*(E1922/1000),Skills!L4/10)+Skills!O4</f>
        <v>438</v>
      </c>
      <c r="G1922">
        <f>Calc!G4</f>
        <v>3</v>
      </c>
      <c r="H1922">
        <f>Calc!H4</f>
        <v>1</v>
      </c>
      <c r="I1922">
        <f>IF(Skills!X4&lt;&gt;"",1+(Skills!X4/10)*(Z1921/1000)/100,1)</f>
        <v>7.12</v>
      </c>
      <c r="J1922">
        <f>((Inputs!$B$6*(1+Inputs!$B$7/100))+(((Inputs!$B$12*(1+Inputs!$B$13/100))-(Inputs!$B$12*(1+Inputs!$B$13/100)))+0.25*(Inputs!$B$14-Inputs!$B$14))*(1+Inputs!$B$7/100))*(F1922/100)</f>
        <v>1581769203.69258</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56589528290529.523</v>
      </c>
      <c r="L1922">
        <f>K1922*(MIN(Inputs!$B$22+(F1940-Calc!F22),(Inputs!$B$23+(IF(ArtifactsInput!$M$15,CHOOSE(ArtifactsInput!$N$15+1,25,30,35,40,45,50)/100*(Inputs!$B$11-Inputs!$B$11),0))))/100+(Inputs!$B$23+(IF(ArtifactsInput!$M$15,CHOOSE(ArtifactsInput!$N$15+1,25,30,35,40,45,50)/100*(Inputs!$B$11-Inputs!$B$11),0)))/100)/2</f>
        <v>188160181566010.69</v>
      </c>
      <c r="M1922">
        <f>L1922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784695694795628.38</v>
      </c>
      <c r="N1922">
        <f>L1922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784695694795628.38</v>
      </c>
      <c r="O1922">
        <f>(1-Summary!$B$11)*S1922+Summary!$B$11*U1922</f>
        <v>1874147580057508.8</v>
      </c>
      <c r="P1922">
        <f>IF(B1959=0,0,O1922/B1959)</f>
        <v>6.5263649853885011E-2</v>
      </c>
      <c r="Q1922">
        <f>IFERROR(1/(IF(Inputs!$B$38="pvp",15,MAX(0.1,Skills!E4-IF(TRUE=TRUE,Inputs!$B$32,0)))*(1-IF(AND(ArtifactsInput!$M$27,Inputs!$B$4="Chapter Hunt"),CHOOSE(ArtifactsInput!$N$27+1,20,24,28,32,36,40),0)/100)),0)</f>
        <v>5.5555555555555552E-2</v>
      </c>
      <c r="R1922">
        <f>IF(AND(Inputs!$B$38&lt;&gt;"pvp",Inputs!$B$43&gt;0),IF(MAX(0,Inputs!$B$43-B1956)&lt;=0,0,(INT(MAX(0,Inputs!$B$43-B1956)/(IF(Inputs!$B$38="pvp",15,MAX(0.1,Skills!E4-IF(TRUE=TRUE,Inputs!$B$32,0)))*(1-IF(AND(ArtifactsInput!$M$27,Inputs!$B$4="Chapter Hunt"),CHOOSE(ArtifactsInput!$N$27+1,20,24,28,32,36,40),0)/100)))+1)),0)</f>
        <v>3</v>
      </c>
      <c r="S1922">
        <f>IF(C1922,(H1922*N1922*IF(AND(Inputs!$B$38&lt;&gt;"pvp",Inputs!$B$43&gt;0),((Skills!G4*((R1922-1)*IF(Skills!H4&gt;0,Skills!I4/Skills!H4,1)+IF(Skills!H4&gt;0,MIN(Skills!I4,MAX(0,MAX(0,Inputs!$B$43-B1956)-((R1922-1)*(IF(Inputs!$B$38="pvp",15,MAX(0.1,Skills!E4-IF(TRUE=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559684204312981.88</v>
      </c>
      <c r="T1922">
        <f>290*T1921/1000</f>
        <v>504.6</v>
      </c>
      <c r="U1922">
        <f>IF(C1922,(H1922*N1922*IF(AND(Inputs!$B$38&lt;&gt;"pvp",Inputs!$B$43&gt;0),((Skills!G4*((R1922-1)*IF(Skills!H4&gt;0,Skills!I4/Skills!H4,1)+IF(Skills!H4&gt;0,MIN(Skills!I4,MAX(0,MAX(0,Inputs!$B$43-B1956)-((R1922-1)*(IF(Inputs!$B$38="pvp",15,MAX(0.1,Skills!E4-IF(TRUE=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3188610955802035.5</v>
      </c>
    </row>
    <row r="1923" spans="1:26" x14ac:dyDescent="0.2">
      <c r="A1923" t="str">
        <f>Skills!A5</f>
        <v>ELEMENTAL_DRAIN</v>
      </c>
      <c r="B1923" t="str">
        <f>Skills!B5</f>
        <v>Elemental Drain</v>
      </c>
      <c r="C1923" t="b">
        <f>TRUE</f>
        <v>1</v>
      </c>
      <c r="D1923">
        <f>IF(Skills!C5=1,60+Inputs!$B$25+Inputs!$B$29,IF(Skills!C5=2,90+Inputs!$B$26+Inputs!$B$29,IF(Skills!C5=3,120+Inputs!$B$27+Inputs!$B$29,MAX(0,(Inputs!$B$3-100)*3)+Inputs!$B$28+Inputs!$B$29)))</f>
        <v>168</v>
      </c>
      <c r="E1923">
        <f>INDEX(FactorTable!$B$2:$Y$301, MATCH(ROUND(MIN(300,MAX(1,D1923)),0), FactorTable!$A$2:$A$301,0), Skills!M5+1)</f>
        <v>1672</v>
      </c>
      <c r="F1923">
        <f>IF(Skills!N5=TRUE,(Skills!L5/10)*(E1923/1000),Skills!L5/10)+Skills!O5</f>
        <v>20.064</v>
      </c>
      <c r="G1923">
        <f>Calc!G5</f>
        <v>5</v>
      </c>
      <c r="H1923">
        <f>Calc!H5</f>
        <v>1</v>
      </c>
      <c r="I1923">
        <f>IF(Skills!X5&lt;&gt;"",1+(Skills!X5/10)*(Z1921/1000)/100,1)</f>
        <v>12.475</v>
      </c>
      <c r="J1923">
        <f>((Inputs!$B$6*(1+Inputs!$B$7/100))+(((Inputs!$B$12*(1+Inputs!$B$13/100))-(Inputs!$B$12*(1+Inputs!$B$13/100)))+0.25*(Inputs!$B$14-Inputs!$B$14))*(1+Inputs!$B$7/100))*(F1923/100)</f>
        <v>72458030.371890247</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4541925884983.542</v>
      </c>
      <c r="L1923">
        <f>K1923*(MIN(Inputs!$B$22+(F1940-Calc!F22),(Inputs!$B$23+(IF(ArtifactsInput!$M$15,CHOOSE(ArtifactsInput!$N$15+1,25,30,35,40,45,50)/100*(Inputs!$B$11-Inputs!$B$11),0))))/100+(Inputs!$B$23+(IF(ArtifactsInput!$M$15,CHOOSE(ArtifactsInput!$N$15+1,25,30,35,40,45,50)/100*(Inputs!$B$11-Inputs!$B$11),0)))/100)/2</f>
        <v>15101903567570.277</v>
      </c>
      <c r="M1923">
        <f>L1923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62980374562052.391</v>
      </c>
      <c r="N1923">
        <f>L1923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62980374562052.391</v>
      </c>
      <c r="O1923">
        <f>(1-Summary!$B$11)*S1923+Summary!$B$11*U1923</f>
        <v>924394447634524</v>
      </c>
      <c r="P1923">
        <f>IF(B1959=0,0,O1923/B1959)</f>
        <v>3.2190290774989985E-2</v>
      </c>
      <c r="Q1923">
        <f>IFERROR(1/(IF(Inputs!$B$38="pvp",15,MAX(0.1,Skills!E5-IF(FALSE=TRUE,Inputs!$B$32,0)))*(1-IF(AND(ArtifactsInput!$M$27,Inputs!$B$4="Chapter Hunt"),CHOOSE(ArtifactsInput!$N$27+1,20,24,28,32,36,40),0)/100)),0)</f>
        <v>1</v>
      </c>
      <c r="R1923">
        <f>IF(AND(Inputs!$B$38&lt;&gt;"pvp",Inputs!$B$43&gt;0),IF(MAX(0,Inputs!$B$43-B1956)&lt;=0,0,(INT(MAX(0,Inputs!$B$43-B1956)/(IF(Inputs!$B$38="pvp",15,MAX(0.1,Skills!E5-IF(FALSE=TRUE,Inputs!$B$32,0)))*(1-IF(AND(ArtifactsInput!$M$27,Inputs!$B$4="Chapter Hunt"),CHOOSE(ArtifactsInput!$N$27+1,20,24,28,32,36,40),0)/100)))+1)),0)</f>
        <v>38</v>
      </c>
      <c r="S1923">
        <f>IF(C1923,(H1923*N1923*IF(AND(Inputs!$B$38&lt;&gt;"pvp",Inputs!$B$43&gt;0),((Skills!G5*((R1923-1)*IF(Skills!H5&gt;0,Skills!I5/Skills!H5,1)+IF(Skills!H5&gt;0,MIN(Skills!I5,MAX(0,MAX(0,Inputs!$B$43-B1956)-((R1923-1)*(IF(Inputs!$B$38="pvp",15,MAX(0.1,Skills!E5-IF(FALSE=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948326989968103.88</v>
      </c>
      <c r="U1923">
        <f>IF(C1923,(H1923*N1923*IF(AND(Inputs!$B$38&lt;&gt;"pvp",Inputs!$B$43&gt;0),((Skills!G5*((R1923-1)*IF(Skills!H5&gt;0,Skills!I5/Skills!H5,1)+IF(Skills!H5&gt;0,MIN(Skills!I5,MAX(0,MAX(0,Inputs!$B$43-B1956)-((R1923-1)*(IF(Inputs!$B$38="pvp",15,MAX(0.1,Skills!E5-IF(FALSE=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900461905300944</v>
      </c>
    </row>
    <row r="1924" spans="1:26" x14ac:dyDescent="0.2">
      <c r="A1924" t="str">
        <f>Skills!A6</f>
        <v>MEDITATION</v>
      </c>
      <c r="B1924" t="str">
        <f>Skills!B6</f>
        <v>Meditation</v>
      </c>
      <c r="C1924" t="b">
        <f>TRUE</f>
        <v>1</v>
      </c>
      <c r="D1924">
        <f>IF(Skills!C6=1,60+Inputs!$B$25+Inputs!$B$29,IF(Skills!C6=2,90+Inputs!$B$26+Inputs!$B$29,IF(Skills!C6=3,120+Inputs!$B$27+Inputs!$B$29,MAX(0,(Inputs!$B$3-100)*3)+Inputs!$B$28+Inputs!$B$29)))</f>
        <v>168</v>
      </c>
      <c r="E1924">
        <f>INDEX(FactorTable!$B$2:$Y$301, MATCH(ROUND(MIN(300,MAX(1,D1924)),0), FactorTable!$A$2:$A$301,0), Skills!M6+1)</f>
        <v>1672</v>
      </c>
      <c r="F1924">
        <f>IF(Skills!N6=TRUE,(Skills!L6/10)*(E1924/1000),Skills!L6/10)+Skills!O6</f>
        <v>33.44</v>
      </c>
      <c r="G1924">
        <f>Calc!G6</f>
        <v>1</v>
      </c>
      <c r="H1924">
        <f>Calc!H6</f>
        <v>1</v>
      </c>
      <c r="I1924">
        <f>IF(Skills!X6&lt;&gt;"",1+(Skills!X6/10)*(Z1921/1000)/100,1)</f>
        <v>1</v>
      </c>
      <c r="O1924">
        <f>(1-Summary!$B$11)*S1924+Summary!$B$11*U1924</f>
        <v>0</v>
      </c>
      <c r="P1924">
        <f>IF(B1959=0,0,O1924/B1959)</f>
        <v>0</v>
      </c>
      <c r="Q1924">
        <f>IFERROR(1/(IF(Inputs!$B$38="pvp",15,MAX(0.1,Skills!E6-IF(TRUE=TRUE,Inputs!$B$32,0)))*(1-IF(AND(ArtifactsInput!$M$27,Inputs!$B$4="Chapter Hunt"),CHOOSE(ArtifactsInput!$N$27+1,20,24,28,32,36,40),0)/100)),0)</f>
        <v>3.3333333333333333E-2</v>
      </c>
      <c r="R1924">
        <f>IF(AND(Inputs!$B$38&lt;&gt;"pvp",Inputs!$B$43&gt;0),IF(Inputs!$B$43&lt;=0,0,(INT(Inputs!$B$43/(IF(Inputs!$B$38="pvp",15,MAX(0.1,Skills!E6-IF(TRUE=TRUE,Inputs!$B$32,0)))*(1-IF(AND(ArtifactsInput!$M$27,Inputs!$B$4="Chapter Hunt"),CHOOSE(ArtifactsInput!$N$27+1,20,24,28,32,36,40),0)/100)))+1)),0)</f>
        <v>2</v>
      </c>
      <c r="S1924">
        <v>0</v>
      </c>
      <c r="U1924">
        <v>0</v>
      </c>
    </row>
    <row r="1925" spans="1:26" x14ac:dyDescent="0.2">
      <c r="A1925" t="str">
        <f>Skills!A7</f>
        <v>POISON_MIST_BURST</v>
      </c>
      <c r="B1925" t="str">
        <f>Skills!B7</f>
        <v>Poison Mist (burst)</v>
      </c>
      <c r="C1925" t="b">
        <f>TRUE</f>
        <v>1</v>
      </c>
      <c r="D1925">
        <f>IF(Skills!C7=1,60+Inputs!$B$25+Inputs!$B$29,IF(Skills!C7=2,90+Inputs!$B$26+Inputs!$B$29,IF(Skills!C7=3,120+Inputs!$B$27+Inputs!$B$29,MAX(0,(Inputs!$B$3-100)*3)+Inputs!$B$28+Inputs!$B$29)))</f>
        <v>184</v>
      </c>
      <c r="E1925">
        <f>INDEX(FactorTable!$B$2:$Y$301, MATCH(ROUND(MIN(300,MAX(1,D1925)),0), FactorTable!$A$2:$A$301,0), Skills!M7+1)</f>
        <v>1920</v>
      </c>
      <c r="F1925">
        <f>IF(Skills!N7=TRUE,(Skills!L7/10)*(E1925/1000),Skills!L7/10)+Skills!O7</f>
        <v>357.2</v>
      </c>
      <c r="G1925">
        <f>Calc!G7</f>
        <v>3</v>
      </c>
      <c r="H1925">
        <f>Calc!H7</f>
        <v>1</v>
      </c>
      <c r="I1925">
        <f>IF(Skills!X7&lt;&gt;"",1+(Skills!X7/10)*(Z1921/1000)/100,1)</f>
        <v>1.7650000000000001</v>
      </c>
      <c r="J1925">
        <f>((Inputs!$B$6*(1+Inputs!$B$7/100))+(((Inputs!$B$12*(1+Inputs!$B$13/100))-(Inputs!$B$12*(1+Inputs!$B$13/100)))+0.25*(Inputs!$B$14-Inputs!$B$14))*(1+Inputs!$B$7/100))*(F1925/100)</f>
        <v>1289972510.4086521</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11440318873772.086</v>
      </c>
      <c r="L1925">
        <f>K1925*(MIN(Inputs!$B$22+(F1940-Calc!F22),(Inputs!$B$23+(IF(ArtifactsInput!$M$15,CHOOSE(ArtifactsInput!$N$15+1,25,30,35,40,45,50)/100*(Inputs!$B$11-Inputs!$B$11),0))))/100+(Inputs!$B$23+(IF(ArtifactsInput!$M$15,CHOOSE(ArtifactsInput!$N$15+1,25,30,35,40,45,50)/100*(Inputs!$B$11-Inputs!$B$11),0)))/100)/2</f>
        <v>38039060255292.188</v>
      </c>
      <c r="M1925">
        <f>L1925*(1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158636575326260.34</v>
      </c>
      <c r="N1925">
        <f>L1925*(1-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158636575326260.34</v>
      </c>
      <c r="O1925">
        <f>(1-Summary!$B$11)*S1925+Summary!$B$11*U1925</f>
        <v>395837914582851.06</v>
      </c>
      <c r="P1925">
        <f>IF(B1959=0,0,O1925/B1959)</f>
        <v>1.3784307773368903E-2</v>
      </c>
      <c r="Q1925">
        <f>IFERROR(1/(IF(Inputs!$B$38="pvp",15,MAX(0.1,Skills!E7-IF(TRUE=TRUE,Inputs!$B$32,0)))*(1-IF(AND(ArtifactsInput!$M$27,Inputs!$B$4="Chapter Hunt"),CHOOSE(ArtifactsInput!$N$27+1,20,24,28,32,36,40),0)/100)),0)</f>
        <v>4.0816326530612242E-2</v>
      </c>
      <c r="R1925">
        <f>IF(AND(Inputs!$B$38&lt;&gt;"pvp",Inputs!$B$43&gt;0),IF(MAX(0,Inputs!$B$43-B1956)&lt;=0,0,(INT(MAX(0,Inputs!$B$43-B1956)/(IF(Inputs!$B$38="pvp",15,MAX(0.1,Skills!E7-IF(TRUE=TRUE,Inputs!$B$32,0)))*(1-IF(AND(ArtifactsInput!$M$27,Inputs!$B$4="Chapter Hunt"),CHOOSE(ArtifactsInput!$N$27+1,20,24,28,32,36,40),0)/100)))+1)),0)</f>
        <v>2</v>
      </c>
      <c r="S1925">
        <f>IF(C1925,(H1925*N1925*IF(AND(Inputs!$B$38&lt;&gt;"pvp",Inputs!$B$43&gt;0),((Skills!G7*((R1925-1)*IF(Skills!H7&gt;0,Skills!I7/Skills!H7,1)+IF(Skills!H7&gt;0,MIN(Skills!I7,MAX(0,MAX(0,Inputs!$B$43-B1956)-((R1925-1)*(IF(Inputs!$B$38="pvp",15,MAX(0.1,Skills!E7-IF(TRUE=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75431691567636.797</v>
      </c>
      <c r="U1925">
        <f>IF(C1925,(H1925*N1925*IF(AND(Inputs!$B$38&lt;&gt;"pvp",Inputs!$B$43&gt;0),((Skills!G7*((R1925-1)*IF(Skills!H7&gt;0,Skills!I7/Skills!H7,1)+IF(Skills!H7&gt;0,MIN(Skills!I7,MAX(0,MAX(0,Inputs!$B$43-B1956)-((R1925-1)*(IF(Inputs!$B$38="pvp",15,MAX(0.1,Skills!E7-IF(TRUE=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716244137598065.38</v>
      </c>
    </row>
    <row r="1926" spans="1:26" x14ac:dyDescent="0.2">
      <c r="A1926" t="str">
        <f>Skills!A8</f>
        <v>POISON_MIST_DOT</v>
      </c>
      <c r="B1926" t="str">
        <f>Skills!B8</f>
        <v>Poison Mist (fog DoT)</v>
      </c>
      <c r="C1926" t="b">
        <f>TRUE</f>
        <v>1</v>
      </c>
      <c r="D1926">
        <f>IF(Skills!C8=1,60+Inputs!$B$25+Inputs!$B$29,IF(Skills!C8=2,90+Inputs!$B$26+Inputs!$B$29,IF(Skills!C8=3,120+Inputs!$B$27+Inputs!$B$29,MAX(0,(Inputs!$B$3-100)*3)+Inputs!$B$28+Inputs!$B$29)))</f>
        <v>184</v>
      </c>
      <c r="E1926">
        <f>INDEX(FactorTable!$B$2:$Y$301, MATCH(ROUND(MIN(300,MAX(1,D1926)),0), FactorTable!$A$2:$A$301,0), Skills!M8+1)</f>
        <v>1920</v>
      </c>
      <c r="F1926">
        <f>IF(Skills!N8=TRUE,(Skills!L8/10)*(E1926/1000),Skills!L8/10)+Skills!O8</f>
        <v>134.4</v>
      </c>
      <c r="G1926">
        <f>Calc!G8</f>
        <v>50</v>
      </c>
      <c r="H1926">
        <f>Calc!H8</f>
        <v>1</v>
      </c>
      <c r="I1926">
        <f>IF(Skills!X8&lt;&gt;"",1+(Skills!X8/10)*(Z1921/1000)/100,1)</f>
        <v>1.7650000000000001</v>
      </c>
      <c r="J1926">
        <f>((Inputs!$B$6*(1+Inputs!$B$7/100))+(((Inputs!$B$12*(1+Inputs!$B$13/100))-(Inputs!$B$12*(1+Inputs!$B$13/100)))+0.25*(Inputs!$B$14-Inputs!$B$14))*(1+Inputs!$B$7/100))*(F1926/100)</f>
        <v>485364796.74950409</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4304532073446.1597</v>
      </c>
      <c r="L1926">
        <f>K1926*(MIN(Inputs!$B$22+(F1940-Calc!F22),(Inputs!$B$23+(IF(ArtifactsInput!$M$15,CHOOSE(ArtifactsInput!$N$15+1,25,30,35,40,45,50)/100*(Inputs!$B$11-Inputs!$B$11),0))))/100+(Inputs!$B$23+(IF(ArtifactsInput!$M$15,CHOOSE(ArtifactsInput!$N$15+1,25,30,35,40,45,50)/100*(Inputs!$B$11-Inputs!$B$11),0)))/100)/2</f>
        <v>14312569144208.482</v>
      </c>
      <c r="M1926">
        <f>L1926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59688565856241.297</v>
      </c>
      <c r="N1926">
        <f>L1926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59688565856241.297</v>
      </c>
      <c r="O1926">
        <f>(1-Summary!$B$11)*S1926+Summary!$B$11*U1926</f>
        <v>2056875619569381.5</v>
      </c>
      <c r="P1926">
        <f>IF(B1959=0,0,O1926/B1959)</f>
        <v>7.1626808719327084E-2</v>
      </c>
      <c r="Q1926">
        <f>IFERROR(1/(IF(Inputs!$B$38="pvp",15,MAX(0.1,Skills!E8-IF(TRUE=TRUE,Inputs!$B$32,0)))*(1-IF(AND(ArtifactsInput!$M$27,Inputs!$B$4="Chapter Hunt"),CHOOSE(ArtifactsInput!$N$27+1,20,24,28,32,36,40),0)/100)),0)</f>
        <v>4.0816326530612242E-2</v>
      </c>
      <c r="R1926">
        <f>IF(AND(Inputs!$B$38&lt;&gt;"pvp",Inputs!$B$43&gt;0),IF(MAX(0,Inputs!$B$43-B1956)&lt;=0,0,(INT(MAX(0,Inputs!$B$43-B1956)/(IF(Inputs!$B$38="pvp",15,MAX(0.1,Skills!E8-IF(TRUE=TRUE,Inputs!$B$32,0)))*(1-IF(AND(ArtifactsInput!$M$27,Inputs!$B$4="Chapter Hunt"),CHOOSE(ArtifactsInput!$N$27+1,20,24,28,32,36,40),0)/100)))+1)),0)</f>
        <v>2</v>
      </c>
      <c r="S1926">
        <f>IF(C1926,(H1926*N1926*IF(AND(Inputs!$B$38&lt;&gt;"pvp",Inputs!$B$43&gt;0),((Skills!G8*((R1926-1)*IF(Skills!H8&gt;0,Skills!I8/Skills!H8,1)+IF(Skills!H8&gt;0,MIN(Skills!I8,MAX(0,MAX(0,Inputs!$B$43-B1956)-((R1926-1)*(IF(Inputs!$B$38="pvp",15,MAX(0.1,Skills!E8-IF(TRUE=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391962471538018.62</v>
      </c>
      <c r="U1926">
        <f>IF(C1926,(H1926*N1926*IF(AND(Inputs!$B$38&lt;&gt;"pvp",Inputs!$B$43&gt;0),((Skills!G8*((R1926-1)*IF(Skills!H8&gt;0,Skills!I8/Skills!H8,1)+IF(Skills!H8&gt;0,MIN(Skills!I8,MAX(0,MAX(0,Inputs!$B$43-B1956)-((R1926-1)*(IF(Inputs!$B$38="pvp",15,MAX(0.1,Skills!E8-IF(TRUE=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3721788767600744.5</v>
      </c>
    </row>
    <row r="1927" spans="1:26" x14ac:dyDescent="0.2">
      <c r="A1927" t="str">
        <f>Skills!A9</f>
        <v>MIST_ERUPTION</v>
      </c>
      <c r="B1927" t="str">
        <f>Skills!B9</f>
        <v>Mist Eruption</v>
      </c>
      <c r="C1927" t="b">
        <f>Inputs!$B$3&gt;=103</f>
        <v>1</v>
      </c>
      <c r="D1927">
        <f>IF(Skills!C9=1,60+Inputs!$B$25+Inputs!$B$29,IF(Skills!C9=2,90+Inputs!$B$26+Inputs!$B$29,IF(Skills!C9=3,120+Inputs!$B$27+Inputs!$B$29,MAX(0,(Inputs!$B$3-100)*3)+Inputs!$B$28+Inputs!$B$29)))</f>
        <v>185</v>
      </c>
      <c r="E1927">
        <f>INDEX(FactorTable!$B$2:$Y$301, MATCH(ROUND(MIN(300,MAX(1,D1927)),0), FactorTable!$A$2:$A$301,0), Skills!M9+1)</f>
        <v>1925</v>
      </c>
      <c r="F1927">
        <f>IF(Skills!N9=TRUE,(Skills!L9/10)*(E1927/1000),Skills!L9/10)+Skills!O9</f>
        <v>5775</v>
      </c>
      <c r="G1927">
        <f>Calc!G9</f>
        <v>2.5</v>
      </c>
      <c r="H1927">
        <f>Calc!H9</f>
        <v>1</v>
      </c>
      <c r="I1927">
        <f>IF(Skills!X9&lt;&gt;"",1+(Skills!X9/10)*(Z1921/1000)/100,1)</f>
        <v>1</v>
      </c>
      <c r="J1927">
        <f>((Inputs!$B$6*(1+Inputs!$B$7/100))+(((Inputs!$B$12*(1+Inputs!$B$13/100))-(Inputs!$B$12*(1+Inputs!$B$13/100)))+0.25*(Inputs!$B$14-Inputs!$B$14))*(1+Inputs!$B$7/100))*(F1927/100)</f>
        <v>20855518610.330254</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104793406533081.95</v>
      </c>
      <c r="L1927">
        <f>K1927*(MIN(Inputs!$B$22+(F1940-Calc!F22),(Inputs!$B$23+(IF(ArtifactsInput!$M$15,CHOOSE(ArtifactsInput!$N$15+1,25,30,35,40,45,50)/100*(Inputs!$B$11-Inputs!$B$11),0))))/100+(Inputs!$B$23+(IF(ArtifactsInput!$M$15,CHOOSE(ArtifactsInput!$N$15+1,25,30,35,40,45,50)/100*(Inputs!$B$11-Inputs!$B$11),0)))/100)/2</f>
        <v>348438076722497.5</v>
      </c>
      <c r="M1927">
        <f>L1927*(1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1453112217640434.8</v>
      </c>
      <c r="N1927">
        <f>L1927*(1-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1453112217640434.8</v>
      </c>
      <c r="O1927">
        <f>(1-Summary!$B$11)*S1927+Summary!$B$11*U1927</f>
        <v>3021565217556078.5</v>
      </c>
      <c r="P1927">
        <f>IF(B1959=0,0,O1927/B1959)</f>
        <v>0.10522030200162077</v>
      </c>
      <c r="Q1927">
        <f>IFERROR(1/(IF(Inputs!$B$38="pvp",15,MAX(0.1,Skills!E9-IF(TRUE=TRUE,Inputs!$B$32,0)))*(1-IF(AND(ArtifactsInput!$M$27,Inputs!$B$4="Chapter Hunt"),CHOOSE(ArtifactsInput!$N$27+1,20,24,28,32,36,40),0)/100)),0)</f>
        <v>4.0816326530612242E-2</v>
      </c>
      <c r="R1927">
        <f>IF(AND(Inputs!$B$38&lt;&gt;"pvp",Inputs!$B$43&gt;0),IF(MAX(0,Inputs!$B$43-B1956)&lt;=0,0,(INT(MAX(0,Inputs!$B$43-B1956)/(IF(Inputs!$B$38="pvp",15,MAX(0.1,Skills!E9-IF(TRUE=TRUE,Inputs!$B$32,0)))*(1-IF(AND(ArtifactsInput!$M$27,Inputs!$B$4="Chapter Hunt"),CHOOSE(ArtifactsInput!$N$27+1,20,24,28,32,36,40),0)/100)))+1)),0)</f>
        <v>2</v>
      </c>
      <c r="S1927">
        <f>IF(C1927,(H1927*N1927*IF(AND(Inputs!$B$38&lt;&gt;"pvp",Inputs!$B$43&gt;0),((Skills!G9*((R1927-1)*IF(Skills!H9&gt;0,Skills!I9/Skills!H9,1)+IF(Skills!H9&gt;0,MIN(Skills!I9,MAX(0,MAX(0,Inputs!$B$43-B1956)-((R1927-1)*(IF(Inputs!$B$38="pvp",15,MAX(0.1,Skills!E9-IF(TRUE=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575795716240022.25</v>
      </c>
      <c r="U1927">
        <f>IF(C1927,(H1927*N1927*IF(AND(Inputs!$B$38&lt;&gt;"pvp",Inputs!$B$43&gt;0),((Skills!G9*((R1927-1)*IF(Skills!H9&gt;0,Skills!I9/Skills!H9,1)+IF(Skills!H9&gt;0,MIN(Skills!I9,MAX(0,MAX(0,Inputs!$B$43-B1956)-((R1927-1)*(IF(Inputs!$B$38="pvp",15,MAX(0.1,Skills!E9-IF(TRUE=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5467334718872135</v>
      </c>
    </row>
    <row r="1928" spans="1:26" x14ac:dyDescent="0.2">
      <c r="A1928" t="str">
        <f>Skills!A10</f>
        <v>CREEPING_TOXIN</v>
      </c>
      <c r="B1928" t="str">
        <f>Skills!B10</f>
        <v>Creeping Toxin</v>
      </c>
      <c r="C1928" t="b">
        <f>TRUE</f>
        <v>1</v>
      </c>
      <c r="D1928">
        <f>IF(Skills!C10=1,60+Inputs!$B$25+Inputs!$B$29,IF(Skills!C10=2,90+Inputs!$B$26+Inputs!$B$29,IF(Skills!C10=3,120+Inputs!$B$27+Inputs!$B$29,MAX(0,(Inputs!$B$3-100)*3)+Inputs!$B$28+Inputs!$B$29)))</f>
        <v>184</v>
      </c>
      <c r="E1928">
        <f>INDEX(FactorTable!$B$2:$Y$301, MATCH(ROUND(MIN(300,MAX(1,D1928)),0), FactorTable!$A$2:$A$301,0), Skills!M10+1)</f>
        <v>1920</v>
      </c>
      <c r="F1928">
        <f>IF(Skills!N10=TRUE,(Skills!L10/10)*(E1928/1000),Skills!L10/10)+Skills!O10</f>
        <v>280.39999999999998</v>
      </c>
      <c r="G1928">
        <f>Calc!G10</f>
        <v>15</v>
      </c>
      <c r="H1928">
        <f>Calc!H10</f>
        <v>1</v>
      </c>
      <c r="I1928">
        <f>IF(Skills!X10&lt;&gt;"",1+(Skills!X10/10)*(Z1921/1000)/100,1)</f>
        <v>1.7650000000000001</v>
      </c>
      <c r="J1928">
        <f>((Inputs!$B$6*(1+Inputs!$B$7/100))+(((Inputs!$B$12*(1+Inputs!$B$13/100))-(Inputs!$B$12*(1+Inputs!$B$13/100)))+0.25*(Inputs!$B$14-Inputs!$B$14))*(1+Inputs!$B$7/100))*(F1928/100)</f>
        <v>1012621197.9803641</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8980586260374.2793</v>
      </c>
      <c r="L1928">
        <f>K1928*(MIN(Inputs!$B$22+(F1940-Calc!F22),(Inputs!$B$23+(IF(ArtifactsInput!$M$15,CHOOSE(ArtifactsInput!$N$15+1,25,30,35,40,45,50)/100*(Inputs!$B$11-Inputs!$B$11),0))))/100+(Inputs!$B$23+(IF(ArtifactsInput!$M$15,CHOOSE(ArtifactsInput!$N$15+1,25,30,35,40,45,50)/100*(Inputs!$B$11-Inputs!$B$11),0)))/100)/2</f>
        <v>29860449315744.48</v>
      </c>
      <c r="M1928">
        <f>L1928*(1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124528823408408.17</v>
      </c>
      <c r="N1928">
        <f>L1928*(1-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124528823408408.17</v>
      </c>
      <c r="O1928">
        <f>(1-Summary!$B$11)*S1928+Summary!$B$11*U1928</f>
        <v>286616987991924.19</v>
      </c>
      <c r="P1928">
        <f>IF(B1959=0,0,O1928/B1959)</f>
        <v>9.9808952856882908E-3</v>
      </c>
      <c r="Q1928">
        <f>IFERROR(1/(IF(Inputs!$B$38="pvp",15,MAX(0.1,Skills!E10-IF(TRUE=TRUE,Inputs!$B$32,0)))*(1-IF(AND(ArtifactsInput!$M$27,Inputs!$B$4="Chapter Hunt"),CHOOSE(ArtifactsInput!$N$27+1,20,24,28,32,36,40),0)/100)),0)</f>
        <v>3.7037037037037035E-2</v>
      </c>
      <c r="R1928">
        <f>IF(AND(Inputs!$B$38&lt;&gt;"pvp",Inputs!$B$43&gt;0),IF(MAX(0,Inputs!$B$43-B1956)&lt;=0,0,(INT(MAX(0,Inputs!$B$43-B1956)/(IF(Inputs!$B$38="pvp",15,MAX(0.1,Skills!E10-IF(TRUE=TRUE,Inputs!$B$32,0)))*(1-IF(AND(ArtifactsInput!$M$27,Inputs!$B$4="Chapter Hunt"),CHOOSE(ArtifactsInput!$N$27+1,20,24,28,32,36,40),0)/100)))+1)),0)</f>
        <v>2</v>
      </c>
      <c r="S1928">
        <f>IF(C1928,(H1928*N1928*IF(AND(Inputs!$B$38&lt;&gt;"pvp",Inputs!$B$43&gt;0),((Skills!G10*((R1928-1)*IF(Skills!H10&gt;0,Skills!I10/Skills!H10,1)+IF(Skills!H10&gt;0,MIN(Skills!I10,MAX(0,MAX(0,Inputs!$B$43-B1956)-((R1928-1)*(IF(Inputs!$B$38="pvp",15,MAX(0.1,Skills!E10-IF(TRUE=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253085195524902.41</v>
      </c>
      <c r="U1928">
        <f>IF(C1928,(H1928*N1928*IF(AND(Inputs!$B$38&lt;&gt;"pvp",Inputs!$B$43&gt;0),((Skills!G10*((R1928-1)*IF(Skills!H10&gt;0,Skills!I10/Skills!H10,1)+IF(Skills!H10&gt;0,MIN(Skills!I10,MAX(0,MAX(0,Inputs!$B$43-B1956)-((R1928-1)*(IF(Inputs!$B$38="pvp",15,MAX(0.1,Skills!E10-IF(TRUE=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320148780458945.94</v>
      </c>
    </row>
    <row r="1929" spans="1:26" x14ac:dyDescent="0.2">
      <c r="A1929" t="str">
        <f>Skills!A11</f>
        <v>BURNING_MAGIC</v>
      </c>
      <c r="B1929" t="str">
        <f>Skills!B11</f>
        <v>Burning Magic</v>
      </c>
      <c r="C1929" t="b">
        <f>TRUE</f>
        <v>1</v>
      </c>
      <c r="D1929">
        <f>IF(Skills!C11=1,60+Inputs!$B$25+Inputs!$B$29,IF(Skills!C11=2,90+Inputs!$B$26+Inputs!$B$29,IF(Skills!C11=3,120+Inputs!$B$27+Inputs!$B$29,MAX(0,(Inputs!$B$3-100)*3)+Inputs!$B$28+Inputs!$B$29)))</f>
        <v>184</v>
      </c>
      <c r="E1929">
        <f>INDEX(FactorTable!$B$2:$Y$301, MATCH(ROUND(MIN(300,MAX(1,D1929)),0), FactorTable!$A$2:$A$301,0), Skills!M11+1)</f>
        <v>0</v>
      </c>
      <c r="F1929">
        <f>IF(Skills!N11=TRUE,(Skills!L11/10)*(E1929/1000),Skills!L11/10)+Skills!O11</f>
        <v>5</v>
      </c>
      <c r="G1929">
        <f>Calc!G11</f>
        <v>1</v>
      </c>
      <c r="H1929">
        <f>Calc!H11</f>
        <v>1</v>
      </c>
      <c r="I1929">
        <f>IF(Skills!X11&lt;&gt;"",1+(Skills!X11/10)*(Z1921/1000)/100,1)</f>
        <v>1</v>
      </c>
      <c r="O1929">
        <f>(1-Summary!$B$11)*S1929+Summary!$B$11*U1929</f>
        <v>0</v>
      </c>
      <c r="P1929">
        <f>IF(B1959=0,0,O1929/B1959)</f>
        <v>0</v>
      </c>
      <c r="Q1929">
        <f>IFERROR(1/(IF(Inputs!$B$38="pvp",15,MAX(0.1,Skills!E11-IF(TRUE=TRUE,Inputs!$B$32,0)))*(1-IF(AND(ArtifactsInput!$M$27,Inputs!$B$4="Chapter Hunt"),CHOOSE(ArtifactsInput!$N$27+1,20,24,28,32,36,40),0)/100)),0)</f>
        <v>10</v>
      </c>
      <c r="R1929">
        <v>0</v>
      </c>
      <c r="S1929">
        <v>0</v>
      </c>
      <c r="U1929">
        <v>0</v>
      </c>
    </row>
    <row r="1930" spans="1:26" x14ac:dyDescent="0.2">
      <c r="A1930" t="str">
        <f>Skills!A12</f>
        <v>ELEMENTAL_DECREASE</v>
      </c>
      <c r="B1930" t="str">
        <f>Skills!B12</f>
        <v>Elemental Decrease</v>
      </c>
      <c r="C1930" t="b">
        <f>TRUE</f>
        <v>1</v>
      </c>
      <c r="D1930">
        <f>IF(Skills!C12=1,60+Inputs!$B$25+Inputs!$B$29,IF(Skills!C12=2,90+Inputs!$B$26+Inputs!$B$29,IF(Skills!C12=3,120+Inputs!$B$27+Inputs!$B$29,MAX(0,(Inputs!$B$3-100)*3)+Inputs!$B$28+Inputs!$B$29)))</f>
        <v>184</v>
      </c>
      <c r="E1930">
        <f>INDEX(FactorTable!$B$2:$Y$301, MATCH(ROUND(MIN(300,MAX(1,D1930)),0), FactorTable!$A$2:$A$301,0), Skills!M12+1)</f>
        <v>1552</v>
      </c>
      <c r="F1930">
        <f>IF(Skills!N12=TRUE,(Skills!L12/10)*(E1930/1000),Skills!L12/10)+Skills!O12</f>
        <v>18.624000000000002</v>
      </c>
      <c r="G1930">
        <f>Calc!G12</f>
        <v>1</v>
      </c>
      <c r="H1930">
        <f>Calc!H12</f>
        <v>0.5</v>
      </c>
      <c r="I1930">
        <f>IF(Skills!X12&lt;&gt;"",1+(Skills!X12/10)*(Z1921/1000)/100,1)</f>
        <v>1</v>
      </c>
      <c r="O1930">
        <f>(1-Summary!$B$11)*S1930+Summary!$B$11*U1930</f>
        <v>0</v>
      </c>
      <c r="P1930">
        <f>IF(B1959=0,0,O1930/B1959)</f>
        <v>0</v>
      </c>
      <c r="Q1930">
        <f>IFERROR(1/(IF(Inputs!$B$38="pvp",15,MAX(0.1,Skills!E12-IF(TRUE=TRUE,Inputs!$B$32,0)))*(1-IF(AND(ArtifactsInput!$M$27,Inputs!$B$4="Chapter Hunt"),CHOOSE(ArtifactsInput!$N$27+1,20,24,28,32,36,40),0)/100)),0)</f>
        <v>10</v>
      </c>
      <c r="R1930">
        <v>0</v>
      </c>
      <c r="S1930">
        <v>0</v>
      </c>
      <c r="U1930">
        <v>0</v>
      </c>
    </row>
    <row r="1931" spans="1:26" x14ac:dyDescent="0.2">
      <c r="A1931" t="str">
        <f>Skills!A13</f>
        <v>METEOR_SHOWER_BURST</v>
      </c>
      <c r="B1931" t="str">
        <f>Skills!B13</f>
        <v>Meteor Shower (burst)</v>
      </c>
      <c r="C1931" t="b">
        <f>Inputs!$B$3&gt;=105</f>
        <v>1</v>
      </c>
      <c r="D1931">
        <f>IF(Skills!C13=1,60+Inputs!$B$25+Inputs!$B$29,IF(Skills!C13=2,90+Inputs!$B$26+Inputs!$B$29,IF(Skills!C13=3,120+Inputs!$B$27+Inputs!$B$29,MAX(0,(Inputs!$B$3-100)*3)+Inputs!$B$28+Inputs!$B$29)))</f>
        <v>185</v>
      </c>
      <c r="E1931">
        <f>INDEX(FactorTable!$B$2:$Y$301, MATCH(ROUND(MIN(300,MAX(1,D1931)),0), FactorTable!$A$2:$A$301,0), Skills!M13+1)</f>
        <v>1925</v>
      </c>
      <c r="F1931">
        <f>IF(Skills!N13=TRUE,(Skills!L13/10)*(E1931/1000),Skills!L13/10)+Skills!O13</f>
        <v>1155</v>
      </c>
      <c r="G1931">
        <f>Calc!G13</f>
        <v>9</v>
      </c>
      <c r="H1931">
        <f>Calc!H13</f>
        <v>1</v>
      </c>
      <c r="I1931">
        <f>IF(Skills!X13&lt;&gt;"",1+(Skills!X13/10)*(Z1921/1000)/100,1)</f>
        <v>1</v>
      </c>
      <c r="J1931">
        <f>((Inputs!$B$6*(1+Inputs!$B$7/100))+(((Inputs!$B$12*(1+Inputs!$B$13/100))-(Inputs!$B$12*(1+Inputs!$B$13/100)))+0.25*(Inputs!$B$14-Inputs!$B$14))*(1+Inputs!$B$7/100))*(F1931/100)</f>
        <v>4171103722.0660505</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20958681306616.391</v>
      </c>
      <c r="L1931">
        <f>K1931*(MIN(Inputs!$B$22+(F1940-Calc!F22),(Inputs!$B$23+(IF(ArtifactsInput!$M$15,CHOOSE(ArtifactsInput!$N$15+1,25,30,35,40,45,50)/100*(Inputs!$B$11-Inputs!$B$11),0))))/100+(Inputs!$B$23+(IF(ArtifactsInput!$M$15,CHOOSE(ArtifactsInput!$N$15+1,25,30,35,40,45,50)/100*(Inputs!$B$11-Inputs!$B$11),0)))/100)/2</f>
        <v>69687615344499.5</v>
      </c>
      <c r="M1931">
        <f>L1931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290622443528087</v>
      </c>
      <c r="N1931">
        <f>L1931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290622443528087</v>
      </c>
      <c r="O1931">
        <f>(1-Summary!$B$11)*S1931+Summary!$B$11*U1931</f>
        <v>1585054807002186.5</v>
      </c>
      <c r="P1931">
        <f>IF(B1959=0,0,O1931/B1959)</f>
        <v>5.5196540029272247E-2</v>
      </c>
      <c r="Q1931">
        <f>IFERROR(1/(IF(Inputs!$B$38="pvp",15,MAX(0.1,Skills!E13-IF(TRUE=TRUE,Inputs!$B$32,0)))*(1-IF(AND(ArtifactsInput!$M$27,Inputs!$B$4="Chapter Hunt"),CHOOSE(ArtifactsInput!$N$27+1,20,24,28,32,36,40),0)/100)),0)</f>
        <v>3.0303030303030304E-2</v>
      </c>
      <c r="R1931">
        <f>IF(AND(Inputs!$B$38&lt;&gt;"pvp",Inputs!$B$43&gt;0),IF(MAX(0,Inputs!$B$43-B1956)&lt;=0,0,(INT(MAX(0,Inputs!$B$43-B1956)/(IF(Inputs!$B$38="pvp",15,MAX(0.1,Skills!E13-IF(TRUE=TRUE,Inputs!$B$32,0)))*(1-IF(AND(ArtifactsInput!$M$27,Inputs!$B$4="Chapter Hunt"),CHOOSE(ArtifactsInput!$N$27+1,20,24,28,32,36,40),0)/100)))+1)),0)</f>
        <v>2</v>
      </c>
      <c r="S1931">
        <f>IF(C1931,(H1931*N1931*IF(AND(Inputs!$B$38&lt;&gt;"pvp",Inputs!$B$43&gt;0),((Skills!G13*((R1931-1)*IF(Skills!H13&gt;0,Skills!I13/Skills!H13,1)+IF(Skills!H13&gt;0,MIN(Skills!I13,MAX(0,MAX(0,Inputs!$B$43-B1956)-((R1931-1)*(IF(Inputs!$B$38="pvp",15,MAX(0.1,Skills!E13-IF(TRUE=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414572915692816.12</v>
      </c>
      <c r="U1931">
        <f>IF(C1931,(H1931*N1931*IF(AND(Inputs!$B$38&lt;&gt;"pvp",Inputs!$B$43&gt;0),((Skills!G13*((R1931-1)*IF(Skills!H13&gt;0,Skills!I13/Skills!H13,1)+IF(Skills!H13&gt;0,MIN(Skills!I13,MAX(0,MAX(0,Inputs!$B$43-B1956)-((R1931-1)*(IF(Inputs!$B$38="pvp",15,MAX(0.1,Skills!E13-IF(TRUE=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2755536698311557</v>
      </c>
    </row>
    <row r="1932" spans="1:26" x14ac:dyDescent="0.2">
      <c r="A1932" t="str">
        <f>Skills!A14</f>
        <v>METEOR_PROC</v>
      </c>
      <c r="B1932" t="str">
        <f>Skills!B14</f>
        <v>Meteor Proc (30% on-hit, 1s ICD)</v>
      </c>
      <c r="C1932" t="b">
        <f>Inputs!$B$3&gt;=113</f>
        <v>1</v>
      </c>
      <c r="D1932">
        <f>IF(Skills!C14=1,60+Inputs!$B$25+Inputs!$B$29,IF(Skills!C14=2,90+Inputs!$B$26+Inputs!$B$29,IF(Skills!C14=3,120+Inputs!$B$27+Inputs!$B$29,MAX(0,(Inputs!$B$3-100)*3)+Inputs!$B$28+Inputs!$B$29)))</f>
        <v>185</v>
      </c>
      <c r="E1932">
        <f>INDEX(FactorTable!$B$2:$Y$301, MATCH(ROUND(MIN(300,MAX(1,D1932)),0), FactorTable!$A$2:$A$301,0), Skills!M14+1)</f>
        <v>1740</v>
      </c>
      <c r="F1932">
        <f>IF(Skills!N14=TRUE,(Skills!L14/10)*(E1932/1000),Skills!L14/10)+Skills!O14</f>
        <v>1653</v>
      </c>
      <c r="G1932">
        <f>Calc!G14</f>
        <v>0</v>
      </c>
      <c r="H1932">
        <f>Calc!H14</f>
        <v>0.30000000000000004</v>
      </c>
      <c r="I1932">
        <f>IF(Skills!X14&lt;&gt;"",1+(Skills!X14/10)*(Z1921/1000)/100,1)</f>
        <v>1</v>
      </c>
      <c r="J1932">
        <f>((Inputs!$B$6*(1+Inputs!$B$7/100))+(((Inputs!$B$12*(1+Inputs!$B$13/100))-(Inputs!$B$12*(1+Inputs!$B$13/100)))+0.25*(Inputs!$B$14-Inputs!$B$14))*(1+Inputs!$B$7/100))*(F1932/100)</f>
        <v>5969553638.5932312</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29995411428430.203</v>
      </c>
      <c r="L1932">
        <f>K1932*(MIN(Inputs!$B$22+(F1940-Calc!F22),(Inputs!$B$23+(IF(ArtifactsInput!$M$15,CHOOSE(ArtifactsInput!$N$15+1,25,30,35,40,45,50)/100*(Inputs!$B$11-Inputs!$B$11),0))))/100+(Inputs!$B$23+(IF(ArtifactsInput!$M$15,CHOOSE(ArtifactsInput!$N$15+1,25,30,35,40,45,50)/100*(Inputs!$B$11-Inputs!$B$11),0)))/100)/2</f>
        <v>99734742999530.438</v>
      </c>
      <c r="M1932">
        <f>L1932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415929782815521.81</v>
      </c>
      <c r="N1932">
        <f>L1932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415929782815521.81</v>
      </c>
      <c r="O1932">
        <f>(1-Summary!$B$11)*S1932+Summary!$B$11*U1932</f>
        <v>407631433928633.62</v>
      </c>
      <c r="P1932">
        <f>IF(B1959=0,0,O1932/B1959)</f>
        <v>1.4194994810674981E-2</v>
      </c>
      <c r="Q1932">
        <f>IFERROR(1/(IF(Inputs!$B$38="pvp",15,MAX(0.1,Skills!E14-IF(TRUE=TRUE,Inputs!$B$32,0)))*(1-IF(AND(ArtifactsInput!$M$27,Inputs!$B$4="Chapter Hunt"),CHOOSE(ArtifactsInput!$N$27+1,20,24,28,32,36,40),0)/100)),0)</f>
        <v>10</v>
      </c>
      <c r="R1932">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418184998561090.19</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397077869296177.12</v>
      </c>
    </row>
    <row r="1933" spans="1:26" x14ac:dyDescent="0.2">
      <c r="A1933" t="str">
        <f>Skills!A15</f>
        <v>FLAME_HAZE_BURST</v>
      </c>
      <c r="B1933" t="str">
        <f>Skills!B15</f>
        <v>Flame Haze (burst)</v>
      </c>
      <c r="C1933" t="b">
        <f>Inputs!$B$3&gt;=107</f>
        <v>1</v>
      </c>
      <c r="D1933">
        <f>IF(Skills!C15=1,60+Inputs!$B$25+Inputs!$B$29,IF(Skills!C15=2,90+Inputs!$B$26+Inputs!$B$29,IF(Skills!C15=3,120+Inputs!$B$27+Inputs!$B$29,MAX(0,(Inputs!$B$3-100)*3)+Inputs!$B$28+Inputs!$B$29)))</f>
        <v>185</v>
      </c>
      <c r="E1933">
        <f>INDEX(FactorTable!$B$2:$Y$301, MATCH(ROUND(MIN(300,MAX(1,D1933)),0), FactorTable!$A$2:$A$301,0), Skills!M15+1)</f>
        <v>1925</v>
      </c>
      <c r="F1933">
        <f>IF(Skills!N15=TRUE,(Skills!L15/10)*(E1933/1000),Skills!L15/10)+Skills!O15</f>
        <v>2310</v>
      </c>
      <c r="G1933">
        <f>Calc!G15</f>
        <v>3</v>
      </c>
      <c r="H1933">
        <f>Calc!H15</f>
        <v>1</v>
      </c>
      <c r="I1933">
        <f>IF(Skills!X15&lt;&gt;"",1+(Skills!X15/10)*(Z1921/1000)/100,1)</f>
        <v>1</v>
      </c>
      <c r="J1933">
        <f>((Inputs!$B$6*(1+Inputs!$B$7/100))+(((Inputs!$B$12*(1+Inputs!$B$13/100))-(Inputs!$B$12*(1+Inputs!$B$13/100)))+0.25*(Inputs!$B$14-Inputs!$B$14))*(1+Inputs!$B$7/100))*(F1933/100)</f>
        <v>8342207444.1321011</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41917362613232.781</v>
      </c>
      <c r="L1933">
        <f>K1933*(MIN(Inputs!$B$22+(F1940-Calc!F22),(Inputs!$B$23+(IF(ArtifactsInput!$M$15,CHOOSE(ArtifactsInput!$N$15+1,25,30,35,40,45,50)/100*(Inputs!$B$11-Inputs!$B$11),0))))/100+(Inputs!$B$23+(IF(ArtifactsInput!$M$15,CHOOSE(ArtifactsInput!$N$15+1,25,30,35,40,45,50)/100*(Inputs!$B$11-Inputs!$B$11),0)))/100)/2</f>
        <v>139375230688999</v>
      </c>
      <c r="M1933">
        <f>L1933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581244887056174</v>
      </c>
      <c r="N1933">
        <f>L1933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581244887056174</v>
      </c>
      <c r="O1933">
        <f>(1-Summary!$B$11)*S1933+Summary!$B$11*U1933</f>
        <v>1450351304426917.8</v>
      </c>
      <c r="P1933">
        <f>IF(B1959=0,0,O1933/B1959)</f>
        <v>5.0505744960777969E-2</v>
      </c>
      <c r="Q1933">
        <f>IFERROR(1/(IF(Inputs!$B$38="pvp",15,MAX(0.1,Skills!E15-IF(TRUE=TRUE,Inputs!$B$32,0)))*(1-IF(AND(ArtifactsInput!$M$27,Inputs!$B$4="Chapter Hunt"),CHOOSE(ArtifactsInput!$N$27+1,20,24,28,32,36,40),0)/100)),0)</f>
        <v>0.04</v>
      </c>
      <c r="R1933">
        <f>IF(AND(Inputs!$B$38&lt;&gt;"pvp",Inputs!$B$43&gt;0),IF(MAX(0,Inputs!$B$43-B1956)&lt;=0,0,(INT(MAX(0,Inputs!$B$43-B1956)/(IF(Inputs!$B$38="pvp",15,MAX(0.1,Skills!E15-IF(TRUE=TRUE,Inputs!$B$32,0)))*(1-IF(AND(ArtifactsInput!$M$27,Inputs!$B$4="Chapter Hunt"),CHOOSE(ArtifactsInput!$N$27+1,20,24,28,32,36,40),0)/100)))+1)),0)</f>
        <v>2</v>
      </c>
      <c r="S1933">
        <f>IF(C1933,(H1933*N1933*IF(AND(Inputs!$B$38&lt;&gt;"pvp",Inputs!$B$43&gt;0),((Skills!G15*((R1933-1)*IF(Skills!H15&gt;0,Skills!I15/Skills!H15,1)+IF(Skills!H15&gt;0,MIN(Skills!I15,MAX(0,MAX(0,Inputs!$B$43-B1956)-((R1933-1)*(IF(Inputs!$B$38="pvp",15,MAX(0.1,Skills!E15-IF(TRUE=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276381943795210.72</v>
      </c>
      <c r="U1933">
        <f>IF(C1933,(H1933*N1933*IF(AND(Inputs!$B$38&lt;&gt;"pvp",Inputs!$B$43&gt;0),((Skills!G15*((R1933-1)*IF(Skills!H15&gt;0,Skills!I15/Skills!H15,1)+IF(Skills!H15&gt;0,MIN(Skills!I15,MAX(0,MAX(0,Inputs!$B$43-B1956)-((R1933-1)*(IF(Inputs!$B$38="pvp",15,MAX(0.1,Skills!E15-IF(TRUE=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2624320665058625</v>
      </c>
    </row>
    <row r="1934" spans="1:26" x14ac:dyDescent="0.2">
      <c r="A1934" t="str">
        <f>Skills!A16</f>
        <v>FLAME_HAZE_DOT</v>
      </c>
      <c r="B1934" t="str">
        <f>Skills!B16</f>
        <v>Flame Haze (burn DoT)</v>
      </c>
      <c r="C1934" t="b">
        <f>Inputs!$B$3&gt;=107</f>
        <v>1</v>
      </c>
      <c r="D1934">
        <f>IF(Skills!C16=1,60+Inputs!$B$25+Inputs!$B$29,IF(Skills!C16=2,90+Inputs!$B$26+Inputs!$B$29,IF(Skills!C16=3,120+Inputs!$B$27+Inputs!$B$29,MAX(0,(Inputs!$B$3-100)*3)+Inputs!$B$28+Inputs!$B$29)))</f>
        <v>185</v>
      </c>
      <c r="E1934">
        <f>INDEX(FactorTable!$B$2:$Y$301, MATCH(ROUND(MIN(300,MAX(1,D1934)),0), FactorTable!$A$2:$A$301,0), Skills!M16+1)</f>
        <v>1925</v>
      </c>
      <c r="F1934">
        <f>IF(Skills!N16=TRUE,(Skills!L16/10)*(E1934/1000),Skills!L16/10)+Skills!O16</f>
        <v>288.75</v>
      </c>
      <c r="G1934">
        <f>Calc!G16</f>
        <v>30</v>
      </c>
      <c r="H1934">
        <f>Calc!H16</f>
        <v>1</v>
      </c>
      <c r="I1934">
        <f>IF(Skills!X16&lt;&gt;"",1+(Skills!X16/10)*(Z1921/1000)/100,1)</f>
        <v>1</v>
      </c>
      <c r="J1934">
        <f>((Inputs!$B$6*(1+Inputs!$B$7/100))+(((Inputs!$B$12*(1+Inputs!$B$13/100))-(Inputs!$B$12*(1+Inputs!$B$13/100)))+0.25*(Inputs!$B$14-Inputs!$B$14))*(1+Inputs!$B$7/100))*(F1934/100)</f>
        <v>1042775930.5165126</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5239670326654.0977</v>
      </c>
      <c r="L1934">
        <f>K1934*(MIN(Inputs!$B$22+(F1940-Calc!F22),(Inputs!$B$23+(IF(ArtifactsInput!$M$15,CHOOSE(ArtifactsInput!$N$15+1,25,30,35,40,45,50)/100*(Inputs!$B$11-Inputs!$B$11),0))))/100+(Inputs!$B$23+(IF(ArtifactsInput!$M$15,CHOOSE(ArtifactsInput!$N$15+1,25,30,35,40,45,50)/100*(Inputs!$B$11-Inputs!$B$11),0)))/100)/2</f>
        <v>17421903836124.875</v>
      </c>
      <c r="M1934">
        <f>L1934*(1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72655610882021.75</v>
      </c>
      <c r="N1934">
        <f>L1934*(1-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72655610882021.75</v>
      </c>
      <c r="O1934">
        <f>(1-Summary!$B$11)*S1934+Summary!$B$11*U1934</f>
        <v>1670605146825133.8</v>
      </c>
      <c r="P1934">
        <f>IF(B1959=0,0,O1934/B1959)</f>
        <v>5.8175669038373214E-2</v>
      </c>
      <c r="Q1934">
        <f>IFERROR(1/(IF(Inputs!$B$38="pvp",15,MAX(0.1,Skills!E16-IF(TRUE=TRUE,Inputs!$B$32,0)))*(1-IF(AND(ArtifactsInput!$M$27,Inputs!$B$4="Chapter Hunt"),CHOOSE(ArtifactsInput!$N$27+1,20,24,28,32,36,40),0)/100)),0)</f>
        <v>0.04</v>
      </c>
      <c r="R1934">
        <f>IF(AND(Inputs!$B$38&lt;&gt;"pvp",Inputs!$B$43&gt;0),IF(MAX(0,Inputs!$B$43-B1956)&lt;=0,0,(INT(MAX(0,Inputs!$B$43-B1956)/(IF(Inputs!$B$38="pvp",15,MAX(0.1,Skills!E16-IF(TRUE=TRUE,Inputs!$B$32,0)))*(1-IF(AND(ArtifactsInput!$M$27,Inputs!$B$4="Chapter Hunt"),CHOOSE(ArtifactsInput!$N$27+1,20,24,28,32,36,40),0)/100)))+1)),0)</f>
        <v>2</v>
      </c>
      <c r="S1934">
        <f>IF(C1934,(H1934*N1934*IF(AND(Inputs!$B$38&lt;&gt;"pvp",Inputs!$B$43&gt;0),((Skills!G16*((R1934-1)*IF(Skills!H16&gt;0,Skills!I16/Skills!H16,1)+IF(Skills!H16&gt;0,MIN(Skills!I16,MAX(0,MAX(0,Inputs!$B$43-B1956)-((R1934-1)*(IF(Inputs!$B$38="pvp",15,MAX(0.1,Skills!E16-IF(TRUE=TRUE,Inputs!$B$32,0)))*(1-IF(AND(ArtifactsInput!$M$27,Inputs!$B$4="Chapter Hunt"),CHOOSE(ArtifactsInput!$N$27+1,20,24,28,32,36,40),0)/100)))))/Skills!H16,1)))/Inputs!$B$43),G1934*Q1934)*(1+IF(Inputs!$B$3&gt;=126,0.05*(B1954+Q1931+(H1932*B1955)/(1+Skills!H14*H1932*B1955)+Q1942),0)*(1/Q1933)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318353971471937.12</v>
      </c>
      <c r="U1934">
        <f>IF(C1934,(H1934*N1934*IF(AND(Inputs!$B$38&lt;&gt;"pvp",Inputs!$B$43&gt;0),((Skills!G16*((R1934-1)*IF(Skills!H16&gt;0,Skills!I16/Skills!H16,1)+IF(Skills!H16&gt;0,MIN(Skills!I16,MAX(0,MAX(0,Inputs!$B$43-B1956)-((R1934-1)*(IF(Inputs!$B$38="pvp",15,MAX(0.1,Skills!E16-IF(TRUE=TRUE,Inputs!$B$32,0)))*(1-IF(AND(ArtifactsInput!$M$27,Inputs!$B$4="Chapter Hunt"),CHOOSE(ArtifactsInput!$N$27+1,20,24,28,32,36,40),0)/100)))))/Skills!H16,1)))/Inputs!$B$43),G1934*Q1934)*(1+IF(Inputs!$B$3&gt;=126,0.05*(B1954+Q1931+(H1932*B1955)/(1+Skills!H14*H1932*B1955)+Q1942),0)*(1/Q1933)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3022856322178330.5</v>
      </c>
    </row>
    <row r="1935" spans="1:26" x14ac:dyDescent="0.2">
      <c r="A1935" t="str">
        <f>Skills!A17</f>
        <v>MAGIC_GUARD</v>
      </c>
      <c r="B1935" t="str">
        <f>Skills!B17</f>
        <v>Magic Guard</v>
      </c>
      <c r="C1935" t="b">
        <f>TRUE</f>
        <v>1</v>
      </c>
      <c r="D1935">
        <f>IF(Skills!C17=1,60+Inputs!$B$25+Inputs!$B$29,IF(Skills!C17=2,90+Inputs!$B$26+Inputs!$B$29,IF(Skills!C17=3,120+Inputs!$B$27+Inputs!$B$29,MAX(0,(Inputs!$B$3-100)*3)+Inputs!$B$28+Inputs!$B$29)))</f>
        <v>127</v>
      </c>
      <c r="E1935">
        <f>INDEX(FactorTable!$B$2:$Y$301, MATCH(ROUND(MIN(300,MAX(1,D1935)),0), FactorTable!$A$2:$A$301,0), Skills!M17+1)</f>
        <v>1508</v>
      </c>
      <c r="F1935">
        <f>IF(Skills!N17=TRUE,(Skills!L17/10)*(E1935/1000),Skills!L17/10)+Skills!O17</f>
        <v>18.096</v>
      </c>
      <c r="G1935">
        <f>Calc!G17</f>
        <v>1</v>
      </c>
      <c r="H1935">
        <f>Calc!H17</f>
        <v>1</v>
      </c>
      <c r="I1935">
        <f>IF(Skills!X17&lt;&gt;"",1+(Skills!X17/10)*(Z1921/1000)/100,1)</f>
        <v>1</v>
      </c>
      <c r="O1935">
        <f>(1-Summary!$B$11)*S1935+Summary!$B$11*U1935</f>
        <v>0</v>
      </c>
      <c r="P1935">
        <f>IF(B1959=0,0,O1935/B1959)</f>
        <v>0</v>
      </c>
      <c r="Q1935">
        <f>IFERROR(1/(IF(Inputs!$B$38="pvp",15,MAX(0.1,Skills!E17-IF(TRUE=TRUE,Inputs!$B$32,0)))*(1-IF(AND(ArtifactsInput!$M$27,Inputs!$B$4="Chapter Hunt"),CHOOSE(ArtifactsInput!$N$27+1,20,24,28,32,36,40),0)/100)),0)</f>
        <v>4.7619047619047616E-2</v>
      </c>
      <c r="R1935">
        <f>IF(AND(Inputs!$B$38&lt;&gt;"pvp",Inputs!$B$43&gt;0),IF(Inputs!$B$43&lt;=0,0,(INT(Inputs!$B$43/(IF(Inputs!$B$38="pvp",15,MAX(0.1,Skills!E17-IF(TRUE=TRUE,Inputs!$B$32,0)))*(1-IF(AND(ArtifactsInput!$M$27,Inputs!$B$4="Chapter Hunt"),CHOOSE(ArtifactsInput!$N$27+1,20,24,28,32,36,40),0)/100)))+1)),0)</f>
        <v>2</v>
      </c>
      <c r="S1935">
        <v>0</v>
      </c>
      <c r="U1935">
        <v>0</v>
      </c>
    </row>
    <row r="1936" spans="1:26" x14ac:dyDescent="0.2">
      <c r="A1936" t="str">
        <f>Skills!A18</f>
        <v>NIMBLE_FEET</v>
      </c>
      <c r="B1936" t="str">
        <f>Skills!B18</f>
        <v>Nimble Feet</v>
      </c>
      <c r="C1936" t="b">
        <f>TRUE</f>
        <v>1</v>
      </c>
      <c r="D1936">
        <f>IF(Skills!C18=1,60+Inputs!$B$25+Inputs!$B$29,IF(Skills!C18=2,90+Inputs!$B$26+Inputs!$B$29,IF(Skills!C18=3,120+Inputs!$B$27+Inputs!$B$29,MAX(0,(Inputs!$B$3-100)*3)+Inputs!$B$28+Inputs!$B$29)))</f>
        <v>127</v>
      </c>
      <c r="E1936">
        <f>INDEX(FactorTable!$B$2:$Y$301, MATCH(ROUND(MIN(300,MAX(1,D1936)),0), FactorTable!$A$2:$A$301,0), Skills!M18+1)</f>
        <v>0</v>
      </c>
      <c r="F1936">
        <f>IF(Skills!N18=TRUE,(Skills!L18/10)*(E1936/1000),Skills!L18/10)+Skills!O18</f>
        <v>15</v>
      </c>
      <c r="G1936">
        <f>Calc!G18</f>
        <v>1</v>
      </c>
      <c r="H1936">
        <f>Calc!H18</f>
        <v>1</v>
      </c>
      <c r="I1936">
        <f>IF(Skills!X18&lt;&gt;"",1+(Skills!X18/10)*(Z1921/1000)/100,1)</f>
        <v>1</v>
      </c>
      <c r="O1936">
        <f>(1-Summary!$B$11)*S1936+Summary!$B$11*U1936</f>
        <v>0</v>
      </c>
      <c r="P1936">
        <f>IF(B1959=0,0,O1936/B1959)</f>
        <v>0</v>
      </c>
      <c r="Q1936">
        <f>IFERROR(1/(IF(Inputs!$B$38="pvp",15,MAX(0.1,Skills!E18-IF(TRUE=TRUE,Inputs!$B$32,0)))*(1-IF(AND(ArtifactsInput!$M$27,Inputs!$B$4="Chapter Hunt"),CHOOSE(ArtifactsInput!$N$27+1,20,24,28,32,36,40),0)/100)),0)</f>
        <v>1.6666666666666666E-2</v>
      </c>
      <c r="R1936">
        <f>IF(AND(Inputs!$B$38&lt;&gt;"pvp",Inputs!$B$43&gt;0),IF(Inputs!$B$43&lt;=0,0,(INT(Inputs!$B$43/(IF(Inputs!$B$38="pvp",15,MAX(0.1,Skills!E18-IF(TRUE=TRUE,Inputs!$B$32,0)))*(1-IF(AND(ArtifactsInput!$M$27,Inputs!$B$4="Chapter Hunt"),CHOOSE(ArtifactsInput!$N$27+1,20,24,28,32,36,40),0)/100)))+1)),0)</f>
        <v>1</v>
      </c>
      <c r="S1936">
        <v>0</v>
      </c>
      <c r="U1936">
        <v>0</v>
      </c>
    </row>
    <row r="1937" spans="1:21" x14ac:dyDescent="0.2">
      <c r="A1937" t="str">
        <f>Skills!A19</f>
        <v>INFINITY</v>
      </c>
      <c r="B1937" t="str">
        <f>Skills!B19</f>
        <v>Infinity</v>
      </c>
      <c r="C1937" t="b">
        <f>Inputs!$B$3&gt;=110</f>
        <v>1</v>
      </c>
      <c r="D1937">
        <f>IF(Skills!C19=1,60+Inputs!$B$25+Inputs!$B$29,IF(Skills!C19=2,90+Inputs!$B$26+Inputs!$B$29,IF(Skills!C19=3,120+Inputs!$B$27+Inputs!$B$29,MAX(0,(Inputs!$B$3-100)*3)+Inputs!$B$28+Inputs!$B$29)))</f>
        <v>185</v>
      </c>
      <c r="E1937">
        <f>INDEX(FactorTable!$B$2:$Y$301, MATCH(ROUND(MIN(300,MAX(1,D1937)),0), FactorTable!$A$2:$A$301,0), Skills!M19+1)</f>
        <v>1740</v>
      </c>
      <c r="F1937">
        <f>IF(Skills!N19=TRUE,(Skills!L19/10)*(E1937/1000),Skills!L19/10)+Skills!O19</f>
        <v>37.700579999999995</v>
      </c>
      <c r="G1937">
        <f>Calc!G19</f>
        <v>1</v>
      </c>
      <c r="H1937">
        <f>Calc!H19</f>
        <v>1</v>
      </c>
      <c r="I1937">
        <f>IF(Skills!X19&lt;&gt;"",1+(Skills!X19/10)*(Z1921/1000)/100,1)</f>
        <v>1</v>
      </c>
      <c r="O1937">
        <f>(1-Summary!$B$11)*S1937+Summary!$B$11*U1937</f>
        <v>0</v>
      </c>
      <c r="P1937">
        <f>IF(B1959=0,0,O1937/B1959)</f>
        <v>0</v>
      </c>
      <c r="Q1937">
        <f>IFERROR(1/(IF(Inputs!$B$38="pvp",15,MAX(0.1,Skills!E19-IF(TRUE=TRUE,Inputs!$B$32,0)))*(1-IF(AND(ArtifactsInput!$M$27,Inputs!$B$4="Chapter Hunt"),CHOOSE(ArtifactsInput!$N$27+1,20,24,28,32,36,40),0)/100)),0)</f>
        <v>3.3333333333333333E-2</v>
      </c>
      <c r="R1937">
        <f>IF(AND(Inputs!$B$38&lt;&gt;"pvp",Inputs!$B$43&gt;0),IF(Inputs!$B$43&lt;=0,0,(INT(Inputs!$B$43/(IF(Inputs!$B$38="pvp",15,MAX(0.1,Skills!E19-IF(TRUE=TRUE,Inputs!$B$32,0)))*(1-IF(AND(ArtifactsInput!$M$27,Inputs!$B$4="Chapter Hunt"),CHOOSE(ArtifactsInput!$N$27+1,20,24,28,32,36,40),0)/100)))+1)),0)</f>
        <v>2</v>
      </c>
      <c r="S1937">
        <v>0</v>
      </c>
      <c r="U1937">
        <v>0</v>
      </c>
    </row>
    <row r="1938" spans="1:21" x14ac:dyDescent="0.2">
      <c r="A1938" t="str">
        <f>Skills!A20</f>
        <v>MAGIC_CRITICAL_RATE</v>
      </c>
      <c r="B1938" t="str">
        <f>Skills!B20</f>
        <v>Magic Critical (Crit Rate)</v>
      </c>
      <c r="C1938" t="b">
        <f>TRUE</f>
        <v>1</v>
      </c>
      <c r="D1938">
        <f>IF(Skills!C20=1,60+Inputs!$B$25+Inputs!$B$29,IF(Skills!C20=2,90+Inputs!$B$26+Inputs!$B$29,IF(Skills!C20=3,120+Inputs!$B$27+Inputs!$B$29,MAX(0,(Inputs!$B$3-100)*3)+Inputs!$B$28+Inputs!$B$29)))</f>
        <v>184</v>
      </c>
      <c r="E1938">
        <f>INDEX(FactorTable!$B$2:$Y$301, MATCH(ROUND(MIN(300,MAX(1,D1938)),0), FactorTable!$A$2:$A$301,0), Skills!M20+1)</f>
        <v>1552</v>
      </c>
      <c r="F1938">
        <f>IF(Skills!N20=TRUE,(Skills!L20/10)*(E1938/1000),Skills!L20/10)+Skills!O20</f>
        <v>12.416</v>
      </c>
      <c r="G1938">
        <f>Calc!G20</f>
        <v>1</v>
      </c>
      <c r="H1938">
        <f>Calc!H20</f>
        <v>1</v>
      </c>
      <c r="I1938">
        <f>IF(Skills!X20&lt;&gt;"",1+(Skills!X20/10)*(Z1921/1000)/100,1)</f>
        <v>1</v>
      </c>
      <c r="O1938">
        <f>(1-Summary!$B$11)*S1938+Summary!$B$11*U1938</f>
        <v>0</v>
      </c>
      <c r="P1938">
        <f>IF(B1959=0,0,O1938/B1959)</f>
        <v>0</v>
      </c>
      <c r="Q1938">
        <f>IFERROR(1/(IF(Inputs!$B$38="pvp",15,MAX(0.1,Skills!E20-IF(TRUE=TRUE,Inputs!$B$32,0)))*(1-IF(AND(ArtifactsInput!$M$27,Inputs!$B$4="Chapter Hunt"),CHOOSE(ArtifactsInput!$N$27+1,20,24,28,32,36,40),0)/100)),0)</f>
        <v>10</v>
      </c>
      <c r="R1938">
        <v>0</v>
      </c>
      <c r="S1938">
        <v>0</v>
      </c>
      <c r="U1938">
        <v>0</v>
      </c>
    </row>
    <row r="1939" spans="1:21" x14ac:dyDescent="0.2">
      <c r="A1939" t="str">
        <f>Skills!A21</f>
        <v>MAGIC_CRITICAL_DAMAGE</v>
      </c>
      <c r="B1939" t="str">
        <f>Skills!B21</f>
        <v>Magic Critical (Crit Damage)</v>
      </c>
      <c r="C1939" t="b">
        <f>TRUE</f>
        <v>1</v>
      </c>
      <c r="D1939">
        <f>IF(Skills!C21=1,60+Inputs!$B$25+Inputs!$B$29,IF(Skills!C21=2,90+Inputs!$B$26+Inputs!$B$29,IF(Skills!C21=3,120+Inputs!$B$27+Inputs!$B$29,MAX(0,(Inputs!$B$3-100)*3)+Inputs!$B$28+Inputs!$B$29)))</f>
        <v>184</v>
      </c>
      <c r="E1939">
        <f>INDEX(FactorTable!$B$2:$Y$301, MATCH(ROUND(MIN(300,MAX(1,D1939)),0), FactorTable!$A$2:$A$301,0), Skills!M21+1)</f>
        <v>1552</v>
      </c>
      <c r="F1939">
        <f>IF(Skills!N21=TRUE,(Skills!L21/10)*(E1939/1000),Skills!L21/10)+Skills!O21</f>
        <v>18.624000000000002</v>
      </c>
      <c r="G1939">
        <f>Calc!G21</f>
        <v>1</v>
      </c>
      <c r="H1939">
        <f>Calc!H21</f>
        <v>1</v>
      </c>
      <c r="I1939">
        <f>IF(Skills!X21&lt;&gt;"",1+(Skills!X21/10)*(Z1921/1000)/100,1)</f>
        <v>1</v>
      </c>
      <c r="O1939">
        <f>(1-Summary!$B$11)*S1939+Summary!$B$11*U1939</f>
        <v>0</v>
      </c>
      <c r="P1939">
        <f>IF(B1959=0,0,O1939/B1959)</f>
        <v>0</v>
      </c>
      <c r="Q1939">
        <f>IFERROR(1/(IF(Inputs!$B$38="pvp",15,MAX(0.1,Skills!E21-IF(TRUE=TRUE,Inputs!$B$32,0)))*(1-IF(AND(ArtifactsInput!$M$27,Inputs!$B$4="Chapter Hunt"),CHOOSE(ArtifactsInput!$N$27+1,20,24,28,32,36,40),0)/100)),0)</f>
        <v>10</v>
      </c>
      <c r="R1939">
        <v>0</v>
      </c>
      <c r="S1939">
        <v>0</v>
      </c>
      <c r="U1939">
        <v>0</v>
      </c>
    </row>
    <row r="1940" spans="1:21" x14ac:dyDescent="0.2">
      <c r="A1940" t="str">
        <f>Skills!A22</f>
        <v>SPELL_MASTERY</v>
      </c>
      <c r="B1940" t="str">
        <f>Skills!B22</f>
        <v>Spell Mastery</v>
      </c>
      <c r="C1940" t="b">
        <f>TRUE</f>
        <v>1</v>
      </c>
      <c r="D1940">
        <f>IF(Skills!C22=1,60+Inputs!$B$25+Inputs!$B$29,IF(Skills!C22=2,90+Inputs!$B$26+Inputs!$B$29,IF(Skills!C22=3,120+Inputs!$B$27+Inputs!$B$29,MAX(0,(Inputs!$B$3-100)*3)+Inputs!$B$28+Inputs!$B$29)))</f>
        <v>168</v>
      </c>
      <c r="E1940">
        <f>INDEX(FactorTable!$B$2:$Y$301, MATCH(ROUND(MIN(300,MAX(1,D1940)),0), FactorTable!$A$2:$A$301,0), Skills!M22+1)</f>
        <v>1504</v>
      </c>
      <c r="F1940">
        <f>IF(Skills!N22=TRUE,(Skills!L22/10)*(E1940/1000),Skills!L22/10)+Skills!O22</f>
        <v>22.56</v>
      </c>
      <c r="G1940">
        <f>Calc!G22</f>
        <v>1</v>
      </c>
      <c r="H1940">
        <f>Calc!H22</f>
        <v>1</v>
      </c>
      <c r="I1940">
        <f>IF(Skills!X22&lt;&gt;"",1+(Skills!X22/10)*(Z1921/1000)/100,1)</f>
        <v>1</v>
      </c>
      <c r="O1940">
        <f>(1-Summary!$B$11)*S1940+Summary!$B$11*U1940</f>
        <v>0</v>
      </c>
      <c r="P1940">
        <f>IF(B1959=0,0,O1940/B1959)</f>
        <v>0</v>
      </c>
      <c r="Q1940">
        <f>IFERROR(1/(IF(Inputs!$B$38="pvp",15,MAX(0.1,Skills!E22-IF(TRUE=TRUE,Inputs!$B$32,0)))*(1-IF(AND(ArtifactsInput!$M$27,Inputs!$B$4="Chapter Hunt"),CHOOSE(ArtifactsInput!$N$27+1,20,24,28,32,36,40),0)/100)),0)</f>
        <v>10</v>
      </c>
      <c r="R1940">
        <v>0</v>
      </c>
      <c r="S1940">
        <v>0</v>
      </c>
      <c r="U1940">
        <v>0</v>
      </c>
    </row>
    <row r="1941" spans="1:21" x14ac:dyDescent="0.2">
      <c r="A1941" t="str">
        <f>Skills!A23</f>
        <v>ELEMENT_AMPLIFICATION</v>
      </c>
      <c r="B1941" t="str">
        <f>Skills!B23</f>
        <v>Element Amplification</v>
      </c>
      <c r="C1941" t="b">
        <f>TRUE</f>
        <v>1</v>
      </c>
      <c r="D1941">
        <f>IF(Skills!C23=1,60+Inputs!$B$25+Inputs!$B$29,IF(Skills!C23=2,90+Inputs!$B$26+Inputs!$B$29,IF(Skills!C23=3,120+Inputs!$B$27+Inputs!$B$29,MAX(0,(Inputs!$B$3-100)*3)+Inputs!$B$28+Inputs!$B$29)))</f>
        <v>185</v>
      </c>
      <c r="E1941">
        <f>INDEX(FactorTable!$B$2:$Y$301, MATCH(ROUND(MIN(300,MAX(1,D1941)),0), FactorTable!$A$2:$A$301,0), Skills!M23+1)</f>
        <v>1555</v>
      </c>
      <c r="F1941">
        <f>IF(Skills!N23=TRUE,(Skills!L23/10)*(E1941/1000),Skills!L23/10)+Skills!O23</f>
        <v>23.324999999999999</v>
      </c>
      <c r="G1941">
        <f>Calc!G23</f>
        <v>1</v>
      </c>
      <c r="H1941">
        <f>Calc!H23</f>
        <v>1</v>
      </c>
      <c r="I1941">
        <f>IF(Skills!X23&lt;&gt;"",1+(Skills!X23/10)*(Z1921/1000)/100,1)</f>
        <v>1</v>
      </c>
      <c r="O1941">
        <f>(1-Summary!$B$11)*S1941+Summary!$B$11*U1941</f>
        <v>0</v>
      </c>
      <c r="P1941">
        <f>IF(B1959=0,0,O1941/B1959)</f>
        <v>0</v>
      </c>
      <c r="Q1941">
        <f>IFERROR(1/(IF(Inputs!$B$38="pvp",15,MAX(0.1,Skills!E23-IF(TRUE=TRUE,Inputs!$B$32,0)))*(1-IF(AND(ArtifactsInput!$M$27,Inputs!$B$4="Chapter Hunt"),CHOOSE(ArtifactsInput!$N$27+1,20,24,28,32,36,40),0)/100)),0)</f>
        <v>10</v>
      </c>
      <c r="R1941">
        <v>0</v>
      </c>
      <c r="S1941">
        <v>0</v>
      </c>
      <c r="U1941">
        <v>0</v>
      </c>
    </row>
    <row r="1942" spans="1:21" x14ac:dyDescent="0.2">
      <c r="A1942" t="str">
        <f>Skills!A24</f>
        <v>IFRIT</v>
      </c>
      <c r="B1942" t="str">
        <f>Skills!B24</f>
        <v>Ifrit</v>
      </c>
      <c r="C1942" t="b">
        <f>Inputs!$B$3&gt;=115</f>
        <v>1</v>
      </c>
      <c r="D1942">
        <f>IF(Skills!C24=1,60+Inputs!$B$25+Inputs!$B$29,IF(Skills!C24=2,90+Inputs!$B$26+Inputs!$B$29,IF(Skills!C24=3,120+Inputs!$B$27+Inputs!$B$29,MAX(0,(Inputs!$B$3-100)*3)+Inputs!$B$28+Inputs!$B$29)))</f>
        <v>185</v>
      </c>
      <c r="E1942">
        <f>INDEX(FactorTable!$B$2:$Y$301, MATCH(ROUND(MIN(300,MAX(1,D1942)),0), FactorTable!$A$2:$A$301,0), Skills!M24+1)</f>
        <v>1925</v>
      </c>
      <c r="F1942">
        <f>IF(Skills!N24=TRUE,(Skills!L24/10)*(E1942/1000),Skills!L24/10)+Skills!O24</f>
        <v>6737.5</v>
      </c>
      <c r="G1942">
        <f>Calc!G24</f>
        <v>7.5</v>
      </c>
      <c r="H1942">
        <f>Calc!H24</f>
        <v>1</v>
      </c>
      <c r="I1942">
        <f>IF(Skills!X24&lt;&gt;"",1+(Skills!X24/10)*(Z1921/1000)/100,1)</f>
        <v>1</v>
      </c>
      <c r="J1942">
        <f>((Inputs!$B$6*(1+Inputs!$B$7/100))+(((Inputs!$B$12*(1+Inputs!$B$13/100))-(Inputs!$B$12*(1+Inputs!$B$13/100)))+0.25*(Inputs!$B$14-Inputs!$B$14))*(1+Inputs!$B$7/100))*(F1942/100)</f>
        <v>24331438378.718628</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122258974288595.61</v>
      </c>
      <c r="L1942">
        <f>K1942*(MIN(Inputs!$B$22+(F1940-Calc!F22),(Inputs!$B$23+(IF(ArtifactsInput!$M$15,CHOOSE(ArtifactsInput!$N$15+1,25,30,35,40,45,50)/100*(Inputs!$B$11-Inputs!$B$11),0))))/100+(Inputs!$B$23+(IF(ArtifactsInput!$M$15,CHOOSE(ArtifactsInput!$N$15+1,25,30,35,40,45,50)/100*(Inputs!$B$11-Inputs!$B$11),0)))/100)/2</f>
        <v>406511089509580.44</v>
      </c>
      <c r="M1942">
        <f>L1942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1695297587247174</v>
      </c>
      <c r="N1942">
        <f>L1942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1695297587247174</v>
      </c>
      <c r="O1942">
        <f>(1-Summary!$B$11)*S1942+Summary!$B$11*U1942</f>
        <v>1938996615413955.2</v>
      </c>
      <c r="P1942">
        <f>IF(B1959=0,0,O1942/B1959)</f>
        <v>6.752189503260006E-2</v>
      </c>
      <c r="Q1942">
        <f>IFERROR(1/(IF(Inputs!$B$38="pvp",15,MAX(0.1,Skills!E24-IF(TRUE=TRUE,Inputs!$B$32,0)))*(1-IF(AND(ArtifactsInput!$M$27,Inputs!$B$4="Chapter Hunt"),CHOOSE(ArtifactsInput!$N$27+1,20,24,28,32,36,40),0)/100)),0)</f>
        <v>1.2500000000000001E-2</v>
      </c>
      <c r="R1942">
        <f>IF(AND(Inputs!$B$38&lt;&gt;"pvp",Inputs!$B$43&gt;0),IF(MAX(0,Inputs!$B$43-B1956)&lt;=0,0,(INT(MAX(0,Inputs!$B$43-B1956)/(IF(Inputs!$B$38="pvp",15,MAX(0.1,Skills!E24-IF(TRUE=TRUE,Inputs!$B$32,0)))*(1-IF(AND(ArtifactsInput!$M$27,Inputs!$B$4="Chapter Hunt"),CHOOSE(ArtifactsInput!$N$27+1,20,24,28,32,36,40),0)/100)))+1)),0)</f>
        <v>1</v>
      </c>
      <c r="S1942">
        <f>IF(C1942,(H1942*N1942*IF(AND(Inputs!$B$38&lt;&gt;"pvp",Inputs!$B$43&gt;0),((Skills!G24*((R1942-1)*IF(Skills!H24&gt;0,Skills!I24/Skills!H24,1)+IF(Skills!H24&gt;0,MIN(Skills!I24,MAX(0,MAX(0,Inputs!$B$43-B1956)-((R1942-1)*(IF(Inputs!$B$38="pvp",15,MAX(0.1,Skills!E24-IF(TRUE=TRUE,Inputs!$B$32,0)))*(1-IF(AND(ArtifactsInput!$M$27,Inputs!$B$4="Chapter Hunt"),CHOOSE(ArtifactsInput!$N$27+1,20,24,28,32,36,40),0)/100)))))/Skills!H24,1)))/Inputs!$B$43),G1942*Q1942)*(1+IF(Inputs!$B$3&gt;=130,0.2*(Skills!I16/(1/Q1933)+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1007642503420039</v>
      </c>
      <c r="U1942">
        <f>IF(C1942,(H1942*N1942*IF(AND(Inputs!$B$38&lt;&gt;"pvp",Inputs!$B$43&gt;0),((Skills!G24*((R1942-1)*IF(Skills!H24&gt;0,Skills!I24/Skills!H24,1)+IF(Skills!H24&gt;0,MIN(Skills!I24,MAX(0,MAX(0,Inputs!$B$43-B1956)-((R1942-1)*(IF(Inputs!$B$38="pvp",15,MAX(0.1,Skills!E24-IF(TRUE=TRUE,Inputs!$B$32,0)))*(1-IF(AND(ArtifactsInput!$M$27,Inputs!$B$4="Chapter Hunt"),CHOOSE(ArtifactsInput!$N$27+1,20,24,28,32,36,40),0)/100)))))/Skills!H24,1)))/Inputs!$B$43),G1942*Q1942)*(1+IF(Inputs!$B$3&gt;=130,0.2*(Skills!I16/(1/Q1933)+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2870350727407871.5</v>
      </c>
    </row>
    <row r="1943" spans="1:21" x14ac:dyDescent="0.2">
      <c r="A1943" t="str">
        <f>Skills!A25</f>
        <v>BUFF_MASTERY</v>
      </c>
      <c r="B1943" t="str">
        <f>Skills!B25</f>
        <v>Buff Mastery</v>
      </c>
      <c r="C1943" t="b">
        <f>Inputs!$B$3&gt;=117</f>
        <v>1</v>
      </c>
      <c r="D1943">
        <f>IF(Skills!C25=1,60+Inputs!$B$25+Inputs!$B$29,IF(Skills!C25=2,90+Inputs!$B$26+Inputs!$B$29,IF(Skills!C25=3,120+Inputs!$B$27+Inputs!$B$29,MAX(0,(Inputs!$B$3-100)*3)+Inputs!$B$28+Inputs!$B$29)))</f>
        <v>185</v>
      </c>
      <c r="E1943">
        <f>INDEX(FactorTable!$B$2:$Y$301, MATCH(ROUND(MIN(300,MAX(1,D1943)),0), FactorTable!$A$2:$A$301,0), Skills!M25+1)</f>
        <v>1555</v>
      </c>
      <c r="F1943">
        <f>IF(Skills!N25=TRUE,(Skills!L25/10)*(E1943/1000),Skills!L25/10)+Skills!O25</f>
        <v>15.549999999999999</v>
      </c>
      <c r="G1943">
        <f>Calc!G25</f>
        <v>1</v>
      </c>
      <c r="H1943">
        <f>Calc!H25</f>
        <v>1</v>
      </c>
      <c r="I1943">
        <f>IF(Skills!X25&lt;&gt;"",1+(Skills!X25/10)*(Z1921/1000)/100,1)</f>
        <v>1</v>
      </c>
      <c r="O1943">
        <f>(1-Summary!$B$11)*S1943+Summary!$B$11*U1943</f>
        <v>0</v>
      </c>
      <c r="P1943">
        <f>IF(B1959=0,0,O1943/B1959)</f>
        <v>0</v>
      </c>
      <c r="Q1943">
        <f>IFERROR(1/(IF(Inputs!$B$38="pvp",15,MAX(0.1,Skills!E25-IF(TRUE=TRUE,Inputs!$B$32,0)))*(1-IF(AND(ArtifactsInput!$M$27,Inputs!$B$4="Chapter Hunt"),CHOOSE(ArtifactsInput!$N$27+1,20,24,28,32,36,40),0)/100)),0)</f>
        <v>10</v>
      </c>
      <c r="R1943">
        <v>0</v>
      </c>
      <c r="S1943">
        <v>0</v>
      </c>
      <c r="U1943">
        <v>0</v>
      </c>
    </row>
    <row r="1944" spans="1:21" x14ac:dyDescent="0.2">
      <c r="A1944" t="str">
        <f>Skills!A26</f>
        <v>ARCANE_AIM</v>
      </c>
      <c r="B1944" t="str">
        <f>Skills!B26</f>
        <v>Arcane Aim</v>
      </c>
      <c r="C1944" t="b">
        <f>Inputs!$B$3&gt;=120</f>
        <v>0</v>
      </c>
      <c r="D1944">
        <f>IF(Skills!C26=1,60+Inputs!$B$25+Inputs!$B$29,IF(Skills!C26=2,90+Inputs!$B$26+Inputs!$B$29,IF(Skills!C26=3,120+Inputs!$B$27+Inputs!$B$29,MAX(0,(Inputs!$B$3-100)*3)+Inputs!$B$28+Inputs!$B$29)))</f>
        <v>185</v>
      </c>
      <c r="E1944">
        <f>INDEX(FactorTable!$B$2:$Y$301, MATCH(ROUND(MIN(300,MAX(1,D1944)),0), FactorTable!$A$2:$A$301,0), Skills!M26+1)</f>
        <v>1555</v>
      </c>
      <c r="F1944">
        <f>IF(Skills!N26=TRUE,(Skills!L26/10)*(E1944/1000),Skills!L26/10)+Skills!O26</f>
        <v>4.665</v>
      </c>
      <c r="G1944">
        <f>Calc!G26</f>
        <v>1</v>
      </c>
      <c r="H1944">
        <f>Calc!H26</f>
        <v>1</v>
      </c>
      <c r="I1944">
        <f>IF(Skills!X26&lt;&gt;"",1+(Skills!X26/10)*(Z1921/1000)/100,1)</f>
        <v>1</v>
      </c>
      <c r="O1944">
        <f>(1-Summary!$B$11)*S1944+Summary!$B$11*U1944</f>
        <v>0</v>
      </c>
      <c r="P1944">
        <f>IF(B1959=0,0,O1944/B1959)</f>
        <v>0</v>
      </c>
      <c r="Q1944">
        <f>IFERROR(1/(IF(Inputs!$B$38="pvp",15,MAX(0.1,Skills!E26-IF(TRUE=TRUE,Inputs!$B$32,0)))*(1-IF(AND(ArtifactsInput!$M$27,Inputs!$B$4="Chapter Hunt"),CHOOSE(ArtifactsInput!$N$27+1,20,24,28,32,36,40),0)/100)),0)</f>
        <v>10</v>
      </c>
      <c r="R1944">
        <v>0</v>
      </c>
      <c r="S1944">
        <v>0</v>
      </c>
      <c r="U1944">
        <v>0</v>
      </c>
    </row>
    <row r="1945" spans="1:21" x14ac:dyDescent="0.2">
      <c r="A1945" t="str">
        <f>Skills!A27</f>
        <v>FERVENT_DRAIN</v>
      </c>
      <c r="B1945" t="str">
        <f>Skills!B27</f>
        <v>Fervent Drain</v>
      </c>
      <c r="C1945" t="b">
        <f>Inputs!$B$3&gt;=125</f>
        <v>0</v>
      </c>
      <c r="D1945">
        <f>IF(Skills!C27=1,60+Inputs!$B$25+Inputs!$B$29,IF(Skills!C27=2,90+Inputs!$B$26+Inputs!$B$29,IF(Skills!C27=3,120+Inputs!$B$27+Inputs!$B$29,MAX(0,(Inputs!$B$3-100)*3)+Inputs!$B$28+Inputs!$B$29)))</f>
        <v>185</v>
      </c>
      <c r="E1945">
        <f>INDEX(FactorTable!$B$2:$Y$301, MATCH(ROUND(MIN(300,MAX(1,D1945)),0), FactorTable!$A$2:$A$301,0), Skills!M27+1)</f>
        <v>1555</v>
      </c>
      <c r="F1945">
        <f>IF(Skills!N27=TRUE,(Skills!L27/10)*(E1945/1000),Skills!L27/10)+Skills!O27</f>
        <v>6.22</v>
      </c>
      <c r="G1945">
        <f>Calc!G27</f>
        <v>1</v>
      </c>
      <c r="H1945">
        <f>Calc!H27</f>
        <v>1</v>
      </c>
      <c r="I1945">
        <f>IF(Skills!X27&lt;&gt;"",1+(Skills!X27/10)*(Z1921/1000)/100,1)</f>
        <v>1</v>
      </c>
      <c r="O1945">
        <f>(1-Summary!$B$11)*S1945+Summary!$B$11*U1945</f>
        <v>0</v>
      </c>
      <c r="P1945">
        <f>IF(B1959=0,0,O1945/B1959)</f>
        <v>0</v>
      </c>
      <c r="Q1945">
        <f>IFERROR(1/(IF(Inputs!$B$38="pvp",15,MAX(0.1,Skills!E27-IF(TRUE=TRUE,Inputs!$B$32,0)))*(1-IF(AND(ArtifactsInput!$M$27,Inputs!$B$4="Chapter Hunt"),CHOOSE(ArtifactsInput!$N$27+1,20,24,28,32,36,40),0)/100)),0)</f>
        <v>10</v>
      </c>
      <c r="R1945">
        <v>0</v>
      </c>
      <c r="S1945">
        <v>0</v>
      </c>
      <c r="U1945">
        <v>0</v>
      </c>
    </row>
    <row r="1946" spans="1:21" x14ac:dyDescent="0.2">
      <c r="A1946" t="str">
        <f>Skills!A28</f>
        <v>FLAME_HAZE_FOG</v>
      </c>
      <c r="B1946" t="str">
        <f>Skills!B28</f>
        <v>Flame Haze (poison fog DoT)</v>
      </c>
      <c r="C1946" t="b">
        <f>Inputs!$B$3&gt;=118</f>
        <v>0</v>
      </c>
      <c r="D1946">
        <f>IF(Skills!C28=1,60+Inputs!$B$25+Inputs!$B$29,IF(Skills!C28=2,90+Inputs!$B$26+Inputs!$B$29,IF(Skills!C28=3,120+Inputs!$B$27+Inputs!$B$29,MAX(0,(Inputs!$B$3-100)*3)+Inputs!$B$28+Inputs!$B$29)))</f>
        <v>185</v>
      </c>
      <c r="E1946">
        <f>INDEX(FactorTable!$B$2:$Y$301, MATCH(ROUND(MIN(300,MAX(1,D1946)),0), FactorTable!$A$2:$A$301,0), Skills!M28+1)</f>
        <v>1925</v>
      </c>
      <c r="F1946">
        <f>IF(Skills!N28=TRUE,(Skills!L28/10)*(E1946/1000),Skills!L28/10)+Skills!O28</f>
        <v>134.75</v>
      </c>
      <c r="G1946">
        <f>Calc!G28</f>
        <v>50</v>
      </c>
      <c r="H1946">
        <f>Calc!H28</f>
        <v>1</v>
      </c>
      <c r="I1946">
        <f>IF(Skills!X28&lt;&gt;"",1+(Skills!X28/10)*(Z1921/1000)/100,1)</f>
        <v>1</v>
      </c>
      <c r="J1946">
        <f>((Inputs!$B$6*(1+Inputs!$B$7/100))+(((Inputs!$B$12*(1+Inputs!$B$13/100))-(Inputs!$B$12*(1+Inputs!$B$13/100)))+0.25*(Inputs!$B$14-Inputs!$B$14))*(1+Inputs!$B$7/100))*(F1946/100)</f>
        <v>486628767.57437253</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2445179485771.9116</v>
      </c>
      <c r="L1946">
        <f>K1946*(MIN(Inputs!$B$22+(F1940-Calc!F22),(Inputs!$B$23+(IF(ArtifactsInput!$M$15,CHOOSE(ArtifactsInput!$N$15+1,25,30,35,40,45,50)/100*(Inputs!$B$11-Inputs!$B$11),0))))/100+(Inputs!$B$23+(IF(ArtifactsInput!$M$15,CHOOSE(ArtifactsInput!$N$15+1,25,30,35,40,45,50)/100*(Inputs!$B$11-Inputs!$B$11),0)))/100)/2</f>
        <v>8130221790191.6064</v>
      </c>
      <c r="M1946">
        <f>L1946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33905951744943.473</v>
      </c>
      <c r="N1946">
        <f>L1946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33905951744943.473</v>
      </c>
      <c r="O1946">
        <f>(1-Summary!$B$11)*S1946+Summary!$B$11*U1946</f>
        <v>0</v>
      </c>
      <c r="P1946">
        <f>IF(B1959=0,0,O1946/B1959)</f>
        <v>0</v>
      </c>
      <c r="Q1946">
        <f>IFERROR(1/(IF(Inputs!$B$38="pvp",15,MAX(0.1,Skills!E28-IF(TRUE=TRUE,Inputs!$B$32,0)))*(1-IF(AND(ArtifactsInput!$M$27,Inputs!$B$4="Chapter Hunt"),CHOOSE(ArtifactsInput!$N$27+1,20,24,28,32,36,40),0)/100)),0)</f>
        <v>0.04</v>
      </c>
      <c r="R1946">
        <f>IF(AND(Inputs!$B$38&lt;&gt;"pvp",Inputs!$B$43&gt;0),IF(MAX(0,Inputs!$B$43-B1956)&lt;=0,0,(INT(MAX(0,Inputs!$B$43-B1956)/(IF(Inputs!$B$38="pvp",15,MAX(0.1,Skills!E28-IF(TRUE=TRUE,Inputs!$B$32,0)))*(1-IF(AND(ArtifactsInput!$M$27,Inputs!$B$4="Chapter Hunt"),CHOOSE(ArtifactsInput!$N$27+1,20,24,28,32,36,40),0)/100)))+1)),0)</f>
        <v>2</v>
      </c>
      <c r="S1946">
        <f>IF(C1946,(H1946*N1946*IF(AND(Inputs!$B$38&lt;&gt;"pvp",Inputs!$B$43&gt;0),((Skills!G28*((R1946-1)*IF(Skills!H28&gt;0,Skills!I28/Skills!H28,1)+IF(Skills!H28&gt;0,MIN(Skills!I28,MAX(0,MAX(0,Inputs!$B$43-B1956)-((R1946-1)*(IF(Inputs!$B$38="pvp",15,MAX(0.1,Skills!E28-IF(TRUE=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46">
        <f>IF(C1946,(H1946*N1946*IF(AND(Inputs!$B$38&lt;&gt;"pvp",Inputs!$B$43&gt;0),((Skills!G28*((R1946-1)*IF(Skills!H28&gt;0,Skills!I28/Skills!H28,1)+IF(Skills!H28&gt;0,MIN(Skills!I28,MAX(0,MAX(0,Inputs!$B$43-B1956)-((R1946-1)*(IF(Inputs!$B$38="pvp",15,MAX(0.1,Skills!E28-IF(TRUE=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48" spans="1:21" x14ac:dyDescent="0.2">
      <c r="A1948" t="s">
        <v>356</v>
      </c>
      <c r="B1948">
        <f>1+(F1929*Skills!Z11)/100</f>
        <v>1.25</v>
      </c>
    </row>
    <row r="1949" spans="1:21" x14ac:dyDescent="0.2">
      <c r="A1949" t="s">
        <v>435</v>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1.18624</v>
      </c>
    </row>
    <row r="1950" spans="1:21" x14ac:dyDescent="0.2">
      <c r="A1950" t="s">
        <v>358</v>
      </c>
      <c r="B1950">
        <f>(1+(F1924*IF(AND(Inputs!$B$38&lt;&gt;"pvp",Inputs!$B$43&gt;0),(((R1924-1)*MIN((Skills!T6*(1+((Inputs!$B$34+(ArtifactsInput!$M$7-ArtifactsInput!$M$7)*CHOOSE(ArtifactsInput!$N$7+1,6,7.2,8.4,9.6,10.8,12)))/100)),(1/Q1924))+MIN((Skills!T6*(1+((Inputs!$B$34+(ArtifactsInput!$M$7-ArtifactsInput!$M$7)*CHOOSE(ArtifactsInput!$N$7+1,6,7.2,8.4,9.6,10.8,12)))/100)),MAX(0,Inputs!$B$43-((R1924-1)*(1/Q1924)))))/Inputs!$B$43),IF(Inputs!$B$38="pvp",MIN((Skills!T6*(1+((Inputs!$B$34+(ArtifactsInput!$M$7-ArtifactsInput!$M$7)*CHOOSE(ArtifactsInput!$N$7+1,6,7.2,8.4,9.6,10.8,12)))/100)),15)/15,MIN(1,(Skills!T6*(1+((Inputs!$B$34+(ArtifactsInput!$M$7-ArtifactsInput!$M$7)*CHOOSE(ArtifactsInput!$N$7+1,6,7.2,8.4,9.6,10.8,12)))/100))/(1/Q1924))))+F1935*IF(AND(Inputs!$B$38&lt;&gt;"pvp",Inputs!$B$43&gt;0),(((R1935-1)*MIN((Skills!T17*(1+((Inputs!$B$34+(ArtifactsInput!$M$7-ArtifactsInput!$M$7)*CHOOSE(ArtifactsInput!$N$7+1,6,7.2,8.4,9.6,10.8,12)))/100)),(1/Q1935))+MIN((Skills!T17*(1+((Inputs!$B$34+(ArtifactsInput!$M$7-ArtifactsInput!$M$7)*CHOOSE(ArtifactsInput!$N$7+1,6,7.2,8.4,9.6,10.8,12)))/100)),MAX(0,Inputs!$B$43-((R1935-1)*(1/Q1935)))))/Inputs!$B$43),IF(Inputs!$B$38="pvp",MIN((Skills!T17*(1+((Inputs!$B$34+(ArtifactsInput!$M$7-ArtifactsInput!$M$7)*CHOOSE(ArtifactsInput!$N$7+1,6,7.2,8.4,9.6,10.8,12)))/100)),15)/15,MIN(1,(Skills!T17*(1+((Inputs!$B$34+(ArtifactsInput!$M$7-ArtifactsInput!$M$7)*CHOOSE(ArtifactsInput!$N$7+1,6,7.2,8.4,9.6,10.8,12)))/100))/(1/Q1935)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MIN((Skills!T19*(1+((Inputs!$B$34+(ArtifactsInput!$M$7-ArtifactsInput!$M$7)*CHOOSE(ArtifactsInput!$N$7+1,6,7.2,8.4,9.6,10.8,12)))/100)),(1/Q1937))+MIN((Skills!T19*(1+((Inputs!$B$34+(ArtifactsInput!$M$7-ArtifactsInput!$M$7)*CHOOSE(ArtifactsInput!$N$7+1,6,7.2,8.4,9.6,10.8,12)))/100)),MAX(0,Inputs!$B$43-((R1937-1)*(1/Q1937)))))/Inputs!$B$43),IF(Inputs!$B$38="pvp",MIN((Skills!T19*(1+((Inputs!$B$34+(ArtifactsInput!$M$7-ArtifactsInput!$M$7)*CHOOSE(ArtifactsInput!$N$7+1,6,7.2,8.4,9.6,10.8,12)))/100)),15)/15,MIN(1,(Skills!T19*(1+((Inputs!$B$34+(ArtifactsInput!$M$7-ArtifactsInput!$M$7)*CHOOSE(ArtifactsInput!$N$7+1,6,7.2,8.4,9.6,10.8,12)))/100))/(1/Q1937))))/100),1)</f>
        <v>1.7965808377980694</v>
      </c>
    </row>
    <row r="1951" spans="1:21" x14ac:dyDescent="0.2">
      <c r="A1951" t="s">
        <v>359</v>
      </c>
      <c r="B1951">
        <f>F1936*IF(AND(Inputs!$B$38&lt;&gt;"pvp",Inputs!$B$43&gt;0),(((R1936-1)*MIN((Skills!T18*(1+((Inputs!$B$34+(ArtifactsInput!$M$7-ArtifactsInput!$M$7)*CHOOSE(ArtifactsInput!$N$7+1,6,7.2,8.4,9.6,10.8,12)))/100)),(1/Q1936))+MIN((Skills!T18*(1+((Inputs!$B$34+(ArtifactsInput!$M$7-ArtifactsInput!$M$7)*CHOOSE(ArtifactsInput!$N$7+1,6,7.2,8.4,9.6,10.8,12)))/100)),MAX(0,Inputs!$B$43-((R1936-1)*(1/Q1936)))))/Inputs!$B$43),IF(Inputs!$B$38="pvp",MIN((Skills!T18*(1+((Inputs!$B$34+(ArtifactsInput!$M$7-ArtifactsInput!$M$7)*CHOOSE(ArtifactsInput!$N$7+1,6,7.2,8.4,9.6,10.8,12)))/100)),15)/15,MIN(1,(Skills!T18*(1+((Inputs!$B$34+(ArtifactsInput!$M$7-ArtifactsInput!$M$7)*CHOOSE(ArtifactsInput!$N$7+1,6,7.2,8.4,9.6,10.8,12)))/100))/(1/Q1936))))</f>
        <v>6.4968749999999993</v>
      </c>
    </row>
    <row r="1952" spans="1:21" x14ac:dyDescent="0.2">
      <c r="A1952" t="s">
        <v>436</v>
      </c>
      <c r="B1952">
        <f>1+MIN(150,150*(1-(1-(Inputs!$B$11+(ArtifactsInput!$M$15-ArtifactsInput!$M$15)*CHOOSE(ArtifactsInput!$N$15+1,8,9.6,11.2,12.8,14.4,16))/150)*(1-B1951/150)))/100</f>
        <v>1.6982958749999999</v>
      </c>
    </row>
    <row r="1953" spans="1:26" x14ac:dyDescent="0.2">
      <c r="A1953" t="s">
        <v>437</v>
      </c>
      <c r="B1953">
        <f>IF(AND(Inputs!$B$38&lt;&gt;"pvp",Inputs!$B$43&gt;0),SUMPRODUCT((Skills!F2:F28=TRUE)*(C1920:C1946=TRUE)*R1920:R1946)/Inputs!$B$43,SUMPRODUCT((Skills!F2:F28=TRUE)*(C1920:C1946=TRUE)*Q1920:Q1946))</f>
        <v>0.47499999999999998</v>
      </c>
    </row>
    <row r="1954" spans="1:26" x14ac:dyDescent="0.2">
      <c r="A1954" t="s">
        <v>362</v>
      </c>
      <c r="B1954">
        <f>MAX(0,B1952-B1953)</f>
        <v>1.2232958749999998</v>
      </c>
    </row>
    <row r="1955" spans="1:26" x14ac:dyDescent="0.2">
      <c r="A1955" t="s">
        <v>438</v>
      </c>
      <c r="B1955">
        <f>IF(AND(Inputs!$B$38&lt;&gt;"pvp",Inputs!$B$43&gt;0),SUMPRODUCT((Skills!V2:V28=TRUE)*(C1920:C1946=TRUE)*R1920:R1946*Skills!W2:W28)/Inputs!$B$43,SUMPRODUCT((Skills!V2:V28=TRUE)*(C1920:C1946=TRUE)*Q1920:Q1946*Skills!W2:W28))+B1954</f>
        <v>1.5482958749999998</v>
      </c>
    </row>
    <row r="1956" spans="1:26" x14ac:dyDescent="0.2">
      <c r="A1956" t="s">
        <v>439</v>
      </c>
      <c r="B1956">
        <f>IF(AND(Inputs!$B$38&lt;&gt;"pvp",Inputs!$B$43&gt;0),SUMPRODUCT((Skills!T2:T28&gt;0)*(Skills!F2:F28=TRUE)*(C1920:C1946=TRUE))/B1952,0)</f>
        <v>2.3553021937358238</v>
      </c>
    </row>
    <row r="1957" spans="1:26" x14ac:dyDescent="0.2">
      <c r="A1957" t="s">
        <v>440</v>
      </c>
      <c r="B1957">
        <f>SUM(S1920:S1946)</f>
        <v>8323842667321613</v>
      </c>
    </row>
    <row r="1958" spans="1:26" x14ac:dyDescent="0.2">
      <c r="A1958" t="s">
        <v>441</v>
      </c>
      <c r="B1958">
        <f>SUM(U1920:U1946)</f>
        <v>4.9109279269726912E+16</v>
      </c>
    </row>
    <row r="1959" spans="1:26" x14ac:dyDescent="0.2">
      <c r="A1959" s="6" t="s">
        <v>348</v>
      </c>
      <c r="B1959" s="6">
        <f>SUM(O1920:O1946)</f>
        <v>2.8716560968524264E+16</v>
      </c>
    </row>
    <row r="1962" spans="1:26" x14ac:dyDescent="0.2">
      <c r="A1962" s="6" t="s">
        <v>484</v>
      </c>
    </row>
    <row r="1963" spans="1:26" x14ac:dyDescent="0.2">
      <c r="A1963" s="5" t="s">
        <v>136</v>
      </c>
      <c r="B1963" s="5" t="s">
        <v>137</v>
      </c>
      <c r="C1963" s="5" t="s">
        <v>328</v>
      </c>
      <c r="D1963" s="5" t="s">
        <v>329</v>
      </c>
      <c r="E1963" s="5" t="s">
        <v>330</v>
      </c>
      <c r="F1963" s="5" t="s">
        <v>331</v>
      </c>
      <c r="G1963" s="5" t="s">
        <v>332</v>
      </c>
      <c r="H1963" s="5" t="s">
        <v>333</v>
      </c>
      <c r="I1963" s="5" t="s">
        <v>334</v>
      </c>
      <c r="J1963" s="5" t="s">
        <v>335</v>
      </c>
      <c r="K1963" s="5" t="s">
        <v>336</v>
      </c>
      <c r="L1963" s="5" t="s">
        <v>337</v>
      </c>
      <c r="M1963" s="5" t="s">
        <v>338</v>
      </c>
      <c r="N1963" s="5" t="s">
        <v>339</v>
      </c>
      <c r="O1963" s="5" t="s">
        <v>340</v>
      </c>
      <c r="P1963" s="5" t="s">
        <v>341</v>
      </c>
      <c r="R1963" t="s">
        <v>434</v>
      </c>
    </row>
    <row r="1964" spans="1:26" x14ac:dyDescent="0.2">
      <c r="A1964" t="str">
        <f>Skills!A2</f>
        <v>BASIC_ATTACK</v>
      </c>
      <c r="B1964" t="str">
        <f>Skills!B2</f>
        <v>Basic Attack</v>
      </c>
      <c r="C1964" t="b">
        <f>TRUE</f>
        <v>1</v>
      </c>
      <c r="F1964">
        <f>T1966+Skills!O2</f>
        <v>537.6</v>
      </c>
      <c r="G1964">
        <f>Calc!G2</f>
        <v>5</v>
      </c>
      <c r="H1964">
        <f>Calc!H2</f>
        <v>1</v>
      </c>
      <c r="I1964">
        <f>IF(Skills!X2&lt;&gt;"",1+(Skills!X2/10)*(Z1965/1000)/100,1)</f>
        <v>1</v>
      </c>
      <c r="J1964">
        <f>((Inputs!$B$6*(1+Inputs!$B$7/100))+(((Inputs!$B$12*(1+Inputs!$B$13/100))-(Inputs!$B$12*(1+Inputs!$B$13/100)))+0.25*(Inputs!$B$14-Inputs!$B$14))*(1+Inputs!$B$7/100))*(F1964/100)</f>
        <v>1941459186.9980164</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6620290711466.1074</v>
      </c>
      <c r="L1964">
        <f>K1964*(MIN(Inputs!$B$22+(F1984-Calc!F22),(Inputs!$B$23+(IF(ArtifactsInput!$M$15,CHOOSE(ArtifactsInput!$N$15+1,25,30,35,40,45,50)/100*(Inputs!$B$11-Inputs!$B$11),0))))/100+(Inputs!$B$23+(IF(ArtifactsInput!$M$15,CHOOSE(ArtifactsInput!$N$15+1,25,30,35,40,45,50)/100*(Inputs!$B$11-Inputs!$B$11),0)))/100)/2</f>
        <v>22012466615624.809</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1964">
        <f>L1964*(1-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1964">
        <f>(1-Summary!$B$11)*S1964+Summary!$B$11*U1964</f>
        <v>1.251342481087288E+16</v>
      </c>
      <c r="P1964">
        <f>IF(B2003=0,0,O1964/B2003)</f>
        <v>0.378199388854495</v>
      </c>
      <c r="Q1964">
        <f>IFERROR(1/(IF(Inputs!$B$38="pvp",15,MAX(0.1,Skills!E2-IF(TRUE=TRUE,Inputs!$B$32,0)))*(1-IF(AND(ArtifactsInput!$M$27,Inputs!$B$4="Chapter Hunt"),CHOOSE(ArtifactsInput!$N$27+1,20,24,28,32,36,40),0)/100)),0)</f>
        <v>10</v>
      </c>
      <c r="R1964">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1964">
        <f>MAX(0,(Inputs!$B$3-100)*3)+Inputs!$B$28+Inputs!$B$29</f>
        <v>185</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1964">
        <f>MAX(0,(Inputs!$B$3-100)*3)+Inputs!$B$28+Inputs!$B$29</f>
        <v>185</v>
      </c>
    </row>
    <row r="1965" spans="1:26" x14ac:dyDescent="0.2">
      <c r="A1965" t="str">
        <f>Skills!A3</f>
        <v>IGNITE</v>
      </c>
      <c r="B1965" t="str">
        <f>Skills!B3</f>
        <v>Ignite</v>
      </c>
      <c r="C1965" t="b">
        <f>TRUE</f>
        <v>1</v>
      </c>
      <c r="D1965">
        <f>IF(Skills!C3=1,60+Inputs!$B$25+Inputs!$B$29,IF(Skills!C3=2,90+Inputs!$B$26+Inputs!$B$29,IF(Skills!C3=3,120+Inputs!$B$27+Inputs!$B$29,MAX(0,(Inputs!$B$3-100)*3)+Inputs!$B$28+Inputs!$B$29)))</f>
        <v>168</v>
      </c>
      <c r="E1965">
        <f>INDEX(FactorTable!$B$2:$Y$301, MATCH(ROUND(MIN(300,MAX(1,D1965)),0), FactorTable!$A$2:$A$301,0), Skills!M3+1)</f>
        <v>1672</v>
      </c>
      <c r="F1965">
        <f>IF(Skills!N3=TRUE,(Skills!L3/10)*(E1965/1000),Skills!L3/10)+Skills!O3</f>
        <v>121.736</v>
      </c>
      <c r="G1965">
        <f>Calc!G3</f>
        <v>3</v>
      </c>
      <c r="H1965">
        <f>Calc!H3</f>
        <v>1</v>
      </c>
      <c r="I1965">
        <f>IF(Skills!X3&lt;&gt;"",1+(Skills!X3/10)*(Z1965/1000)/100,1)</f>
        <v>4.8250000000000002</v>
      </c>
      <c r="J1965">
        <f>((Inputs!$B$6*(1+Inputs!$B$7/100))+(((Inputs!$B$12*(1+Inputs!$B$13/100))-(Inputs!$B$12*(1+Inputs!$B$13/100)))+0.25*(Inputs!$B$14-Inputs!$B$14))*(1+Inputs!$B$7/100))*(F1965/100)</f>
        <v>439630720.9605478</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10658554617221.965</v>
      </c>
      <c r="L1965">
        <f>K1965*(MIN(Inputs!$B$22+(F1984-Calc!F22),(Inputs!$B$23+(IF(ArtifactsInput!$M$15,CHOOSE(ArtifactsInput!$N$15+1,25,30,35,40,45,50)/100*(Inputs!$B$11-Inputs!$B$11),0))))/100+(Inputs!$B$23+(IF(ArtifactsInput!$M$15,CHOOSE(ArtifactsInput!$N$15+1,25,30,35,40,45,50)/100*(Inputs!$B$11-Inputs!$B$11),0)))/100)/2</f>
        <v>35439694102263.031</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1965">
        <f>L1965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1965">
        <f>(1-Summary!$B$11)*S1965+Summary!$B$11*U1965</f>
        <v>2907465947806250</v>
      </c>
      <c r="P1965">
        <f>IF(B2003=0,0,O1965/B2003)</f>
        <v>8.7873772463965091E-2</v>
      </c>
      <c r="Q1965">
        <f>IFERROR(1/(IF(Inputs!$B$38="pvp",15,MAX(0.1,Skills!E3-IF(FALSE=TRUE,Inputs!$B$32,0)))*(1-IF(AND(ArtifactsInput!$M$27,Inputs!$B$4="Chapter Hunt"),CHOOSE(ArtifactsInput!$N$27+1,20,24,28,32,36,40),0)/100)),0)</f>
        <v>1</v>
      </c>
      <c r="R1965">
        <f>IF(AND(Inputs!$B$38&lt;&gt;"pvp",Inputs!$B$43&gt;0),IF(MAX(0,Inputs!$B$43-B2000)&lt;=0,0,(INT(MAX(0,Inputs!$B$43-B2000)/(IF(Inputs!$B$38="pvp",15,MAX(0.1,Skills!E3-IF(FALSE=TRUE,Inputs!$B$32,0)))*(1-IF(AND(ArtifactsInput!$M$27,Inputs!$B$4="Chapter Hunt"),CHOOSE(ArtifactsInput!$N$27+1,20,24,28,32,36,40),0)/100)))+1)),0)</f>
        <v>38</v>
      </c>
      <c r="S1965">
        <f>IF(C1965,(H1965*N1965*IF(AND(Inputs!$B$38&lt;&gt;"pvp",Inputs!$B$43&gt;0),((Skills!G3*((R1965-1)*IF(Skills!H3&gt;0,Skills!I3/Skills!H3,1)+IF(Skills!H3&gt;0,MIN(Skills!I3,MAX(0,MAX(0,Inputs!$B$43-B2000)-((R1965-1)*(IF(Inputs!$B$38="pvp",15,MAX(0.1,Skills!E3-IF(FALSE=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1965">
        <f>INDEX(FactorTable!$B$2:$Y$301, MATCH(ROUND(MIN(300,MAX(1,T1964)),0), FactorTable!$A$2:$A$301,0), 22)</f>
        <v>1740</v>
      </c>
      <c r="U1965">
        <f>IF(C1965,(H1965*N1965*IF(AND(Inputs!$B$38&lt;&gt;"pvp",Inputs!$B$43&gt;0),((Skills!G3*((R1965-1)*IF(Skills!H3&gt;0,Skills!I3/Skills!H3,1)+IF(Skills!H3&gt;0,MIN(Skills!I3,MAX(0,MAX(0,Inputs!$B$43-B2000)-((R1965-1)*(IF(Inputs!$B$38="pvp",15,MAX(0.1,Skills!E3-IF(FALSE=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1965">
        <f>INDEX(FactorTable!$B$2:$Y$301, MATCH(ROUND(MIN(300,MAX(1,Z1964)),0), FactorTable!$A$2:$A$301,0), 24)</f>
        <v>7650</v>
      </c>
    </row>
    <row r="1966" spans="1:26" x14ac:dyDescent="0.2">
      <c r="A1966" t="str">
        <f>Skills!A4</f>
        <v>POISON_BREATH</v>
      </c>
      <c r="B1966" t="str">
        <f>Skills!B4</f>
        <v>Poison Breath</v>
      </c>
      <c r="C1966" t="b">
        <f>TRUE</f>
        <v>1</v>
      </c>
      <c r="D1966">
        <f>IF(Skills!C4=1,60+Inputs!$B$25+Inputs!$B$29,IF(Skills!C4=2,90+Inputs!$B$26+Inputs!$B$29,IF(Skills!C4=3,120+Inputs!$B$27+Inputs!$B$29,MAX(0,(Inputs!$B$3-100)*3)+Inputs!$B$28+Inputs!$B$29)))</f>
        <v>168</v>
      </c>
      <c r="E1966">
        <f>INDEX(FactorTable!$B$2:$Y$301, MATCH(ROUND(MIN(300,MAX(1,D1966)),0), FactorTable!$A$2:$A$301,0), Skills!M4+1)</f>
        <v>1840</v>
      </c>
      <c r="F1966">
        <f>IF(Skills!N4=TRUE,(Skills!L4/10)*(E1966/1000),Skills!L4/10)+Skills!O4</f>
        <v>438</v>
      </c>
      <c r="G1966">
        <f>Calc!G4</f>
        <v>3</v>
      </c>
      <c r="H1966">
        <f>Calc!H4</f>
        <v>1</v>
      </c>
      <c r="I1966">
        <f>IF(Skills!X4&lt;&gt;"",1+(Skills!X4/10)*(Z1965/1000)/100,1)</f>
        <v>7.12</v>
      </c>
      <c r="J1966">
        <f>((Inputs!$B$6*(1+Inputs!$B$7/100))+(((Inputs!$B$12*(1+Inputs!$B$13/100))-(Inputs!$B$12*(1+Inputs!$B$13/100)))+0.25*(Inputs!$B$14-Inputs!$B$14))*(1+Inputs!$B$7/100))*(F1966/100)</f>
        <v>1581769203.69258</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56589528290529.523</v>
      </c>
      <c r="L1966">
        <f>K1966*(MIN(Inputs!$B$22+(F1984-Calc!F22),(Inputs!$B$23+(IF(ArtifactsInput!$M$15,CHOOSE(ArtifactsInput!$N$15+1,25,30,35,40,45,50)/100*(Inputs!$B$11-Inputs!$B$11),0))))/100+(Inputs!$B$23+(IF(ArtifactsInput!$M$15,CHOOSE(ArtifactsInput!$N$15+1,25,30,35,40,45,50)/100*(Inputs!$B$11-Inputs!$B$11),0)))/100)/2</f>
        <v>188160181566010.69</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1966">
        <f>L1966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1966">
        <f>(1-Summary!$B$11)*S1966+Summary!$B$11*U1966</f>
        <v>2120704790543594.2</v>
      </c>
      <c r="P1966">
        <f>IF(B2003=0,0,O1966/B2003)</f>
        <v>6.4095103286790744E-2</v>
      </c>
      <c r="Q1966">
        <f>IFERROR(1/(IF(Inputs!$B$38="pvp",15,MAX(0.1,Skills!E4-IF(TRUE=TRUE,Inputs!$B$32,0)))*(1-IF(AND(ArtifactsInput!$M$27,Inputs!$B$4="Chapter Hunt"),CHOOSE(ArtifactsInput!$N$27+1,20,24,28,32,36,40),0)/100)),0)</f>
        <v>5.5555555555555552E-2</v>
      </c>
      <c r="R1966">
        <f>IF(AND(Inputs!$B$38&lt;&gt;"pvp",Inputs!$B$43&gt;0),IF(MAX(0,Inputs!$B$43-B2000)&lt;=0,0,(INT(MAX(0,Inputs!$B$43-B2000)/(IF(Inputs!$B$38="pvp",15,MAX(0.1,Skills!E4-IF(TRUE=TRUE,Inputs!$B$32,0)))*(1-IF(AND(ArtifactsInput!$M$27,Inputs!$B$4="Chapter Hunt"),CHOOSE(ArtifactsInput!$N$27+1,20,24,28,32,36,40),0)/100)))+1)),0)</f>
        <v>3</v>
      </c>
      <c r="S1966">
        <f>IF(C1966,(H1966*N1966*IF(AND(Inputs!$B$38&lt;&gt;"pvp",Inputs!$B$43&gt;0),((Skills!G4*((R1966-1)*IF(Skills!H4&gt;0,Skills!I4/Skills!H4,1)+IF(Skills!H4&gt;0,MIN(Skills!I4,MAX(0,MAX(0,Inputs!$B$43-B2000)-((R1966-1)*(IF(Inputs!$B$38="pvp",15,MAX(0.1,Skills!E4-IF(TRUE=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1966">
        <f>290*T1965/1000</f>
        <v>504.6</v>
      </c>
      <c r="U1966">
        <f>IF(C1966,(H1966*N1966*IF(AND(Inputs!$B$38&lt;&gt;"pvp",Inputs!$B$43&gt;0),((Skills!G4*((R1966-1)*IF(Skills!H4&gt;0,Skills!I4/Skills!H4,1)+IF(Skills!H4&gt;0,MIN(Skills!I4,MAX(0,MAX(0,Inputs!$B$43-B2000)-((R1966-1)*(IF(Inputs!$B$38="pvp",15,MAX(0.1,Skills!E4-IF(TRUE=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1967" spans="1:26" x14ac:dyDescent="0.2">
      <c r="A1967" t="str">
        <f>Skills!A5</f>
        <v>ELEMENTAL_DRAIN</v>
      </c>
      <c r="B1967" t="str">
        <f>Skills!B5</f>
        <v>Elemental Drain</v>
      </c>
      <c r="C1967" t="b">
        <f>TRUE</f>
        <v>1</v>
      </c>
      <c r="D1967">
        <f>IF(Skills!C5=1,60+Inputs!$B$25+Inputs!$B$29,IF(Skills!C5=2,90+Inputs!$B$26+Inputs!$B$29,IF(Skills!C5=3,120+Inputs!$B$27+Inputs!$B$29,MAX(0,(Inputs!$B$3-100)*3)+Inputs!$B$28+Inputs!$B$29)))</f>
        <v>168</v>
      </c>
      <c r="E1967">
        <f>INDEX(FactorTable!$B$2:$Y$301, MATCH(ROUND(MIN(300,MAX(1,D1967)),0), FactorTable!$A$2:$A$301,0), Skills!M5+1)</f>
        <v>1672</v>
      </c>
      <c r="F1967">
        <f>IF(Skills!N5=TRUE,(Skills!L5/10)*(E1967/1000),Skills!L5/10)+Skills!O5</f>
        <v>20.064</v>
      </c>
      <c r="G1967">
        <f>Calc!G5</f>
        <v>5</v>
      </c>
      <c r="H1967">
        <f>Calc!H5</f>
        <v>1</v>
      </c>
      <c r="I1967">
        <f>IF(Skills!X5&lt;&gt;"",1+(Skills!X5/10)*(Z1965/1000)/100,1)</f>
        <v>12.475</v>
      </c>
      <c r="J1967">
        <f>((Inputs!$B$6*(1+Inputs!$B$7/100))+(((Inputs!$B$12*(1+Inputs!$B$13/100))-(Inputs!$B$12*(1+Inputs!$B$13/100)))+0.25*(Inputs!$B$14-Inputs!$B$14))*(1+Inputs!$B$7/100))*(F1967/100)</f>
        <v>72458030.371890247</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4541925884983.542</v>
      </c>
      <c r="L1967">
        <f>K1967*(MIN(Inputs!$B$22+(F1984-Calc!F22),(Inputs!$B$23+(IF(ArtifactsInput!$M$15,CHOOSE(ArtifactsInput!$N$15+1,25,30,35,40,45,50)/100*(Inputs!$B$11-Inputs!$B$11),0))))/100+(Inputs!$B$23+(IF(ArtifactsInput!$M$15,CHOOSE(ArtifactsInput!$N$15+1,25,30,35,40,45,50)/100*(Inputs!$B$11-Inputs!$B$11),0)))/100)/2</f>
        <v>15101903567570.277</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1967">
        <f>L1967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1967">
        <f>(1-Summary!$B$11)*S1967+Summary!$B$11*U1967</f>
        <v>1046004996783807</v>
      </c>
      <c r="P1967">
        <f>IF(B2003=0,0,O1967/B2003)</f>
        <v>3.1613923166633758E-2</v>
      </c>
      <c r="Q1967">
        <f>IFERROR(1/(IF(Inputs!$B$38="pvp",15,MAX(0.1,Skills!E5-IF(FALSE=TRUE,Inputs!$B$32,0)))*(1-IF(AND(ArtifactsInput!$M$27,Inputs!$B$4="Chapter Hunt"),CHOOSE(ArtifactsInput!$N$27+1,20,24,28,32,36,40),0)/100)),0)</f>
        <v>1</v>
      </c>
      <c r="R1967">
        <f>IF(AND(Inputs!$B$38&lt;&gt;"pvp",Inputs!$B$43&gt;0),IF(MAX(0,Inputs!$B$43-B2000)&lt;=0,0,(INT(MAX(0,Inputs!$B$43-B2000)/(IF(Inputs!$B$38="pvp",15,MAX(0.1,Skills!E5-IF(FALSE=TRUE,Inputs!$B$32,0)))*(1-IF(AND(ArtifactsInput!$M$27,Inputs!$B$4="Chapter Hunt"),CHOOSE(ArtifactsInput!$N$27+1,20,24,28,32,36,40),0)/100)))+1)),0)</f>
        <v>38</v>
      </c>
      <c r="S1967">
        <f>IF(C1967,(H1967*N1967*IF(AND(Inputs!$B$38&lt;&gt;"pvp",Inputs!$B$43&gt;0),((Skills!G5*((R1967-1)*IF(Skills!H5&gt;0,Skills!I5/Skills!H5,1)+IF(Skills!H5&gt;0,MIN(Skills!I5,MAX(0,MAX(0,Inputs!$B$43-B2000)-((R1967-1)*(IF(Inputs!$B$38="pvp",15,MAX(0.1,Skills!E5-IF(FALSE=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1967">
        <f>IF(C1967,(H1967*N1967*IF(AND(Inputs!$B$38&lt;&gt;"pvp",Inputs!$B$43&gt;0),((Skills!G5*((R1967-1)*IF(Skills!H5&gt;0,Skills!I5/Skills!H5,1)+IF(Skills!H5&gt;0,MIN(Skills!I5,MAX(0,MAX(0,Inputs!$B$43-B2000)-((R1967-1)*(IF(Inputs!$B$38="pvp",15,MAX(0.1,Skills!E5-IF(FALSE=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1968" spans="1:26" x14ac:dyDescent="0.2">
      <c r="A1968" t="str">
        <f>Skills!A6</f>
        <v>MEDITATION</v>
      </c>
      <c r="B1968" t="str">
        <f>Skills!B6</f>
        <v>Meditation</v>
      </c>
      <c r="C1968" t="b">
        <f>TRUE</f>
        <v>1</v>
      </c>
      <c r="D1968">
        <f>IF(Skills!C6=1,60+Inputs!$B$25+Inputs!$B$29,IF(Skills!C6=2,90+Inputs!$B$26+Inputs!$B$29,IF(Skills!C6=3,120+Inputs!$B$27+Inputs!$B$29,MAX(0,(Inputs!$B$3-100)*3)+Inputs!$B$28+Inputs!$B$29)))</f>
        <v>168</v>
      </c>
      <c r="E1968">
        <f>INDEX(FactorTable!$B$2:$Y$301, MATCH(ROUND(MIN(300,MAX(1,D1968)),0), FactorTable!$A$2:$A$301,0), Skills!M6+1)</f>
        <v>1672</v>
      </c>
      <c r="F1968">
        <f>IF(Skills!N6=TRUE,(Skills!L6/10)*(E1968/1000),Skills!L6/10)+Skills!O6</f>
        <v>33.44</v>
      </c>
      <c r="G1968">
        <f>Calc!G6</f>
        <v>1</v>
      </c>
      <c r="H1968">
        <f>Calc!H6</f>
        <v>1</v>
      </c>
      <c r="I1968">
        <f>IF(Skills!X6&lt;&gt;"",1+(Skills!X6/10)*(Z1965/1000)/100,1)</f>
        <v>1</v>
      </c>
      <c r="O1968">
        <f>(1-Summary!$B$11)*S1968+Summary!$B$11*U1968</f>
        <v>0</v>
      </c>
      <c r="P1968">
        <f>IF(B2003=0,0,O1968/B2003)</f>
        <v>0</v>
      </c>
      <c r="Q1968">
        <f>IFERROR(1/(IF(Inputs!$B$38="pvp",15,MAX(0.1,Skills!E6-IF(TRUE=TRUE,Inputs!$B$32,0)))*(1-IF(AND(ArtifactsInput!$M$27,Inputs!$B$4="Chapter Hunt"),CHOOSE(ArtifactsInput!$N$27+1,20,24,28,32,36,40),0)/100)),0)</f>
        <v>3.3333333333333333E-2</v>
      </c>
      <c r="R1968">
        <f>IF(AND(Inputs!$B$38&lt;&gt;"pvp",Inputs!$B$43&gt;0),IF(Inputs!$B$43&lt;=0,0,(INT(Inputs!$B$43/(IF(Inputs!$B$38="pvp",15,MAX(0.1,Skills!E6-IF(TRUE=TRUE,Inputs!$B$32,0)))*(1-IF(AND(ArtifactsInput!$M$27,Inputs!$B$4="Chapter Hunt"),CHOOSE(ArtifactsInput!$N$27+1,20,24,28,32,36,40),0)/100)))+1)),0)</f>
        <v>2</v>
      </c>
      <c r="S1968">
        <v>0</v>
      </c>
      <c r="U1968">
        <v>0</v>
      </c>
    </row>
    <row r="1969" spans="1:21" x14ac:dyDescent="0.2">
      <c r="A1969" t="str">
        <f>Skills!A7</f>
        <v>POISON_MIST_BURST</v>
      </c>
      <c r="B1969" t="str">
        <f>Skills!B7</f>
        <v>Poison Mist (burst)</v>
      </c>
      <c r="C1969" t="b">
        <f>TRUE</f>
        <v>1</v>
      </c>
      <c r="D1969">
        <f>IF(Skills!C7=1,60+Inputs!$B$25+Inputs!$B$29,IF(Skills!C7=2,90+Inputs!$B$26+Inputs!$B$29,IF(Skills!C7=3,120+Inputs!$B$27+Inputs!$B$29,MAX(0,(Inputs!$B$3-100)*3)+Inputs!$B$28+Inputs!$B$29)))</f>
        <v>184</v>
      </c>
      <c r="E1969">
        <f>INDEX(FactorTable!$B$2:$Y$301, MATCH(ROUND(MIN(300,MAX(1,D1969)),0), FactorTable!$A$2:$A$301,0), Skills!M7+1)</f>
        <v>1920</v>
      </c>
      <c r="F1969">
        <f>IF(Skills!N7=TRUE,(Skills!L7/10)*(E1969/1000),Skills!L7/10)+Skills!O7</f>
        <v>357.2</v>
      </c>
      <c r="G1969">
        <f>Calc!G7</f>
        <v>3</v>
      </c>
      <c r="H1969">
        <f>Calc!H7</f>
        <v>1</v>
      </c>
      <c r="I1969">
        <f>IF(Skills!X7&lt;&gt;"",1+(Skills!X7/10)*(Z1965/1000)/100,1)</f>
        <v>1.7650000000000001</v>
      </c>
      <c r="J1969">
        <f>((Inputs!$B$6*(1+Inputs!$B$7/100))+(((Inputs!$B$12*(1+Inputs!$B$13/100))-(Inputs!$B$12*(1+Inputs!$B$13/100)))+0.25*(Inputs!$B$14-Inputs!$B$14))*(1+Inputs!$B$7/100))*(F1969/100)</f>
        <v>1289972510.4086521</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11440318873772.086</v>
      </c>
      <c r="L1969">
        <f>K1969*(MIN(Inputs!$B$22+(F1984-Calc!F22),(Inputs!$B$23+(IF(ArtifactsInput!$M$15,CHOOSE(ArtifactsInput!$N$15+1,25,30,35,40,45,50)/100*(Inputs!$B$11-Inputs!$B$11),0))))/100+(Inputs!$B$23+(IF(ArtifactsInput!$M$15,CHOOSE(ArtifactsInput!$N$15+1,25,30,35,40,45,50)/100*(Inputs!$B$11-Inputs!$B$11),0)))/100)/2</f>
        <v>38039060255292.188</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1969">
        <f>L1969*(1-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1969">
        <f>(1-Summary!$B$11)*S1969+Summary!$B$11*U1969</f>
        <v>447913158316422</v>
      </c>
      <c r="P1969">
        <f>IF(B2003=0,0,O1969/B2003)</f>
        <v>1.3537499549121505E-2</v>
      </c>
      <c r="Q1969">
        <f>IFERROR(1/(IF(Inputs!$B$38="pvp",15,MAX(0.1,Skills!E7-IF(TRUE=TRUE,Inputs!$B$32,0)))*(1-IF(AND(ArtifactsInput!$M$27,Inputs!$B$4="Chapter Hunt"),CHOOSE(ArtifactsInput!$N$27+1,20,24,28,32,36,40),0)/100)),0)</f>
        <v>4.0816326530612242E-2</v>
      </c>
      <c r="R1969">
        <f>IF(AND(Inputs!$B$38&lt;&gt;"pvp",Inputs!$B$43&gt;0),IF(MAX(0,Inputs!$B$43-B2000)&lt;=0,0,(INT(MAX(0,Inputs!$B$43-B2000)/(IF(Inputs!$B$38="pvp",15,MAX(0.1,Skills!E7-IF(TRUE=TRUE,Inputs!$B$32,0)))*(1-IF(AND(ArtifactsInput!$M$27,Inputs!$B$4="Chapter Hunt"),CHOOSE(ArtifactsInput!$N$27+1,20,24,28,32,36,40),0)/100)))+1)),0)</f>
        <v>2</v>
      </c>
      <c r="S1969">
        <f>IF(C1969,(H1969*N1969*IF(AND(Inputs!$B$38&lt;&gt;"pvp",Inputs!$B$43&gt;0),((Skills!G7*((R1969-1)*IF(Skills!H7&gt;0,Skills!I7/Skills!H7,1)+IF(Skills!H7&gt;0,MIN(Skills!I7,MAX(0,MAX(0,Inputs!$B$43-B2000)-((R1969-1)*(IF(Inputs!$B$38="pvp",15,MAX(0.1,Skills!E7-IF(TRUE=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1969">
        <f>IF(C1969,(H1969*N1969*IF(AND(Inputs!$B$38&lt;&gt;"pvp",Inputs!$B$43&gt;0),((Skills!G7*((R1969-1)*IF(Skills!H7&gt;0,Skills!I7/Skills!H7,1)+IF(Skills!H7&gt;0,MIN(Skills!I7,MAX(0,MAX(0,Inputs!$B$43-B2000)-((R1969-1)*(IF(Inputs!$B$38="pvp",15,MAX(0.1,Skills!E7-IF(TRUE=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1970" spans="1:21" x14ac:dyDescent="0.2">
      <c r="A1970" t="str">
        <f>Skills!A8</f>
        <v>POISON_MIST_DOT</v>
      </c>
      <c r="B1970" t="str">
        <f>Skills!B8</f>
        <v>Poison Mist (fog DoT)</v>
      </c>
      <c r="C1970" t="b">
        <f>TRUE</f>
        <v>1</v>
      </c>
      <c r="D1970">
        <f>IF(Skills!C8=1,60+Inputs!$B$25+Inputs!$B$29,IF(Skills!C8=2,90+Inputs!$B$26+Inputs!$B$29,IF(Skills!C8=3,120+Inputs!$B$27+Inputs!$B$29,MAX(0,(Inputs!$B$3-100)*3)+Inputs!$B$28+Inputs!$B$29)))</f>
        <v>184</v>
      </c>
      <c r="E1970">
        <f>INDEX(FactorTable!$B$2:$Y$301, MATCH(ROUND(MIN(300,MAX(1,D1970)),0), FactorTable!$A$2:$A$301,0), Skills!M8+1)</f>
        <v>1920</v>
      </c>
      <c r="F1970">
        <f>IF(Skills!N8=TRUE,(Skills!L8/10)*(E1970/1000),Skills!L8/10)+Skills!O8</f>
        <v>134.4</v>
      </c>
      <c r="G1970">
        <f>Calc!G8</f>
        <v>50</v>
      </c>
      <c r="H1970">
        <f>Calc!H8</f>
        <v>1</v>
      </c>
      <c r="I1970">
        <f>IF(Skills!X8&lt;&gt;"",1+(Skills!X8/10)*(Z1965/1000)/100,1)</f>
        <v>1.7650000000000001</v>
      </c>
      <c r="J1970">
        <f>((Inputs!$B$6*(1+Inputs!$B$7/100))+(((Inputs!$B$12*(1+Inputs!$B$13/100))-(Inputs!$B$12*(1+Inputs!$B$13/100)))+0.25*(Inputs!$B$14-Inputs!$B$14))*(1+Inputs!$B$7/100))*(F1970/100)</f>
        <v>485364796.74950409</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4304532073446.1597</v>
      </c>
      <c r="L1970">
        <f>K1970*(MIN(Inputs!$B$22+(F1984-Calc!F22),(Inputs!$B$23+(IF(ArtifactsInput!$M$15,CHOOSE(ArtifactsInput!$N$15+1,25,30,35,40,45,50)/100*(Inputs!$B$11-Inputs!$B$11),0))))/100+(Inputs!$B$23+(IF(ArtifactsInput!$M$15,CHOOSE(ArtifactsInput!$N$15+1,25,30,35,40,45,50)/100*(Inputs!$B$11-Inputs!$B$11),0)))/100)/2</f>
        <v>14312569144208.482</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1970">
        <f>L1970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1970">
        <f>(1-Summary!$B$11)*S1970+Summary!$B$11*U1970</f>
        <v>2327471980535951</v>
      </c>
      <c r="P1970">
        <f>IF(B2003=0,0,O1970/B2003)</f>
        <v>7.0344329703392813E-2</v>
      </c>
      <c r="Q1970">
        <f>IFERROR(1/(IF(Inputs!$B$38="pvp",15,MAX(0.1,Skills!E8-IF(TRUE=TRUE,Inputs!$B$32,0)))*(1-IF(AND(ArtifactsInput!$M$27,Inputs!$B$4="Chapter Hunt"),CHOOSE(ArtifactsInput!$N$27+1,20,24,28,32,36,40),0)/100)),0)</f>
        <v>4.0816326530612242E-2</v>
      </c>
      <c r="R1970">
        <f>IF(AND(Inputs!$B$38&lt;&gt;"pvp",Inputs!$B$43&gt;0),IF(MAX(0,Inputs!$B$43-B2000)&lt;=0,0,(INT(MAX(0,Inputs!$B$43-B2000)/(IF(Inputs!$B$38="pvp",15,MAX(0.1,Skills!E8-IF(TRUE=TRUE,Inputs!$B$32,0)))*(1-IF(AND(ArtifactsInput!$M$27,Inputs!$B$4="Chapter Hunt"),CHOOSE(ArtifactsInput!$N$27+1,20,24,28,32,36,40),0)/100)))+1)),0)</f>
        <v>2</v>
      </c>
      <c r="S1970">
        <f>IF(C1970,(H1970*N1970*IF(AND(Inputs!$B$38&lt;&gt;"pvp",Inputs!$B$43&gt;0),((Skills!G8*((R1970-1)*IF(Skills!H8&gt;0,Skills!I8/Skills!H8,1)+IF(Skills!H8&gt;0,MIN(Skills!I8,MAX(0,MAX(0,Inputs!$B$43-B2000)-((R1970-1)*(IF(Inputs!$B$38="pvp",15,MAX(0.1,Skills!E8-IF(TRUE=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1970">
        <f>IF(C1970,(H1970*N1970*IF(AND(Inputs!$B$38&lt;&gt;"pvp",Inputs!$B$43&gt;0),((Skills!G8*((R1970-1)*IF(Skills!H8&gt;0,Skills!I8/Skills!H8,1)+IF(Skills!H8&gt;0,MIN(Skills!I8,MAX(0,MAX(0,Inputs!$B$43-B2000)-((R1970-1)*(IF(Inputs!$B$38="pvp",15,MAX(0.1,Skills!E8-IF(TRUE=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1971" spans="1:21" x14ac:dyDescent="0.2">
      <c r="A1971" t="str">
        <f>Skills!A9</f>
        <v>MIST_ERUPTION</v>
      </c>
      <c r="B1971" t="str">
        <f>Skills!B9</f>
        <v>Mist Eruption</v>
      </c>
      <c r="C1971" t="b">
        <f>Inputs!$B$3&gt;=103</f>
        <v>1</v>
      </c>
      <c r="D1971">
        <f>IF(Skills!C9=1,60+Inputs!$B$25+Inputs!$B$29,IF(Skills!C9=2,90+Inputs!$B$26+Inputs!$B$29,IF(Skills!C9=3,120+Inputs!$B$27+Inputs!$B$29,MAX(0,(Inputs!$B$3-100)*3)+Inputs!$B$28+Inputs!$B$29)))</f>
        <v>185</v>
      </c>
      <c r="E1971">
        <f>INDEX(FactorTable!$B$2:$Y$301, MATCH(ROUND(MIN(300,MAX(1,D1971)),0), FactorTable!$A$2:$A$301,0), Skills!M9+1)</f>
        <v>1925</v>
      </c>
      <c r="F1971">
        <f>IF(Skills!N9=TRUE,(Skills!L9/10)*(E1971/1000),Skills!L9/10)+Skills!O9</f>
        <v>5775</v>
      </c>
      <c r="G1971">
        <f>Calc!G9</f>
        <v>2.5</v>
      </c>
      <c r="H1971">
        <f>Calc!H9</f>
        <v>1</v>
      </c>
      <c r="I1971">
        <f>IF(Skills!X9&lt;&gt;"",1+(Skills!X9/10)*(Z1965/1000)/100,1)</f>
        <v>1</v>
      </c>
      <c r="J1971">
        <f>((Inputs!$B$6*(1+Inputs!$B$7/100))+(((Inputs!$B$12*(1+Inputs!$B$13/100))-(Inputs!$B$12*(1+Inputs!$B$13/100)))+0.25*(Inputs!$B$14-Inputs!$B$14))*(1+Inputs!$B$7/100))*(F1971/100)</f>
        <v>20855518610.330254</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104793406533081.95</v>
      </c>
      <c r="L1971">
        <f>K1971*(MIN(Inputs!$B$22+(F1984-Calc!F22),(Inputs!$B$23+(IF(ArtifactsInput!$M$15,CHOOSE(ArtifactsInput!$N$15+1,25,30,35,40,45,50)/100*(Inputs!$B$11-Inputs!$B$11),0))))/100+(Inputs!$B$23+(IF(ArtifactsInput!$M$15,CHOOSE(ArtifactsInput!$N$15+1,25,30,35,40,45,50)/100*(Inputs!$B$11-Inputs!$B$11),0)))/100)/2</f>
        <v>348438076722497.5</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1971">
        <f>L1971*(1-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1971">
        <f>(1-Summary!$B$11)*S1971+Summary!$B$11*U1971</f>
        <v>3419073236278675</v>
      </c>
      <c r="P1971">
        <f>IF(B2003=0,0,O1971/B2003)</f>
        <v>0.10333633101673266</v>
      </c>
      <c r="Q1971">
        <f>IFERROR(1/(IF(Inputs!$B$38="pvp",15,MAX(0.1,Skills!E9-IF(TRUE=TRUE,Inputs!$B$32,0)))*(1-IF(AND(ArtifactsInput!$M$27,Inputs!$B$4="Chapter Hunt"),CHOOSE(ArtifactsInput!$N$27+1,20,24,28,32,36,40),0)/100)),0)</f>
        <v>4.0816326530612242E-2</v>
      </c>
      <c r="R1971">
        <f>IF(AND(Inputs!$B$38&lt;&gt;"pvp",Inputs!$B$43&gt;0),IF(MAX(0,Inputs!$B$43-B2000)&lt;=0,0,(INT(MAX(0,Inputs!$B$43-B2000)/(IF(Inputs!$B$38="pvp",15,MAX(0.1,Skills!E9-IF(TRUE=TRUE,Inputs!$B$32,0)))*(1-IF(AND(ArtifactsInput!$M$27,Inputs!$B$4="Chapter Hunt"),CHOOSE(ArtifactsInput!$N$27+1,20,24,28,32,36,40),0)/100)))+1)),0)</f>
        <v>2</v>
      </c>
      <c r="S1971">
        <f>IF(C1971,(H1971*N1971*IF(AND(Inputs!$B$38&lt;&gt;"pvp",Inputs!$B$43&gt;0),((Skills!G9*((R1971-1)*IF(Skills!H9&gt;0,Skills!I9/Skills!H9,1)+IF(Skills!H9&gt;0,MIN(Skills!I9,MAX(0,MAX(0,Inputs!$B$43-B2000)-((R1971-1)*(IF(Inputs!$B$38="pvp",15,MAX(0.1,Skills!E9-IF(TRUE=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1971">
        <f>IF(C1971,(H1971*N1971*IF(AND(Inputs!$B$38&lt;&gt;"pvp",Inputs!$B$43&gt;0),((Skills!G9*((R1971-1)*IF(Skills!H9&gt;0,Skills!I9/Skills!H9,1)+IF(Skills!H9&gt;0,MIN(Skills!I9,MAX(0,MAX(0,Inputs!$B$43-B2000)-((R1971-1)*(IF(Inputs!$B$38="pvp",15,MAX(0.1,Skills!E9-IF(TRUE=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1972" spans="1:21" x14ac:dyDescent="0.2">
      <c r="A1972" t="str">
        <f>Skills!A10</f>
        <v>CREEPING_TOXIN</v>
      </c>
      <c r="B1972" t="str">
        <f>Skills!B10</f>
        <v>Creeping Toxin</v>
      </c>
      <c r="C1972" t="b">
        <f>TRUE</f>
        <v>1</v>
      </c>
      <c r="D1972">
        <f>IF(Skills!C10=1,60+Inputs!$B$25+Inputs!$B$29,IF(Skills!C10=2,90+Inputs!$B$26+Inputs!$B$29,IF(Skills!C10=3,120+Inputs!$B$27+Inputs!$B$29,MAX(0,(Inputs!$B$3-100)*3)+Inputs!$B$28+Inputs!$B$29)))</f>
        <v>184</v>
      </c>
      <c r="E1972">
        <f>INDEX(FactorTable!$B$2:$Y$301, MATCH(ROUND(MIN(300,MAX(1,D1972)),0), FactorTable!$A$2:$A$301,0), Skills!M10+1)</f>
        <v>1920</v>
      </c>
      <c r="F1972">
        <f>IF(Skills!N10=TRUE,(Skills!L10/10)*(E1972/1000),Skills!L10/10)+Skills!O10</f>
        <v>280.39999999999998</v>
      </c>
      <c r="G1972">
        <f>Calc!G10</f>
        <v>15</v>
      </c>
      <c r="H1972">
        <f>Calc!H10</f>
        <v>1</v>
      </c>
      <c r="I1972">
        <f>IF(Skills!X10&lt;&gt;"",1+(Skills!X10/10)*(Z1965/1000)/100,1)</f>
        <v>1.7650000000000001</v>
      </c>
      <c r="J1972">
        <f>((Inputs!$B$6*(1+Inputs!$B$7/100))+(((Inputs!$B$12*(1+Inputs!$B$13/100))-(Inputs!$B$12*(1+Inputs!$B$13/100)))+0.25*(Inputs!$B$14-Inputs!$B$14))*(1+Inputs!$B$7/100))*(F1972/100)</f>
        <v>1012621197.9803641</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8980586260374.2793</v>
      </c>
      <c r="L1972">
        <f>K1972*(MIN(Inputs!$B$22+(F1984-Calc!F22),(Inputs!$B$23+(IF(ArtifactsInput!$M$15,CHOOSE(ArtifactsInput!$N$15+1,25,30,35,40,45,50)/100*(Inputs!$B$11-Inputs!$B$11),0))))/100+(Inputs!$B$23+(IF(ArtifactsInput!$M$15,CHOOSE(ArtifactsInput!$N$15+1,25,30,35,40,45,50)/100*(Inputs!$B$11-Inputs!$B$11),0)))/100)/2</f>
        <v>29860449315744.48</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1972">
        <f>L1972*(1-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1972">
        <f>(1-Summary!$B$11)*S1972+Summary!$B$11*U1972</f>
        <v>324323455609081.62</v>
      </c>
      <c r="P1972">
        <f>IF(B2003=0,0,O1972/B2003)</f>
        <v>9.8021872154419789E-3</v>
      </c>
      <c r="Q1972">
        <f>IFERROR(1/(IF(Inputs!$B$38="pvp",15,MAX(0.1,Skills!E10-IF(TRUE=TRUE,Inputs!$B$32,0)))*(1-IF(AND(ArtifactsInput!$M$27,Inputs!$B$4="Chapter Hunt"),CHOOSE(ArtifactsInput!$N$27+1,20,24,28,32,36,40),0)/100)),0)</f>
        <v>3.7037037037037035E-2</v>
      </c>
      <c r="R1972">
        <f>IF(AND(Inputs!$B$38&lt;&gt;"pvp",Inputs!$B$43&gt;0),IF(MAX(0,Inputs!$B$43-B2000)&lt;=0,0,(INT(MAX(0,Inputs!$B$43-B2000)/(IF(Inputs!$B$38="pvp",15,MAX(0.1,Skills!E10-IF(TRUE=TRUE,Inputs!$B$32,0)))*(1-IF(AND(ArtifactsInput!$M$27,Inputs!$B$4="Chapter Hunt"),CHOOSE(ArtifactsInput!$N$27+1,20,24,28,32,36,40),0)/100)))+1)),0)</f>
        <v>2</v>
      </c>
      <c r="S1972">
        <f>IF(C1972,(H1972*N1972*IF(AND(Inputs!$B$38&lt;&gt;"pvp",Inputs!$B$43&gt;0),((Skills!G10*((R1972-1)*IF(Skills!H10&gt;0,Skills!I10/Skills!H10,1)+IF(Skills!H10&gt;0,MIN(Skills!I10,MAX(0,MAX(0,Inputs!$B$43-B2000)-((R1972-1)*(IF(Inputs!$B$38="pvp",15,MAX(0.1,Skills!E10-IF(TRUE=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1972">
        <f>IF(C1972,(H1972*N1972*IF(AND(Inputs!$B$38&lt;&gt;"pvp",Inputs!$B$43&gt;0),((Skills!G10*((R1972-1)*IF(Skills!H10&gt;0,Skills!I10/Skills!H10,1)+IF(Skills!H10&gt;0,MIN(Skills!I10,MAX(0,MAX(0,Inputs!$B$43-B2000)-((R1972-1)*(IF(Inputs!$B$38="pvp",15,MAX(0.1,Skills!E10-IF(TRUE=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1973" spans="1:21" x14ac:dyDescent="0.2">
      <c r="A1973" t="str">
        <f>Skills!A11</f>
        <v>BURNING_MAGIC</v>
      </c>
      <c r="B1973" t="str">
        <f>Skills!B11</f>
        <v>Burning Magic</v>
      </c>
      <c r="C1973" t="b">
        <f>TRUE</f>
        <v>1</v>
      </c>
      <c r="D1973">
        <f>IF(Skills!C11=1,60+Inputs!$B$25+Inputs!$B$29,IF(Skills!C11=2,90+Inputs!$B$26+Inputs!$B$29,IF(Skills!C11=3,120+Inputs!$B$27+Inputs!$B$29,MAX(0,(Inputs!$B$3-100)*3)+Inputs!$B$28+Inputs!$B$29)))</f>
        <v>184</v>
      </c>
      <c r="E1973">
        <f>INDEX(FactorTable!$B$2:$Y$301, MATCH(ROUND(MIN(300,MAX(1,D1973)),0), FactorTable!$A$2:$A$301,0), Skills!M11+1)</f>
        <v>0</v>
      </c>
      <c r="F1973">
        <f>IF(Skills!N11=TRUE,(Skills!L11/10)*(E1973/1000),Skills!L11/10)+Skills!O11</f>
        <v>5</v>
      </c>
      <c r="G1973">
        <f>Calc!G11</f>
        <v>1</v>
      </c>
      <c r="H1973">
        <f>Calc!H11</f>
        <v>1</v>
      </c>
      <c r="I1973">
        <f>IF(Skills!X11&lt;&gt;"",1+(Skills!X11/10)*(Z1965/1000)/100,1)</f>
        <v>1</v>
      </c>
      <c r="O1973">
        <f>(1-Summary!$B$11)*S1973+Summary!$B$11*U1973</f>
        <v>0</v>
      </c>
      <c r="P1973">
        <f>IF(B2003=0,0,O1973/B2003)</f>
        <v>0</v>
      </c>
      <c r="Q1973">
        <f>IFERROR(1/(IF(Inputs!$B$38="pvp",15,MAX(0.1,Skills!E11-IF(TRUE=TRUE,Inputs!$B$32,0)))*(1-IF(AND(ArtifactsInput!$M$27,Inputs!$B$4="Chapter Hunt"),CHOOSE(ArtifactsInput!$N$27+1,20,24,28,32,36,40),0)/100)),0)</f>
        <v>10</v>
      </c>
      <c r="R1973">
        <v>0</v>
      </c>
      <c r="S1973">
        <v>0</v>
      </c>
      <c r="U1973">
        <v>0</v>
      </c>
    </row>
    <row r="1974" spans="1:21" x14ac:dyDescent="0.2">
      <c r="A1974" t="str">
        <f>Skills!A12</f>
        <v>ELEMENTAL_DECREASE</v>
      </c>
      <c r="B1974" t="str">
        <f>Skills!B12</f>
        <v>Elemental Decrease</v>
      </c>
      <c r="C1974" t="b">
        <f>TRUE</f>
        <v>1</v>
      </c>
      <c r="D1974">
        <f>IF(Skills!C12=1,60+Inputs!$B$25+Inputs!$B$29,IF(Skills!C12=2,90+Inputs!$B$26+Inputs!$B$29,IF(Skills!C12=3,120+Inputs!$B$27+Inputs!$B$29,MAX(0,(Inputs!$B$3-100)*3)+Inputs!$B$28+Inputs!$B$29)))</f>
        <v>184</v>
      </c>
      <c r="E1974">
        <f>INDEX(FactorTable!$B$2:$Y$301, MATCH(ROUND(MIN(300,MAX(1,D1974)),0), FactorTable!$A$2:$A$301,0), Skills!M12+1)</f>
        <v>1552</v>
      </c>
      <c r="F1974">
        <f>IF(Skills!N12=TRUE,(Skills!L12/10)*(E1974/1000),Skills!L12/10)+Skills!O12</f>
        <v>18.624000000000002</v>
      </c>
      <c r="G1974">
        <f>Calc!G12</f>
        <v>1</v>
      </c>
      <c r="H1974">
        <f>Calc!H12</f>
        <v>0.5</v>
      </c>
      <c r="I1974">
        <f>IF(Skills!X12&lt;&gt;"",1+(Skills!X12/10)*(Z1965/1000)/100,1)</f>
        <v>1</v>
      </c>
      <c r="O1974">
        <f>(1-Summary!$B$11)*S1974+Summary!$B$11*U1974</f>
        <v>0</v>
      </c>
      <c r="P1974">
        <f>IF(B2003=0,0,O1974/B2003)</f>
        <v>0</v>
      </c>
      <c r="Q1974">
        <f>IFERROR(1/(IF(Inputs!$B$38="pvp",15,MAX(0.1,Skills!E12-IF(TRUE=TRUE,Inputs!$B$32,0)))*(1-IF(AND(ArtifactsInput!$M$27,Inputs!$B$4="Chapter Hunt"),CHOOSE(ArtifactsInput!$N$27+1,20,24,28,32,36,40),0)/100)),0)</f>
        <v>10</v>
      </c>
      <c r="R1974">
        <v>0</v>
      </c>
      <c r="S1974">
        <v>0</v>
      </c>
      <c r="U1974">
        <v>0</v>
      </c>
    </row>
    <row r="1975" spans="1:21" x14ac:dyDescent="0.2">
      <c r="A1975" t="str">
        <f>Skills!A13</f>
        <v>METEOR_SHOWER_BURST</v>
      </c>
      <c r="B1975" t="str">
        <f>Skills!B13</f>
        <v>Meteor Shower (burst)</v>
      </c>
      <c r="C1975" t="b">
        <f>Inputs!$B$3&gt;=105</f>
        <v>1</v>
      </c>
      <c r="D1975">
        <f>IF(Skills!C13=1,60+Inputs!$B$25+Inputs!$B$29,IF(Skills!C13=2,90+Inputs!$B$26+Inputs!$B$29,IF(Skills!C13=3,120+Inputs!$B$27+Inputs!$B$29,MAX(0,(Inputs!$B$3-100)*3)+Inputs!$B$28+Inputs!$B$29)))</f>
        <v>185</v>
      </c>
      <c r="E1975">
        <f>INDEX(FactorTable!$B$2:$Y$301, MATCH(ROUND(MIN(300,MAX(1,D1975)),0), FactorTable!$A$2:$A$301,0), Skills!M13+1)</f>
        <v>1925</v>
      </c>
      <c r="F1975">
        <f>IF(Skills!N13=TRUE,(Skills!L13/10)*(E1975/1000),Skills!L13/10)+Skills!O13</f>
        <v>1155</v>
      </c>
      <c r="G1975">
        <f>Calc!G13</f>
        <v>9</v>
      </c>
      <c r="H1975">
        <f>Calc!H13</f>
        <v>1</v>
      </c>
      <c r="I1975">
        <f>IF(Skills!X13&lt;&gt;"",1+(Skills!X13/10)*(Z1965/1000)/100,1)</f>
        <v>1</v>
      </c>
      <c r="J1975">
        <f>((Inputs!$B$6*(1+Inputs!$B$7/100))+(((Inputs!$B$12*(1+Inputs!$B$13/100))-(Inputs!$B$12*(1+Inputs!$B$13/100)))+0.25*(Inputs!$B$14-Inputs!$B$14))*(1+Inputs!$B$7/100))*(F1975/100)</f>
        <v>4171103722.0660505</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20958681306616.391</v>
      </c>
      <c r="L1975">
        <f>K1975*(MIN(Inputs!$B$22+(F1984-Calc!F22),(Inputs!$B$23+(IF(ArtifactsInput!$M$15,CHOOSE(ArtifactsInput!$N$15+1,25,30,35,40,45,50)/100*(Inputs!$B$11-Inputs!$B$11),0))))/100+(Inputs!$B$23+(IF(ArtifactsInput!$M$15,CHOOSE(ArtifactsInput!$N$15+1,25,30,35,40,45,50)/100*(Inputs!$B$11-Inputs!$B$11),0)))/100)/2</f>
        <v>69687615344499.5</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1975">
        <f>L1975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1975">
        <f>(1-Summary!$B$11)*S1975+Summary!$B$11*U1975</f>
        <v>1793579843045520.5</v>
      </c>
      <c r="P1975">
        <f>IF(B2003=0,0,O1975/B2003)</f>
        <v>5.4208245204954375E-2</v>
      </c>
      <c r="Q1975">
        <f>IFERROR(1/(IF(Inputs!$B$38="pvp",15,MAX(0.1,Skills!E13-IF(TRUE=TRUE,Inputs!$B$32,0)))*(1-IF(AND(ArtifactsInput!$M$27,Inputs!$B$4="Chapter Hunt"),CHOOSE(ArtifactsInput!$N$27+1,20,24,28,32,36,40),0)/100)),0)</f>
        <v>3.0303030303030304E-2</v>
      </c>
      <c r="R1975">
        <f>IF(AND(Inputs!$B$38&lt;&gt;"pvp",Inputs!$B$43&gt;0),IF(MAX(0,Inputs!$B$43-B2000)&lt;=0,0,(INT(MAX(0,Inputs!$B$43-B2000)/(IF(Inputs!$B$38="pvp",15,MAX(0.1,Skills!E13-IF(TRUE=TRUE,Inputs!$B$32,0)))*(1-IF(AND(ArtifactsInput!$M$27,Inputs!$B$4="Chapter Hunt"),CHOOSE(ArtifactsInput!$N$27+1,20,24,28,32,36,40),0)/100)))+1)),0)</f>
        <v>2</v>
      </c>
      <c r="S1975">
        <f>IF(C1975,(H1975*N1975*IF(AND(Inputs!$B$38&lt;&gt;"pvp",Inputs!$B$43&gt;0),((Skills!G13*((R1975-1)*IF(Skills!H13&gt;0,Skills!I13/Skills!H13,1)+IF(Skills!H13&gt;0,MIN(Skills!I13,MAX(0,MAX(0,Inputs!$B$43-B2000)-((R1975-1)*(IF(Inputs!$B$38="pvp",15,MAX(0.1,Skills!E13-IF(TRUE=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1975">
        <f>IF(C1975,(H1975*N1975*IF(AND(Inputs!$B$38&lt;&gt;"pvp",Inputs!$B$43&gt;0),((Skills!G13*((R1975-1)*IF(Skills!H13&gt;0,Skills!I13/Skills!H13,1)+IF(Skills!H13&gt;0,MIN(Skills!I13,MAX(0,MAX(0,Inputs!$B$43-B2000)-((R1975-1)*(IF(Inputs!$B$38="pvp",15,MAX(0.1,Skills!E13-IF(TRUE=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1976" spans="1:21" x14ac:dyDescent="0.2">
      <c r="A1976" t="str">
        <f>Skills!A14</f>
        <v>METEOR_PROC</v>
      </c>
      <c r="B1976" t="str">
        <f>Skills!B14</f>
        <v>Meteor Proc (30% on-hit, 1s ICD)</v>
      </c>
      <c r="C1976" t="b">
        <f>Inputs!$B$3&gt;=113</f>
        <v>1</v>
      </c>
      <c r="D1976">
        <f>IF(Skills!C14=1,60+Inputs!$B$25+Inputs!$B$29,IF(Skills!C14=2,90+Inputs!$B$26+Inputs!$B$29,IF(Skills!C14=3,120+Inputs!$B$27+Inputs!$B$29,MAX(0,(Inputs!$B$3-100)*3)+Inputs!$B$28+Inputs!$B$29)))</f>
        <v>185</v>
      </c>
      <c r="E1976">
        <f>INDEX(FactorTable!$B$2:$Y$301, MATCH(ROUND(MIN(300,MAX(1,D1976)),0), FactorTable!$A$2:$A$301,0), Skills!M14+1)</f>
        <v>1740</v>
      </c>
      <c r="F1976">
        <f>IF(Skills!N14=TRUE,(Skills!L14/10)*(E1976/1000),Skills!L14/10)+Skills!O14</f>
        <v>1653</v>
      </c>
      <c r="G1976">
        <f>Calc!G14</f>
        <v>0</v>
      </c>
      <c r="H1976">
        <f>Calc!H14</f>
        <v>0.30000000000000004</v>
      </c>
      <c r="I1976">
        <f>IF(Skills!X14&lt;&gt;"",1+(Skills!X14/10)*(Z1965/1000)/100,1)</f>
        <v>1</v>
      </c>
      <c r="J1976">
        <f>((Inputs!$B$6*(1+Inputs!$B$7/100))+(((Inputs!$B$12*(1+Inputs!$B$13/100))-(Inputs!$B$12*(1+Inputs!$B$13/100)))+0.25*(Inputs!$B$14-Inputs!$B$14))*(1+Inputs!$B$7/100))*(F1976/100)</f>
        <v>5969553638.5932312</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29995411428430.203</v>
      </c>
      <c r="L1976">
        <f>K1976*(MIN(Inputs!$B$22+(F1984-Calc!F22),(Inputs!$B$23+(IF(ArtifactsInput!$M$15,CHOOSE(ArtifactsInput!$N$15+1,25,30,35,40,45,50)/100*(Inputs!$B$11-Inputs!$B$11),0))))/100+(Inputs!$B$23+(IF(ArtifactsInput!$M$15,CHOOSE(ArtifactsInput!$N$15+1,25,30,35,40,45,50)/100*(Inputs!$B$11-Inputs!$B$11),0)))/100)/2</f>
        <v>99734742999530.438</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1976">
        <f>L1976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1976">
        <f>(1-Summary!$B$11)*S1976+Summary!$B$11*U1976</f>
        <v>461258197543910.38</v>
      </c>
      <c r="P1976">
        <f>IF(B2003=0,0,O1976/B2003)</f>
        <v>1.3940833229257574E-2</v>
      </c>
      <c r="Q1976">
        <f>IFERROR(1/(IF(Inputs!$B$38="pvp",15,MAX(0.1,Skills!E14-IF(TRUE=TRUE,Inputs!$B$32,0)))*(1-IF(AND(ArtifactsInput!$M$27,Inputs!$B$4="Chapter Hunt"),CHOOSE(ArtifactsInput!$N$27+1,20,24,28,32,36,40),0)/100)),0)</f>
        <v>10</v>
      </c>
      <c r="R1976">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1977" spans="1:21" x14ac:dyDescent="0.2">
      <c r="A1977" t="str">
        <f>Skills!A15</f>
        <v>FLAME_HAZE_BURST</v>
      </c>
      <c r="B1977" t="str">
        <f>Skills!B15</f>
        <v>Flame Haze (burst)</v>
      </c>
      <c r="C1977" t="b">
        <f>Inputs!$B$3&gt;=107</f>
        <v>1</v>
      </c>
      <c r="D1977">
        <f>IF(Skills!C15=1,60+Inputs!$B$25+Inputs!$B$29,IF(Skills!C15=2,90+Inputs!$B$26+Inputs!$B$29,IF(Skills!C15=3,120+Inputs!$B$27+Inputs!$B$29,MAX(0,(Inputs!$B$3-100)*3)+Inputs!$B$28+Inputs!$B$29)))</f>
        <v>185</v>
      </c>
      <c r="E1977">
        <f>INDEX(FactorTable!$B$2:$Y$301, MATCH(ROUND(MIN(300,MAX(1,D1977)),0), FactorTable!$A$2:$A$301,0), Skills!M15+1)</f>
        <v>1925</v>
      </c>
      <c r="F1977">
        <f>IF(Skills!N15=TRUE,(Skills!L15/10)*(E1977/1000),Skills!L15/10)+Skills!O15</f>
        <v>2310</v>
      </c>
      <c r="G1977">
        <f>Calc!G15</f>
        <v>3</v>
      </c>
      <c r="H1977">
        <f>Calc!H15</f>
        <v>1</v>
      </c>
      <c r="I1977">
        <f>IF(Skills!X15&lt;&gt;"",1+(Skills!X15/10)*(Z1965/1000)/100,1)</f>
        <v>1</v>
      </c>
      <c r="J1977">
        <f>((Inputs!$B$6*(1+Inputs!$B$7/100))+(((Inputs!$B$12*(1+Inputs!$B$13/100))-(Inputs!$B$12*(1+Inputs!$B$13/100)))+0.25*(Inputs!$B$14-Inputs!$B$14))*(1+Inputs!$B$7/100))*(F1977/100)</f>
        <v>8342207444.1321011</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41917362613232.781</v>
      </c>
      <c r="L1977">
        <f>K1977*(MIN(Inputs!$B$22+(F1984-Calc!F22),(Inputs!$B$23+(IF(ArtifactsInput!$M$15,CHOOSE(ArtifactsInput!$N$15+1,25,30,35,40,45,50)/100*(Inputs!$B$11-Inputs!$B$11),0))))/100+(Inputs!$B$23+(IF(ArtifactsInput!$M$15,CHOOSE(ArtifactsInput!$N$15+1,25,30,35,40,45,50)/100*(Inputs!$B$11-Inputs!$B$11),0)))/100)/2</f>
        <v>139375230688999</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1977">
        <f>L1977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1977">
        <f>(1-Summary!$B$11)*S1977+Summary!$B$11*U1977</f>
        <v>1641155153413763.8</v>
      </c>
      <c r="P1977">
        <f>IF(B2003=0,0,O1977/B2003)</f>
        <v>4.9601438888031674E-2</v>
      </c>
      <c r="Q1977">
        <f>IFERROR(1/(IF(Inputs!$B$38="pvp",15,MAX(0.1,Skills!E15-IF(TRUE=TRUE,Inputs!$B$32,0)))*(1-IF(AND(ArtifactsInput!$M$27,Inputs!$B$4="Chapter Hunt"),CHOOSE(ArtifactsInput!$N$27+1,20,24,28,32,36,40),0)/100)),0)</f>
        <v>0.04</v>
      </c>
      <c r="R1977">
        <f>IF(AND(Inputs!$B$38&lt;&gt;"pvp",Inputs!$B$43&gt;0),IF(MAX(0,Inputs!$B$43-B2000)&lt;=0,0,(INT(MAX(0,Inputs!$B$43-B2000)/(IF(Inputs!$B$38="pvp",15,MAX(0.1,Skills!E15-IF(TRUE=TRUE,Inputs!$B$32,0)))*(1-IF(AND(ArtifactsInput!$M$27,Inputs!$B$4="Chapter Hunt"),CHOOSE(ArtifactsInput!$N$27+1,20,24,28,32,36,40),0)/100)))+1)),0)</f>
        <v>2</v>
      </c>
      <c r="S1977">
        <f>IF(C1977,(H1977*N1977*IF(AND(Inputs!$B$38&lt;&gt;"pvp",Inputs!$B$43&gt;0),((Skills!G15*((R1977-1)*IF(Skills!H15&gt;0,Skills!I15/Skills!H15,1)+IF(Skills!H15&gt;0,MIN(Skills!I15,MAX(0,MAX(0,Inputs!$B$43-B2000)-((R1977-1)*(IF(Inputs!$B$38="pvp",15,MAX(0.1,Skills!E15-IF(TRUE=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1977">
        <f>IF(C1977,(H1977*N1977*IF(AND(Inputs!$B$38&lt;&gt;"pvp",Inputs!$B$43&gt;0),((Skills!G15*((R1977-1)*IF(Skills!H15&gt;0,Skills!I15/Skills!H15,1)+IF(Skills!H15&gt;0,MIN(Skills!I15,MAX(0,MAX(0,Inputs!$B$43-B2000)-((R1977-1)*(IF(Inputs!$B$38="pvp",15,MAX(0.1,Skills!E15-IF(TRUE=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1978" spans="1:21" x14ac:dyDescent="0.2">
      <c r="A1978" t="str">
        <f>Skills!A16</f>
        <v>FLAME_HAZE_DOT</v>
      </c>
      <c r="B1978" t="str">
        <f>Skills!B16</f>
        <v>Flame Haze (burn DoT)</v>
      </c>
      <c r="C1978" t="b">
        <f>Inputs!$B$3&gt;=107</f>
        <v>1</v>
      </c>
      <c r="D1978">
        <f>IF(Skills!C16=1,60+Inputs!$B$25+Inputs!$B$29,IF(Skills!C16=2,90+Inputs!$B$26+Inputs!$B$29,IF(Skills!C16=3,120+Inputs!$B$27+Inputs!$B$29,MAX(0,(Inputs!$B$3-100)*3)+Inputs!$B$28+Inputs!$B$29)))</f>
        <v>185</v>
      </c>
      <c r="E1978">
        <f>INDEX(FactorTable!$B$2:$Y$301, MATCH(ROUND(MIN(300,MAX(1,D1978)),0), FactorTable!$A$2:$A$301,0), Skills!M16+1)</f>
        <v>1925</v>
      </c>
      <c r="F1978">
        <f>IF(Skills!N16=TRUE,(Skills!L16/10)*(E1978/1000),Skills!L16/10)+Skills!O16</f>
        <v>288.75</v>
      </c>
      <c r="G1978">
        <f>Calc!G16</f>
        <v>30</v>
      </c>
      <c r="H1978">
        <f>Calc!H16</f>
        <v>1</v>
      </c>
      <c r="I1978">
        <f>IF(Skills!X16&lt;&gt;"",1+(Skills!X16/10)*(Z1965/1000)/100,1)</f>
        <v>1</v>
      </c>
      <c r="J1978">
        <f>((Inputs!$B$6*(1+Inputs!$B$7/100))+(((Inputs!$B$12*(1+Inputs!$B$13/100))-(Inputs!$B$12*(1+Inputs!$B$13/100)))+0.25*(Inputs!$B$14-Inputs!$B$14))*(1+Inputs!$B$7/100))*(F1978/100)</f>
        <v>1042775930.5165126</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5239670326654.0977</v>
      </c>
      <c r="L1978">
        <f>K1978*(MIN(Inputs!$B$22+(F1984-Calc!F22),(Inputs!$B$23+(IF(ArtifactsInput!$M$15,CHOOSE(ArtifactsInput!$N$15+1,25,30,35,40,45,50)/100*(Inputs!$B$11-Inputs!$B$11),0))))/100+(Inputs!$B$23+(IF(ArtifactsInput!$M$15,CHOOSE(ArtifactsInput!$N$15+1,25,30,35,40,45,50)/100*(Inputs!$B$11-Inputs!$B$11),0)))/100)/2</f>
        <v>17421903836124.875</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1978">
        <f>L1978*(1-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1978">
        <f>(1-Summary!$B$11)*S1978+Summary!$B$11*U1978</f>
        <v>1890384927888193</v>
      </c>
      <c r="P1978">
        <f>IF(B2003=0,0,O1978/B2003)</f>
        <v>5.7134032867313167E-2</v>
      </c>
      <c r="Q1978">
        <f>IFERROR(1/(IF(Inputs!$B$38="pvp",15,MAX(0.1,Skills!E16-IF(TRUE=TRUE,Inputs!$B$32,0)))*(1-IF(AND(ArtifactsInput!$M$27,Inputs!$B$4="Chapter Hunt"),CHOOSE(ArtifactsInput!$N$27+1,20,24,28,32,36,40),0)/100)),0)</f>
        <v>0.04</v>
      </c>
      <c r="R1978">
        <f>IF(AND(Inputs!$B$38&lt;&gt;"pvp",Inputs!$B$43&gt;0),IF(MAX(0,Inputs!$B$43-B2000)&lt;=0,0,(INT(MAX(0,Inputs!$B$43-B2000)/(IF(Inputs!$B$38="pvp",15,MAX(0.1,Skills!E16-IF(TRUE=TRUE,Inputs!$B$32,0)))*(1-IF(AND(ArtifactsInput!$M$27,Inputs!$B$4="Chapter Hunt"),CHOOSE(ArtifactsInput!$N$27+1,20,24,28,32,36,40),0)/100)))+1)),0)</f>
        <v>2</v>
      </c>
      <c r="S1978">
        <f>IF(C1978,(H1978*N1978*IF(AND(Inputs!$B$38&lt;&gt;"pvp",Inputs!$B$43&gt;0),((Skills!G16*((R1978-1)*IF(Skills!H16&gt;0,Skills!I16/Skills!H16,1)+IF(Skills!H16&gt;0,MIN(Skills!I16,MAX(0,MAX(0,Inputs!$B$43-B2000)-((R1978-1)*(IF(Inputs!$B$38="pvp",15,MAX(0.1,Skills!E16-IF(TRUE=TRUE,Inputs!$B$32,0)))*(1-IF(AND(ArtifactsInput!$M$27,Inputs!$B$4="Chapter Hunt"),CHOOSE(ArtifactsInput!$N$27+1,20,24,28,32,36,40),0)/100)))))/Skills!H16,1)))/Inputs!$B$43),G1978*Q1978)*(1+IF(Inputs!$B$3&gt;=126,0.05*(B1998+Q1975+(H1976*B1999)/(1+Skills!H14*H1976*B1999)+Q1986),0)*(1/Q1977)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1978">
        <f>IF(C1978,(H1978*N1978*IF(AND(Inputs!$B$38&lt;&gt;"pvp",Inputs!$B$43&gt;0),((Skills!G16*((R1978-1)*IF(Skills!H16&gt;0,Skills!I16/Skills!H16,1)+IF(Skills!H16&gt;0,MIN(Skills!I16,MAX(0,MAX(0,Inputs!$B$43-B2000)-((R1978-1)*(IF(Inputs!$B$38="pvp",15,MAX(0.1,Skills!E16-IF(TRUE=TRUE,Inputs!$B$32,0)))*(1-IF(AND(ArtifactsInput!$M$27,Inputs!$B$4="Chapter Hunt"),CHOOSE(ArtifactsInput!$N$27+1,20,24,28,32,36,40),0)/100)))))/Skills!H16,1)))/Inputs!$B$43),G1978*Q1978)*(1+IF(Inputs!$B$3&gt;=126,0.05*(B1998+Q1975+(H1976*B1999)/(1+Skills!H14*H1976*B1999)+Q1986),0)*(1/Q1977)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1979" spans="1:21" x14ac:dyDescent="0.2">
      <c r="A1979" t="str">
        <f>Skills!A17</f>
        <v>MAGIC_GUARD</v>
      </c>
      <c r="B1979" t="str">
        <f>Skills!B17</f>
        <v>Magic Guard</v>
      </c>
      <c r="C1979" t="b">
        <f>TRUE</f>
        <v>1</v>
      </c>
      <c r="D1979">
        <f>IF(Skills!C17=1,60+Inputs!$B$25+Inputs!$B$29,IF(Skills!C17=2,90+Inputs!$B$26+Inputs!$B$29,IF(Skills!C17=3,120+Inputs!$B$27+Inputs!$B$29,MAX(0,(Inputs!$B$3-100)*3)+Inputs!$B$28+Inputs!$B$29)))</f>
        <v>127</v>
      </c>
      <c r="E1979">
        <f>INDEX(FactorTable!$B$2:$Y$301, MATCH(ROUND(MIN(300,MAX(1,D1979)),0), FactorTable!$A$2:$A$301,0), Skills!M17+1)</f>
        <v>1508</v>
      </c>
      <c r="F1979">
        <f>IF(Skills!N17=TRUE,(Skills!L17/10)*(E1979/1000),Skills!L17/10)+Skills!O17</f>
        <v>18.096</v>
      </c>
      <c r="G1979">
        <f>Calc!G17</f>
        <v>1</v>
      </c>
      <c r="H1979">
        <f>Calc!H17</f>
        <v>1</v>
      </c>
      <c r="I1979">
        <f>IF(Skills!X17&lt;&gt;"",1+(Skills!X17/10)*(Z1965/1000)/100,1)</f>
        <v>1</v>
      </c>
      <c r="O1979">
        <f>(1-Summary!$B$11)*S1979+Summary!$B$11*U1979</f>
        <v>0</v>
      </c>
      <c r="P1979">
        <f>IF(B2003=0,0,O1979/B2003)</f>
        <v>0</v>
      </c>
      <c r="Q1979">
        <f>IFERROR(1/(IF(Inputs!$B$38="pvp",15,MAX(0.1,Skills!E17-IF(TRUE=TRUE,Inputs!$B$32,0)))*(1-IF(AND(ArtifactsInput!$M$27,Inputs!$B$4="Chapter Hunt"),CHOOSE(ArtifactsInput!$N$27+1,20,24,28,32,36,40),0)/100)),0)</f>
        <v>4.7619047619047616E-2</v>
      </c>
      <c r="R1979">
        <f>IF(AND(Inputs!$B$38&lt;&gt;"pvp",Inputs!$B$43&gt;0),IF(Inputs!$B$43&lt;=0,0,(INT(Inputs!$B$43/(IF(Inputs!$B$38="pvp",15,MAX(0.1,Skills!E17-IF(TRUE=TRUE,Inputs!$B$32,0)))*(1-IF(AND(ArtifactsInput!$M$27,Inputs!$B$4="Chapter Hunt"),CHOOSE(ArtifactsInput!$N$27+1,20,24,28,32,36,40),0)/100)))+1)),0)</f>
        <v>2</v>
      </c>
      <c r="S1979">
        <v>0</v>
      </c>
      <c r="U1979">
        <v>0</v>
      </c>
    </row>
    <row r="1980" spans="1:21" x14ac:dyDescent="0.2">
      <c r="A1980" t="str">
        <f>Skills!A18</f>
        <v>NIMBLE_FEET</v>
      </c>
      <c r="B1980" t="str">
        <f>Skills!B18</f>
        <v>Nimble Feet</v>
      </c>
      <c r="C1980" t="b">
        <f>TRUE</f>
        <v>1</v>
      </c>
      <c r="D1980">
        <f>IF(Skills!C18=1,60+Inputs!$B$25+Inputs!$B$29,IF(Skills!C18=2,90+Inputs!$B$26+Inputs!$B$29,IF(Skills!C18=3,120+Inputs!$B$27+Inputs!$B$29,MAX(0,(Inputs!$B$3-100)*3)+Inputs!$B$28+Inputs!$B$29)))</f>
        <v>127</v>
      </c>
      <c r="E1980">
        <f>INDEX(FactorTable!$B$2:$Y$301, MATCH(ROUND(MIN(300,MAX(1,D1980)),0), FactorTable!$A$2:$A$301,0), Skills!M18+1)</f>
        <v>0</v>
      </c>
      <c r="F1980">
        <f>IF(Skills!N18=TRUE,(Skills!L18/10)*(E1980/1000),Skills!L18/10)+Skills!O18</f>
        <v>15</v>
      </c>
      <c r="G1980">
        <f>Calc!G18</f>
        <v>1</v>
      </c>
      <c r="H1980">
        <f>Calc!H18</f>
        <v>1</v>
      </c>
      <c r="I1980">
        <f>IF(Skills!X18&lt;&gt;"",1+(Skills!X18/10)*(Z1965/1000)/100,1)</f>
        <v>1</v>
      </c>
      <c r="O1980">
        <f>(1-Summary!$B$11)*S1980+Summary!$B$11*U1980</f>
        <v>0</v>
      </c>
      <c r="P1980">
        <f>IF(B2003=0,0,O1980/B2003)</f>
        <v>0</v>
      </c>
      <c r="Q1980">
        <f>IFERROR(1/(IF(Inputs!$B$38="pvp",15,MAX(0.1,Skills!E18-IF(TRUE=TRUE,Inputs!$B$32,0)))*(1-IF(AND(ArtifactsInput!$M$27,Inputs!$B$4="Chapter Hunt"),CHOOSE(ArtifactsInput!$N$27+1,20,24,28,32,36,40),0)/100)),0)</f>
        <v>1.6666666666666666E-2</v>
      </c>
      <c r="R1980">
        <f>IF(AND(Inputs!$B$38&lt;&gt;"pvp",Inputs!$B$43&gt;0),IF(Inputs!$B$43&lt;=0,0,(INT(Inputs!$B$43/(IF(Inputs!$B$38="pvp",15,MAX(0.1,Skills!E18-IF(TRUE=TRUE,Inputs!$B$32,0)))*(1-IF(AND(ArtifactsInput!$M$27,Inputs!$B$4="Chapter Hunt"),CHOOSE(ArtifactsInput!$N$27+1,20,24,28,32,36,40),0)/100)))+1)),0)</f>
        <v>1</v>
      </c>
      <c r="S1980">
        <v>0</v>
      </c>
      <c r="U1980">
        <v>0</v>
      </c>
    </row>
    <row r="1981" spans="1:21" x14ac:dyDescent="0.2">
      <c r="A1981" t="str">
        <f>Skills!A19</f>
        <v>INFINITY</v>
      </c>
      <c r="B1981" t="str">
        <f>Skills!B19</f>
        <v>Infinity</v>
      </c>
      <c r="C1981" t="b">
        <f>Inputs!$B$3&gt;=110</f>
        <v>1</v>
      </c>
      <c r="D1981">
        <f>IF(Skills!C19=1,60+Inputs!$B$25+Inputs!$B$29,IF(Skills!C19=2,90+Inputs!$B$26+Inputs!$B$29,IF(Skills!C19=3,120+Inputs!$B$27+Inputs!$B$29,MAX(0,(Inputs!$B$3-100)*3)+Inputs!$B$28+Inputs!$B$29)))</f>
        <v>185</v>
      </c>
      <c r="E1981">
        <f>INDEX(FactorTable!$B$2:$Y$301, MATCH(ROUND(MIN(300,MAX(1,D1981)),0), FactorTable!$A$2:$A$301,0), Skills!M19+1)</f>
        <v>1740</v>
      </c>
      <c r="F1981">
        <f>IF(Skills!N19=TRUE,(Skills!L19/10)*(E1981/1000),Skills!L19/10)+Skills!O19</f>
        <v>37.700579999999995</v>
      </c>
      <c r="G1981">
        <f>Calc!G19</f>
        <v>1</v>
      </c>
      <c r="H1981">
        <f>Calc!H19</f>
        <v>1</v>
      </c>
      <c r="I1981">
        <f>IF(Skills!X19&lt;&gt;"",1+(Skills!X19/10)*(Z1965/1000)/100,1)</f>
        <v>1</v>
      </c>
      <c r="O1981">
        <f>(1-Summary!$B$11)*S1981+Summary!$B$11*U1981</f>
        <v>0</v>
      </c>
      <c r="P1981">
        <f>IF(B2003=0,0,O1981/B2003)</f>
        <v>0</v>
      </c>
      <c r="Q1981">
        <f>IFERROR(1/(IF(Inputs!$B$38="pvp",15,MAX(0.1,Skills!E19-IF(TRUE=TRUE,Inputs!$B$32,0)))*(1-IF(AND(ArtifactsInput!$M$27,Inputs!$B$4="Chapter Hunt"),CHOOSE(ArtifactsInput!$N$27+1,20,24,28,32,36,40),0)/100)),0)</f>
        <v>3.3333333333333333E-2</v>
      </c>
      <c r="R1981">
        <f>IF(AND(Inputs!$B$38&lt;&gt;"pvp",Inputs!$B$43&gt;0),IF(Inputs!$B$43&lt;=0,0,(INT(Inputs!$B$43/(IF(Inputs!$B$38="pvp",15,MAX(0.1,Skills!E19-IF(TRUE=TRUE,Inputs!$B$32,0)))*(1-IF(AND(ArtifactsInput!$M$27,Inputs!$B$4="Chapter Hunt"),CHOOSE(ArtifactsInput!$N$27+1,20,24,28,32,36,40),0)/100)))+1)),0)</f>
        <v>2</v>
      </c>
      <c r="S1981">
        <v>0</v>
      </c>
      <c r="U1981">
        <v>0</v>
      </c>
    </row>
    <row r="1982" spans="1:21" x14ac:dyDescent="0.2">
      <c r="A1982" t="str">
        <f>Skills!A20</f>
        <v>MAGIC_CRITICAL_RATE</v>
      </c>
      <c r="B1982" t="str">
        <f>Skills!B20</f>
        <v>Magic Critical (Crit Rate)</v>
      </c>
      <c r="C1982" t="b">
        <f>TRUE</f>
        <v>1</v>
      </c>
      <c r="D1982">
        <f>IF(Skills!C20=1,60+Inputs!$B$25+Inputs!$B$29,IF(Skills!C20=2,90+Inputs!$B$26+Inputs!$B$29,IF(Skills!C20=3,120+Inputs!$B$27+Inputs!$B$29,MAX(0,(Inputs!$B$3-100)*3)+Inputs!$B$28+Inputs!$B$29)))</f>
        <v>184</v>
      </c>
      <c r="E1982">
        <f>INDEX(FactorTable!$B$2:$Y$301, MATCH(ROUND(MIN(300,MAX(1,D1982)),0), FactorTable!$A$2:$A$301,0), Skills!M20+1)</f>
        <v>1552</v>
      </c>
      <c r="F1982">
        <f>IF(Skills!N20=TRUE,(Skills!L20/10)*(E1982/1000),Skills!L20/10)+Skills!O20</f>
        <v>12.416</v>
      </c>
      <c r="G1982">
        <f>Calc!G20</f>
        <v>1</v>
      </c>
      <c r="H1982">
        <f>Calc!H20</f>
        <v>1</v>
      </c>
      <c r="I1982">
        <f>IF(Skills!X20&lt;&gt;"",1+(Skills!X20/10)*(Z1965/1000)/100,1)</f>
        <v>1</v>
      </c>
      <c r="O1982">
        <f>(1-Summary!$B$11)*S1982+Summary!$B$11*U1982</f>
        <v>0</v>
      </c>
      <c r="P1982">
        <f>IF(B2003=0,0,O1982/B2003)</f>
        <v>0</v>
      </c>
      <c r="Q1982">
        <f>IFERROR(1/(IF(Inputs!$B$38="pvp",15,MAX(0.1,Skills!E20-IF(TRUE=TRUE,Inputs!$B$32,0)))*(1-IF(AND(ArtifactsInput!$M$27,Inputs!$B$4="Chapter Hunt"),CHOOSE(ArtifactsInput!$N$27+1,20,24,28,32,36,40),0)/100)),0)</f>
        <v>10</v>
      </c>
      <c r="R1982">
        <v>0</v>
      </c>
      <c r="S1982">
        <v>0</v>
      </c>
      <c r="U1982">
        <v>0</v>
      </c>
    </row>
    <row r="1983" spans="1:21" x14ac:dyDescent="0.2">
      <c r="A1983" t="str">
        <f>Skills!A21</f>
        <v>MAGIC_CRITICAL_DAMAGE</v>
      </c>
      <c r="B1983" t="str">
        <f>Skills!B21</f>
        <v>Magic Critical (Crit Damage)</v>
      </c>
      <c r="C1983" t="b">
        <f>TRUE</f>
        <v>1</v>
      </c>
      <c r="D1983">
        <f>IF(Skills!C21=1,60+Inputs!$B$25+Inputs!$B$29,IF(Skills!C21=2,90+Inputs!$B$26+Inputs!$B$29,IF(Skills!C21=3,120+Inputs!$B$27+Inputs!$B$29,MAX(0,(Inputs!$B$3-100)*3)+Inputs!$B$28+Inputs!$B$29)))</f>
        <v>184</v>
      </c>
      <c r="E1983">
        <f>INDEX(FactorTable!$B$2:$Y$301, MATCH(ROUND(MIN(300,MAX(1,D1983)),0), FactorTable!$A$2:$A$301,0), Skills!M21+1)</f>
        <v>1552</v>
      </c>
      <c r="F1983">
        <f>IF(Skills!N21=TRUE,(Skills!L21/10)*(E1983/1000),Skills!L21/10)+Skills!O21</f>
        <v>18.624000000000002</v>
      </c>
      <c r="G1983">
        <f>Calc!G21</f>
        <v>1</v>
      </c>
      <c r="H1983">
        <f>Calc!H21</f>
        <v>1</v>
      </c>
      <c r="I1983">
        <f>IF(Skills!X21&lt;&gt;"",1+(Skills!X21/10)*(Z1965/1000)/100,1)</f>
        <v>1</v>
      </c>
      <c r="O1983">
        <f>(1-Summary!$B$11)*S1983+Summary!$B$11*U1983</f>
        <v>0</v>
      </c>
      <c r="P1983">
        <f>IF(B2003=0,0,O1983/B2003)</f>
        <v>0</v>
      </c>
      <c r="Q1983">
        <f>IFERROR(1/(IF(Inputs!$B$38="pvp",15,MAX(0.1,Skills!E21-IF(TRUE=TRUE,Inputs!$B$32,0)))*(1-IF(AND(ArtifactsInput!$M$27,Inputs!$B$4="Chapter Hunt"),CHOOSE(ArtifactsInput!$N$27+1,20,24,28,32,36,40),0)/100)),0)</f>
        <v>10</v>
      </c>
      <c r="R1983">
        <v>0</v>
      </c>
      <c r="S1983">
        <v>0</v>
      </c>
      <c r="U1983">
        <v>0</v>
      </c>
    </row>
    <row r="1984" spans="1:21" x14ac:dyDescent="0.2">
      <c r="A1984" t="str">
        <f>Skills!A22</f>
        <v>SPELL_MASTERY</v>
      </c>
      <c r="B1984" t="str">
        <f>Skills!B22</f>
        <v>Spell Mastery</v>
      </c>
      <c r="C1984" t="b">
        <f>TRUE</f>
        <v>1</v>
      </c>
      <c r="D1984">
        <f>IF(Skills!C22=1,60+Inputs!$B$25+Inputs!$B$29,IF(Skills!C22=2,90+Inputs!$B$26+Inputs!$B$29,IF(Skills!C22=3,120+Inputs!$B$27+Inputs!$B$29,MAX(0,(Inputs!$B$3-100)*3)+Inputs!$B$28+Inputs!$B$29)))</f>
        <v>168</v>
      </c>
      <c r="E1984">
        <f>INDEX(FactorTable!$B$2:$Y$301, MATCH(ROUND(MIN(300,MAX(1,D1984)),0), FactorTable!$A$2:$A$301,0), Skills!M22+1)</f>
        <v>1504</v>
      </c>
      <c r="F1984">
        <f>IF(Skills!N22=TRUE,(Skills!L22/10)*(E1984/1000),Skills!L22/10)+Skills!O22</f>
        <v>22.56</v>
      </c>
      <c r="G1984">
        <f>Calc!G22</f>
        <v>1</v>
      </c>
      <c r="H1984">
        <f>Calc!H22</f>
        <v>1</v>
      </c>
      <c r="I1984">
        <f>IF(Skills!X22&lt;&gt;"",1+(Skills!X22/10)*(Z1965/1000)/100,1)</f>
        <v>1</v>
      </c>
      <c r="O1984">
        <f>(1-Summary!$B$11)*S1984+Summary!$B$11*U1984</f>
        <v>0</v>
      </c>
      <c r="P1984">
        <f>IF(B2003=0,0,O1984/B2003)</f>
        <v>0</v>
      </c>
      <c r="Q1984">
        <f>IFERROR(1/(IF(Inputs!$B$38="pvp",15,MAX(0.1,Skills!E22-IF(TRUE=TRUE,Inputs!$B$32,0)))*(1-IF(AND(ArtifactsInput!$M$27,Inputs!$B$4="Chapter Hunt"),CHOOSE(ArtifactsInput!$N$27+1,20,24,28,32,36,40),0)/100)),0)</f>
        <v>10</v>
      </c>
      <c r="R1984">
        <v>0</v>
      </c>
      <c r="S1984">
        <v>0</v>
      </c>
      <c r="U1984">
        <v>0</v>
      </c>
    </row>
    <row r="1985" spans="1:21" x14ac:dyDescent="0.2">
      <c r="A1985" t="str">
        <f>Skills!A23</f>
        <v>ELEMENT_AMPLIFICATION</v>
      </c>
      <c r="B1985" t="str">
        <f>Skills!B23</f>
        <v>Element Amplification</v>
      </c>
      <c r="C1985" t="b">
        <f>TRUE</f>
        <v>1</v>
      </c>
      <c r="D1985">
        <f>IF(Skills!C23=1,60+Inputs!$B$25+Inputs!$B$29,IF(Skills!C23=2,90+Inputs!$B$26+Inputs!$B$29,IF(Skills!C23=3,120+Inputs!$B$27+Inputs!$B$29,MAX(0,(Inputs!$B$3-100)*3)+Inputs!$B$28+Inputs!$B$29)))</f>
        <v>185</v>
      </c>
      <c r="E1985">
        <f>INDEX(FactorTable!$B$2:$Y$301, MATCH(ROUND(MIN(300,MAX(1,D1985)),0), FactorTable!$A$2:$A$301,0), Skills!M23+1)</f>
        <v>1555</v>
      </c>
      <c r="F1985">
        <f>IF(Skills!N23=TRUE,(Skills!L23/10)*(E1985/1000),Skills!L23/10)+Skills!O23</f>
        <v>23.324999999999999</v>
      </c>
      <c r="G1985">
        <f>Calc!G23</f>
        <v>1</v>
      </c>
      <c r="H1985">
        <f>Calc!H23</f>
        <v>1</v>
      </c>
      <c r="I1985">
        <f>IF(Skills!X23&lt;&gt;"",1+(Skills!X23/10)*(Z1965/1000)/100,1)</f>
        <v>1</v>
      </c>
      <c r="O1985">
        <f>(1-Summary!$B$11)*S1985+Summary!$B$11*U1985</f>
        <v>0</v>
      </c>
      <c r="P1985">
        <f>IF(B2003=0,0,O1985/B2003)</f>
        <v>0</v>
      </c>
      <c r="Q1985">
        <f>IFERROR(1/(IF(Inputs!$B$38="pvp",15,MAX(0.1,Skills!E23-IF(TRUE=TRUE,Inputs!$B$32,0)))*(1-IF(AND(ArtifactsInput!$M$27,Inputs!$B$4="Chapter Hunt"),CHOOSE(ArtifactsInput!$N$27+1,20,24,28,32,36,40),0)/100)),0)</f>
        <v>10</v>
      </c>
      <c r="R1985">
        <v>0</v>
      </c>
      <c r="S1985">
        <v>0</v>
      </c>
      <c r="U1985">
        <v>0</v>
      </c>
    </row>
    <row r="1986" spans="1:21" x14ac:dyDescent="0.2">
      <c r="A1986" t="str">
        <f>Skills!A24</f>
        <v>IFRIT</v>
      </c>
      <c r="B1986" t="str">
        <f>Skills!B24</f>
        <v>Ifrit</v>
      </c>
      <c r="C1986" t="b">
        <f>Inputs!$B$3&gt;=115</f>
        <v>1</v>
      </c>
      <c r="D1986">
        <f>IF(Skills!C24=1,60+Inputs!$B$25+Inputs!$B$29,IF(Skills!C24=2,90+Inputs!$B$26+Inputs!$B$29,IF(Skills!C24=3,120+Inputs!$B$27+Inputs!$B$29,MAX(0,(Inputs!$B$3-100)*3)+Inputs!$B$28+Inputs!$B$29)))</f>
        <v>185</v>
      </c>
      <c r="E1986">
        <f>INDEX(FactorTable!$B$2:$Y$301, MATCH(ROUND(MIN(300,MAX(1,D1986)),0), FactorTable!$A$2:$A$301,0), Skills!M24+1)</f>
        <v>1925</v>
      </c>
      <c r="F1986">
        <f>IF(Skills!N24=TRUE,(Skills!L24/10)*(E1986/1000),Skills!L24/10)+Skills!O24</f>
        <v>6737.5</v>
      </c>
      <c r="G1986">
        <f>Calc!G24</f>
        <v>7.5</v>
      </c>
      <c r="H1986">
        <f>Calc!H24</f>
        <v>1</v>
      </c>
      <c r="I1986">
        <f>IF(Skills!X24&lt;&gt;"",1+(Skills!X24/10)*(Z1965/1000)/100,1)</f>
        <v>1</v>
      </c>
      <c r="J1986">
        <f>((Inputs!$B$6*(1+Inputs!$B$7/100))+(((Inputs!$B$12*(1+Inputs!$B$13/100))-(Inputs!$B$12*(1+Inputs!$B$13/100)))+0.25*(Inputs!$B$14-Inputs!$B$14))*(1+Inputs!$B$7/100))*(F1986/100)</f>
        <v>24331438378.718628</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122258974288595.61</v>
      </c>
      <c r="L1986">
        <f>K1986*(MIN(Inputs!$B$22+(F1984-Calc!F22),(Inputs!$B$23+(IF(ArtifactsInput!$M$15,CHOOSE(ArtifactsInput!$N$15+1,25,30,35,40,45,50)/100*(Inputs!$B$11-Inputs!$B$11),0))))/100+(Inputs!$B$23+(IF(ArtifactsInput!$M$15,CHOOSE(ArtifactsInput!$N$15+1,25,30,35,40,45,50)/100*(Inputs!$B$11-Inputs!$B$11),0)))/100)/2</f>
        <v>406511089509580.44</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1986">
        <f>L1986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1986">
        <f>(1-Summary!$B$11)*S1986+Summary!$B$11*U1986</f>
        <v>2194085169658842.8</v>
      </c>
      <c r="P1986">
        <f>IF(B2003=0,0,O1986/B2003)</f>
        <v>6.6312914553869617E-2</v>
      </c>
      <c r="Q1986">
        <f>IFERROR(1/(IF(Inputs!$B$38="pvp",15,MAX(0.1,Skills!E24-IF(TRUE=TRUE,Inputs!$B$32,0)))*(1-IF(AND(ArtifactsInput!$M$27,Inputs!$B$4="Chapter Hunt"),CHOOSE(ArtifactsInput!$N$27+1,20,24,28,32,36,40),0)/100)),0)</f>
        <v>1.2500000000000001E-2</v>
      </c>
      <c r="R1986">
        <f>IF(AND(Inputs!$B$38&lt;&gt;"pvp",Inputs!$B$43&gt;0),IF(MAX(0,Inputs!$B$43-B2000)&lt;=0,0,(INT(MAX(0,Inputs!$B$43-B2000)/(IF(Inputs!$B$38="pvp",15,MAX(0.1,Skills!E24-IF(TRUE=TRUE,Inputs!$B$32,0)))*(1-IF(AND(ArtifactsInput!$M$27,Inputs!$B$4="Chapter Hunt"),CHOOSE(ArtifactsInput!$N$27+1,20,24,28,32,36,40),0)/100)))+1)),0)</f>
        <v>1</v>
      </c>
      <c r="S1986">
        <f>IF(C1986,(H1986*N1986*IF(AND(Inputs!$B$38&lt;&gt;"pvp",Inputs!$B$43&gt;0),((Skills!G24*((R1986-1)*IF(Skills!H24&gt;0,Skills!I24/Skills!H24,1)+IF(Skills!H24&gt;0,MIN(Skills!I24,MAX(0,MAX(0,Inputs!$B$43-B2000)-((R1986-1)*(IF(Inputs!$B$38="pvp",15,MAX(0.1,Skills!E24-IF(TRUE=TRUE,Inputs!$B$32,0)))*(1-IF(AND(ArtifactsInput!$M$27,Inputs!$B$4="Chapter Hunt"),CHOOSE(ArtifactsInput!$N$27+1,20,24,28,32,36,40),0)/100)))))/Skills!H24,1)))/Inputs!$B$43),G1986*Q1986)*(1+IF(Inputs!$B$3&gt;=130,0.2*(Skills!I16/(1/Q1977)+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1986">
        <f>IF(C1986,(H1986*N1986*IF(AND(Inputs!$B$38&lt;&gt;"pvp",Inputs!$B$43&gt;0),((Skills!G24*((R1986-1)*IF(Skills!H24&gt;0,Skills!I24/Skills!H24,1)+IF(Skills!H24&gt;0,MIN(Skills!I24,MAX(0,MAX(0,Inputs!$B$43-B2000)-((R1986-1)*(IF(Inputs!$B$38="pvp",15,MAX(0.1,Skills!E24-IF(TRUE=TRUE,Inputs!$B$32,0)))*(1-IF(AND(ArtifactsInput!$M$27,Inputs!$B$4="Chapter Hunt"),CHOOSE(ArtifactsInput!$N$27+1,20,24,28,32,36,40),0)/100)))))/Skills!H24,1)))/Inputs!$B$43),G1986*Q1986)*(1+IF(Inputs!$B$3&gt;=130,0.2*(Skills!I16/(1/Q1977)+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1987" spans="1:21" x14ac:dyDescent="0.2">
      <c r="A1987" t="str">
        <f>Skills!A25</f>
        <v>BUFF_MASTERY</v>
      </c>
      <c r="B1987" t="str">
        <f>Skills!B25</f>
        <v>Buff Mastery</v>
      </c>
      <c r="C1987" t="b">
        <f>Inputs!$B$3&gt;=117</f>
        <v>1</v>
      </c>
      <c r="D1987">
        <f>IF(Skills!C25=1,60+Inputs!$B$25+Inputs!$B$29,IF(Skills!C25=2,90+Inputs!$B$26+Inputs!$B$29,IF(Skills!C25=3,120+Inputs!$B$27+Inputs!$B$29,MAX(0,(Inputs!$B$3-100)*3)+Inputs!$B$28+Inputs!$B$29)))</f>
        <v>185</v>
      </c>
      <c r="E1987">
        <f>INDEX(FactorTable!$B$2:$Y$301, MATCH(ROUND(MIN(300,MAX(1,D1987)),0), FactorTable!$A$2:$A$301,0), Skills!M25+1)</f>
        <v>1555</v>
      </c>
      <c r="F1987">
        <f>IF(Skills!N25=TRUE,(Skills!L25/10)*(E1987/1000),Skills!L25/10)+Skills!O25</f>
        <v>15.549999999999999</v>
      </c>
      <c r="G1987">
        <f>Calc!G25</f>
        <v>1</v>
      </c>
      <c r="H1987">
        <f>Calc!H25</f>
        <v>1</v>
      </c>
      <c r="I1987">
        <f>IF(Skills!X25&lt;&gt;"",1+(Skills!X25/10)*(Z1965/1000)/100,1)</f>
        <v>1</v>
      </c>
      <c r="O1987">
        <f>(1-Summary!$B$11)*S1987+Summary!$B$11*U1987</f>
        <v>0</v>
      </c>
      <c r="P1987">
        <f>IF(B2003=0,0,O1987/B2003)</f>
        <v>0</v>
      </c>
      <c r="Q1987">
        <f>IFERROR(1/(IF(Inputs!$B$38="pvp",15,MAX(0.1,Skills!E25-IF(TRUE=TRUE,Inputs!$B$32,0)))*(1-IF(AND(ArtifactsInput!$M$27,Inputs!$B$4="Chapter Hunt"),CHOOSE(ArtifactsInput!$N$27+1,20,24,28,32,36,40),0)/100)),0)</f>
        <v>10</v>
      </c>
      <c r="R1987">
        <v>0</v>
      </c>
      <c r="S1987">
        <v>0</v>
      </c>
      <c r="U1987">
        <v>0</v>
      </c>
    </row>
    <row r="1988" spans="1:21" x14ac:dyDescent="0.2">
      <c r="A1988" t="str">
        <f>Skills!A26</f>
        <v>ARCANE_AIM</v>
      </c>
      <c r="B1988" t="str">
        <f>Skills!B26</f>
        <v>Arcane Aim</v>
      </c>
      <c r="C1988" t="b">
        <f>Inputs!$B$3&gt;=120</f>
        <v>0</v>
      </c>
      <c r="D1988">
        <f>IF(Skills!C26=1,60+Inputs!$B$25+Inputs!$B$29,IF(Skills!C26=2,90+Inputs!$B$26+Inputs!$B$29,IF(Skills!C26=3,120+Inputs!$B$27+Inputs!$B$29,MAX(0,(Inputs!$B$3-100)*3)+Inputs!$B$28+Inputs!$B$29)))</f>
        <v>185</v>
      </c>
      <c r="E1988">
        <f>INDEX(FactorTable!$B$2:$Y$301, MATCH(ROUND(MIN(300,MAX(1,D1988)),0), FactorTable!$A$2:$A$301,0), Skills!M26+1)</f>
        <v>1555</v>
      </c>
      <c r="F1988">
        <f>IF(Skills!N26=TRUE,(Skills!L26/10)*(E1988/1000),Skills!L26/10)+Skills!O26</f>
        <v>4.665</v>
      </c>
      <c r="G1988">
        <f>Calc!G26</f>
        <v>1</v>
      </c>
      <c r="H1988">
        <f>Calc!H26</f>
        <v>1</v>
      </c>
      <c r="I1988">
        <f>IF(Skills!X26&lt;&gt;"",1+(Skills!X26/10)*(Z1965/1000)/100,1)</f>
        <v>1</v>
      </c>
      <c r="O1988">
        <f>(1-Summary!$B$11)*S1988+Summary!$B$11*U1988</f>
        <v>0</v>
      </c>
      <c r="P1988">
        <f>IF(B2003=0,0,O1988/B2003)</f>
        <v>0</v>
      </c>
      <c r="Q1988">
        <f>IFERROR(1/(IF(Inputs!$B$38="pvp",15,MAX(0.1,Skills!E26-IF(TRUE=TRUE,Inputs!$B$32,0)))*(1-IF(AND(ArtifactsInput!$M$27,Inputs!$B$4="Chapter Hunt"),CHOOSE(ArtifactsInput!$N$27+1,20,24,28,32,36,40),0)/100)),0)</f>
        <v>10</v>
      </c>
      <c r="R1988">
        <v>0</v>
      </c>
      <c r="S1988">
        <v>0</v>
      </c>
      <c r="U1988">
        <v>0</v>
      </c>
    </row>
    <row r="1989" spans="1:21" x14ac:dyDescent="0.2">
      <c r="A1989" t="str">
        <f>Skills!A27</f>
        <v>FERVENT_DRAIN</v>
      </c>
      <c r="B1989" t="str">
        <f>Skills!B27</f>
        <v>Fervent Drain</v>
      </c>
      <c r="C1989" t="b">
        <f>Inputs!$B$3&gt;=125</f>
        <v>0</v>
      </c>
      <c r="D1989">
        <f>IF(Skills!C27=1,60+Inputs!$B$25+Inputs!$B$29,IF(Skills!C27=2,90+Inputs!$B$26+Inputs!$B$29,IF(Skills!C27=3,120+Inputs!$B$27+Inputs!$B$29,MAX(0,(Inputs!$B$3-100)*3)+Inputs!$B$28+Inputs!$B$29)))</f>
        <v>185</v>
      </c>
      <c r="E1989">
        <f>INDEX(FactorTable!$B$2:$Y$301, MATCH(ROUND(MIN(300,MAX(1,D1989)),0), FactorTable!$A$2:$A$301,0), Skills!M27+1)</f>
        <v>1555</v>
      </c>
      <c r="F1989">
        <f>IF(Skills!N27=TRUE,(Skills!L27/10)*(E1989/1000),Skills!L27/10)+Skills!O27</f>
        <v>6.22</v>
      </c>
      <c r="G1989">
        <f>Calc!G27</f>
        <v>1</v>
      </c>
      <c r="H1989">
        <f>Calc!H27</f>
        <v>1</v>
      </c>
      <c r="I1989">
        <f>IF(Skills!X27&lt;&gt;"",1+(Skills!X27/10)*(Z1965/1000)/100,1)</f>
        <v>1</v>
      </c>
      <c r="O1989">
        <f>(1-Summary!$B$11)*S1989+Summary!$B$11*U1989</f>
        <v>0</v>
      </c>
      <c r="P1989">
        <f>IF(B2003=0,0,O1989/B2003)</f>
        <v>0</v>
      </c>
      <c r="Q1989">
        <f>IFERROR(1/(IF(Inputs!$B$38="pvp",15,MAX(0.1,Skills!E27-IF(TRUE=TRUE,Inputs!$B$32,0)))*(1-IF(AND(ArtifactsInput!$M$27,Inputs!$B$4="Chapter Hunt"),CHOOSE(ArtifactsInput!$N$27+1,20,24,28,32,36,40),0)/100)),0)</f>
        <v>10</v>
      </c>
      <c r="R1989">
        <v>0</v>
      </c>
      <c r="S1989">
        <v>0</v>
      </c>
      <c r="U1989">
        <v>0</v>
      </c>
    </row>
    <row r="1990" spans="1:21" x14ac:dyDescent="0.2">
      <c r="A1990" t="str">
        <f>Skills!A28</f>
        <v>FLAME_HAZE_FOG</v>
      </c>
      <c r="B1990" t="str">
        <f>Skills!B28</f>
        <v>Flame Haze (poison fog DoT)</v>
      </c>
      <c r="C1990" t="b">
        <f>Inputs!$B$3&gt;=118</f>
        <v>0</v>
      </c>
      <c r="D1990">
        <f>IF(Skills!C28=1,60+Inputs!$B$25+Inputs!$B$29,IF(Skills!C28=2,90+Inputs!$B$26+Inputs!$B$29,IF(Skills!C28=3,120+Inputs!$B$27+Inputs!$B$29,MAX(0,(Inputs!$B$3-100)*3)+Inputs!$B$28+Inputs!$B$29)))</f>
        <v>185</v>
      </c>
      <c r="E1990">
        <f>INDEX(FactorTable!$B$2:$Y$301, MATCH(ROUND(MIN(300,MAX(1,D1990)),0), FactorTable!$A$2:$A$301,0), Skills!M28+1)</f>
        <v>1925</v>
      </c>
      <c r="F1990">
        <f>IF(Skills!N28=TRUE,(Skills!L28/10)*(E1990/1000),Skills!L28/10)+Skills!O28</f>
        <v>134.75</v>
      </c>
      <c r="G1990">
        <f>Calc!G28</f>
        <v>50</v>
      </c>
      <c r="H1990">
        <f>Calc!H28</f>
        <v>1</v>
      </c>
      <c r="I1990">
        <f>IF(Skills!X28&lt;&gt;"",1+(Skills!X28/10)*(Z1965/1000)/100,1)</f>
        <v>1</v>
      </c>
      <c r="J1990">
        <f>((Inputs!$B$6*(1+Inputs!$B$7/100))+(((Inputs!$B$12*(1+Inputs!$B$13/100))-(Inputs!$B$12*(1+Inputs!$B$13/100)))+0.25*(Inputs!$B$14-Inputs!$B$14))*(1+Inputs!$B$7/100))*(F1990/100)</f>
        <v>486628767.57437253</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2445179485771.9116</v>
      </c>
      <c r="L1990">
        <f>K1990*(MIN(Inputs!$B$22+(F1984-Calc!F22),(Inputs!$B$23+(IF(ArtifactsInput!$M$15,CHOOSE(ArtifactsInput!$N$15+1,25,30,35,40,45,50)/100*(Inputs!$B$11-Inputs!$B$11),0))))/100+(Inputs!$B$23+(IF(ArtifactsInput!$M$15,CHOOSE(ArtifactsInput!$N$15+1,25,30,35,40,45,50)/100*(Inputs!$B$11-Inputs!$B$11),0)))/100)/2</f>
        <v>8130221790191.6064</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1990">
        <f>L1990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1990">
        <f>(1-Summary!$B$11)*S1990+Summary!$B$11*U1990</f>
        <v>0</v>
      </c>
      <c r="P1990">
        <f>IF(B2003=0,0,O1990/B2003)</f>
        <v>0</v>
      </c>
      <c r="Q1990">
        <f>IFERROR(1/(IF(Inputs!$B$38="pvp",15,MAX(0.1,Skills!E28-IF(TRUE=TRUE,Inputs!$B$32,0)))*(1-IF(AND(ArtifactsInput!$M$27,Inputs!$B$4="Chapter Hunt"),CHOOSE(ArtifactsInput!$N$27+1,20,24,28,32,36,40),0)/100)),0)</f>
        <v>0.04</v>
      </c>
      <c r="R1990">
        <f>IF(AND(Inputs!$B$38&lt;&gt;"pvp",Inputs!$B$43&gt;0),IF(MAX(0,Inputs!$B$43-B2000)&lt;=0,0,(INT(MAX(0,Inputs!$B$43-B2000)/(IF(Inputs!$B$38="pvp",15,MAX(0.1,Skills!E28-IF(TRUE=TRUE,Inputs!$B$32,0)))*(1-IF(AND(ArtifactsInput!$M$27,Inputs!$B$4="Chapter Hunt"),CHOOSE(ArtifactsInput!$N$27+1,20,24,28,32,36,40),0)/100)))+1)),0)</f>
        <v>2</v>
      </c>
      <c r="S1990">
        <f>IF(C1990,(H1990*N1990*IF(AND(Inputs!$B$38&lt;&gt;"pvp",Inputs!$B$43&gt;0),((Skills!G28*((R1990-1)*IF(Skills!H28&gt;0,Skills!I28/Skills!H28,1)+IF(Skills!H28&gt;0,MIN(Skills!I28,MAX(0,MAX(0,Inputs!$B$43-B2000)-((R1990-1)*(IF(Inputs!$B$38="pvp",15,MAX(0.1,Skills!E28-IF(TRUE=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90">
        <f>IF(C1990,(H1990*N1990*IF(AND(Inputs!$B$38&lt;&gt;"pvp",Inputs!$B$43&gt;0),((Skills!G28*((R1990-1)*IF(Skills!H28&gt;0,Skills!I28/Skills!H28,1)+IF(Skills!H28&gt;0,MIN(Skills!I28,MAX(0,MAX(0,Inputs!$B$43-B2000)-((R1990-1)*(IF(Inputs!$B$38="pvp",15,MAX(0.1,Skills!E28-IF(TRUE=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92" spans="1:21" x14ac:dyDescent="0.2">
      <c r="A1992" t="s">
        <v>356</v>
      </c>
      <c r="B1992">
        <f>1+(F1973*Skills!Z11)/100</f>
        <v>1.25</v>
      </c>
    </row>
    <row r="1993" spans="1:21" x14ac:dyDescent="0.2">
      <c r="A1993" t="s">
        <v>435</v>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1.18624</v>
      </c>
    </row>
    <row r="1994" spans="1:21" x14ac:dyDescent="0.2">
      <c r="A1994" t="s">
        <v>358</v>
      </c>
      <c r="B1994">
        <f>(1+(F1968*IF(AND(Inputs!$B$38&lt;&gt;"pvp",Inputs!$B$43&gt;0),(((R1968-1)*MIN((Skills!T6*(1+((Inputs!$B$34+(ArtifactsInput!$M$7-ArtifactsInput!$M$7)*CHOOSE(ArtifactsInput!$N$7+1,6,7.2,8.4,9.6,10.8,12)))/100)),(1/Q1968))+MIN((Skills!T6*(1+((Inputs!$B$34+(ArtifactsInput!$M$7-ArtifactsInput!$M$7)*CHOOSE(ArtifactsInput!$N$7+1,6,7.2,8.4,9.6,10.8,12)))/100)),MAX(0,Inputs!$B$43-((R1968-1)*(1/Q1968)))))/Inputs!$B$43),IF(Inputs!$B$38="pvp",MIN((Skills!T6*(1+((Inputs!$B$34+(ArtifactsInput!$M$7-ArtifactsInput!$M$7)*CHOOSE(ArtifactsInput!$N$7+1,6,7.2,8.4,9.6,10.8,12)))/100)),15)/15,MIN(1,(Skills!T6*(1+((Inputs!$B$34+(ArtifactsInput!$M$7-ArtifactsInput!$M$7)*CHOOSE(ArtifactsInput!$N$7+1,6,7.2,8.4,9.6,10.8,12)))/100))/(1/Q1968))))+F1979*IF(AND(Inputs!$B$38&lt;&gt;"pvp",Inputs!$B$43&gt;0),(((R1979-1)*MIN((Skills!T17*(1+((Inputs!$B$34+(ArtifactsInput!$M$7-ArtifactsInput!$M$7)*CHOOSE(ArtifactsInput!$N$7+1,6,7.2,8.4,9.6,10.8,12)))/100)),(1/Q1979))+MIN((Skills!T17*(1+((Inputs!$B$34+(ArtifactsInput!$M$7-ArtifactsInput!$M$7)*CHOOSE(ArtifactsInput!$N$7+1,6,7.2,8.4,9.6,10.8,12)))/100)),MAX(0,Inputs!$B$43-((R1979-1)*(1/Q1979)))))/Inputs!$B$43),IF(Inputs!$B$38="pvp",MIN((Skills!T17*(1+((Inputs!$B$34+(ArtifactsInput!$M$7-ArtifactsInput!$M$7)*CHOOSE(ArtifactsInput!$N$7+1,6,7.2,8.4,9.6,10.8,12)))/100)),15)/15,MIN(1,(Skills!T17*(1+((Inputs!$B$34+(ArtifactsInput!$M$7-ArtifactsInput!$M$7)*CHOOSE(ArtifactsInput!$N$7+1,6,7.2,8.4,9.6,10.8,12)))/100))/(1/Q1979)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MIN((Skills!T19*(1+((Inputs!$B$34+(ArtifactsInput!$M$7-ArtifactsInput!$M$7)*CHOOSE(ArtifactsInput!$N$7+1,6,7.2,8.4,9.6,10.8,12)))/100)),(1/Q1981))+MIN((Skills!T19*(1+((Inputs!$B$34+(ArtifactsInput!$M$7-ArtifactsInput!$M$7)*CHOOSE(ArtifactsInput!$N$7+1,6,7.2,8.4,9.6,10.8,12)))/100)),MAX(0,Inputs!$B$43-((R1981-1)*(1/Q1981)))))/Inputs!$B$43),IF(Inputs!$B$38="pvp",MIN((Skills!T19*(1+((Inputs!$B$34+(ArtifactsInput!$M$7-ArtifactsInput!$M$7)*CHOOSE(ArtifactsInput!$N$7+1,6,7.2,8.4,9.6,10.8,12)))/100)),15)/15,MIN(1,(Skills!T19*(1+((Inputs!$B$34+(ArtifactsInput!$M$7-ArtifactsInput!$M$7)*CHOOSE(ArtifactsInput!$N$7+1,6,7.2,8.4,9.6,10.8,12)))/100))/(1/Q1981))))/100),1)</f>
        <v>1.7965808377980694</v>
      </c>
    </row>
    <row r="1995" spans="1:21" x14ac:dyDescent="0.2">
      <c r="A1995" t="s">
        <v>359</v>
      </c>
      <c r="B1995">
        <f>F1980*IF(AND(Inputs!$B$38&lt;&gt;"pvp",Inputs!$B$43&gt;0),(((R1980-1)*MIN((Skills!T18*(1+((Inputs!$B$34+(ArtifactsInput!$M$7-ArtifactsInput!$M$7)*CHOOSE(ArtifactsInput!$N$7+1,6,7.2,8.4,9.6,10.8,12)))/100)),(1/Q1980))+MIN((Skills!T18*(1+((Inputs!$B$34+(ArtifactsInput!$M$7-ArtifactsInput!$M$7)*CHOOSE(ArtifactsInput!$N$7+1,6,7.2,8.4,9.6,10.8,12)))/100)),MAX(0,Inputs!$B$43-((R1980-1)*(1/Q1980)))))/Inputs!$B$43),IF(Inputs!$B$38="pvp",MIN((Skills!T18*(1+((Inputs!$B$34+(ArtifactsInput!$M$7-ArtifactsInput!$M$7)*CHOOSE(ArtifactsInput!$N$7+1,6,7.2,8.4,9.6,10.8,12)))/100)),15)/15,MIN(1,(Skills!T18*(1+((Inputs!$B$34+(ArtifactsInput!$M$7-ArtifactsInput!$M$7)*CHOOSE(ArtifactsInput!$N$7+1,6,7.2,8.4,9.6,10.8,12)))/100))/(1/Q1980))))</f>
        <v>6.4968749999999993</v>
      </c>
    </row>
    <row r="1996" spans="1:21" x14ac:dyDescent="0.2">
      <c r="A1996" t="s">
        <v>436</v>
      </c>
      <c r="B1996">
        <f>1+MIN(150,150*(1-(1-(Inputs!$B$11+(ArtifactsInput!$M$15-ArtifactsInput!$M$15)*CHOOSE(ArtifactsInput!$N$15+1,8,9.6,11.2,12.8,14.4,16))/150)*(1-B1995/150)))/100</f>
        <v>1.6982958749999999</v>
      </c>
    </row>
    <row r="1997" spans="1:21" x14ac:dyDescent="0.2">
      <c r="A1997" t="s">
        <v>437</v>
      </c>
      <c r="B1997">
        <f>IF(AND(Inputs!$B$38&lt;&gt;"pvp",Inputs!$B$43&gt;0),SUMPRODUCT((Skills!F2:F28=TRUE)*(C1964:C1990=TRUE)*R1964:R1990)/Inputs!$B$43,SUMPRODUCT((Skills!F2:F28=TRUE)*(C1964:C1990=TRUE)*Q1964:Q1990))</f>
        <v>0.47499999999999998</v>
      </c>
    </row>
    <row r="1998" spans="1:21" x14ac:dyDescent="0.2">
      <c r="A1998" t="s">
        <v>362</v>
      </c>
      <c r="B1998">
        <f>MAX(0,B1996-B1997)</f>
        <v>1.2232958749999998</v>
      </c>
    </row>
    <row r="1999" spans="1:21" x14ac:dyDescent="0.2">
      <c r="A1999" t="s">
        <v>438</v>
      </c>
      <c r="B1999">
        <f>IF(AND(Inputs!$B$38&lt;&gt;"pvp",Inputs!$B$43&gt;0),SUMPRODUCT((Skills!V2:V28=TRUE)*(C1964:C1990=TRUE)*R1964:R1990*Skills!W2:W28)/Inputs!$B$43,SUMPRODUCT((Skills!V2:V28=TRUE)*(C1964:C1990=TRUE)*Q1964:Q1990*Skills!W2:W28))+B1998</f>
        <v>1.5482958749999998</v>
      </c>
    </row>
    <row r="2000" spans="1:21" x14ac:dyDescent="0.2">
      <c r="A2000" t="s">
        <v>439</v>
      </c>
      <c r="B2000">
        <f>IF(AND(Inputs!$B$38&lt;&gt;"pvp",Inputs!$B$43&gt;0),SUMPRODUCT((Skills!T2:T28&gt;0)*(Skills!F2:F28=TRUE)*(C1964:C1990=TRUE))/B1996,0)</f>
        <v>2.3553021937358238</v>
      </c>
    </row>
    <row r="2001" spans="1:26" x14ac:dyDescent="0.2">
      <c r="A2001" t="s">
        <v>440</v>
      </c>
      <c r="B2001">
        <f>SUM(S1964:S1990)</f>
        <v>9517263078933292</v>
      </c>
    </row>
    <row r="2002" spans="1:26" x14ac:dyDescent="0.2">
      <c r="A2002" t="s">
        <v>441</v>
      </c>
      <c r="B2002">
        <f>SUM(U1964:U1990)</f>
        <v>5.6656428257660488E+16</v>
      </c>
    </row>
    <row r="2003" spans="1:26" x14ac:dyDescent="0.2">
      <c r="A2003" s="6" t="s">
        <v>348</v>
      </c>
      <c r="B2003" s="6">
        <f>SUM(O1964:O1990)</f>
        <v>3.3086845668296892E+16</v>
      </c>
    </row>
    <row r="2006" spans="1:26" x14ac:dyDescent="0.2">
      <c r="A2006" s="6" t="s">
        <v>485</v>
      </c>
    </row>
    <row r="2007" spans="1:26" x14ac:dyDescent="0.2">
      <c r="A2007" s="5" t="s">
        <v>136</v>
      </c>
      <c r="B2007" s="5" t="s">
        <v>137</v>
      </c>
      <c r="C2007" s="5" t="s">
        <v>328</v>
      </c>
      <c r="D2007" s="5" t="s">
        <v>329</v>
      </c>
      <c r="E2007" s="5" t="s">
        <v>330</v>
      </c>
      <c r="F2007" s="5" t="s">
        <v>331</v>
      </c>
      <c r="G2007" s="5" t="s">
        <v>332</v>
      </c>
      <c r="H2007" s="5" t="s">
        <v>333</v>
      </c>
      <c r="I2007" s="5" t="s">
        <v>334</v>
      </c>
      <c r="J2007" s="5" t="s">
        <v>335</v>
      </c>
      <c r="K2007" s="5" t="s">
        <v>336</v>
      </c>
      <c r="L2007" s="5" t="s">
        <v>337</v>
      </c>
      <c r="M2007" s="5" t="s">
        <v>338</v>
      </c>
      <c r="N2007" s="5" t="s">
        <v>339</v>
      </c>
      <c r="O2007" s="5" t="s">
        <v>340</v>
      </c>
      <c r="P2007" s="5" t="s">
        <v>341</v>
      </c>
      <c r="R2007" t="s">
        <v>434</v>
      </c>
    </row>
    <row r="2008" spans="1:26" x14ac:dyDescent="0.2">
      <c r="A2008" t="str">
        <f>Skills!A2</f>
        <v>BASIC_ATTACK</v>
      </c>
      <c r="B2008" t="str">
        <f>Skills!B2</f>
        <v>Basic Attack</v>
      </c>
      <c r="C2008" t="b">
        <f>TRUE</f>
        <v>1</v>
      </c>
      <c r="F2008">
        <f>T2010+Skills!O2</f>
        <v>537.6</v>
      </c>
      <c r="G2008">
        <f>Calc!G2</f>
        <v>5</v>
      </c>
      <c r="H2008">
        <f>Calc!H2</f>
        <v>1</v>
      </c>
      <c r="I2008">
        <f>IF(Skills!X2&lt;&gt;"",1+(Skills!X2/10)*(Z2009/1000)/100,1)</f>
        <v>1</v>
      </c>
      <c r="J2008">
        <f>((Inputs!$B$6*(1+Inputs!$B$7/100))+(((Inputs!$B$12*(1+Inputs!$B$13/100))-(Inputs!$B$12*(1+Inputs!$B$13/100)))+0.25*(Inputs!$B$14-Inputs!$B$14))*(1+Inputs!$B$7/100))*(F2008/100)</f>
        <v>1941459186.9980164</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6620290711466.1074</v>
      </c>
      <c r="L2008">
        <f>K2008*(MIN(Inputs!$B$22+(F2028-Calc!F22),(Inputs!$B$23+(IF(ArtifactsInput!$M$15,CHOOSE(ArtifactsInput!$N$15+1,25,30,35,40,45,50)/100*(Inputs!$B$11-Inputs!$B$11),0))))/100+(Inputs!$B$23+(IF(ArtifactsInput!$M$15,CHOOSE(ArtifactsInput!$N$15+1,25,30,35,40,45,50)/100*(Inputs!$B$11-Inputs!$B$11),0)))/100)/2</f>
        <v>22012466615624.809</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2008">
        <f>L2008*(1-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2008">
        <f>(1-Summary!$B$11)*S2008+Summary!$B$11*U2008</f>
        <v>1.3671273996153114E+16</v>
      </c>
      <c r="P2008">
        <f>IF(B2047=0,0,O2008/B2047)</f>
        <v>0.38010336361839425</v>
      </c>
      <c r="Q2008">
        <f>IFERROR(1/(IF(Inputs!$B$38="pvp",15,MAX(0.1,Skills!E2-IF(TRUE=TRUE,Inputs!$B$32,0)))*(1-IF(AND(ArtifactsInput!$M$27,Inputs!$B$4="Chapter Hunt"),CHOOSE(ArtifactsInput!$N$27+1,20,24,28,32,36,40),0)/100)),0)</f>
        <v>10</v>
      </c>
      <c r="R2008">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2098405083669452.5</v>
      </c>
      <c r="T2008">
        <f>MAX(0,(Inputs!$B$3-100)*3)+Inputs!$B$28+Inputs!$B$29</f>
        <v>185</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2.5244142908636776E+16</v>
      </c>
      <c r="Z2008">
        <f>MAX(0,(Inputs!$B$3-100)*3)+Inputs!$B$28+Inputs!$B$29</f>
        <v>185</v>
      </c>
    </row>
    <row r="2009" spans="1:26" x14ac:dyDescent="0.2">
      <c r="A2009" t="str">
        <f>Skills!A3</f>
        <v>IGNITE</v>
      </c>
      <c r="B2009" t="str">
        <f>Skills!B3</f>
        <v>Ignite</v>
      </c>
      <c r="C2009" t="b">
        <f>TRUE</f>
        <v>1</v>
      </c>
      <c r="D2009">
        <f>IF(Skills!C3=1,60+Inputs!$B$25+Inputs!$B$29,IF(Skills!C3=2,90+Inputs!$B$26+Inputs!$B$29,IF(Skills!C3=3,120+Inputs!$B$27+Inputs!$B$29,MAX(0,(Inputs!$B$3-100)*3)+Inputs!$B$28+Inputs!$B$29)))</f>
        <v>168</v>
      </c>
      <c r="E2009">
        <f>INDEX(FactorTable!$B$2:$Y$301, MATCH(ROUND(MIN(300,MAX(1,D2009)),0), FactorTable!$A$2:$A$301,0), Skills!M3+1)</f>
        <v>1672</v>
      </c>
      <c r="F2009">
        <f>IF(Skills!N3=TRUE,(Skills!L3/10)*(E2009/1000),Skills!L3/10)+Skills!O3</f>
        <v>121.736</v>
      </c>
      <c r="G2009">
        <f>Calc!G3</f>
        <v>3</v>
      </c>
      <c r="H2009">
        <f>Calc!H3</f>
        <v>1</v>
      </c>
      <c r="I2009">
        <f>IF(Skills!X3&lt;&gt;"",1+(Skills!X3/10)*(Z2009/1000)/100,1)</f>
        <v>4.8250000000000002</v>
      </c>
      <c r="J2009">
        <f>((Inputs!$B$6*(1+Inputs!$B$7/100))+(((Inputs!$B$12*(1+Inputs!$B$13/100))-(Inputs!$B$12*(1+Inputs!$B$13/100)))+0.25*(Inputs!$B$14-Inputs!$B$14))*(1+Inputs!$B$7/100))*(F2009/100)</f>
        <v>439630720.9605478</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10658554617221.965</v>
      </c>
      <c r="L2009">
        <f>K2009*(MIN(Inputs!$B$22+(F2028-Calc!F22),(Inputs!$B$23+(IF(ArtifactsInput!$M$15,CHOOSE(ArtifactsInput!$N$15+1,25,30,35,40,45,50)/100*(Inputs!$B$11-Inputs!$B$11),0))))/100+(Inputs!$B$23+(IF(ArtifactsInput!$M$15,CHOOSE(ArtifactsInput!$N$15+1,25,30,35,40,45,50)/100*(Inputs!$B$11-Inputs!$B$11),0)))/100)/2</f>
        <v>35439694102263.031</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2009">
        <f>L2009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2009">
        <f>(1-Summary!$B$11)*S2009+Summary!$B$11*U2009</f>
        <v>3130220736446783</v>
      </c>
      <c r="P2009">
        <f>IF(B2047=0,0,O2009/B2047)</f>
        <v>8.7029740690316271E-2</v>
      </c>
      <c r="Q2009">
        <f>IFERROR(1/(IF(Inputs!$B$38="pvp",15,MAX(0.1,Skills!E3-IF(FALSE=TRUE,Inputs!$B$32,0)))*(1-IF(AND(ArtifactsInput!$M$27,Inputs!$B$4="Chapter Hunt"),CHOOSE(ArtifactsInput!$N$27+1,20,24,28,32,36,40),0)/100)),0)</f>
        <v>1</v>
      </c>
      <c r="R2009">
        <f>IF(AND(Inputs!$B$38&lt;&gt;"pvp",Inputs!$B$43&gt;0),IF(MAX(0,Inputs!$B$43-B2044)&lt;=0,0,(INT(MAX(0,Inputs!$B$43-B2044)/(IF(Inputs!$B$38="pvp",15,MAX(0.1,Skills!E3-IF(FALSE=TRUE,Inputs!$B$32,0)))*(1-IF(AND(ArtifactsInput!$M$27,Inputs!$B$4="Chapter Hunt"),CHOOSE(ArtifactsInput!$N$27+1,20,24,28,32,36,40),0)/100)))+1)),0)</f>
        <v>38</v>
      </c>
      <c r="S2009">
        <f>IF(C2009,(H2009*N2009*IF(AND(Inputs!$B$38&lt;&gt;"pvp",Inputs!$B$43&gt;0),((Skills!G3*((R2009-1)*IF(Skills!H3&gt;0,Skills!I3/Skills!H3,1)+IF(Skills!H3&gt;0,MIN(Skills!I3,MAX(0,MAX(0,Inputs!$B$43-B2044)-((R2009-1)*(IF(Inputs!$B$38="pvp",15,MAX(0.1,Skills!E3-IF(FALSE=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1526038315588732.8</v>
      </c>
      <c r="T2009">
        <f>INDEX(FactorTable!$B$2:$Y$301, MATCH(ROUND(MIN(300,MAX(1,T2008)),0), FactorTable!$A$2:$A$301,0), 22)</f>
        <v>1740</v>
      </c>
      <c r="U2009">
        <f>IF(C2009,(H2009*N2009*IF(AND(Inputs!$B$38&lt;&gt;"pvp",Inputs!$B$43&gt;0),((Skills!G3*((R2009-1)*IF(Skills!H3&gt;0,Skills!I3/Skills!H3,1)+IF(Skills!H3&gt;0,MIN(Skills!I3,MAX(0,MAX(0,Inputs!$B$43-B2044)-((R2009-1)*(IF(Inputs!$B$38="pvp",15,MAX(0.1,Skills!E3-IF(FALSE=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4734403157304833</v>
      </c>
      <c r="Z2009">
        <f>INDEX(FactorTable!$B$2:$Y$301, MATCH(ROUND(MIN(300,MAX(1,Z2008)),0), FactorTable!$A$2:$A$301,0), 24)</f>
        <v>7650</v>
      </c>
    </row>
    <row r="2010" spans="1:26" x14ac:dyDescent="0.2">
      <c r="A2010" t="str">
        <f>Skills!A4</f>
        <v>POISON_BREATH</v>
      </c>
      <c r="B2010" t="str">
        <f>Skills!B4</f>
        <v>Poison Breath</v>
      </c>
      <c r="C2010" t="b">
        <f>TRUE</f>
        <v>1</v>
      </c>
      <c r="D2010">
        <f>IF(Skills!C4=1,60+Inputs!$B$25+Inputs!$B$29,IF(Skills!C4=2,90+Inputs!$B$26+Inputs!$B$29,IF(Skills!C4=3,120+Inputs!$B$27+Inputs!$B$29,MAX(0,(Inputs!$B$3-100)*3)+Inputs!$B$28+Inputs!$B$29)))</f>
        <v>168</v>
      </c>
      <c r="E2010">
        <f>INDEX(FactorTable!$B$2:$Y$301, MATCH(ROUND(MIN(300,MAX(1,D2010)),0), FactorTable!$A$2:$A$301,0), Skills!M4+1)</f>
        <v>1840</v>
      </c>
      <c r="F2010">
        <f>IF(Skills!N4=TRUE,(Skills!L4/10)*(E2010/1000),Skills!L4/10)+Skills!O4</f>
        <v>438</v>
      </c>
      <c r="G2010">
        <f>Calc!G4</f>
        <v>3</v>
      </c>
      <c r="H2010">
        <f>Calc!H4</f>
        <v>1</v>
      </c>
      <c r="I2010">
        <f>IF(Skills!X4&lt;&gt;"",1+(Skills!X4/10)*(Z2009/1000)/100,1)</f>
        <v>7.12</v>
      </c>
      <c r="J2010">
        <f>((Inputs!$B$6*(1+Inputs!$B$7/100))+(((Inputs!$B$12*(1+Inputs!$B$13/100))-(Inputs!$B$12*(1+Inputs!$B$13/100)))+0.25*(Inputs!$B$14-Inputs!$B$14))*(1+Inputs!$B$7/100))*(F2010/100)</f>
        <v>1581769203.69258</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56589528290529.523</v>
      </c>
      <c r="L2010">
        <f>K2010*(MIN(Inputs!$B$22+(F2028-Calc!F22),(Inputs!$B$23+(IF(ArtifactsInput!$M$15,CHOOSE(ArtifactsInput!$N$15+1,25,30,35,40,45,50)/100*(Inputs!$B$11-Inputs!$B$11),0))))/100+(Inputs!$B$23+(IF(ArtifactsInput!$M$15,CHOOSE(ArtifactsInput!$N$15+1,25,30,35,40,45,50)/100*(Inputs!$B$11-Inputs!$B$11),0)))/100)/2</f>
        <v>188160181566010.69</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2010">
        <f>L2010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2010">
        <f>(1-Summary!$B$11)*S2010+Summary!$B$11*U2010</f>
        <v>2304276113839966</v>
      </c>
      <c r="P2010">
        <f>IF(B2047=0,0,O2010/B2047)</f>
        <v>6.4065945999074211E-2</v>
      </c>
      <c r="Q2010">
        <f>IFERROR(1/(IF(Inputs!$B$38="pvp",15,MAX(0.1,Skills!E4-IF(TRUE=TRUE,Inputs!$B$32,0)))*(1-IF(AND(ArtifactsInput!$M$27,Inputs!$B$4="Chapter Hunt"),CHOOSE(ArtifactsInput!$N$27+1,20,24,28,32,36,40),0)/100)),0)</f>
        <v>5.5555555555555552E-2</v>
      </c>
      <c r="R2010">
        <f>IF(AND(Inputs!$B$38&lt;&gt;"pvp",Inputs!$B$43&gt;0),IF(MAX(0,Inputs!$B$43-B2044)&lt;=0,0,(INT(MAX(0,Inputs!$B$43-B2044)/(IF(Inputs!$B$38="pvp",15,MAX(0.1,Skills!E4-IF(TRUE=TRUE,Inputs!$B$32,0)))*(1-IF(AND(ArtifactsInput!$M$27,Inputs!$B$4="Chapter Hunt"),CHOOSE(ArtifactsInput!$N$27+1,20,24,28,32,36,40),0)/100)))+1)),0)</f>
        <v>3</v>
      </c>
      <c r="S2010">
        <f>IF(C2010,(H2010*N2010*IF(AND(Inputs!$B$38&lt;&gt;"pvp",Inputs!$B$43&gt;0),((Skills!G4*((R2010-1)*IF(Skills!H4&gt;0,Skills!I4/Skills!H4,1)+IF(Skills!H4&gt;0,MIN(Skills!I4,MAX(0,MAX(0,Inputs!$B$43-B2044)-((R2010-1)*(IF(Inputs!$B$38="pvp",15,MAX(0.1,Skills!E4-IF(TRUE=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639647718123733</v>
      </c>
      <c r="T2010">
        <f>290*T2009/1000</f>
        <v>504.6</v>
      </c>
      <c r="U2010">
        <f>IF(C2010,(H2010*N2010*IF(AND(Inputs!$B$38&lt;&gt;"pvp",Inputs!$B$43&gt;0),((Skills!G4*((R2010-1)*IF(Skills!H4&gt;0,Skills!I4/Skills!H4,1)+IF(Skills!H4&gt;0,MIN(Skills!I4,MAX(0,MAX(0,Inputs!$B$43-B2044)-((R2010-1)*(IF(Inputs!$B$38="pvp",15,MAX(0.1,Skills!E4-IF(TRUE=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3968904509556198.5</v>
      </c>
    </row>
    <row r="2011" spans="1:26" x14ac:dyDescent="0.2">
      <c r="A2011" t="str">
        <f>Skills!A5</f>
        <v>ELEMENTAL_DRAIN</v>
      </c>
      <c r="B2011" t="str">
        <f>Skills!B5</f>
        <v>Elemental Drain</v>
      </c>
      <c r="C2011" t="b">
        <f>TRUE</f>
        <v>1</v>
      </c>
      <c r="D2011">
        <f>IF(Skills!C5=1,60+Inputs!$B$25+Inputs!$B$29,IF(Skills!C5=2,90+Inputs!$B$26+Inputs!$B$29,IF(Skills!C5=3,120+Inputs!$B$27+Inputs!$B$29,MAX(0,(Inputs!$B$3-100)*3)+Inputs!$B$28+Inputs!$B$29)))</f>
        <v>168</v>
      </c>
      <c r="E2011">
        <f>INDEX(FactorTable!$B$2:$Y$301, MATCH(ROUND(MIN(300,MAX(1,D2011)),0), FactorTable!$A$2:$A$301,0), Skills!M5+1)</f>
        <v>1672</v>
      </c>
      <c r="F2011">
        <f>IF(Skills!N5=TRUE,(Skills!L5/10)*(E2011/1000),Skills!L5/10)+Skills!O5</f>
        <v>20.064</v>
      </c>
      <c r="G2011">
        <f>Calc!G5</f>
        <v>5</v>
      </c>
      <c r="H2011">
        <f>Calc!H5</f>
        <v>1</v>
      </c>
      <c r="I2011">
        <f>IF(Skills!X5&lt;&gt;"",1+(Skills!X5/10)*(Z2009/1000)/100,1)</f>
        <v>12.475</v>
      </c>
      <c r="J2011">
        <f>((Inputs!$B$6*(1+Inputs!$B$7/100))+(((Inputs!$B$12*(1+Inputs!$B$13/100))-(Inputs!$B$12*(1+Inputs!$B$13/100)))+0.25*(Inputs!$B$14-Inputs!$B$14))*(1+Inputs!$B$7/100))*(F2011/100)</f>
        <v>72458030.371890247</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4541925884983.542</v>
      </c>
      <c r="L2011">
        <f>K2011*(MIN(Inputs!$B$22+(F2028-Calc!F22),(Inputs!$B$23+(IF(ArtifactsInput!$M$15,CHOOSE(ArtifactsInput!$N$15+1,25,30,35,40,45,50)/100*(Inputs!$B$11-Inputs!$B$11),0))))/100+(Inputs!$B$23+(IF(ArtifactsInput!$M$15,CHOOSE(ArtifactsInput!$N$15+1,25,30,35,40,45,50)/100*(Inputs!$B$11-Inputs!$B$11),0)))/100)/2</f>
        <v>15101903567570.277</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2011">
        <f>L2011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2011">
        <f>(1-Summary!$B$11)*S2011+Summary!$B$11*U2011</f>
        <v>1102316625008721.8</v>
      </c>
      <c r="P2011">
        <f>IF(B2047=0,0,O2011/B2047)</f>
        <v>3.0647784329111524E-2</v>
      </c>
      <c r="Q2011">
        <f>IFERROR(1/(IF(Inputs!$B$38="pvp",15,MAX(0.1,Skills!E5-IF(FALSE=TRUE,Inputs!$B$32,0)))*(1-IF(AND(ArtifactsInput!$M$27,Inputs!$B$4="Chapter Hunt"),CHOOSE(ArtifactsInput!$N$27+1,20,24,28,32,36,40),0)/100)),0)</f>
        <v>1</v>
      </c>
      <c r="R2011">
        <f>IF(AND(Inputs!$B$38&lt;&gt;"pvp",Inputs!$B$43&gt;0),IF(MAX(0,Inputs!$B$43-B2044)&lt;=0,0,(INT(MAX(0,Inputs!$B$43-B2044)/(IF(Inputs!$B$38="pvp",15,MAX(0.1,Skills!E5-IF(FALSE=TRUE,Inputs!$B$32,0)))*(1-IF(AND(ArtifactsInput!$M$27,Inputs!$B$4="Chapter Hunt"),CHOOSE(ArtifactsInput!$N$27+1,20,24,28,32,36,40),0)/100)))+1)),0)</f>
        <v>38</v>
      </c>
      <c r="S2011">
        <f>IF(C2011,(H2011*N2011*IF(AND(Inputs!$B$38&lt;&gt;"pvp",Inputs!$B$43&gt;0),((Skills!G5*((R2011-1)*IF(Skills!H5&gt;0,Skills!I5/Skills!H5,1)+IF(Skills!H5&gt;0,MIN(Skills!I5,MAX(0,MAX(0,Inputs!$B$43-B2044)-((R2011-1)*(IF(Inputs!$B$38="pvp",15,MAX(0.1,Skills!E5-IF(FALSE=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1083816892622237.9</v>
      </c>
      <c r="U2011">
        <f>IF(C2011,(H2011*N2011*IF(AND(Inputs!$B$38&lt;&gt;"pvp",Inputs!$B$43&gt;0),((Skills!G5*((R2011-1)*IF(Skills!H5&gt;0,Skills!I5/Skills!H5,1)+IF(Skills!H5&gt;0,MIN(Skills!I5,MAX(0,MAX(0,Inputs!$B$43-B2044)-((R2011-1)*(IF(Inputs!$B$38="pvp",15,MAX(0.1,Skills!E5-IF(FALSE=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1120816357395205.6</v>
      </c>
    </row>
    <row r="2012" spans="1:26" x14ac:dyDescent="0.2">
      <c r="A2012" t="str">
        <f>Skills!A6</f>
        <v>MEDITATION</v>
      </c>
      <c r="B2012" t="str">
        <f>Skills!B6</f>
        <v>Meditation</v>
      </c>
      <c r="C2012" t="b">
        <f>TRUE</f>
        <v>1</v>
      </c>
      <c r="D2012">
        <f>IF(Skills!C6=1,60+Inputs!$B$25+Inputs!$B$29,IF(Skills!C6=2,90+Inputs!$B$26+Inputs!$B$29,IF(Skills!C6=3,120+Inputs!$B$27+Inputs!$B$29,MAX(0,(Inputs!$B$3-100)*3)+Inputs!$B$28+Inputs!$B$29)))</f>
        <v>168</v>
      </c>
      <c r="E2012">
        <f>INDEX(FactorTable!$B$2:$Y$301, MATCH(ROUND(MIN(300,MAX(1,D2012)),0), FactorTable!$A$2:$A$301,0), Skills!M6+1)</f>
        <v>1672</v>
      </c>
      <c r="F2012">
        <f>IF(Skills!N6=TRUE,(Skills!L6/10)*(E2012/1000),Skills!L6/10)+Skills!O6</f>
        <v>33.44</v>
      </c>
      <c r="G2012">
        <f>Calc!G6</f>
        <v>1</v>
      </c>
      <c r="H2012">
        <f>Calc!H6</f>
        <v>1</v>
      </c>
      <c r="I2012">
        <f>IF(Skills!X6&lt;&gt;"",1+(Skills!X6/10)*(Z2009/1000)/100,1)</f>
        <v>1</v>
      </c>
      <c r="O2012">
        <f>(1-Summary!$B$11)*S2012+Summary!$B$11*U2012</f>
        <v>0</v>
      </c>
      <c r="P2012">
        <f>IF(B2047=0,0,O2012/B2047)</f>
        <v>0</v>
      </c>
      <c r="Q2012">
        <f>IFERROR(1/(IF(Inputs!$B$38="pvp",15,MAX(0.1,Skills!E6-IF(TRUE=TRUE,Inputs!$B$32,0)))*(1-IF(AND(ArtifactsInput!$M$27,Inputs!$B$4="Chapter Hunt"),CHOOSE(ArtifactsInput!$N$27+1,20,24,28,32,36,40),0)/100)),0)</f>
        <v>3.3333333333333333E-2</v>
      </c>
      <c r="R2012">
        <f>IF(AND(Inputs!$B$38&lt;&gt;"pvp",Inputs!$B$43&gt;0),IF(Inputs!$B$43&lt;=0,0,(INT(Inputs!$B$43/(IF(Inputs!$B$38="pvp",15,MAX(0.1,Skills!E6-IF(TRUE=TRUE,Inputs!$B$32,0)))*(1-IF(AND(ArtifactsInput!$M$27,Inputs!$B$4="Chapter Hunt"),CHOOSE(ArtifactsInput!$N$27+1,20,24,28,32,36,40),0)/100)))+1)),0)</f>
        <v>2</v>
      </c>
      <c r="S2012">
        <v>0</v>
      </c>
      <c r="U2012">
        <v>0</v>
      </c>
    </row>
    <row r="2013" spans="1:26" x14ac:dyDescent="0.2">
      <c r="A2013" t="str">
        <f>Skills!A7</f>
        <v>POISON_MIST_BURST</v>
      </c>
      <c r="B2013" t="str">
        <f>Skills!B7</f>
        <v>Poison Mist (burst)</v>
      </c>
      <c r="C2013" t="b">
        <f>TRUE</f>
        <v>1</v>
      </c>
      <c r="D2013">
        <f>IF(Skills!C7=1,60+Inputs!$B$25+Inputs!$B$29,IF(Skills!C7=2,90+Inputs!$B$26+Inputs!$B$29,IF(Skills!C7=3,120+Inputs!$B$27+Inputs!$B$29,MAX(0,(Inputs!$B$3-100)*3)+Inputs!$B$28+Inputs!$B$29)))</f>
        <v>184</v>
      </c>
      <c r="E2013">
        <f>INDEX(FactorTable!$B$2:$Y$301, MATCH(ROUND(MIN(300,MAX(1,D2013)),0), FactorTable!$A$2:$A$301,0), Skills!M7+1)</f>
        <v>1920</v>
      </c>
      <c r="F2013">
        <f>IF(Skills!N7=TRUE,(Skills!L7/10)*(E2013/1000),Skills!L7/10)+Skills!O7</f>
        <v>357.2</v>
      </c>
      <c r="G2013">
        <f>Calc!G7</f>
        <v>3</v>
      </c>
      <c r="H2013">
        <f>Calc!H7</f>
        <v>1</v>
      </c>
      <c r="I2013">
        <f>IF(Skills!X7&lt;&gt;"",1+(Skills!X7/10)*(Z2009/1000)/100,1)</f>
        <v>1.7650000000000001</v>
      </c>
      <c r="J2013">
        <f>((Inputs!$B$6*(1+Inputs!$B$7/100))+(((Inputs!$B$12*(1+Inputs!$B$13/100))-(Inputs!$B$12*(1+Inputs!$B$13/100)))+0.25*(Inputs!$B$14-Inputs!$B$14))*(1+Inputs!$B$7/100))*(F2013/100)</f>
        <v>1289972510.4086521</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11440318873772.086</v>
      </c>
      <c r="L2013">
        <f>K2013*(MIN(Inputs!$B$22+(F2028-Calc!F22),(Inputs!$B$23+(IF(ArtifactsInput!$M$15,CHOOSE(ArtifactsInput!$N$15+1,25,30,35,40,45,50)/100*(Inputs!$B$11-Inputs!$B$11),0))))/100+(Inputs!$B$23+(IF(ArtifactsInput!$M$15,CHOOSE(ArtifactsInput!$N$15+1,25,30,35,40,45,50)/100*(Inputs!$B$11-Inputs!$B$11),0)))/100)/2</f>
        <v>38039060255292.188</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2013">
        <f>L2013*(1-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2013">
        <f>(1-Summary!$B$11)*S2013+Summary!$B$11*U2013</f>
        <v>488863487551500.56</v>
      </c>
      <c r="P2013">
        <f>IF(B2047=0,0,O2013/B2047)</f>
        <v>1.3591904896414984E-2</v>
      </c>
      <c r="Q2013">
        <f>IFERROR(1/(IF(Inputs!$B$38="pvp",15,MAX(0.1,Skills!E7-IF(TRUE=TRUE,Inputs!$B$32,0)))*(1-IF(AND(ArtifactsInput!$M$27,Inputs!$B$4="Chapter Hunt"),CHOOSE(ArtifactsInput!$N$27+1,20,24,28,32,36,40),0)/100)),0)</f>
        <v>4.0816326530612242E-2</v>
      </c>
      <c r="R2013">
        <f>IF(AND(Inputs!$B$38&lt;&gt;"pvp",Inputs!$B$43&gt;0),IF(MAX(0,Inputs!$B$43-B2044)&lt;=0,0,(INT(MAX(0,Inputs!$B$43-B2044)/(IF(Inputs!$B$38="pvp",15,MAX(0.1,Skills!E7-IF(TRUE=TRUE,Inputs!$B$32,0)))*(1-IF(AND(ArtifactsInput!$M$27,Inputs!$B$4="Chapter Hunt"),CHOOSE(ArtifactsInput!$N$27+1,20,24,28,32,36,40),0)/100)))+1)),0)</f>
        <v>2</v>
      </c>
      <c r="S2013">
        <f>IF(C2013,(H2013*N2013*IF(AND(Inputs!$B$38&lt;&gt;"pvp",Inputs!$B$43&gt;0),((Skills!G7*((R2013-1)*IF(Skills!H7&gt;0,Skills!I7/Skills!H7,1)+IF(Skills!H7&gt;0,MIN(Skills!I7,MAX(0,MAX(0,Inputs!$B$43-B2044)-((R2013-1)*(IF(Inputs!$B$38="pvp",15,MAX(0.1,Skills!E7-IF(TRUE=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86208810278430.328</v>
      </c>
      <c r="U2013">
        <f>IF(C2013,(H2013*N2013*IF(AND(Inputs!$B$38&lt;&gt;"pvp",Inputs!$B$43&gt;0),((Skills!G7*((R2013-1)*IF(Skills!H7&gt;0,Skills!I7/Skills!H7,1)+IF(Skills!H7&gt;0,MIN(Skills!I7,MAX(0,MAX(0,Inputs!$B$43-B2044)-((R2013-1)*(IF(Inputs!$B$38="pvp",15,MAX(0.1,Skills!E7-IF(TRUE=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891518164824570.75</v>
      </c>
    </row>
    <row r="2014" spans="1:26" x14ac:dyDescent="0.2">
      <c r="A2014" t="str">
        <f>Skills!A8</f>
        <v>POISON_MIST_DOT</v>
      </c>
      <c r="B2014" t="str">
        <f>Skills!B8</f>
        <v>Poison Mist (fog DoT)</v>
      </c>
      <c r="C2014" t="b">
        <f>TRUE</f>
        <v>1</v>
      </c>
      <c r="D2014">
        <f>IF(Skills!C8=1,60+Inputs!$B$25+Inputs!$B$29,IF(Skills!C8=2,90+Inputs!$B$26+Inputs!$B$29,IF(Skills!C8=3,120+Inputs!$B$27+Inputs!$B$29,MAX(0,(Inputs!$B$3-100)*3)+Inputs!$B$28+Inputs!$B$29)))</f>
        <v>184</v>
      </c>
      <c r="E2014">
        <f>INDEX(FactorTable!$B$2:$Y$301, MATCH(ROUND(MIN(300,MAX(1,D2014)),0), FactorTable!$A$2:$A$301,0), Skills!M8+1)</f>
        <v>1920</v>
      </c>
      <c r="F2014">
        <f>IF(Skills!N8=TRUE,(Skills!L8/10)*(E2014/1000),Skills!L8/10)+Skills!O8</f>
        <v>134.4</v>
      </c>
      <c r="G2014">
        <f>Calc!G8</f>
        <v>50</v>
      </c>
      <c r="H2014">
        <f>Calc!H8</f>
        <v>1</v>
      </c>
      <c r="I2014">
        <f>IF(Skills!X8&lt;&gt;"",1+(Skills!X8/10)*(Z2009/1000)/100,1)</f>
        <v>1.7650000000000001</v>
      </c>
      <c r="J2014">
        <f>((Inputs!$B$6*(1+Inputs!$B$7/100))+(((Inputs!$B$12*(1+Inputs!$B$13/100))-(Inputs!$B$12*(1+Inputs!$B$13/100)))+0.25*(Inputs!$B$14-Inputs!$B$14))*(1+Inputs!$B$7/100))*(F2014/100)</f>
        <v>485364796.74950409</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4304532073446.1597</v>
      </c>
      <c r="L2014">
        <f>K2014*(MIN(Inputs!$B$22+(F2028-Calc!F22),(Inputs!$B$23+(IF(ArtifactsInput!$M$15,CHOOSE(ArtifactsInput!$N$15+1,25,30,35,40,45,50)/100*(Inputs!$B$11-Inputs!$B$11),0))))/100+(Inputs!$B$23+(IF(ArtifactsInput!$M$15,CHOOSE(ArtifactsInput!$N$15+1,25,30,35,40,45,50)/100*(Inputs!$B$11-Inputs!$B$11),0)))/100)/2</f>
        <v>14312569144208.482</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2014">
        <f>L2014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2014">
        <f>(1-Summary!$B$11)*S2014+Summary!$B$11*U2014</f>
        <v>2540260424274941.5</v>
      </c>
      <c r="P2014">
        <f>IF(B2047=0,0,O2014/B2047)</f>
        <v>7.0627033881793949E-2</v>
      </c>
      <c r="Q2014">
        <f>IFERROR(1/(IF(Inputs!$B$38="pvp",15,MAX(0.1,Skills!E8-IF(TRUE=TRUE,Inputs!$B$32,0)))*(1-IF(AND(ArtifactsInput!$M$27,Inputs!$B$4="Chapter Hunt"),CHOOSE(ArtifactsInput!$N$27+1,20,24,28,32,36,40),0)/100)),0)</f>
        <v>4.0816326530612242E-2</v>
      </c>
      <c r="R2014">
        <f>IF(AND(Inputs!$B$38&lt;&gt;"pvp",Inputs!$B$43&gt;0),IF(MAX(0,Inputs!$B$43-B2044)&lt;=0,0,(INT(MAX(0,Inputs!$B$43-B2044)/(IF(Inputs!$B$38="pvp",15,MAX(0.1,Skills!E8-IF(TRUE=TRUE,Inputs!$B$32,0)))*(1-IF(AND(ArtifactsInput!$M$27,Inputs!$B$4="Chapter Hunt"),CHOOSE(ArtifactsInput!$N$27+1,20,24,28,32,36,40),0)/100)))+1)),0)</f>
        <v>2</v>
      </c>
      <c r="S2014">
        <f>IF(C2014,(H2014*N2014*IF(AND(Inputs!$B$38&lt;&gt;"pvp",Inputs!$B$43&gt;0),((Skills!G8*((R2014-1)*IF(Skills!H8&gt;0,Skills!I8/Skills!H8,1)+IF(Skills!H8&gt;0,MIN(Skills!I8,MAX(0,MAX(0,Inputs!$B$43-B2044)-((R2014-1)*(IF(Inputs!$B$38="pvp",15,MAX(0.1,Skills!E8-IF(TRUE=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447963152394466.75</v>
      </c>
      <c r="U2014">
        <f>IF(C2014,(H2014*N2014*IF(AND(Inputs!$B$38&lt;&gt;"pvp",Inputs!$B$43&gt;0),((Skills!G8*((R2014-1)*IF(Skills!H8&gt;0,Skills!I8/Skills!H8,1)+IF(Skills!H8&gt;0,MIN(Skills!I8,MAX(0,MAX(0,Inputs!$B$43-B2044)-((R2014-1)*(IF(Inputs!$B$38="pvp",15,MAX(0.1,Skills!E8-IF(TRUE=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4632557696155416</v>
      </c>
    </row>
    <row r="2015" spans="1:26" x14ac:dyDescent="0.2">
      <c r="A2015" t="str">
        <f>Skills!A9</f>
        <v>MIST_ERUPTION</v>
      </c>
      <c r="B2015" t="str">
        <f>Skills!B9</f>
        <v>Mist Eruption</v>
      </c>
      <c r="C2015" t="b">
        <f>Inputs!$B$3&gt;=103</f>
        <v>1</v>
      </c>
      <c r="D2015">
        <f>IF(Skills!C9=1,60+Inputs!$B$25+Inputs!$B$29,IF(Skills!C9=2,90+Inputs!$B$26+Inputs!$B$29,IF(Skills!C9=3,120+Inputs!$B$27+Inputs!$B$29,MAX(0,(Inputs!$B$3-100)*3)+Inputs!$B$28+Inputs!$B$29)))</f>
        <v>185</v>
      </c>
      <c r="E2015">
        <f>INDEX(FactorTable!$B$2:$Y$301, MATCH(ROUND(MIN(300,MAX(1,D2015)),0), FactorTable!$A$2:$A$301,0), Skills!M9+1)</f>
        <v>1925</v>
      </c>
      <c r="F2015">
        <f>IF(Skills!N9=TRUE,(Skills!L9/10)*(E2015/1000),Skills!L9/10)+Skills!O9</f>
        <v>5775</v>
      </c>
      <c r="G2015">
        <f>Calc!G9</f>
        <v>2.5</v>
      </c>
      <c r="H2015">
        <f>Calc!H9</f>
        <v>1</v>
      </c>
      <c r="I2015">
        <f>IF(Skills!X9&lt;&gt;"",1+(Skills!X9/10)*(Z2009/1000)/100,1)</f>
        <v>1</v>
      </c>
      <c r="J2015">
        <f>((Inputs!$B$6*(1+Inputs!$B$7/100))+(((Inputs!$B$12*(1+Inputs!$B$13/100))-(Inputs!$B$12*(1+Inputs!$B$13/100)))+0.25*(Inputs!$B$14-Inputs!$B$14))*(1+Inputs!$B$7/100))*(F2015/100)</f>
        <v>20855518610.330254</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104793406533081.95</v>
      </c>
      <c r="L2015">
        <f>K2015*(MIN(Inputs!$B$22+(F2028-Calc!F22),(Inputs!$B$23+(IF(ArtifactsInput!$M$15,CHOOSE(ArtifactsInput!$N$15+1,25,30,35,40,45,50)/100*(Inputs!$B$11-Inputs!$B$11),0))))/100+(Inputs!$B$23+(IF(ArtifactsInput!$M$15,CHOOSE(ArtifactsInput!$N$15+1,25,30,35,40,45,50)/100*(Inputs!$B$11-Inputs!$B$11),0)))/100)/2</f>
        <v>348438076722497.5</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2015">
        <f>L2015*(1-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2015">
        <f>(1-Summary!$B$11)*S2015+Summary!$B$11*U2015</f>
        <v>3731661004922764.5</v>
      </c>
      <c r="P2015">
        <f>IF(B2047=0,0,O2015/B2047)</f>
        <v>0.10375162550716639</v>
      </c>
      <c r="Q2015">
        <f>IFERROR(1/(IF(Inputs!$B$38="pvp",15,MAX(0.1,Skills!E9-IF(TRUE=TRUE,Inputs!$B$32,0)))*(1-IF(AND(ArtifactsInput!$M$27,Inputs!$B$4="Chapter Hunt"),CHOOSE(ArtifactsInput!$N$27+1,20,24,28,32,36,40),0)/100)),0)</f>
        <v>4.0816326530612242E-2</v>
      </c>
      <c r="R2015">
        <f>IF(AND(Inputs!$B$38&lt;&gt;"pvp",Inputs!$B$43&gt;0),IF(MAX(0,Inputs!$B$43-B2044)&lt;=0,0,(INT(MAX(0,Inputs!$B$43-B2044)/(IF(Inputs!$B$38="pvp",15,MAX(0.1,Skills!E9-IF(TRUE=TRUE,Inputs!$B$32,0)))*(1-IF(AND(ArtifactsInput!$M$27,Inputs!$B$4="Chapter Hunt"),CHOOSE(ArtifactsInput!$N$27+1,20,24,28,32,36,40),0)/100)))+1)),0)</f>
        <v>2</v>
      </c>
      <c r="S2015">
        <f>IF(C2015,(H2015*N2015*IF(AND(Inputs!$B$38&lt;&gt;"pvp",Inputs!$B$43&gt;0),((Skills!G9*((R2015-1)*IF(Skills!H9&gt;0,Skills!I9/Skills!H9,1)+IF(Skills!H9&gt;0,MIN(Skills!I9,MAX(0,MAX(0,Inputs!$B$43-B2044)-((R2015-1)*(IF(Inputs!$B$38="pvp",15,MAX(0.1,Skills!E9-IF(TRUE=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658061122969247.62</v>
      </c>
      <c r="U2015">
        <f>IF(C2015,(H2015*N2015*IF(AND(Inputs!$B$38&lt;&gt;"pvp",Inputs!$B$43&gt;0),((Skills!G9*((R2015-1)*IF(Skills!H9&gt;0,Skills!I9/Skills!H9,1)+IF(Skills!H9&gt;0,MIN(Skills!I9,MAX(0,MAX(0,Inputs!$B$43-B2044)-((R2015-1)*(IF(Inputs!$B$38="pvp",15,MAX(0.1,Skills!E9-IF(TRUE=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6805260886876281</v>
      </c>
    </row>
    <row r="2016" spans="1:26" x14ac:dyDescent="0.2">
      <c r="A2016" t="str">
        <f>Skills!A10</f>
        <v>CREEPING_TOXIN</v>
      </c>
      <c r="B2016" t="str">
        <f>Skills!B10</f>
        <v>Creeping Toxin</v>
      </c>
      <c r="C2016" t="b">
        <f>TRUE</f>
        <v>1</v>
      </c>
      <c r="D2016">
        <f>IF(Skills!C10=1,60+Inputs!$B$25+Inputs!$B$29,IF(Skills!C10=2,90+Inputs!$B$26+Inputs!$B$29,IF(Skills!C10=3,120+Inputs!$B$27+Inputs!$B$29,MAX(0,(Inputs!$B$3-100)*3)+Inputs!$B$28+Inputs!$B$29)))</f>
        <v>184</v>
      </c>
      <c r="E2016">
        <f>INDEX(FactorTable!$B$2:$Y$301, MATCH(ROUND(MIN(300,MAX(1,D2016)),0), FactorTable!$A$2:$A$301,0), Skills!M10+1)</f>
        <v>1920</v>
      </c>
      <c r="F2016">
        <f>IF(Skills!N10=TRUE,(Skills!L10/10)*(E2016/1000),Skills!L10/10)+Skills!O10</f>
        <v>280.39999999999998</v>
      </c>
      <c r="G2016">
        <f>Calc!G10</f>
        <v>15</v>
      </c>
      <c r="H2016">
        <f>Calc!H10</f>
        <v>1</v>
      </c>
      <c r="I2016">
        <f>IF(Skills!X10&lt;&gt;"",1+(Skills!X10/10)*(Z2009/1000)/100,1)</f>
        <v>1.7650000000000001</v>
      </c>
      <c r="J2016">
        <f>((Inputs!$B$6*(1+Inputs!$B$7/100))+(((Inputs!$B$12*(1+Inputs!$B$13/100))-(Inputs!$B$12*(1+Inputs!$B$13/100)))+0.25*(Inputs!$B$14-Inputs!$B$14))*(1+Inputs!$B$7/100))*(F2016/100)</f>
        <v>1012621197.9803641</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8980586260374.2793</v>
      </c>
      <c r="L2016">
        <f>K2016*(MIN(Inputs!$B$22+(F2028-Calc!F22),(Inputs!$B$23+(IF(ArtifactsInput!$M$15,CHOOSE(ArtifactsInput!$N$15+1,25,30,35,40,45,50)/100*(Inputs!$B$11-Inputs!$B$11),0))))/100+(Inputs!$B$23+(IF(ArtifactsInput!$M$15,CHOOSE(ArtifactsInput!$N$15+1,25,30,35,40,45,50)/100*(Inputs!$B$11-Inputs!$B$11),0)))/100)/2</f>
        <v>29860449315744.48</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2016">
        <f>L2016*(1-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2016">
        <f>(1-Summary!$B$11)*S2016+Summary!$B$11*U2016</f>
        <v>343868686701289.12</v>
      </c>
      <c r="P2016">
        <f>IF(B2047=0,0,O2016/B2047)</f>
        <v>9.5606045563111624E-3</v>
      </c>
      <c r="Q2016">
        <f>IFERROR(1/(IF(Inputs!$B$38="pvp",15,MAX(0.1,Skills!E10-IF(TRUE=TRUE,Inputs!$B$32,0)))*(1-IF(AND(ArtifactsInput!$M$27,Inputs!$B$4="Chapter Hunt"),CHOOSE(ArtifactsInput!$N$27+1,20,24,28,32,36,40),0)/100)),0)</f>
        <v>3.7037037037037035E-2</v>
      </c>
      <c r="R2016">
        <f>IF(AND(Inputs!$B$38&lt;&gt;"pvp",Inputs!$B$43&gt;0),IF(MAX(0,Inputs!$B$43-B2044)&lt;=0,0,(INT(MAX(0,Inputs!$B$43-B2044)/(IF(Inputs!$B$38="pvp",15,MAX(0.1,Skills!E10-IF(TRUE=TRUE,Inputs!$B$32,0)))*(1-IF(AND(ArtifactsInput!$M$27,Inputs!$B$4="Chapter Hunt"),CHOOSE(ArtifactsInput!$N$27+1,20,24,28,32,36,40),0)/100)))+1)),0)</f>
        <v>2</v>
      </c>
      <c r="S2016">
        <f>IF(C2016,(H2016*N2016*IF(AND(Inputs!$B$38&lt;&gt;"pvp",Inputs!$B$43&gt;0),((Skills!G10*((R2016-1)*IF(Skills!H10&gt;0,Skills!I10/Skills!H10,1)+IF(Skills!H10&gt;0,MIN(Skills!I10,MAX(0,MAX(0,Inputs!$B$43-B2044)-((R2016-1)*(IF(Inputs!$B$38="pvp",15,MAX(0.1,Skills!E10-IF(TRUE=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289244124741948.94</v>
      </c>
      <c r="U2016">
        <f>IF(C2016,(H2016*N2016*IF(AND(Inputs!$B$38&lt;&gt;"pvp",Inputs!$B$43&gt;0),((Skills!G10*((R2016-1)*IF(Skills!H10&gt;0,Skills!I10/Skills!H10,1)+IF(Skills!H10&gt;0,MIN(Skills!I10,MAX(0,MAX(0,Inputs!$B$43-B2044)-((R2016-1)*(IF(Inputs!$B$38="pvp",15,MAX(0.1,Skills!E10-IF(TRUE=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398493248660629.31</v>
      </c>
    </row>
    <row r="2017" spans="1:21" x14ac:dyDescent="0.2">
      <c r="A2017" t="str">
        <f>Skills!A11</f>
        <v>BURNING_MAGIC</v>
      </c>
      <c r="B2017" t="str">
        <f>Skills!B11</f>
        <v>Burning Magic</v>
      </c>
      <c r="C2017" t="b">
        <f>TRUE</f>
        <v>1</v>
      </c>
      <c r="D2017">
        <f>IF(Skills!C11=1,60+Inputs!$B$25+Inputs!$B$29,IF(Skills!C11=2,90+Inputs!$B$26+Inputs!$B$29,IF(Skills!C11=3,120+Inputs!$B$27+Inputs!$B$29,MAX(0,(Inputs!$B$3-100)*3)+Inputs!$B$28+Inputs!$B$29)))</f>
        <v>184</v>
      </c>
      <c r="E2017">
        <f>INDEX(FactorTable!$B$2:$Y$301, MATCH(ROUND(MIN(300,MAX(1,D2017)),0), FactorTable!$A$2:$A$301,0), Skills!M11+1)</f>
        <v>0</v>
      </c>
      <c r="F2017">
        <f>IF(Skills!N11=TRUE,(Skills!L11/10)*(E2017/1000),Skills!L11/10)+Skills!O11</f>
        <v>5</v>
      </c>
      <c r="G2017">
        <f>Calc!G11</f>
        <v>1</v>
      </c>
      <c r="H2017">
        <f>Calc!H11</f>
        <v>1</v>
      </c>
      <c r="I2017">
        <f>IF(Skills!X11&lt;&gt;"",1+(Skills!X11/10)*(Z2009/1000)/100,1)</f>
        <v>1</v>
      </c>
      <c r="O2017">
        <f>(1-Summary!$B$11)*S2017+Summary!$B$11*U2017</f>
        <v>0</v>
      </c>
      <c r="P2017">
        <f>IF(B2047=0,0,O2017/B2047)</f>
        <v>0</v>
      </c>
      <c r="Q2017">
        <f>IFERROR(1/(IF(Inputs!$B$38="pvp",15,MAX(0.1,Skills!E11-IF(TRUE=TRUE,Inputs!$B$32,0)))*(1-IF(AND(ArtifactsInput!$M$27,Inputs!$B$4="Chapter Hunt"),CHOOSE(ArtifactsInput!$N$27+1,20,24,28,32,36,40),0)/100)),0)</f>
        <v>10</v>
      </c>
      <c r="R2017">
        <v>0</v>
      </c>
      <c r="S2017">
        <v>0</v>
      </c>
      <c r="U2017">
        <v>0</v>
      </c>
    </row>
    <row r="2018" spans="1:21" x14ac:dyDescent="0.2">
      <c r="A2018" t="str">
        <f>Skills!A12</f>
        <v>ELEMENTAL_DECREASE</v>
      </c>
      <c r="B2018" t="str">
        <f>Skills!B12</f>
        <v>Elemental Decrease</v>
      </c>
      <c r="C2018" t="b">
        <f>TRUE</f>
        <v>1</v>
      </c>
      <c r="D2018">
        <f>IF(Skills!C12=1,60+Inputs!$B$25+Inputs!$B$29,IF(Skills!C12=2,90+Inputs!$B$26+Inputs!$B$29,IF(Skills!C12=3,120+Inputs!$B$27+Inputs!$B$29,MAX(0,(Inputs!$B$3-100)*3)+Inputs!$B$28+Inputs!$B$29)))</f>
        <v>184</v>
      </c>
      <c r="E2018">
        <f>INDEX(FactorTable!$B$2:$Y$301, MATCH(ROUND(MIN(300,MAX(1,D2018)),0), FactorTable!$A$2:$A$301,0), Skills!M12+1)</f>
        <v>1552</v>
      </c>
      <c r="F2018">
        <f>IF(Skills!N12=TRUE,(Skills!L12/10)*(E2018/1000),Skills!L12/10)+Skills!O12</f>
        <v>18.624000000000002</v>
      </c>
      <c r="G2018">
        <f>Calc!G12</f>
        <v>1</v>
      </c>
      <c r="H2018">
        <f>Calc!H12</f>
        <v>0.5</v>
      </c>
      <c r="I2018">
        <f>IF(Skills!X12&lt;&gt;"",1+(Skills!X12/10)*(Z2009/1000)/100,1)</f>
        <v>1</v>
      </c>
      <c r="O2018">
        <f>(1-Summary!$B$11)*S2018+Summary!$B$11*U2018</f>
        <v>0</v>
      </c>
      <c r="P2018">
        <f>IF(B2047=0,0,O2018/B2047)</f>
        <v>0</v>
      </c>
      <c r="Q2018">
        <f>IFERROR(1/(IF(Inputs!$B$38="pvp",15,MAX(0.1,Skills!E12-IF(TRUE=TRUE,Inputs!$B$32,0)))*(1-IF(AND(ArtifactsInput!$M$27,Inputs!$B$4="Chapter Hunt"),CHOOSE(ArtifactsInput!$N$27+1,20,24,28,32,36,40),0)/100)),0)</f>
        <v>10</v>
      </c>
      <c r="R2018">
        <v>0</v>
      </c>
      <c r="S2018">
        <v>0</v>
      </c>
      <c r="U2018">
        <v>0</v>
      </c>
    </row>
    <row r="2019" spans="1:21" x14ac:dyDescent="0.2">
      <c r="A2019" t="str">
        <f>Skills!A13</f>
        <v>METEOR_SHOWER_BURST</v>
      </c>
      <c r="B2019" t="str">
        <f>Skills!B13</f>
        <v>Meteor Shower (burst)</v>
      </c>
      <c r="C2019" t="b">
        <f>Inputs!$B$3&gt;=105</f>
        <v>1</v>
      </c>
      <c r="D2019">
        <f>IF(Skills!C13=1,60+Inputs!$B$25+Inputs!$B$29,IF(Skills!C13=2,90+Inputs!$B$26+Inputs!$B$29,IF(Skills!C13=3,120+Inputs!$B$27+Inputs!$B$29,MAX(0,(Inputs!$B$3-100)*3)+Inputs!$B$28+Inputs!$B$29)))</f>
        <v>185</v>
      </c>
      <c r="E2019">
        <f>INDEX(FactorTable!$B$2:$Y$301, MATCH(ROUND(MIN(300,MAX(1,D2019)),0), FactorTable!$A$2:$A$301,0), Skills!M13+1)</f>
        <v>1925</v>
      </c>
      <c r="F2019">
        <f>IF(Skills!N13=TRUE,(Skills!L13/10)*(E2019/1000),Skills!L13/10)+Skills!O13</f>
        <v>1155</v>
      </c>
      <c r="G2019">
        <f>Calc!G13</f>
        <v>9</v>
      </c>
      <c r="H2019">
        <f>Calc!H13</f>
        <v>1</v>
      </c>
      <c r="I2019">
        <f>IF(Skills!X13&lt;&gt;"",1+(Skills!X13/10)*(Z2009/1000)/100,1)</f>
        <v>1</v>
      </c>
      <c r="J2019">
        <f>((Inputs!$B$6*(1+Inputs!$B$7/100))+(((Inputs!$B$12*(1+Inputs!$B$13/100))-(Inputs!$B$12*(1+Inputs!$B$13/100)))+0.25*(Inputs!$B$14-Inputs!$B$14))*(1+Inputs!$B$7/100))*(F2019/100)</f>
        <v>4171103722.0660505</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20958681306616.391</v>
      </c>
      <c r="L2019">
        <f>K2019*(MIN(Inputs!$B$22+(F2028-Calc!F22),(Inputs!$B$23+(IF(ArtifactsInput!$M$15,CHOOSE(ArtifactsInput!$N$15+1,25,30,35,40,45,50)/100*(Inputs!$B$11-Inputs!$B$11),0))))/100+(Inputs!$B$23+(IF(ArtifactsInput!$M$15,CHOOSE(ArtifactsInput!$N$15+1,25,30,35,40,45,50)/100*(Inputs!$B$11-Inputs!$B$11),0)))/100)/2</f>
        <v>69687615344499.5</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2019">
        <f>L2019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2019">
        <f>(1-Summary!$B$11)*S2019+Summary!$B$11*U2019</f>
        <v>1951827747761752.2</v>
      </c>
      <c r="P2019">
        <f>IF(B2047=0,0,O2019/B2047)</f>
        <v>5.4266800031709916E-2</v>
      </c>
      <c r="Q2019">
        <f>IFERROR(1/(IF(Inputs!$B$38="pvp",15,MAX(0.1,Skills!E13-IF(TRUE=TRUE,Inputs!$B$32,0)))*(1-IF(AND(ArtifactsInput!$M$27,Inputs!$B$4="Chapter Hunt"),CHOOSE(ArtifactsInput!$N$27+1,20,24,28,32,36,40),0)/100)),0)</f>
        <v>3.0303030303030304E-2</v>
      </c>
      <c r="R2019">
        <f>IF(AND(Inputs!$B$38&lt;&gt;"pvp",Inputs!$B$43&gt;0),IF(MAX(0,Inputs!$B$43-B2044)&lt;=0,0,(INT(MAX(0,Inputs!$B$43-B2044)/(IF(Inputs!$B$38="pvp",15,MAX(0.1,Skills!E13-IF(TRUE=TRUE,Inputs!$B$32,0)))*(1-IF(AND(ArtifactsInput!$M$27,Inputs!$B$4="Chapter Hunt"),CHOOSE(ArtifactsInput!$N$27+1,20,24,28,32,36,40),0)/100)))+1)),0)</f>
        <v>2</v>
      </c>
      <c r="S2019">
        <f>IF(C2019,(H2019*N2019*IF(AND(Inputs!$B$38&lt;&gt;"pvp",Inputs!$B$43&gt;0),((Skills!G13*((R2019-1)*IF(Skills!H13&gt;0,Skills!I13/Skills!H13,1)+IF(Skills!H13&gt;0,MIN(Skills!I13,MAX(0,MAX(0,Inputs!$B$43-B2044)-((R2019-1)*(IF(Inputs!$B$38="pvp",15,MAX(0.1,Skills!E13-IF(TRUE=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473804008537858.31</v>
      </c>
      <c r="U2019">
        <f>IF(C2019,(H2019*N2019*IF(AND(Inputs!$B$38&lt;&gt;"pvp",Inputs!$B$43&gt;0),((Skills!G13*((R2019-1)*IF(Skills!H13&gt;0,Skills!I13/Skills!H13,1)+IF(Skills!H13&gt;0,MIN(Skills!I13,MAX(0,MAX(0,Inputs!$B$43-B2044)-((R2019-1)*(IF(Inputs!$B$38="pvp",15,MAX(0.1,Skills!E13-IF(TRUE=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3429851486985646</v>
      </c>
    </row>
    <row r="2020" spans="1:21" x14ac:dyDescent="0.2">
      <c r="A2020" t="str">
        <f>Skills!A14</f>
        <v>METEOR_PROC</v>
      </c>
      <c r="B2020" t="str">
        <f>Skills!B14</f>
        <v>Meteor Proc (30% on-hit, 1s ICD)</v>
      </c>
      <c r="C2020" t="b">
        <f>Inputs!$B$3&gt;=113</f>
        <v>1</v>
      </c>
      <c r="D2020">
        <f>IF(Skills!C14=1,60+Inputs!$B$25+Inputs!$B$29,IF(Skills!C14=2,90+Inputs!$B$26+Inputs!$B$29,IF(Skills!C14=3,120+Inputs!$B$27+Inputs!$B$29,MAX(0,(Inputs!$B$3-100)*3)+Inputs!$B$28+Inputs!$B$29)))</f>
        <v>185</v>
      </c>
      <c r="E2020">
        <f>INDEX(FactorTable!$B$2:$Y$301, MATCH(ROUND(MIN(300,MAX(1,D2020)),0), FactorTable!$A$2:$A$301,0), Skills!M14+1)</f>
        <v>1740</v>
      </c>
      <c r="F2020">
        <f>IF(Skills!N14=TRUE,(Skills!L14/10)*(E2020/1000),Skills!L14/10)+Skills!O14</f>
        <v>1653</v>
      </c>
      <c r="G2020">
        <f>Calc!G14</f>
        <v>0</v>
      </c>
      <c r="H2020">
        <f>Calc!H14</f>
        <v>0.30000000000000004</v>
      </c>
      <c r="I2020">
        <f>IF(Skills!X14&lt;&gt;"",1+(Skills!X14/10)*(Z2009/1000)/100,1)</f>
        <v>1</v>
      </c>
      <c r="J2020">
        <f>((Inputs!$B$6*(1+Inputs!$B$7/100))+(((Inputs!$B$12*(1+Inputs!$B$13/100))-(Inputs!$B$12*(1+Inputs!$B$13/100)))+0.25*(Inputs!$B$14-Inputs!$B$14))*(1+Inputs!$B$7/100))*(F2020/100)</f>
        <v>5969553638.5932312</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29995411428430.203</v>
      </c>
      <c r="L2020">
        <f>K2020*(MIN(Inputs!$B$22+(F2028-Calc!F22),(Inputs!$B$23+(IF(ArtifactsInput!$M$15,CHOOSE(ArtifactsInput!$N$15+1,25,30,35,40,45,50)/100*(Inputs!$B$11-Inputs!$B$11),0))))/100+(Inputs!$B$23+(IF(ArtifactsInput!$M$15,CHOOSE(ArtifactsInput!$N$15+1,25,30,35,40,45,50)/100*(Inputs!$B$11-Inputs!$B$11),0)))/100)/2</f>
        <v>99734742999530.438</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2020">
        <f>L2020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2020">
        <f>(1-Summary!$B$11)*S2020+Summary!$B$11*U2020</f>
        <v>486090010217512.12</v>
      </c>
      <c r="P2020">
        <f>IF(B2047=0,0,O2020/B2047)</f>
        <v>1.3514793716881532E-2</v>
      </c>
      <c r="Q2020">
        <f>IFERROR(1/(IF(Inputs!$B$38="pvp",15,MAX(0.1,Skills!E14-IF(TRUE=TRUE,Inputs!$B$32,0)))*(1-IF(AND(ArtifactsInput!$M$27,Inputs!$B$4="Chapter Hunt"),CHOOSE(ArtifactsInput!$N$27+1,20,24,28,32,36,40),0)/100)),0)</f>
        <v>10</v>
      </c>
      <c r="R2020">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477932158924381.19</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494247861510643.12</v>
      </c>
    </row>
    <row r="2021" spans="1:21" x14ac:dyDescent="0.2">
      <c r="A2021" t="str">
        <f>Skills!A15</f>
        <v>FLAME_HAZE_BURST</v>
      </c>
      <c r="B2021" t="str">
        <f>Skills!B15</f>
        <v>Flame Haze (burst)</v>
      </c>
      <c r="C2021" t="b">
        <f>Inputs!$B$3&gt;=107</f>
        <v>1</v>
      </c>
      <c r="D2021">
        <f>IF(Skills!C15=1,60+Inputs!$B$25+Inputs!$B$29,IF(Skills!C15=2,90+Inputs!$B$26+Inputs!$B$29,IF(Skills!C15=3,120+Inputs!$B$27+Inputs!$B$29,MAX(0,(Inputs!$B$3-100)*3)+Inputs!$B$28+Inputs!$B$29)))</f>
        <v>185</v>
      </c>
      <c r="E2021">
        <f>INDEX(FactorTable!$B$2:$Y$301, MATCH(ROUND(MIN(300,MAX(1,D2021)),0), FactorTable!$A$2:$A$301,0), Skills!M15+1)</f>
        <v>1925</v>
      </c>
      <c r="F2021">
        <f>IF(Skills!N15=TRUE,(Skills!L15/10)*(E2021/1000),Skills!L15/10)+Skills!O15</f>
        <v>2310</v>
      </c>
      <c r="G2021">
        <f>Calc!G15</f>
        <v>3</v>
      </c>
      <c r="H2021">
        <f>Calc!H15</f>
        <v>1</v>
      </c>
      <c r="I2021">
        <f>IF(Skills!X15&lt;&gt;"",1+(Skills!X15/10)*(Z2009/1000)/100,1)</f>
        <v>1</v>
      </c>
      <c r="J2021">
        <f>((Inputs!$B$6*(1+Inputs!$B$7/100))+(((Inputs!$B$12*(1+Inputs!$B$13/100))-(Inputs!$B$12*(1+Inputs!$B$13/100)))+0.25*(Inputs!$B$14-Inputs!$B$14))*(1+Inputs!$B$7/100))*(F2021/100)</f>
        <v>8342207444.1321011</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41917362613232.781</v>
      </c>
      <c r="L2021">
        <f>K2021*(MIN(Inputs!$B$22+(F2028-Calc!F22),(Inputs!$B$23+(IF(ArtifactsInput!$M$15,CHOOSE(ArtifactsInput!$N$15+1,25,30,35,40,45,50)/100*(Inputs!$B$11-Inputs!$B$11),0))))/100+(Inputs!$B$23+(IF(ArtifactsInput!$M$15,CHOOSE(ArtifactsInput!$N$15+1,25,30,35,40,45,50)/100*(Inputs!$B$11-Inputs!$B$11),0)))/100)/2</f>
        <v>139375230688999</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2021">
        <f>L2021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2021">
        <f>(1-Summary!$B$11)*S2021+Summary!$B$11*U2021</f>
        <v>1791197282362926.8</v>
      </c>
      <c r="P2021">
        <f>IF(B2047=0,0,O2021/B2047)</f>
        <v>4.9800780243439861E-2</v>
      </c>
      <c r="Q2021">
        <f>IFERROR(1/(IF(Inputs!$B$38="pvp",15,MAX(0.1,Skills!E15-IF(TRUE=TRUE,Inputs!$B$32,0)))*(1-IF(AND(ArtifactsInput!$M$27,Inputs!$B$4="Chapter Hunt"),CHOOSE(ArtifactsInput!$N$27+1,20,24,28,32,36,40),0)/100)),0)</f>
        <v>0.04</v>
      </c>
      <c r="R2021">
        <f>IF(AND(Inputs!$B$38&lt;&gt;"pvp",Inputs!$B$43&gt;0),IF(MAX(0,Inputs!$B$43-B2044)&lt;=0,0,(INT(MAX(0,Inputs!$B$43-B2044)/(IF(Inputs!$B$38="pvp",15,MAX(0.1,Skills!E15-IF(TRUE=TRUE,Inputs!$B$32,0)))*(1-IF(AND(ArtifactsInput!$M$27,Inputs!$B$4="Chapter Hunt"),CHOOSE(ArtifactsInput!$N$27+1,20,24,28,32,36,40),0)/100)))+1)),0)</f>
        <v>2</v>
      </c>
      <c r="S2021">
        <f>IF(C2021,(H2021*N2021*IF(AND(Inputs!$B$38&lt;&gt;"pvp",Inputs!$B$43&gt;0),((Skills!G15*((R2021-1)*IF(Skills!H15&gt;0,Skills!I15/Skills!H15,1)+IF(Skills!H15&gt;0,MIN(Skills!I15,MAX(0,MAX(0,Inputs!$B$43-B2044)-((R2021-1)*(IF(Inputs!$B$38="pvp",15,MAX(0.1,Skills!E15-IF(TRUE=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315869339025238.81</v>
      </c>
      <c r="U2021">
        <f>IF(C2021,(H2021*N2021*IF(AND(Inputs!$B$38&lt;&gt;"pvp",Inputs!$B$43&gt;0),((Skills!G15*((R2021-1)*IF(Skills!H15&gt;0,Skills!I15/Skills!H15,1)+IF(Skills!H15&gt;0,MIN(Skills!I15,MAX(0,MAX(0,Inputs!$B$43-B2044)-((R2021-1)*(IF(Inputs!$B$38="pvp",15,MAX(0.1,Skills!E15-IF(TRUE=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3266525225700614.5</v>
      </c>
    </row>
    <row r="2022" spans="1:21" x14ac:dyDescent="0.2">
      <c r="A2022" t="str">
        <f>Skills!A16</f>
        <v>FLAME_HAZE_DOT</v>
      </c>
      <c r="B2022" t="str">
        <f>Skills!B16</f>
        <v>Flame Haze (burn DoT)</v>
      </c>
      <c r="C2022" t="b">
        <f>Inputs!$B$3&gt;=107</f>
        <v>1</v>
      </c>
      <c r="D2022">
        <f>IF(Skills!C16=1,60+Inputs!$B$25+Inputs!$B$29,IF(Skills!C16=2,90+Inputs!$B$26+Inputs!$B$29,IF(Skills!C16=3,120+Inputs!$B$27+Inputs!$B$29,MAX(0,(Inputs!$B$3-100)*3)+Inputs!$B$28+Inputs!$B$29)))</f>
        <v>185</v>
      </c>
      <c r="E2022">
        <f>INDEX(FactorTable!$B$2:$Y$301, MATCH(ROUND(MIN(300,MAX(1,D2022)),0), FactorTable!$A$2:$A$301,0), Skills!M16+1)</f>
        <v>1925</v>
      </c>
      <c r="F2022">
        <f>IF(Skills!N16=TRUE,(Skills!L16/10)*(E2022/1000),Skills!L16/10)+Skills!O16</f>
        <v>288.75</v>
      </c>
      <c r="G2022">
        <f>Calc!G16</f>
        <v>30</v>
      </c>
      <c r="H2022">
        <f>Calc!H16</f>
        <v>1</v>
      </c>
      <c r="I2022">
        <f>IF(Skills!X16&lt;&gt;"",1+(Skills!X16/10)*(Z2009/1000)/100,1)</f>
        <v>1</v>
      </c>
      <c r="J2022">
        <f>((Inputs!$B$6*(1+Inputs!$B$7/100))+(((Inputs!$B$12*(1+Inputs!$B$13/100))-(Inputs!$B$12*(1+Inputs!$B$13/100)))+0.25*(Inputs!$B$14-Inputs!$B$14))*(1+Inputs!$B$7/100))*(F2022/100)</f>
        <v>1042775930.5165126</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5239670326654.0977</v>
      </c>
      <c r="L2022">
        <f>K2022*(MIN(Inputs!$B$22+(F2028-Calc!F22),(Inputs!$B$23+(IF(ArtifactsInput!$M$15,CHOOSE(ArtifactsInput!$N$15+1,25,30,35,40,45,50)/100*(Inputs!$B$11-Inputs!$B$11),0))))/100+(Inputs!$B$23+(IF(ArtifactsInput!$M$15,CHOOSE(ArtifactsInput!$N$15+1,25,30,35,40,45,50)/100*(Inputs!$B$11-Inputs!$B$11),0)))/100)/2</f>
        <v>17421903836124.875</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2022">
        <f>L2022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2022">
        <f>(1-Summary!$B$11)*S2022+Summary!$B$11*U2022</f>
        <v>2063212815930198.5</v>
      </c>
      <c r="P2022">
        <f>IF(B2047=0,0,O2022/B2047)</f>
        <v>5.7363646681086101E-2</v>
      </c>
      <c r="Q2022">
        <f>IFERROR(1/(IF(Inputs!$B$38="pvp",15,MAX(0.1,Skills!E16-IF(TRUE=TRUE,Inputs!$B$32,0)))*(1-IF(AND(ArtifactsInput!$M$27,Inputs!$B$4="Chapter Hunt"),CHOOSE(ArtifactsInput!$N$27+1,20,24,28,32,36,40),0)/100)),0)</f>
        <v>0.04</v>
      </c>
      <c r="R2022">
        <f>IF(AND(Inputs!$B$38&lt;&gt;"pvp",Inputs!$B$43&gt;0),IF(MAX(0,Inputs!$B$43-B2044)&lt;=0,0,(INT(MAX(0,Inputs!$B$43-B2044)/(IF(Inputs!$B$38="pvp",15,MAX(0.1,Skills!E16-IF(TRUE=TRUE,Inputs!$B$32,0)))*(1-IF(AND(ArtifactsInput!$M$27,Inputs!$B$4="Chapter Hunt"),CHOOSE(ArtifactsInput!$N$27+1,20,24,28,32,36,40),0)/100)))+1)),0)</f>
        <v>2</v>
      </c>
      <c r="S2022">
        <f>IF(C2022,(H2022*N2022*IF(AND(Inputs!$B$38&lt;&gt;"pvp",Inputs!$B$43&gt;0),((Skills!G16*((R2022-1)*IF(Skills!H16&gt;0,Skills!I16/Skills!H16,1)+IF(Skills!H16&gt;0,MIN(Skills!I16,MAX(0,MAX(0,Inputs!$B$43-B2044)-((R2022-1)*(IF(Inputs!$B$38="pvp",15,MAX(0.1,Skills!E16-IF(TRUE=TRUE,Inputs!$B$32,0)))*(1-IF(AND(ArtifactsInput!$M$27,Inputs!$B$4="Chapter Hunt"),CHOOSE(ArtifactsInput!$N$27+1,20,24,28,32,36,40),0)/100)))))/Skills!H16,1)))/Inputs!$B$43),G2022*Q2022)*(1+IF(Inputs!$B$3&gt;=126,0.05*(B2042+Q2019+(H2020*B2043)/(1+Skills!H14*H2020*B2043)+Q2030),0)*(1/Q2021)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363838017650714.06</v>
      </c>
      <c r="U2022">
        <f>IF(C2022,(H2022*N2022*IF(AND(Inputs!$B$38&lt;&gt;"pvp",Inputs!$B$43&gt;0),((Skills!G16*((R2022-1)*IF(Skills!H16&gt;0,Skills!I16/Skills!H16,1)+IF(Skills!H16&gt;0,MIN(Skills!I16,MAX(0,MAX(0,Inputs!$B$43-B2044)-((R2022-1)*(IF(Inputs!$B$38="pvp",15,MAX(0.1,Skills!E16-IF(TRUE=TRUE,Inputs!$B$32,0)))*(1-IF(AND(ArtifactsInput!$M$27,Inputs!$B$4="Chapter Hunt"),CHOOSE(ArtifactsInput!$N$27+1,20,24,28,32,36,40),0)/100)))))/Skills!H16,1)))/Inputs!$B$43),G2022*Q2022)*(1+IF(Inputs!$B$3&gt;=126,0.05*(B2042+Q2019+(H2020*B2043)/(1+Skills!H14*H2020*B2043)+Q2030),0)*(1/Q2021)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3762587614209683</v>
      </c>
    </row>
    <row r="2023" spans="1:21" x14ac:dyDescent="0.2">
      <c r="A2023" t="str">
        <f>Skills!A17</f>
        <v>MAGIC_GUARD</v>
      </c>
      <c r="B2023" t="str">
        <f>Skills!B17</f>
        <v>Magic Guard</v>
      </c>
      <c r="C2023" t="b">
        <f>TRUE</f>
        <v>1</v>
      </c>
      <c r="D2023">
        <f>IF(Skills!C17=1,60+Inputs!$B$25+Inputs!$B$29,IF(Skills!C17=2,90+Inputs!$B$26+Inputs!$B$29,IF(Skills!C17=3,120+Inputs!$B$27+Inputs!$B$29,MAX(0,(Inputs!$B$3-100)*3)+Inputs!$B$28+Inputs!$B$29)))</f>
        <v>127</v>
      </c>
      <c r="E2023">
        <f>INDEX(FactorTable!$B$2:$Y$301, MATCH(ROUND(MIN(300,MAX(1,D2023)),0), FactorTable!$A$2:$A$301,0), Skills!M17+1)</f>
        <v>1508</v>
      </c>
      <c r="F2023">
        <f>IF(Skills!N17=TRUE,(Skills!L17/10)*(E2023/1000),Skills!L17/10)+Skills!O17</f>
        <v>18.096</v>
      </c>
      <c r="G2023">
        <f>Calc!G17</f>
        <v>1</v>
      </c>
      <c r="H2023">
        <f>Calc!H17</f>
        <v>1</v>
      </c>
      <c r="I2023">
        <f>IF(Skills!X17&lt;&gt;"",1+(Skills!X17/10)*(Z2009/1000)/100,1)</f>
        <v>1</v>
      </c>
      <c r="O2023">
        <f>(1-Summary!$B$11)*S2023+Summary!$B$11*U2023</f>
        <v>0</v>
      </c>
      <c r="P2023">
        <f>IF(B2047=0,0,O2023/B2047)</f>
        <v>0</v>
      </c>
      <c r="Q2023">
        <f>IFERROR(1/(IF(Inputs!$B$38="pvp",15,MAX(0.1,Skills!E17-IF(TRUE=TRUE,Inputs!$B$32,0)))*(1-IF(AND(ArtifactsInput!$M$27,Inputs!$B$4="Chapter Hunt"),CHOOSE(ArtifactsInput!$N$27+1,20,24,28,32,36,40),0)/100)),0)</f>
        <v>4.7619047619047616E-2</v>
      </c>
      <c r="R2023">
        <f>IF(AND(Inputs!$B$38&lt;&gt;"pvp",Inputs!$B$43&gt;0),IF(Inputs!$B$43&lt;=0,0,(INT(Inputs!$B$43/(IF(Inputs!$B$38="pvp",15,MAX(0.1,Skills!E17-IF(TRUE=TRUE,Inputs!$B$32,0)))*(1-IF(AND(ArtifactsInput!$M$27,Inputs!$B$4="Chapter Hunt"),CHOOSE(ArtifactsInput!$N$27+1,20,24,28,32,36,40),0)/100)))+1)),0)</f>
        <v>2</v>
      </c>
      <c r="S2023">
        <v>0</v>
      </c>
      <c r="U2023">
        <v>0</v>
      </c>
    </row>
    <row r="2024" spans="1:21" x14ac:dyDescent="0.2">
      <c r="A2024" t="str">
        <f>Skills!A18</f>
        <v>NIMBLE_FEET</v>
      </c>
      <c r="B2024" t="str">
        <f>Skills!B18</f>
        <v>Nimble Feet</v>
      </c>
      <c r="C2024" t="b">
        <f>TRUE</f>
        <v>1</v>
      </c>
      <c r="D2024">
        <f>IF(Skills!C18=1,60+Inputs!$B$25+Inputs!$B$29,IF(Skills!C18=2,90+Inputs!$B$26+Inputs!$B$29,IF(Skills!C18=3,120+Inputs!$B$27+Inputs!$B$29,MAX(0,(Inputs!$B$3-100)*3)+Inputs!$B$28+Inputs!$B$29)))</f>
        <v>127</v>
      </c>
      <c r="E2024">
        <f>INDEX(FactorTable!$B$2:$Y$301, MATCH(ROUND(MIN(300,MAX(1,D2024)),0), FactorTable!$A$2:$A$301,0), Skills!M18+1)</f>
        <v>0</v>
      </c>
      <c r="F2024">
        <f>IF(Skills!N18=TRUE,(Skills!L18/10)*(E2024/1000),Skills!L18/10)+Skills!O18</f>
        <v>15</v>
      </c>
      <c r="G2024">
        <f>Calc!G18</f>
        <v>1</v>
      </c>
      <c r="H2024">
        <f>Calc!H18</f>
        <v>1</v>
      </c>
      <c r="I2024">
        <f>IF(Skills!X18&lt;&gt;"",1+(Skills!X18/10)*(Z2009/1000)/100,1)</f>
        <v>1</v>
      </c>
      <c r="O2024">
        <f>(1-Summary!$B$11)*S2024+Summary!$B$11*U2024</f>
        <v>0</v>
      </c>
      <c r="P2024">
        <f>IF(B2047=0,0,O2024/B2047)</f>
        <v>0</v>
      </c>
      <c r="Q2024">
        <f>IFERROR(1/(IF(Inputs!$B$38="pvp",15,MAX(0.1,Skills!E18-IF(TRUE=TRUE,Inputs!$B$32,0)))*(1-IF(AND(ArtifactsInput!$M$27,Inputs!$B$4="Chapter Hunt"),CHOOSE(ArtifactsInput!$N$27+1,20,24,28,32,36,40),0)/100)),0)</f>
        <v>1.6666666666666666E-2</v>
      </c>
      <c r="R2024">
        <f>IF(AND(Inputs!$B$38&lt;&gt;"pvp",Inputs!$B$43&gt;0),IF(Inputs!$B$43&lt;=0,0,(INT(Inputs!$B$43/(IF(Inputs!$B$38="pvp",15,MAX(0.1,Skills!E18-IF(TRUE=TRUE,Inputs!$B$32,0)))*(1-IF(AND(ArtifactsInput!$M$27,Inputs!$B$4="Chapter Hunt"),CHOOSE(ArtifactsInput!$N$27+1,20,24,28,32,36,40),0)/100)))+1)),0)</f>
        <v>1</v>
      </c>
      <c r="S2024">
        <v>0</v>
      </c>
      <c r="U2024">
        <v>0</v>
      </c>
    </row>
    <row r="2025" spans="1:21" x14ac:dyDescent="0.2">
      <c r="A2025" t="str">
        <f>Skills!A19</f>
        <v>INFINITY</v>
      </c>
      <c r="B2025" t="str">
        <f>Skills!B19</f>
        <v>Infinity</v>
      </c>
      <c r="C2025" t="b">
        <f>Inputs!$B$3&gt;=110</f>
        <v>1</v>
      </c>
      <c r="D2025">
        <f>IF(Skills!C19=1,60+Inputs!$B$25+Inputs!$B$29,IF(Skills!C19=2,90+Inputs!$B$26+Inputs!$B$29,IF(Skills!C19=3,120+Inputs!$B$27+Inputs!$B$29,MAX(0,(Inputs!$B$3-100)*3)+Inputs!$B$28+Inputs!$B$29)))</f>
        <v>185</v>
      </c>
      <c r="E2025">
        <f>INDEX(FactorTable!$B$2:$Y$301, MATCH(ROUND(MIN(300,MAX(1,D2025)),0), FactorTable!$A$2:$A$301,0), Skills!M19+1)</f>
        <v>1740</v>
      </c>
      <c r="F2025">
        <f>IF(Skills!N19=TRUE,(Skills!L19/10)*(E2025/1000),Skills!L19/10)+Skills!O19</f>
        <v>37.700579999999995</v>
      </c>
      <c r="G2025">
        <f>Calc!G19</f>
        <v>1</v>
      </c>
      <c r="H2025">
        <f>Calc!H19</f>
        <v>1</v>
      </c>
      <c r="I2025">
        <f>IF(Skills!X19&lt;&gt;"",1+(Skills!X19/10)*(Z2009/1000)/100,1)</f>
        <v>1</v>
      </c>
      <c r="O2025">
        <f>(1-Summary!$B$11)*S2025+Summary!$B$11*U2025</f>
        <v>0</v>
      </c>
      <c r="P2025">
        <f>IF(B2047=0,0,O2025/B2047)</f>
        <v>0</v>
      </c>
      <c r="Q2025">
        <f>IFERROR(1/(IF(Inputs!$B$38="pvp",15,MAX(0.1,Skills!E19-IF(TRUE=TRUE,Inputs!$B$32,0)))*(1-IF(AND(ArtifactsInput!$M$27,Inputs!$B$4="Chapter Hunt"),CHOOSE(ArtifactsInput!$N$27+1,20,24,28,32,36,40),0)/100)),0)</f>
        <v>3.3333333333333333E-2</v>
      </c>
      <c r="R2025">
        <f>IF(AND(Inputs!$B$38&lt;&gt;"pvp",Inputs!$B$43&gt;0),IF(Inputs!$B$43&lt;=0,0,(INT(Inputs!$B$43/(IF(Inputs!$B$38="pvp",15,MAX(0.1,Skills!E19-IF(TRUE=TRUE,Inputs!$B$32,0)))*(1-IF(AND(ArtifactsInput!$M$27,Inputs!$B$4="Chapter Hunt"),CHOOSE(ArtifactsInput!$N$27+1,20,24,28,32,36,40),0)/100)))+1)),0)</f>
        <v>2</v>
      </c>
      <c r="S2025">
        <v>0</v>
      </c>
      <c r="U2025">
        <v>0</v>
      </c>
    </row>
    <row r="2026" spans="1:21" x14ac:dyDescent="0.2">
      <c r="A2026" t="str">
        <f>Skills!A20</f>
        <v>MAGIC_CRITICAL_RATE</v>
      </c>
      <c r="B2026" t="str">
        <f>Skills!B20</f>
        <v>Magic Critical (Crit Rate)</v>
      </c>
      <c r="C2026" t="b">
        <f>TRUE</f>
        <v>1</v>
      </c>
      <c r="D2026">
        <f>IF(Skills!C20=1,60+Inputs!$B$25+Inputs!$B$29,IF(Skills!C20=2,90+Inputs!$B$26+Inputs!$B$29,IF(Skills!C20=3,120+Inputs!$B$27+Inputs!$B$29,MAX(0,(Inputs!$B$3-100)*3)+Inputs!$B$28+Inputs!$B$29)))</f>
        <v>184</v>
      </c>
      <c r="E2026">
        <f>INDEX(FactorTable!$B$2:$Y$301, MATCH(ROUND(MIN(300,MAX(1,D2026)),0), FactorTable!$A$2:$A$301,0), Skills!M20+1)</f>
        <v>1552</v>
      </c>
      <c r="F2026">
        <f>IF(Skills!N20=TRUE,(Skills!L20/10)*(E2026/1000),Skills!L20/10)+Skills!O20</f>
        <v>12.416</v>
      </c>
      <c r="G2026">
        <f>Calc!G20</f>
        <v>1</v>
      </c>
      <c r="H2026">
        <f>Calc!H20</f>
        <v>1</v>
      </c>
      <c r="I2026">
        <f>IF(Skills!X20&lt;&gt;"",1+(Skills!X20/10)*(Z2009/1000)/100,1)</f>
        <v>1</v>
      </c>
      <c r="O2026">
        <f>(1-Summary!$B$11)*S2026+Summary!$B$11*U2026</f>
        <v>0</v>
      </c>
      <c r="P2026">
        <f>IF(B2047=0,0,O2026/B2047)</f>
        <v>0</v>
      </c>
      <c r="Q2026">
        <f>IFERROR(1/(IF(Inputs!$B$38="pvp",15,MAX(0.1,Skills!E20-IF(TRUE=TRUE,Inputs!$B$32,0)))*(1-IF(AND(ArtifactsInput!$M$27,Inputs!$B$4="Chapter Hunt"),CHOOSE(ArtifactsInput!$N$27+1,20,24,28,32,36,40),0)/100)),0)</f>
        <v>10</v>
      </c>
      <c r="R2026">
        <v>0</v>
      </c>
      <c r="S2026">
        <v>0</v>
      </c>
      <c r="U2026">
        <v>0</v>
      </c>
    </row>
    <row r="2027" spans="1:21" x14ac:dyDescent="0.2">
      <c r="A2027" t="str">
        <f>Skills!A21</f>
        <v>MAGIC_CRITICAL_DAMAGE</v>
      </c>
      <c r="B2027" t="str">
        <f>Skills!B21</f>
        <v>Magic Critical (Crit Damage)</v>
      </c>
      <c r="C2027" t="b">
        <f>TRUE</f>
        <v>1</v>
      </c>
      <c r="D2027">
        <f>IF(Skills!C21=1,60+Inputs!$B$25+Inputs!$B$29,IF(Skills!C21=2,90+Inputs!$B$26+Inputs!$B$29,IF(Skills!C21=3,120+Inputs!$B$27+Inputs!$B$29,MAX(0,(Inputs!$B$3-100)*3)+Inputs!$B$28+Inputs!$B$29)))</f>
        <v>184</v>
      </c>
      <c r="E2027">
        <f>INDEX(FactorTable!$B$2:$Y$301, MATCH(ROUND(MIN(300,MAX(1,D2027)),0), FactorTable!$A$2:$A$301,0), Skills!M21+1)</f>
        <v>1552</v>
      </c>
      <c r="F2027">
        <f>IF(Skills!N21=TRUE,(Skills!L21/10)*(E2027/1000),Skills!L21/10)+Skills!O21</f>
        <v>18.624000000000002</v>
      </c>
      <c r="G2027">
        <f>Calc!G21</f>
        <v>1</v>
      </c>
      <c r="H2027">
        <f>Calc!H21</f>
        <v>1</v>
      </c>
      <c r="I2027">
        <f>IF(Skills!X21&lt;&gt;"",1+(Skills!X21/10)*(Z2009/1000)/100,1)</f>
        <v>1</v>
      </c>
      <c r="O2027">
        <f>(1-Summary!$B$11)*S2027+Summary!$B$11*U2027</f>
        <v>0</v>
      </c>
      <c r="P2027">
        <f>IF(B2047=0,0,O2027/B2047)</f>
        <v>0</v>
      </c>
      <c r="Q2027">
        <f>IFERROR(1/(IF(Inputs!$B$38="pvp",15,MAX(0.1,Skills!E21-IF(TRUE=TRUE,Inputs!$B$32,0)))*(1-IF(AND(ArtifactsInput!$M$27,Inputs!$B$4="Chapter Hunt"),CHOOSE(ArtifactsInput!$N$27+1,20,24,28,32,36,40),0)/100)),0)</f>
        <v>10</v>
      </c>
      <c r="R2027">
        <v>0</v>
      </c>
      <c r="S2027">
        <v>0</v>
      </c>
      <c r="U2027">
        <v>0</v>
      </c>
    </row>
    <row r="2028" spans="1:21" x14ac:dyDescent="0.2">
      <c r="A2028" t="str">
        <f>Skills!A22</f>
        <v>SPELL_MASTERY</v>
      </c>
      <c r="B2028" t="str">
        <f>Skills!B22</f>
        <v>Spell Mastery</v>
      </c>
      <c r="C2028" t="b">
        <f>TRUE</f>
        <v>1</v>
      </c>
      <c r="D2028">
        <f>IF(Skills!C22=1,60+Inputs!$B$25+Inputs!$B$29,IF(Skills!C22=2,90+Inputs!$B$26+Inputs!$B$29,IF(Skills!C22=3,120+Inputs!$B$27+Inputs!$B$29,MAX(0,(Inputs!$B$3-100)*3)+Inputs!$B$28+Inputs!$B$29)))</f>
        <v>168</v>
      </c>
      <c r="E2028">
        <f>INDEX(FactorTable!$B$2:$Y$301, MATCH(ROUND(MIN(300,MAX(1,D2028)),0), FactorTable!$A$2:$A$301,0), Skills!M22+1)</f>
        <v>1504</v>
      </c>
      <c r="F2028">
        <f>IF(Skills!N22=TRUE,(Skills!L22/10)*(E2028/1000),Skills!L22/10)+Skills!O22</f>
        <v>22.56</v>
      </c>
      <c r="G2028">
        <f>Calc!G22</f>
        <v>1</v>
      </c>
      <c r="H2028">
        <f>Calc!H22</f>
        <v>1</v>
      </c>
      <c r="I2028">
        <f>IF(Skills!X22&lt;&gt;"",1+(Skills!X22/10)*(Z2009/1000)/100,1)</f>
        <v>1</v>
      </c>
      <c r="O2028">
        <f>(1-Summary!$B$11)*S2028+Summary!$B$11*U2028</f>
        <v>0</v>
      </c>
      <c r="P2028">
        <f>IF(B2047=0,0,O2028/B2047)</f>
        <v>0</v>
      </c>
      <c r="Q2028">
        <f>IFERROR(1/(IF(Inputs!$B$38="pvp",15,MAX(0.1,Skills!E22-IF(TRUE=TRUE,Inputs!$B$32,0)))*(1-IF(AND(ArtifactsInput!$M$27,Inputs!$B$4="Chapter Hunt"),CHOOSE(ArtifactsInput!$N$27+1,20,24,28,32,36,40),0)/100)),0)</f>
        <v>10</v>
      </c>
      <c r="R2028">
        <v>0</v>
      </c>
      <c r="S2028">
        <v>0</v>
      </c>
      <c r="U2028">
        <v>0</v>
      </c>
    </row>
    <row r="2029" spans="1:21" x14ac:dyDescent="0.2">
      <c r="A2029" t="str">
        <f>Skills!A23</f>
        <v>ELEMENT_AMPLIFICATION</v>
      </c>
      <c r="B2029" t="str">
        <f>Skills!B23</f>
        <v>Element Amplification</v>
      </c>
      <c r="C2029" t="b">
        <f>TRUE</f>
        <v>1</v>
      </c>
      <c r="D2029">
        <f>IF(Skills!C23=1,60+Inputs!$B$25+Inputs!$B$29,IF(Skills!C23=2,90+Inputs!$B$26+Inputs!$B$29,IF(Skills!C23=3,120+Inputs!$B$27+Inputs!$B$29,MAX(0,(Inputs!$B$3-100)*3)+Inputs!$B$28+Inputs!$B$29)))</f>
        <v>185</v>
      </c>
      <c r="E2029">
        <f>INDEX(FactorTable!$B$2:$Y$301, MATCH(ROUND(MIN(300,MAX(1,D2029)),0), FactorTable!$A$2:$A$301,0), Skills!M23+1)</f>
        <v>1555</v>
      </c>
      <c r="F2029">
        <f>IF(Skills!N23=TRUE,(Skills!L23/10)*(E2029/1000),Skills!L23/10)+Skills!O23</f>
        <v>23.324999999999999</v>
      </c>
      <c r="G2029">
        <f>Calc!G23</f>
        <v>1</v>
      </c>
      <c r="H2029">
        <f>Calc!H23</f>
        <v>1</v>
      </c>
      <c r="I2029">
        <f>IF(Skills!X23&lt;&gt;"",1+(Skills!X23/10)*(Z2009/1000)/100,1)</f>
        <v>1</v>
      </c>
      <c r="O2029">
        <f>(1-Summary!$B$11)*S2029+Summary!$B$11*U2029</f>
        <v>0</v>
      </c>
      <c r="P2029">
        <f>IF(B2047=0,0,O2029/B2047)</f>
        <v>0</v>
      </c>
      <c r="Q2029">
        <f>IFERROR(1/(IF(Inputs!$B$38="pvp",15,MAX(0.1,Skills!E23-IF(TRUE=TRUE,Inputs!$B$32,0)))*(1-IF(AND(ArtifactsInput!$M$27,Inputs!$B$4="Chapter Hunt"),CHOOSE(ArtifactsInput!$N$27+1,20,24,28,32,36,40),0)/100)),0)</f>
        <v>10</v>
      </c>
      <c r="R2029">
        <v>0</v>
      </c>
      <c r="S2029">
        <v>0</v>
      </c>
      <c r="U2029">
        <v>0</v>
      </c>
    </row>
    <row r="2030" spans="1:21" x14ac:dyDescent="0.2">
      <c r="A2030" t="str">
        <f>Skills!A24</f>
        <v>IFRIT</v>
      </c>
      <c r="B2030" t="str">
        <f>Skills!B24</f>
        <v>Ifrit</v>
      </c>
      <c r="C2030" t="b">
        <f>Inputs!$B$3&gt;=115</f>
        <v>1</v>
      </c>
      <c r="D2030">
        <f>IF(Skills!C24=1,60+Inputs!$B$25+Inputs!$B$29,IF(Skills!C24=2,90+Inputs!$B$26+Inputs!$B$29,IF(Skills!C24=3,120+Inputs!$B$27+Inputs!$B$29,MAX(0,(Inputs!$B$3-100)*3)+Inputs!$B$28+Inputs!$B$29)))</f>
        <v>185</v>
      </c>
      <c r="E2030">
        <f>INDEX(FactorTable!$B$2:$Y$301, MATCH(ROUND(MIN(300,MAX(1,D2030)),0), FactorTable!$A$2:$A$301,0), Skills!M24+1)</f>
        <v>1925</v>
      </c>
      <c r="F2030">
        <f>IF(Skills!N24=TRUE,(Skills!L24/10)*(E2030/1000),Skills!L24/10)+Skills!O24</f>
        <v>6737.5</v>
      </c>
      <c r="G2030">
        <f>Calc!G24</f>
        <v>7.5</v>
      </c>
      <c r="H2030">
        <f>Calc!H24</f>
        <v>1</v>
      </c>
      <c r="I2030">
        <f>IF(Skills!X24&lt;&gt;"",1+(Skills!X24/10)*(Z2009/1000)/100,1)</f>
        <v>1</v>
      </c>
      <c r="J2030">
        <f>((Inputs!$B$6*(1+Inputs!$B$7/100))+(((Inputs!$B$12*(1+Inputs!$B$13/100))-(Inputs!$B$12*(1+Inputs!$B$13/100)))+0.25*(Inputs!$B$14-Inputs!$B$14))*(1+Inputs!$B$7/100))*(F2030/100)</f>
        <v>24331438378.718628</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122258974288595.61</v>
      </c>
      <c r="L2030">
        <f>K2030*(MIN(Inputs!$B$22+(F2028-Calc!F22),(Inputs!$B$23+(IF(ArtifactsInput!$M$15,CHOOSE(ArtifactsInput!$N$15+1,25,30,35,40,45,50)/100*(Inputs!$B$11-Inputs!$B$11),0))))/100+(Inputs!$B$23+(IF(ArtifactsInput!$M$15,CHOOSE(ArtifactsInput!$N$15+1,25,30,35,40,45,50)/100*(Inputs!$B$11-Inputs!$B$11),0)))/100)/2</f>
        <v>406511089509580.44</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2030">
        <f>L2030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2030">
        <f>(1-Summary!$B$11)*S2030+Summary!$B$11*U2030</f>
        <v>2362184465403115</v>
      </c>
      <c r="P2030">
        <f>IF(B2047=0,0,O2030/B2047)</f>
        <v>6.56759758482999E-2</v>
      </c>
      <c r="Q2030">
        <f>IFERROR(1/(IF(Inputs!$B$38="pvp",15,MAX(0.1,Skills!E24-IF(TRUE=TRUE,Inputs!$B$32,0)))*(1-IF(AND(ArtifactsInput!$M$27,Inputs!$B$4="Chapter Hunt"),CHOOSE(ArtifactsInput!$N$27+1,20,24,28,32,36,40),0)/100)),0)</f>
        <v>1.2500000000000001E-2</v>
      </c>
      <c r="R2030">
        <f>IF(AND(Inputs!$B$38&lt;&gt;"pvp",Inputs!$B$43&gt;0),IF(MAX(0,Inputs!$B$43-B2044)&lt;=0,0,(INT(MAX(0,Inputs!$B$43-B2044)/(IF(Inputs!$B$38="pvp",15,MAX(0.1,Skills!E24-IF(TRUE=TRUE,Inputs!$B$32,0)))*(1-IF(AND(ArtifactsInput!$M$27,Inputs!$B$4="Chapter Hunt"),CHOOSE(ArtifactsInput!$N$27+1,20,24,28,32,36,40),0)/100)))+1)),0)</f>
        <v>1</v>
      </c>
      <c r="S2030">
        <f>IF(C2030,(H2030*N2030*IF(AND(Inputs!$B$38&lt;&gt;"pvp",Inputs!$B$43&gt;0),((Skills!G24*((R2030-1)*IF(Skills!H24&gt;0,Skills!I24/Skills!H24,1)+IF(Skills!H24&gt;0,MIN(Skills!I24,MAX(0,MAX(0,Inputs!$B$43-B2044)-((R2030-1)*(IF(Inputs!$B$38="pvp",15,MAX(0.1,Skills!E24-IF(TRUE=TRUE,Inputs!$B$32,0)))*(1-IF(AND(ArtifactsInput!$M$27,Inputs!$B$4="Chapter Hunt"),CHOOSE(ArtifactsInput!$N$27+1,20,24,28,32,36,40),0)/100)))))/Skills!H24,1)))/Inputs!$B$43),G2030*Q2030)*(1+IF(Inputs!$B$3&gt;=130,0.2*(Skills!I16/(1/Q2021)+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1151606965196183.2</v>
      </c>
      <c r="U2030">
        <f>IF(C2030,(H2030*N2030*IF(AND(Inputs!$B$38&lt;&gt;"pvp",Inputs!$B$43&gt;0),((Skills!G24*((R2030-1)*IF(Skills!H24&gt;0,Skills!I24/Skills!H24,1)+IF(Skills!H24&gt;0,MIN(Skills!I24,MAX(0,MAX(0,Inputs!$B$43-B2044)-((R2030-1)*(IF(Inputs!$B$38="pvp",15,MAX(0.1,Skills!E24-IF(TRUE=TRUE,Inputs!$B$32,0)))*(1-IF(AND(ArtifactsInput!$M$27,Inputs!$B$4="Chapter Hunt"),CHOOSE(ArtifactsInput!$N$27+1,20,24,28,32,36,40),0)/100)))))/Skills!H24,1)))/Inputs!$B$43),G2030*Q2030)*(1+IF(Inputs!$B$3&gt;=130,0.2*(Skills!I16/(1/Q2021)+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3572761965610047</v>
      </c>
    </row>
    <row r="2031" spans="1:21" x14ac:dyDescent="0.2">
      <c r="A2031" t="str">
        <f>Skills!A25</f>
        <v>BUFF_MASTERY</v>
      </c>
      <c r="B2031" t="str">
        <f>Skills!B25</f>
        <v>Buff Mastery</v>
      </c>
      <c r="C2031" t="b">
        <f>Inputs!$B$3&gt;=117</f>
        <v>1</v>
      </c>
      <c r="D2031">
        <f>IF(Skills!C25=1,60+Inputs!$B$25+Inputs!$B$29,IF(Skills!C25=2,90+Inputs!$B$26+Inputs!$B$29,IF(Skills!C25=3,120+Inputs!$B$27+Inputs!$B$29,MAX(0,(Inputs!$B$3-100)*3)+Inputs!$B$28+Inputs!$B$29)))</f>
        <v>185</v>
      </c>
      <c r="E2031">
        <f>INDEX(FactorTable!$B$2:$Y$301, MATCH(ROUND(MIN(300,MAX(1,D2031)),0), FactorTable!$A$2:$A$301,0), Skills!M25+1)</f>
        <v>1555</v>
      </c>
      <c r="F2031">
        <f>IF(Skills!N25=TRUE,(Skills!L25/10)*(E2031/1000),Skills!L25/10)+Skills!O25</f>
        <v>15.549999999999999</v>
      </c>
      <c r="G2031">
        <f>Calc!G25</f>
        <v>1</v>
      </c>
      <c r="H2031">
        <f>Calc!H25</f>
        <v>1</v>
      </c>
      <c r="I2031">
        <f>IF(Skills!X25&lt;&gt;"",1+(Skills!X25/10)*(Z2009/1000)/100,1)</f>
        <v>1</v>
      </c>
      <c r="O2031">
        <f>(1-Summary!$B$11)*S2031+Summary!$B$11*U2031</f>
        <v>0</v>
      </c>
      <c r="P2031">
        <f>IF(B2047=0,0,O2031/B2047)</f>
        <v>0</v>
      </c>
      <c r="Q2031">
        <f>IFERROR(1/(IF(Inputs!$B$38="pvp",15,MAX(0.1,Skills!E25-IF(TRUE=TRUE,Inputs!$B$32,0)))*(1-IF(AND(ArtifactsInput!$M$27,Inputs!$B$4="Chapter Hunt"),CHOOSE(ArtifactsInput!$N$27+1,20,24,28,32,36,40),0)/100)),0)</f>
        <v>10</v>
      </c>
      <c r="R2031">
        <v>0</v>
      </c>
      <c r="S2031">
        <v>0</v>
      </c>
      <c r="U2031">
        <v>0</v>
      </c>
    </row>
    <row r="2032" spans="1:21" x14ac:dyDescent="0.2">
      <c r="A2032" t="str">
        <f>Skills!A26</f>
        <v>ARCANE_AIM</v>
      </c>
      <c r="B2032" t="str">
        <f>Skills!B26</f>
        <v>Arcane Aim</v>
      </c>
      <c r="C2032" t="b">
        <f>Inputs!$B$3&gt;=120</f>
        <v>0</v>
      </c>
      <c r="D2032">
        <f>IF(Skills!C26=1,60+Inputs!$B$25+Inputs!$B$29,IF(Skills!C26=2,90+Inputs!$B$26+Inputs!$B$29,IF(Skills!C26=3,120+Inputs!$B$27+Inputs!$B$29,MAX(0,(Inputs!$B$3-100)*3)+Inputs!$B$28+Inputs!$B$29)))</f>
        <v>185</v>
      </c>
      <c r="E2032">
        <f>INDEX(FactorTable!$B$2:$Y$301, MATCH(ROUND(MIN(300,MAX(1,D2032)),0), FactorTable!$A$2:$A$301,0), Skills!M26+1)</f>
        <v>1555</v>
      </c>
      <c r="F2032">
        <f>IF(Skills!N26=TRUE,(Skills!L26/10)*(E2032/1000),Skills!L26/10)+Skills!O26</f>
        <v>4.665</v>
      </c>
      <c r="G2032">
        <f>Calc!G26</f>
        <v>1</v>
      </c>
      <c r="H2032">
        <f>Calc!H26</f>
        <v>1</v>
      </c>
      <c r="I2032">
        <f>IF(Skills!X26&lt;&gt;"",1+(Skills!X26/10)*(Z2009/1000)/100,1)</f>
        <v>1</v>
      </c>
      <c r="O2032">
        <f>(1-Summary!$B$11)*S2032+Summary!$B$11*U2032</f>
        <v>0</v>
      </c>
      <c r="P2032">
        <f>IF(B2047=0,0,O2032/B2047)</f>
        <v>0</v>
      </c>
      <c r="Q2032">
        <f>IFERROR(1/(IF(Inputs!$B$38="pvp",15,MAX(0.1,Skills!E26-IF(TRUE=TRUE,Inputs!$B$32,0)))*(1-IF(AND(ArtifactsInput!$M$27,Inputs!$B$4="Chapter Hunt"),CHOOSE(ArtifactsInput!$N$27+1,20,24,28,32,36,40),0)/100)),0)</f>
        <v>10</v>
      </c>
      <c r="R2032">
        <v>0</v>
      </c>
      <c r="S2032">
        <v>0</v>
      </c>
      <c r="U2032">
        <v>0</v>
      </c>
    </row>
    <row r="2033" spans="1:21" x14ac:dyDescent="0.2">
      <c r="A2033" t="str">
        <f>Skills!A27</f>
        <v>FERVENT_DRAIN</v>
      </c>
      <c r="B2033" t="str">
        <f>Skills!B27</f>
        <v>Fervent Drain</v>
      </c>
      <c r="C2033" t="b">
        <f>Inputs!$B$3&gt;=125</f>
        <v>0</v>
      </c>
      <c r="D2033">
        <f>IF(Skills!C27=1,60+Inputs!$B$25+Inputs!$B$29,IF(Skills!C27=2,90+Inputs!$B$26+Inputs!$B$29,IF(Skills!C27=3,120+Inputs!$B$27+Inputs!$B$29,MAX(0,(Inputs!$B$3-100)*3)+Inputs!$B$28+Inputs!$B$29)))</f>
        <v>185</v>
      </c>
      <c r="E2033">
        <f>INDEX(FactorTable!$B$2:$Y$301, MATCH(ROUND(MIN(300,MAX(1,D2033)),0), FactorTable!$A$2:$A$301,0), Skills!M27+1)</f>
        <v>1555</v>
      </c>
      <c r="F2033">
        <f>IF(Skills!N27=TRUE,(Skills!L27/10)*(E2033/1000),Skills!L27/10)+Skills!O27</f>
        <v>6.22</v>
      </c>
      <c r="G2033">
        <f>Calc!G27</f>
        <v>1</v>
      </c>
      <c r="H2033">
        <f>Calc!H27</f>
        <v>1</v>
      </c>
      <c r="I2033">
        <f>IF(Skills!X27&lt;&gt;"",1+(Skills!X27/10)*(Z2009/1000)/100,1)</f>
        <v>1</v>
      </c>
      <c r="O2033">
        <f>(1-Summary!$B$11)*S2033+Summary!$B$11*U2033</f>
        <v>0</v>
      </c>
      <c r="P2033">
        <f>IF(B2047=0,0,O2033/B2047)</f>
        <v>0</v>
      </c>
      <c r="Q2033">
        <f>IFERROR(1/(IF(Inputs!$B$38="pvp",15,MAX(0.1,Skills!E27-IF(TRUE=TRUE,Inputs!$B$32,0)))*(1-IF(AND(ArtifactsInput!$M$27,Inputs!$B$4="Chapter Hunt"),CHOOSE(ArtifactsInput!$N$27+1,20,24,28,32,36,40),0)/100)),0)</f>
        <v>10</v>
      </c>
      <c r="R2033">
        <v>0</v>
      </c>
      <c r="S2033">
        <v>0</v>
      </c>
      <c r="U2033">
        <v>0</v>
      </c>
    </row>
    <row r="2034" spans="1:21" x14ac:dyDescent="0.2">
      <c r="A2034" t="str">
        <f>Skills!A28</f>
        <v>FLAME_HAZE_FOG</v>
      </c>
      <c r="B2034" t="str">
        <f>Skills!B28</f>
        <v>Flame Haze (poison fog DoT)</v>
      </c>
      <c r="C2034" t="b">
        <f>Inputs!$B$3&gt;=118</f>
        <v>0</v>
      </c>
      <c r="D2034">
        <f>IF(Skills!C28=1,60+Inputs!$B$25+Inputs!$B$29,IF(Skills!C28=2,90+Inputs!$B$26+Inputs!$B$29,IF(Skills!C28=3,120+Inputs!$B$27+Inputs!$B$29,MAX(0,(Inputs!$B$3-100)*3)+Inputs!$B$28+Inputs!$B$29)))</f>
        <v>185</v>
      </c>
      <c r="E2034">
        <f>INDEX(FactorTable!$B$2:$Y$301, MATCH(ROUND(MIN(300,MAX(1,D2034)),0), FactorTable!$A$2:$A$301,0), Skills!M28+1)</f>
        <v>1925</v>
      </c>
      <c r="F2034">
        <f>IF(Skills!N28=TRUE,(Skills!L28/10)*(E2034/1000),Skills!L28/10)+Skills!O28</f>
        <v>134.75</v>
      </c>
      <c r="G2034">
        <f>Calc!G28</f>
        <v>50</v>
      </c>
      <c r="H2034">
        <f>Calc!H28</f>
        <v>1</v>
      </c>
      <c r="I2034">
        <f>IF(Skills!X28&lt;&gt;"",1+(Skills!X28/10)*(Z2009/1000)/100,1)</f>
        <v>1</v>
      </c>
      <c r="J2034">
        <f>((Inputs!$B$6*(1+Inputs!$B$7/100))+(((Inputs!$B$12*(1+Inputs!$B$13/100))-(Inputs!$B$12*(1+Inputs!$B$13/100)))+0.25*(Inputs!$B$14-Inputs!$B$14))*(1+Inputs!$B$7/100))*(F2034/100)</f>
        <v>486628767.57437253</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2445179485771.9116</v>
      </c>
      <c r="L2034">
        <f>K2034*(MIN(Inputs!$B$22+(F2028-Calc!F22),(Inputs!$B$23+(IF(ArtifactsInput!$M$15,CHOOSE(ArtifactsInput!$N$15+1,25,30,35,40,45,50)/100*(Inputs!$B$11-Inputs!$B$11),0))))/100+(Inputs!$B$23+(IF(ArtifactsInput!$M$15,CHOOSE(ArtifactsInput!$N$15+1,25,30,35,40,45,50)/100*(Inputs!$B$11-Inputs!$B$11),0)))/100)/2</f>
        <v>8130221790191.6064</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2034">
        <f>L2034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2034">
        <f>(1-Summary!$B$11)*S2034+Summary!$B$11*U2034</f>
        <v>0</v>
      </c>
      <c r="P2034">
        <f>IF(B2047=0,0,O2034/B2047)</f>
        <v>0</v>
      </c>
      <c r="Q2034">
        <f>IFERROR(1/(IF(Inputs!$B$38="pvp",15,MAX(0.1,Skills!E28-IF(TRUE=TRUE,Inputs!$B$32,0)))*(1-IF(AND(ArtifactsInput!$M$27,Inputs!$B$4="Chapter Hunt"),CHOOSE(ArtifactsInput!$N$27+1,20,24,28,32,36,40),0)/100)),0)</f>
        <v>0.04</v>
      </c>
      <c r="R2034">
        <f>IF(AND(Inputs!$B$38&lt;&gt;"pvp",Inputs!$B$43&gt;0),IF(MAX(0,Inputs!$B$43-B2044)&lt;=0,0,(INT(MAX(0,Inputs!$B$43-B2044)/(IF(Inputs!$B$38="pvp",15,MAX(0.1,Skills!E28-IF(TRUE=TRUE,Inputs!$B$32,0)))*(1-IF(AND(ArtifactsInput!$M$27,Inputs!$B$4="Chapter Hunt"),CHOOSE(ArtifactsInput!$N$27+1,20,24,28,32,36,40),0)/100)))+1)),0)</f>
        <v>2</v>
      </c>
      <c r="S2034">
        <f>IF(C2034,(H2034*N2034*IF(AND(Inputs!$B$38&lt;&gt;"pvp",Inputs!$B$43&gt;0),((Skills!G28*((R2034-1)*IF(Skills!H28&gt;0,Skills!I28/Skills!H28,1)+IF(Skills!H28&gt;0,MIN(Skills!I28,MAX(0,MAX(0,Inputs!$B$43-B2044)-((R2034-1)*(IF(Inputs!$B$38="pvp",15,MAX(0.1,Skills!E28-IF(TRUE=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034">
        <f>IF(C2034,(H2034*N2034*IF(AND(Inputs!$B$38&lt;&gt;"pvp",Inputs!$B$43&gt;0),((Skills!G28*((R2034-1)*IF(Skills!H28&gt;0,Skills!I28/Skills!H28,1)+IF(Skills!H28&gt;0,MIN(Skills!I28,MAX(0,MAX(0,Inputs!$B$43-B2044)-((R2034-1)*(IF(Inputs!$B$38="pvp",15,MAX(0.1,Skills!E28-IF(TRUE=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036" spans="1:21" x14ac:dyDescent="0.2">
      <c r="A2036" t="s">
        <v>356</v>
      </c>
      <c r="B2036">
        <f>1+(F2017*Skills!Z11)/100</f>
        <v>1.25</v>
      </c>
    </row>
    <row r="2037" spans="1:21" x14ac:dyDescent="0.2">
      <c r="A2037" t="s">
        <v>435</v>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1.18624</v>
      </c>
    </row>
    <row r="2038" spans="1:21" x14ac:dyDescent="0.2">
      <c r="A2038" t="s">
        <v>358</v>
      </c>
      <c r="B2038">
        <f>(1+(F2012*IF(AND(Inputs!$B$38&lt;&gt;"pvp",Inputs!$B$43&gt;0),(((R2012-1)*MIN((Skills!T6*(1+((Inputs!$B$34+(ArtifactsInput!$M$7-ArtifactsInput!$M$7)*CHOOSE(ArtifactsInput!$N$7+1,6,7.2,8.4,9.6,10.8,12)))/100)),(1/Q2012))+MIN((Skills!T6*(1+((Inputs!$B$34+(ArtifactsInput!$M$7-ArtifactsInput!$M$7)*CHOOSE(ArtifactsInput!$N$7+1,6,7.2,8.4,9.6,10.8,12)))/100)),MAX(0,Inputs!$B$43-((R2012-1)*(1/Q2012)))))/Inputs!$B$43),IF(Inputs!$B$38="pvp",MIN((Skills!T6*(1+((Inputs!$B$34+(ArtifactsInput!$M$7-ArtifactsInput!$M$7)*CHOOSE(ArtifactsInput!$N$7+1,6,7.2,8.4,9.6,10.8,12)))/100)),15)/15,MIN(1,(Skills!T6*(1+((Inputs!$B$34+(ArtifactsInput!$M$7-ArtifactsInput!$M$7)*CHOOSE(ArtifactsInput!$N$7+1,6,7.2,8.4,9.6,10.8,12)))/100))/(1/Q2012))))+F2023*IF(AND(Inputs!$B$38&lt;&gt;"pvp",Inputs!$B$43&gt;0),(((R2023-1)*MIN((Skills!T17*(1+((Inputs!$B$34+(ArtifactsInput!$M$7-ArtifactsInput!$M$7)*CHOOSE(ArtifactsInput!$N$7+1,6,7.2,8.4,9.6,10.8,12)))/100)),(1/Q2023))+MIN((Skills!T17*(1+((Inputs!$B$34+(ArtifactsInput!$M$7-ArtifactsInput!$M$7)*CHOOSE(ArtifactsInput!$N$7+1,6,7.2,8.4,9.6,10.8,12)))/100)),MAX(0,Inputs!$B$43-((R2023-1)*(1/Q2023)))))/Inputs!$B$43),IF(Inputs!$B$38="pvp",MIN((Skills!T17*(1+((Inputs!$B$34+(ArtifactsInput!$M$7-ArtifactsInput!$M$7)*CHOOSE(ArtifactsInput!$N$7+1,6,7.2,8.4,9.6,10.8,12)))/100)),15)/15,MIN(1,(Skills!T17*(1+((Inputs!$B$34+(ArtifactsInput!$M$7-ArtifactsInput!$M$7)*CHOOSE(ArtifactsInput!$N$7+1,6,7.2,8.4,9.6,10.8,12)))/100))/(1/Q2023)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MIN((Skills!T19*(1+((Inputs!$B$34+(ArtifactsInput!$M$7-ArtifactsInput!$M$7)*CHOOSE(ArtifactsInput!$N$7+1,6,7.2,8.4,9.6,10.8,12)))/100)),(1/Q2025))+MIN((Skills!T19*(1+((Inputs!$B$34+(ArtifactsInput!$M$7-ArtifactsInput!$M$7)*CHOOSE(ArtifactsInput!$N$7+1,6,7.2,8.4,9.6,10.8,12)))/100)),MAX(0,Inputs!$B$43-((R2025-1)*(1/Q2025)))))/Inputs!$B$43),IF(Inputs!$B$38="pvp",MIN((Skills!T19*(1+((Inputs!$B$34+(ArtifactsInput!$M$7-ArtifactsInput!$M$7)*CHOOSE(ArtifactsInput!$N$7+1,6,7.2,8.4,9.6,10.8,12)))/100)),15)/15,MIN(1,(Skills!T19*(1+((Inputs!$B$34+(ArtifactsInput!$M$7-ArtifactsInput!$M$7)*CHOOSE(ArtifactsInput!$N$7+1,6,7.2,8.4,9.6,10.8,12)))/100))/(1/Q2025))))/100),1)</f>
        <v>1.7965808377980694</v>
      </c>
    </row>
    <row r="2039" spans="1:21" x14ac:dyDescent="0.2">
      <c r="A2039" t="s">
        <v>359</v>
      </c>
      <c r="B2039">
        <f>F2024*IF(AND(Inputs!$B$38&lt;&gt;"pvp",Inputs!$B$43&gt;0),(((R2024-1)*MIN((Skills!T18*(1+((Inputs!$B$34+(ArtifactsInput!$M$7-ArtifactsInput!$M$7)*CHOOSE(ArtifactsInput!$N$7+1,6,7.2,8.4,9.6,10.8,12)))/100)),(1/Q2024))+MIN((Skills!T18*(1+((Inputs!$B$34+(ArtifactsInput!$M$7-ArtifactsInput!$M$7)*CHOOSE(ArtifactsInput!$N$7+1,6,7.2,8.4,9.6,10.8,12)))/100)),MAX(0,Inputs!$B$43-((R2024-1)*(1/Q2024)))))/Inputs!$B$43),IF(Inputs!$B$38="pvp",MIN((Skills!T18*(1+((Inputs!$B$34+(ArtifactsInput!$M$7-ArtifactsInput!$M$7)*CHOOSE(ArtifactsInput!$N$7+1,6,7.2,8.4,9.6,10.8,12)))/100)),15)/15,MIN(1,(Skills!T18*(1+((Inputs!$B$34+(ArtifactsInput!$M$7-ArtifactsInput!$M$7)*CHOOSE(ArtifactsInput!$N$7+1,6,7.2,8.4,9.6,10.8,12)))/100))/(1/Q2024))))</f>
        <v>6.4968749999999993</v>
      </c>
    </row>
    <row r="2040" spans="1:21" x14ac:dyDescent="0.2">
      <c r="A2040" t="s">
        <v>436</v>
      </c>
      <c r="B2040">
        <f>1+MIN(150,150*(1-(1-(Inputs!$B$11+(ArtifactsInput!$M$15-ArtifactsInput!$M$15)*CHOOSE(ArtifactsInput!$N$15+1,8,9.6,11.2,12.8,14.4,16))/150)*(1-B2039/150)))/100</f>
        <v>1.6982958749999999</v>
      </c>
    </row>
    <row r="2041" spans="1:21" x14ac:dyDescent="0.2">
      <c r="A2041" t="s">
        <v>437</v>
      </c>
      <c r="B2041">
        <f>IF(AND(Inputs!$B$38&lt;&gt;"pvp",Inputs!$B$43&gt;0),SUMPRODUCT((Skills!F2:F28=TRUE)*(C2008:C2034=TRUE)*R2008:R2034)/Inputs!$B$43,SUMPRODUCT((Skills!F2:F28=TRUE)*(C2008:C2034=TRUE)*Q2008:Q2034))</f>
        <v>0.47499999999999998</v>
      </c>
    </row>
    <row r="2042" spans="1:21" x14ac:dyDescent="0.2">
      <c r="A2042" t="s">
        <v>362</v>
      </c>
      <c r="B2042">
        <f>MAX(0,B2040-B2041)</f>
        <v>1.2232958749999998</v>
      </c>
    </row>
    <row r="2043" spans="1:21" x14ac:dyDescent="0.2">
      <c r="A2043" t="s">
        <v>438</v>
      </c>
      <c r="B2043">
        <f>IF(AND(Inputs!$B$38&lt;&gt;"pvp",Inputs!$B$43&gt;0),SUMPRODUCT((Skills!V2:V28=TRUE)*(C2008:C2034=TRUE)*R2008:R2034*Skills!W2:W28)/Inputs!$B$43,SUMPRODUCT((Skills!V2:V28=TRUE)*(C2008:C2034=TRUE)*Q2008:Q2034*Skills!W2:W28))+B2042</f>
        <v>1.5482958749999998</v>
      </c>
    </row>
    <row r="2044" spans="1:21" x14ac:dyDescent="0.2">
      <c r="A2044" t="s">
        <v>439</v>
      </c>
      <c r="B2044">
        <f>IF(AND(Inputs!$B$38&lt;&gt;"pvp",Inputs!$B$43&gt;0),SUMPRODUCT((Skills!T2:T28&gt;0)*(Skills!F2:F28=TRUE)*(C2008:C2034=TRUE))/B2040,0)</f>
        <v>2.3553021937358238</v>
      </c>
    </row>
    <row r="2045" spans="1:21" x14ac:dyDescent="0.2">
      <c r="A2045" t="s">
        <v>440</v>
      </c>
      <c r="B2045">
        <f>SUM(S2008:S2034)</f>
        <v>9612435709722626</v>
      </c>
    </row>
    <row r="2046" spans="1:21" x14ac:dyDescent="0.2">
      <c r="A2046" t="s">
        <v>441</v>
      </c>
      <c r="B2046">
        <f>SUM(U2008:U2034)</f>
        <v>6.2322071083426544E+16</v>
      </c>
    </row>
    <row r="2047" spans="1:21" x14ac:dyDescent="0.2">
      <c r="A2047" s="6" t="s">
        <v>348</v>
      </c>
      <c r="B2047" s="6">
        <f>SUM(O2008:O2034)</f>
        <v>3.5967253396574584E+16</v>
      </c>
    </row>
    <row r="2050" spans="1:26" x14ac:dyDescent="0.2">
      <c r="A2050" s="6" t="s">
        <v>486</v>
      </c>
    </row>
    <row r="2051" spans="1:26" x14ac:dyDescent="0.2">
      <c r="A2051" s="5" t="s">
        <v>136</v>
      </c>
      <c r="B2051" s="5" t="s">
        <v>137</v>
      </c>
      <c r="C2051" s="5" t="s">
        <v>328</v>
      </c>
      <c r="D2051" s="5" t="s">
        <v>329</v>
      </c>
      <c r="E2051" s="5" t="s">
        <v>330</v>
      </c>
      <c r="F2051" s="5" t="s">
        <v>331</v>
      </c>
      <c r="G2051" s="5" t="s">
        <v>332</v>
      </c>
      <c r="H2051" s="5" t="s">
        <v>333</v>
      </c>
      <c r="I2051" s="5" t="s">
        <v>334</v>
      </c>
      <c r="J2051" s="5" t="s">
        <v>335</v>
      </c>
      <c r="K2051" s="5" t="s">
        <v>336</v>
      </c>
      <c r="L2051" s="5" t="s">
        <v>337</v>
      </c>
      <c r="M2051" s="5" t="s">
        <v>338</v>
      </c>
      <c r="N2051" s="5" t="s">
        <v>339</v>
      </c>
      <c r="O2051" s="5" t="s">
        <v>340</v>
      </c>
      <c r="P2051" s="5" t="s">
        <v>341</v>
      </c>
      <c r="R2051" t="s">
        <v>434</v>
      </c>
    </row>
    <row r="2052" spans="1:26" x14ac:dyDescent="0.2">
      <c r="A2052" t="str">
        <f>Skills!A2</f>
        <v>BASIC_ATTACK</v>
      </c>
      <c r="B2052" t="str">
        <f>Skills!B2</f>
        <v>Basic Attack</v>
      </c>
      <c r="C2052" t="b">
        <f>TRUE</f>
        <v>1</v>
      </c>
      <c r="F2052">
        <f>T2054+Skills!O2</f>
        <v>537.6</v>
      </c>
      <c r="G2052">
        <f>Calc!G2</f>
        <v>5</v>
      </c>
      <c r="H2052">
        <f>Calc!H2</f>
        <v>1</v>
      </c>
      <c r="I2052">
        <f>IF(Skills!X2&lt;&gt;"",1+(Skills!X2/10)*(Z2053/1000)/100,1)</f>
        <v>1</v>
      </c>
      <c r="J2052">
        <f>((Inputs!$B$6*(1+Inputs!$B$7/100))+(((Inputs!$B$12*(1+Inputs!$B$13/100))-(Inputs!$B$12*(1+Inputs!$B$13/100)))+0.25*(Inputs!$B$14-Inputs!$B$14))*(1+Inputs!$B$7/100))*(F2052/100)</f>
        <v>1941459186.9980164</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6620290711466.1074</v>
      </c>
      <c r="L2052">
        <f>K2052*(MIN(Inputs!$B$22+(F2072-Calc!F22),(Inputs!$B$23+(IF(ArtifactsInput!$M$15,CHOOSE(ArtifactsInput!$N$15+1,25,30,35,40,45,50)/100*(Inputs!$B$11-Inputs!$B$11),0))))/100+(Inputs!$B$23+(IF(ArtifactsInput!$M$15,CHOOSE(ArtifactsInput!$N$15+1,25,30,35,40,45,50)/100*(Inputs!$B$11-Inputs!$B$11),0)))/100)/2</f>
        <v>22012466615624.809</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2052">
        <f>L2052*(1-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2052">
        <f>(1-Summary!$B$11)*S2052+Summary!$B$11*U2052</f>
        <v>1.251342481087288E+16</v>
      </c>
      <c r="P2052">
        <f>IF(B2091=0,0,O2052/B2091)</f>
        <v>0.378199388854495</v>
      </c>
      <c r="Q2052">
        <f>IFERROR(1/(IF(Inputs!$B$38="pvp",15,MAX(0.1,Skills!E2-IF(TRUE=TRUE,Inputs!$B$32,0)))*(1-IF(AND(IF(ArtifactsInput!$M$27,FALSE,TRUE),Inputs!$B$4="Chapter Hunt"),CHOOSE(ArtifactsInput!$N$27+1,20,24,28,32,36,40),0)/100)),0)</f>
        <v>10</v>
      </c>
      <c r="R2052">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2052">
        <f>MAX(0,(Inputs!$B$3-100)*3)+Inputs!$B$28+Inputs!$B$29</f>
        <v>185</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2052">
        <f>MAX(0,(Inputs!$B$3-100)*3)+Inputs!$B$28+Inputs!$B$29</f>
        <v>185</v>
      </c>
    </row>
    <row r="2053" spans="1:26" x14ac:dyDescent="0.2">
      <c r="A2053" t="str">
        <f>Skills!A3</f>
        <v>IGNITE</v>
      </c>
      <c r="B2053" t="str">
        <f>Skills!B3</f>
        <v>Ignite</v>
      </c>
      <c r="C2053" t="b">
        <f>TRUE</f>
        <v>1</v>
      </c>
      <c r="D2053">
        <f>IF(Skills!C3=1,60+Inputs!$B$25+Inputs!$B$29,IF(Skills!C3=2,90+Inputs!$B$26+Inputs!$B$29,IF(Skills!C3=3,120+Inputs!$B$27+Inputs!$B$29,MAX(0,(Inputs!$B$3-100)*3)+Inputs!$B$28+Inputs!$B$29)))</f>
        <v>168</v>
      </c>
      <c r="E2053">
        <f>INDEX(FactorTable!$B$2:$Y$301, MATCH(ROUND(MIN(300,MAX(1,D2053)),0), FactorTable!$A$2:$A$301,0), Skills!M3+1)</f>
        <v>1672</v>
      </c>
      <c r="F2053">
        <f>IF(Skills!N3=TRUE,(Skills!L3/10)*(E2053/1000),Skills!L3/10)+Skills!O3</f>
        <v>121.736</v>
      </c>
      <c r="G2053">
        <f>Calc!G3</f>
        <v>3</v>
      </c>
      <c r="H2053">
        <f>Calc!H3</f>
        <v>1</v>
      </c>
      <c r="I2053">
        <f>IF(Skills!X3&lt;&gt;"",1+(Skills!X3/10)*(Z2053/1000)/100,1)</f>
        <v>4.8250000000000002</v>
      </c>
      <c r="J2053">
        <f>((Inputs!$B$6*(1+Inputs!$B$7/100))+(((Inputs!$B$12*(1+Inputs!$B$13/100))-(Inputs!$B$12*(1+Inputs!$B$13/100)))+0.25*(Inputs!$B$14-Inputs!$B$14))*(1+Inputs!$B$7/100))*(F2053/100)</f>
        <v>439630720.9605478</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10658554617221.965</v>
      </c>
      <c r="L2053">
        <f>K2053*(MIN(Inputs!$B$22+(F2072-Calc!F22),(Inputs!$B$23+(IF(ArtifactsInput!$M$15,CHOOSE(ArtifactsInput!$N$15+1,25,30,35,40,45,50)/100*(Inputs!$B$11-Inputs!$B$11),0))))/100+(Inputs!$B$23+(IF(ArtifactsInput!$M$15,CHOOSE(ArtifactsInput!$N$15+1,25,30,35,40,45,50)/100*(Inputs!$B$11-Inputs!$B$11),0)))/100)/2</f>
        <v>35439694102263.031</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2053">
        <f>L2053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2053">
        <f>(1-Summary!$B$11)*S2053+Summary!$B$11*U2053</f>
        <v>2907465947806250</v>
      </c>
      <c r="P2053">
        <f>IF(B2091=0,0,O2053/B2091)</f>
        <v>8.7873772463965091E-2</v>
      </c>
      <c r="Q2053">
        <f>IFERROR(1/(IF(Inputs!$B$38="pvp",15,MAX(0.1,Skills!E3-IF(FALSE=TRUE,Inputs!$B$32,0)))*(1-IF(AND(IF(ArtifactsInput!$M$27,FALSE,TRUE),Inputs!$B$4="Chapter Hunt"),CHOOSE(ArtifactsInput!$N$27+1,20,24,28,32,36,40),0)/100)),0)</f>
        <v>1</v>
      </c>
      <c r="R2053">
        <f>IF(AND(Inputs!$B$38&lt;&gt;"pvp",Inputs!$B$43&gt;0),IF(MAX(0,Inputs!$B$43-B2088)&lt;=0,0,(INT(MAX(0,Inputs!$B$43-B2088)/(IF(Inputs!$B$38="pvp",15,MAX(0.1,Skills!E3-IF(FALSE=TRUE,Inputs!$B$32,0)))*(1-IF(AND(IF(ArtifactsInput!$M$27,FALSE,TRUE),Inputs!$B$4="Chapter Hunt"),CHOOSE(ArtifactsInput!$N$27+1,20,24,28,32,36,40),0)/100)))+1)),0)</f>
        <v>38</v>
      </c>
      <c r="S2053">
        <f>IF(C2053,(H2053*N2053*IF(AND(Inputs!$B$38&lt;&gt;"pvp",Inputs!$B$43&gt;0),((Skills!G3*((R2053-1)*IF(Skills!H3&gt;0,Skills!I3/Skills!H3,1)+IF(Skills!H3&gt;0,MIN(Skills!I3,MAX(0,MAX(0,Inputs!$B$43-B2088)-((R2053-1)*(IF(Inputs!$B$38="pvp",15,MAX(0.1,Skills!E3-IF(FALSE=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2053">
        <f>INDEX(FactorTable!$B$2:$Y$301, MATCH(ROUND(MIN(300,MAX(1,T2052)),0), FactorTable!$A$2:$A$301,0), 22)</f>
        <v>1740</v>
      </c>
      <c r="U2053">
        <f>IF(C2053,(H2053*N2053*IF(AND(Inputs!$B$38&lt;&gt;"pvp",Inputs!$B$43&gt;0),((Skills!G3*((R2053-1)*IF(Skills!H3&gt;0,Skills!I3/Skills!H3,1)+IF(Skills!H3&gt;0,MIN(Skills!I3,MAX(0,MAX(0,Inputs!$B$43-B2088)-((R2053-1)*(IF(Inputs!$B$38="pvp",15,MAX(0.1,Skills!E3-IF(FALSE=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2053">
        <f>INDEX(FactorTable!$B$2:$Y$301, MATCH(ROUND(MIN(300,MAX(1,Z2052)),0), FactorTable!$A$2:$A$301,0), 24)</f>
        <v>7650</v>
      </c>
    </row>
    <row r="2054" spans="1:26" x14ac:dyDescent="0.2">
      <c r="A2054" t="str">
        <f>Skills!A4</f>
        <v>POISON_BREATH</v>
      </c>
      <c r="B2054" t="str">
        <f>Skills!B4</f>
        <v>Poison Breath</v>
      </c>
      <c r="C2054" t="b">
        <f>TRUE</f>
        <v>1</v>
      </c>
      <c r="D2054">
        <f>IF(Skills!C4=1,60+Inputs!$B$25+Inputs!$B$29,IF(Skills!C4=2,90+Inputs!$B$26+Inputs!$B$29,IF(Skills!C4=3,120+Inputs!$B$27+Inputs!$B$29,MAX(0,(Inputs!$B$3-100)*3)+Inputs!$B$28+Inputs!$B$29)))</f>
        <v>168</v>
      </c>
      <c r="E2054">
        <f>INDEX(FactorTable!$B$2:$Y$301, MATCH(ROUND(MIN(300,MAX(1,D2054)),0), FactorTable!$A$2:$A$301,0), Skills!M4+1)</f>
        <v>1840</v>
      </c>
      <c r="F2054">
        <f>IF(Skills!N4=TRUE,(Skills!L4/10)*(E2054/1000),Skills!L4/10)+Skills!O4</f>
        <v>438</v>
      </c>
      <c r="G2054">
        <f>Calc!G4</f>
        <v>3</v>
      </c>
      <c r="H2054">
        <f>Calc!H4</f>
        <v>1</v>
      </c>
      <c r="I2054">
        <f>IF(Skills!X4&lt;&gt;"",1+(Skills!X4/10)*(Z2053/1000)/100,1)</f>
        <v>7.12</v>
      </c>
      <c r="J2054">
        <f>((Inputs!$B$6*(1+Inputs!$B$7/100))+(((Inputs!$B$12*(1+Inputs!$B$13/100))-(Inputs!$B$12*(1+Inputs!$B$13/100)))+0.25*(Inputs!$B$14-Inputs!$B$14))*(1+Inputs!$B$7/100))*(F2054/100)</f>
        <v>1581769203.69258</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56589528290529.523</v>
      </c>
      <c r="L2054">
        <f>K2054*(MIN(Inputs!$B$22+(F2072-Calc!F22),(Inputs!$B$23+(IF(ArtifactsInput!$M$15,CHOOSE(ArtifactsInput!$N$15+1,25,30,35,40,45,50)/100*(Inputs!$B$11-Inputs!$B$11),0))))/100+(Inputs!$B$23+(IF(ArtifactsInput!$M$15,CHOOSE(ArtifactsInput!$N$15+1,25,30,35,40,45,50)/100*(Inputs!$B$11-Inputs!$B$11),0)))/100)/2</f>
        <v>188160181566010.69</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2054">
        <f>L2054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2054">
        <f>(1-Summary!$B$11)*S2054+Summary!$B$11*U2054</f>
        <v>2120704790543594.2</v>
      </c>
      <c r="P2054">
        <f>IF(B2091=0,0,O2054/B2091)</f>
        <v>6.4095103286790744E-2</v>
      </c>
      <c r="Q2054">
        <f>IFERROR(1/(IF(Inputs!$B$38="pvp",15,MAX(0.1,Skills!E4-IF(TRUE=TRUE,Inputs!$B$32,0)))*(1-IF(AND(IF(ArtifactsInput!$M$27,FALSE,TRUE),Inputs!$B$4="Chapter Hunt"),CHOOSE(ArtifactsInput!$N$27+1,20,24,28,32,36,40),0)/100)),0)</f>
        <v>5.5555555555555552E-2</v>
      </c>
      <c r="R2054">
        <f>IF(AND(Inputs!$B$38&lt;&gt;"pvp",Inputs!$B$43&gt;0),IF(MAX(0,Inputs!$B$43-B2088)&lt;=0,0,(INT(MAX(0,Inputs!$B$43-B2088)/(IF(Inputs!$B$38="pvp",15,MAX(0.1,Skills!E4-IF(TRUE=TRUE,Inputs!$B$32,0)))*(1-IF(AND(IF(ArtifactsInput!$M$27,FALSE,TRUE),Inputs!$B$4="Chapter Hunt"),CHOOSE(ArtifactsInput!$N$27+1,20,24,28,32,36,40),0)/100)))+1)),0)</f>
        <v>3</v>
      </c>
      <c r="S2054">
        <f>IF(C2054,(H2054*N2054*IF(AND(Inputs!$B$38&lt;&gt;"pvp",Inputs!$B$43&gt;0),((Skills!G4*((R2054-1)*IF(Skills!H4&gt;0,Skills!I4/Skills!H4,1)+IF(Skills!H4&gt;0,MIN(Skills!I4,MAX(0,MAX(0,Inputs!$B$43-B2088)-((R2054-1)*(IF(Inputs!$B$38="pvp",15,MAX(0.1,Skills!E4-IF(TRUE=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2054">
        <f>290*T2053/1000</f>
        <v>504.6</v>
      </c>
      <c r="U2054">
        <f>IF(C2054,(H2054*N2054*IF(AND(Inputs!$B$38&lt;&gt;"pvp",Inputs!$B$43&gt;0),((Skills!G4*((R2054-1)*IF(Skills!H4&gt;0,Skills!I4/Skills!H4,1)+IF(Skills!H4&gt;0,MIN(Skills!I4,MAX(0,MAX(0,Inputs!$B$43-B2088)-((R2054-1)*(IF(Inputs!$B$38="pvp",15,MAX(0.1,Skills!E4-IF(TRUE=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2055" spans="1:26" x14ac:dyDescent="0.2">
      <c r="A2055" t="str">
        <f>Skills!A5</f>
        <v>ELEMENTAL_DRAIN</v>
      </c>
      <c r="B2055" t="str">
        <f>Skills!B5</f>
        <v>Elemental Drain</v>
      </c>
      <c r="C2055" t="b">
        <f>TRUE</f>
        <v>1</v>
      </c>
      <c r="D2055">
        <f>IF(Skills!C5=1,60+Inputs!$B$25+Inputs!$B$29,IF(Skills!C5=2,90+Inputs!$B$26+Inputs!$B$29,IF(Skills!C5=3,120+Inputs!$B$27+Inputs!$B$29,MAX(0,(Inputs!$B$3-100)*3)+Inputs!$B$28+Inputs!$B$29)))</f>
        <v>168</v>
      </c>
      <c r="E2055">
        <f>INDEX(FactorTable!$B$2:$Y$301, MATCH(ROUND(MIN(300,MAX(1,D2055)),0), FactorTable!$A$2:$A$301,0), Skills!M5+1)</f>
        <v>1672</v>
      </c>
      <c r="F2055">
        <f>IF(Skills!N5=TRUE,(Skills!L5/10)*(E2055/1000),Skills!L5/10)+Skills!O5</f>
        <v>20.064</v>
      </c>
      <c r="G2055">
        <f>Calc!G5</f>
        <v>5</v>
      </c>
      <c r="H2055">
        <f>Calc!H5</f>
        <v>1</v>
      </c>
      <c r="I2055">
        <f>IF(Skills!X5&lt;&gt;"",1+(Skills!X5/10)*(Z2053/1000)/100,1)</f>
        <v>12.475</v>
      </c>
      <c r="J2055">
        <f>((Inputs!$B$6*(1+Inputs!$B$7/100))+(((Inputs!$B$12*(1+Inputs!$B$13/100))-(Inputs!$B$12*(1+Inputs!$B$13/100)))+0.25*(Inputs!$B$14-Inputs!$B$14))*(1+Inputs!$B$7/100))*(F2055/100)</f>
        <v>72458030.371890247</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4541925884983.542</v>
      </c>
      <c r="L2055">
        <f>K2055*(MIN(Inputs!$B$22+(F2072-Calc!F22),(Inputs!$B$23+(IF(ArtifactsInput!$M$15,CHOOSE(ArtifactsInput!$N$15+1,25,30,35,40,45,50)/100*(Inputs!$B$11-Inputs!$B$11),0))))/100+(Inputs!$B$23+(IF(ArtifactsInput!$M$15,CHOOSE(ArtifactsInput!$N$15+1,25,30,35,40,45,50)/100*(Inputs!$B$11-Inputs!$B$11),0)))/100)/2</f>
        <v>15101903567570.277</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2055">
        <f>L2055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2055">
        <f>(1-Summary!$B$11)*S2055+Summary!$B$11*U2055</f>
        <v>1046004996783807</v>
      </c>
      <c r="P2055">
        <f>IF(B2091=0,0,O2055/B2091)</f>
        <v>3.1613923166633758E-2</v>
      </c>
      <c r="Q2055">
        <f>IFERROR(1/(IF(Inputs!$B$38="pvp",15,MAX(0.1,Skills!E5-IF(FALSE=TRUE,Inputs!$B$32,0)))*(1-IF(AND(IF(ArtifactsInput!$M$27,FALSE,TRUE),Inputs!$B$4="Chapter Hunt"),CHOOSE(ArtifactsInput!$N$27+1,20,24,28,32,36,40),0)/100)),0)</f>
        <v>1</v>
      </c>
      <c r="R2055">
        <f>IF(AND(Inputs!$B$38&lt;&gt;"pvp",Inputs!$B$43&gt;0),IF(MAX(0,Inputs!$B$43-B2088)&lt;=0,0,(INT(MAX(0,Inputs!$B$43-B2088)/(IF(Inputs!$B$38="pvp",15,MAX(0.1,Skills!E5-IF(FALSE=TRUE,Inputs!$B$32,0)))*(1-IF(AND(IF(ArtifactsInput!$M$27,FALSE,TRUE),Inputs!$B$4="Chapter Hunt"),CHOOSE(ArtifactsInput!$N$27+1,20,24,28,32,36,40),0)/100)))+1)),0)</f>
        <v>38</v>
      </c>
      <c r="S2055">
        <f>IF(C2055,(H2055*N2055*IF(AND(Inputs!$B$38&lt;&gt;"pvp",Inputs!$B$43&gt;0),((Skills!G5*((R2055-1)*IF(Skills!H5&gt;0,Skills!I5/Skills!H5,1)+IF(Skills!H5&gt;0,MIN(Skills!I5,MAX(0,MAX(0,Inputs!$B$43-B2088)-((R2055-1)*(IF(Inputs!$B$38="pvp",15,MAX(0.1,Skills!E5-IF(FALSE=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2055">
        <f>IF(C2055,(H2055*N2055*IF(AND(Inputs!$B$38&lt;&gt;"pvp",Inputs!$B$43&gt;0),((Skills!G5*((R2055-1)*IF(Skills!H5&gt;0,Skills!I5/Skills!H5,1)+IF(Skills!H5&gt;0,MIN(Skills!I5,MAX(0,MAX(0,Inputs!$B$43-B2088)-((R2055-1)*(IF(Inputs!$B$38="pvp",15,MAX(0.1,Skills!E5-IF(FALSE=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2056" spans="1:26" x14ac:dyDescent="0.2">
      <c r="A2056" t="str">
        <f>Skills!A6</f>
        <v>MEDITATION</v>
      </c>
      <c r="B2056" t="str">
        <f>Skills!B6</f>
        <v>Meditation</v>
      </c>
      <c r="C2056" t="b">
        <f>TRUE</f>
        <v>1</v>
      </c>
      <c r="D2056">
        <f>IF(Skills!C6=1,60+Inputs!$B$25+Inputs!$B$29,IF(Skills!C6=2,90+Inputs!$B$26+Inputs!$B$29,IF(Skills!C6=3,120+Inputs!$B$27+Inputs!$B$29,MAX(0,(Inputs!$B$3-100)*3)+Inputs!$B$28+Inputs!$B$29)))</f>
        <v>168</v>
      </c>
      <c r="E2056">
        <f>INDEX(FactorTable!$B$2:$Y$301, MATCH(ROUND(MIN(300,MAX(1,D2056)),0), FactorTable!$A$2:$A$301,0), Skills!M6+1)</f>
        <v>1672</v>
      </c>
      <c r="F2056">
        <f>IF(Skills!N6=TRUE,(Skills!L6/10)*(E2056/1000),Skills!L6/10)+Skills!O6</f>
        <v>33.44</v>
      </c>
      <c r="G2056">
        <f>Calc!G6</f>
        <v>1</v>
      </c>
      <c r="H2056">
        <f>Calc!H6</f>
        <v>1</v>
      </c>
      <c r="I2056">
        <f>IF(Skills!X6&lt;&gt;"",1+(Skills!X6/10)*(Z2053/1000)/100,1)</f>
        <v>1</v>
      </c>
      <c r="O2056">
        <f>(1-Summary!$B$11)*S2056+Summary!$B$11*U2056</f>
        <v>0</v>
      </c>
      <c r="P2056">
        <f>IF(B2091=0,0,O2056/B2091)</f>
        <v>0</v>
      </c>
      <c r="Q2056">
        <f>IFERROR(1/(IF(Inputs!$B$38="pvp",15,MAX(0.1,Skills!E6-IF(TRUE=TRUE,Inputs!$B$32,0)))*(1-IF(AND(IF(ArtifactsInput!$M$27,FALSE,TRUE),Inputs!$B$4="Chapter Hunt"),CHOOSE(ArtifactsInput!$N$27+1,20,24,28,32,36,40),0)/100)),0)</f>
        <v>3.3333333333333333E-2</v>
      </c>
      <c r="R2056">
        <f>IF(AND(Inputs!$B$38&lt;&gt;"pvp",Inputs!$B$43&gt;0),IF(Inputs!$B$43&lt;=0,0,(INT(Inputs!$B$43/(IF(Inputs!$B$38="pvp",15,MAX(0.1,Skills!E6-IF(TRUE=TRUE,Inputs!$B$32,0)))*(1-IF(AND(IF(ArtifactsInput!$M$27,FALSE,TRUE),Inputs!$B$4="Chapter Hunt"),CHOOSE(ArtifactsInput!$N$27+1,20,24,28,32,36,40),0)/100)))+1)),0)</f>
        <v>2</v>
      </c>
      <c r="S2056">
        <v>0</v>
      </c>
      <c r="U2056">
        <v>0</v>
      </c>
    </row>
    <row r="2057" spans="1:26" x14ac:dyDescent="0.2">
      <c r="A2057" t="str">
        <f>Skills!A7</f>
        <v>POISON_MIST_BURST</v>
      </c>
      <c r="B2057" t="str">
        <f>Skills!B7</f>
        <v>Poison Mist (burst)</v>
      </c>
      <c r="C2057" t="b">
        <f>TRUE</f>
        <v>1</v>
      </c>
      <c r="D2057">
        <f>IF(Skills!C7=1,60+Inputs!$B$25+Inputs!$B$29,IF(Skills!C7=2,90+Inputs!$B$26+Inputs!$B$29,IF(Skills!C7=3,120+Inputs!$B$27+Inputs!$B$29,MAX(0,(Inputs!$B$3-100)*3)+Inputs!$B$28+Inputs!$B$29)))</f>
        <v>184</v>
      </c>
      <c r="E2057">
        <f>INDEX(FactorTable!$B$2:$Y$301, MATCH(ROUND(MIN(300,MAX(1,D2057)),0), FactorTable!$A$2:$A$301,0), Skills!M7+1)</f>
        <v>1920</v>
      </c>
      <c r="F2057">
        <f>IF(Skills!N7=TRUE,(Skills!L7/10)*(E2057/1000),Skills!L7/10)+Skills!O7</f>
        <v>357.2</v>
      </c>
      <c r="G2057">
        <f>Calc!G7</f>
        <v>3</v>
      </c>
      <c r="H2057">
        <f>Calc!H7</f>
        <v>1</v>
      </c>
      <c r="I2057">
        <f>IF(Skills!X7&lt;&gt;"",1+(Skills!X7/10)*(Z2053/1000)/100,1)</f>
        <v>1.7650000000000001</v>
      </c>
      <c r="J2057">
        <f>((Inputs!$B$6*(1+Inputs!$B$7/100))+(((Inputs!$B$12*(1+Inputs!$B$13/100))-(Inputs!$B$12*(1+Inputs!$B$13/100)))+0.25*(Inputs!$B$14-Inputs!$B$14))*(1+Inputs!$B$7/100))*(F2057/100)</f>
        <v>1289972510.4086521</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11440318873772.086</v>
      </c>
      <c r="L2057">
        <f>K2057*(MIN(Inputs!$B$22+(F2072-Calc!F22),(Inputs!$B$23+(IF(ArtifactsInput!$M$15,CHOOSE(ArtifactsInput!$N$15+1,25,30,35,40,45,50)/100*(Inputs!$B$11-Inputs!$B$11),0))))/100+(Inputs!$B$23+(IF(ArtifactsInput!$M$15,CHOOSE(ArtifactsInput!$N$15+1,25,30,35,40,45,50)/100*(Inputs!$B$11-Inputs!$B$11),0)))/100)/2</f>
        <v>38039060255292.188</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2057">
        <f>L2057*(1-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2057">
        <f>(1-Summary!$B$11)*S2057+Summary!$B$11*U2057</f>
        <v>447913158316422</v>
      </c>
      <c r="P2057">
        <f>IF(B2091=0,0,O2057/B2091)</f>
        <v>1.3537499549121505E-2</v>
      </c>
      <c r="Q2057">
        <f>IFERROR(1/(IF(Inputs!$B$38="pvp",15,MAX(0.1,Skills!E7-IF(TRUE=TRUE,Inputs!$B$32,0)))*(1-IF(AND(IF(ArtifactsInput!$M$27,FALSE,TRUE),Inputs!$B$4="Chapter Hunt"),CHOOSE(ArtifactsInput!$N$27+1,20,24,28,32,36,40),0)/100)),0)</f>
        <v>4.0816326530612242E-2</v>
      </c>
      <c r="R2057">
        <f>IF(AND(Inputs!$B$38&lt;&gt;"pvp",Inputs!$B$43&gt;0),IF(MAX(0,Inputs!$B$43-B2088)&lt;=0,0,(INT(MAX(0,Inputs!$B$43-B2088)/(IF(Inputs!$B$38="pvp",15,MAX(0.1,Skills!E7-IF(TRUE=TRUE,Inputs!$B$32,0)))*(1-IF(AND(IF(ArtifactsInput!$M$27,FALSE,TRUE),Inputs!$B$4="Chapter Hunt"),CHOOSE(ArtifactsInput!$N$27+1,20,24,28,32,36,40),0)/100)))+1)),0)</f>
        <v>2</v>
      </c>
      <c r="S2057">
        <f>IF(C2057,(H2057*N2057*IF(AND(Inputs!$B$38&lt;&gt;"pvp",Inputs!$B$43&gt;0),((Skills!G7*((R2057-1)*IF(Skills!H7&gt;0,Skills!I7/Skills!H7,1)+IF(Skills!H7&gt;0,MIN(Skills!I7,MAX(0,MAX(0,Inputs!$B$43-B2088)-((R2057-1)*(IF(Inputs!$B$38="pvp",15,MAX(0.1,Skills!E7-IF(TRUE=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2057">
        <f>IF(C2057,(H2057*N2057*IF(AND(Inputs!$B$38&lt;&gt;"pvp",Inputs!$B$43&gt;0),((Skills!G7*((R2057-1)*IF(Skills!H7&gt;0,Skills!I7/Skills!H7,1)+IF(Skills!H7&gt;0,MIN(Skills!I7,MAX(0,MAX(0,Inputs!$B$43-B2088)-((R2057-1)*(IF(Inputs!$B$38="pvp",15,MAX(0.1,Skills!E7-IF(TRUE=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2058" spans="1:26" x14ac:dyDescent="0.2">
      <c r="A2058" t="str">
        <f>Skills!A8</f>
        <v>POISON_MIST_DOT</v>
      </c>
      <c r="B2058" t="str">
        <f>Skills!B8</f>
        <v>Poison Mist (fog DoT)</v>
      </c>
      <c r="C2058" t="b">
        <f>TRUE</f>
        <v>1</v>
      </c>
      <c r="D2058">
        <f>IF(Skills!C8=1,60+Inputs!$B$25+Inputs!$B$29,IF(Skills!C8=2,90+Inputs!$B$26+Inputs!$B$29,IF(Skills!C8=3,120+Inputs!$B$27+Inputs!$B$29,MAX(0,(Inputs!$B$3-100)*3)+Inputs!$B$28+Inputs!$B$29)))</f>
        <v>184</v>
      </c>
      <c r="E2058">
        <f>INDEX(FactorTable!$B$2:$Y$301, MATCH(ROUND(MIN(300,MAX(1,D2058)),0), FactorTable!$A$2:$A$301,0), Skills!M8+1)</f>
        <v>1920</v>
      </c>
      <c r="F2058">
        <f>IF(Skills!N8=TRUE,(Skills!L8/10)*(E2058/1000),Skills!L8/10)+Skills!O8</f>
        <v>134.4</v>
      </c>
      <c r="G2058">
        <f>Calc!G8</f>
        <v>50</v>
      </c>
      <c r="H2058">
        <f>Calc!H8</f>
        <v>1</v>
      </c>
      <c r="I2058">
        <f>IF(Skills!X8&lt;&gt;"",1+(Skills!X8/10)*(Z2053/1000)/100,1)</f>
        <v>1.7650000000000001</v>
      </c>
      <c r="J2058">
        <f>((Inputs!$B$6*(1+Inputs!$B$7/100))+(((Inputs!$B$12*(1+Inputs!$B$13/100))-(Inputs!$B$12*(1+Inputs!$B$13/100)))+0.25*(Inputs!$B$14-Inputs!$B$14))*(1+Inputs!$B$7/100))*(F2058/100)</f>
        <v>485364796.74950409</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4304532073446.1597</v>
      </c>
      <c r="L2058">
        <f>K2058*(MIN(Inputs!$B$22+(F2072-Calc!F22),(Inputs!$B$23+(IF(ArtifactsInput!$M$15,CHOOSE(ArtifactsInput!$N$15+1,25,30,35,40,45,50)/100*(Inputs!$B$11-Inputs!$B$11),0))))/100+(Inputs!$B$23+(IF(ArtifactsInput!$M$15,CHOOSE(ArtifactsInput!$N$15+1,25,30,35,40,45,50)/100*(Inputs!$B$11-Inputs!$B$11),0)))/100)/2</f>
        <v>14312569144208.482</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2058">
        <f>L2058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2058">
        <f>(1-Summary!$B$11)*S2058+Summary!$B$11*U2058</f>
        <v>2327471980535951</v>
      </c>
      <c r="P2058">
        <f>IF(B2091=0,0,O2058/B2091)</f>
        <v>7.0344329703392813E-2</v>
      </c>
      <c r="Q2058">
        <f>IFERROR(1/(IF(Inputs!$B$38="pvp",15,MAX(0.1,Skills!E8-IF(TRUE=TRUE,Inputs!$B$32,0)))*(1-IF(AND(IF(ArtifactsInput!$M$27,FALSE,TRUE),Inputs!$B$4="Chapter Hunt"),CHOOSE(ArtifactsInput!$N$27+1,20,24,28,32,36,40),0)/100)),0)</f>
        <v>4.0816326530612242E-2</v>
      </c>
      <c r="R2058">
        <f>IF(AND(Inputs!$B$38&lt;&gt;"pvp",Inputs!$B$43&gt;0),IF(MAX(0,Inputs!$B$43-B2088)&lt;=0,0,(INT(MAX(0,Inputs!$B$43-B2088)/(IF(Inputs!$B$38="pvp",15,MAX(0.1,Skills!E8-IF(TRUE=TRUE,Inputs!$B$32,0)))*(1-IF(AND(IF(ArtifactsInput!$M$27,FALSE,TRUE),Inputs!$B$4="Chapter Hunt"),CHOOSE(ArtifactsInput!$N$27+1,20,24,28,32,36,40),0)/100)))+1)),0)</f>
        <v>2</v>
      </c>
      <c r="S2058">
        <f>IF(C2058,(H2058*N2058*IF(AND(Inputs!$B$38&lt;&gt;"pvp",Inputs!$B$43&gt;0),((Skills!G8*((R2058-1)*IF(Skills!H8&gt;0,Skills!I8/Skills!H8,1)+IF(Skills!H8&gt;0,MIN(Skills!I8,MAX(0,MAX(0,Inputs!$B$43-B2088)-((R2058-1)*(IF(Inputs!$B$38="pvp",15,MAX(0.1,Skills!E8-IF(TRUE=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2058">
        <f>IF(C2058,(H2058*N2058*IF(AND(Inputs!$B$38&lt;&gt;"pvp",Inputs!$B$43&gt;0),((Skills!G8*((R2058-1)*IF(Skills!H8&gt;0,Skills!I8/Skills!H8,1)+IF(Skills!H8&gt;0,MIN(Skills!I8,MAX(0,MAX(0,Inputs!$B$43-B2088)-((R2058-1)*(IF(Inputs!$B$38="pvp",15,MAX(0.1,Skills!E8-IF(TRUE=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2059" spans="1:26" x14ac:dyDescent="0.2">
      <c r="A2059" t="str">
        <f>Skills!A9</f>
        <v>MIST_ERUPTION</v>
      </c>
      <c r="B2059" t="str">
        <f>Skills!B9</f>
        <v>Mist Eruption</v>
      </c>
      <c r="C2059" t="b">
        <f>Inputs!$B$3&gt;=103</f>
        <v>1</v>
      </c>
      <c r="D2059">
        <f>IF(Skills!C9=1,60+Inputs!$B$25+Inputs!$B$29,IF(Skills!C9=2,90+Inputs!$B$26+Inputs!$B$29,IF(Skills!C9=3,120+Inputs!$B$27+Inputs!$B$29,MAX(0,(Inputs!$B$3-100)*3)+Inputs!$B$28+Inputs!$B$29)))</f>
        <v>185</v>
      </c>
      <c r="E2059">
        <f>INDEX(FactorTable!$B$2:$Y$301, MATCH(ROUND(MIN(300,MAX(1,D2059)),0), FactorTable!$A$2:$A$301,0), Skills!M9+1)</f>
        <v>1925</v>
      </c>
      <c r="F2059">
        <f>IF(Skills!N9=TRUE,(Skills!L9/10)*(E2059/1000),Skills!L9/10)+Skills!O9</f>
        <v>5775</v>
      </c>
      <c r="G2059">
        <f>Calc!G9</f>
        <v>2.5</v>
      </c>
      <c r="H2059">
        <f>Calc!H9</f>
        <v>1</v>
      </c>
      <c r="I2059">
        <f>IF(Skills!X9&lt;&gt;"",1+(Skills!X9/10)*(Z2053/1000)/100,1)</f>
        <v>1</v>
      </c>
      <c r="J2059">
        <f>((Inputs!$B$6*(1+Inputs!$B$7/100))+(((Inputs!$B$12*(1+Inputs!$B$13/100))-(Inputs!$B$12*(1+Inputs!$B$13/100)))+0.25*(Inputs!$B$14-Inputs!$B$14))*(1+Inputs!$B$7/100))*(F2059/100)</f>
        <v>20855518610.330254</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104793406533081.95</v>
      </c>
      <c r="L2059">
        <f>K2059*(MIN(Inputs!$B$22+(F2072-Calc!F22),(Inputs!$B$23+(IF(ArtifactsInput!$M$15,CHOOSE(ArtifactsInput!$N$15+1,25,30,35,40,45,50)/100*(Inputs!$B$11-Inputs!$B$11),0))))/100+(Inputs!$B$23+(IF(ArtifactsInput!$M$15,CHOOSE(ArtifactsInput!$N$15+1,25,30,35,40,45,50)/100*(Inputs!$B$11-Inputs!$B$11),0)))/100)/2</f>
        <v>348438076722497.5</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2059">
        <f>L2059*(1-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2059">
        <f>(1-Summary!$B$11)*S2059+Summary!$B$11*U2059</f>
        <v>3419073236278675</v>
      </c>
      <c r="P2059">
        <f>IF(B2091=0,0,O2059/B2091)</f>
        <v>0.10333633101673266</v>
      </c>
      <c r="Q2059">
        <f>IFERROR(1/(IF(Inputs!$B$38="pvp",15,MAX(0.1,Skills!E9-IF(TRUE=TRUE,Inputs!$B$32,0)))*(1-IF(AND(IF(ArtifactsInput!$M$27,FALSE,TRUE),Inputs!$B$4="Chapter Hunt"),CHOOSE(ArtifactsInput!$N$27+1,20,24,28,32,36,40),0)/100)),0)</f>
        <v>4.0816326530612242E-2</v>
      </c>
      <c r="R2059">
        <f>IF(AND(Inputs!$B$38&lt;&gt;"pvp",Inputs!$B$43&gt;0),IF(MAX(0,Inputs!$B$43-B2088)&lt;=0,0,(INT(MAX(0,Inputs!$B$43-B2088)/(IF(Inputs!$B$38="pvp",15,MAX(0.1,Skills!E9-IF(TRUE=TRUE,Inputs!$B$32,0)))*(1-IF(AND(IF(ArtifactsInput!$M$27,FALSE,TRUE),Inputs!$B$4="Chapter Hunt"),CHOOSE(ArtifactsInput!$N$27+1,20,24,28,32,36,40),0)/100)))+1)),0)</f>
        <v>2</v>
      </c>
      <c r="S2059">
        <f>IF(C2059,(H2059*N2059*IF(AND(Inputs!$B$38&lt;&gt;"pvp",Inputs!$B$43&gt;0),((Skills!G9*((R2059-1)*IF(Skills!H9&gt;0,Skills!I9/Skills!H9,1)+IF(Skills!H9&gt;0,MIN(Skills!I9,MAX(0,MAX(0,Inputs!$B$43-B2088)-((R2059-1)*(IF(Inputs!$B$38="pvp",15,MAX(0.1,Skills!E9-IF(TRUE=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2059">
        <f>IF(C2059,(H2059*N2059*IF(AND(Inputs!$B$38&lt;&gt;"pvp",Inputs!$B$43&gt;0),((Skills!G9*((R2059-1)*IF(Skills!H9&gt;0,Skills!I9/Skills!H9,1)+IF(Skills!H9&gt;0,MIN(Skills!I9,MAX(0,MAX(0,Inputs!$B$43-B2088)-((R2059-1)*(IF(Inputs!$B$38="pvp",15,MAX(0.1,Skills!E9-IF(TRUE=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2060" spans="1:26" x14ac:dyDescent="0.2">
      <c r="A2060" t="str">
        <f>Skills!A10</f>
        <v>CREEPING_TOXIN</v>
      </c>
      <c r="B2060" t="str">
        <f>Skills!B10</f>
        <v>Creeping Toxin</v>
      </c>
      <c r="C2060" t="b">
        <f>TRUE</f>
        <v>1</v>
      </c>
      <c r="D2060">
        <f>IF(Skills!C10=1,60+Inputs!$B$25+Inputs!$B$29,IF(Skills!C10=2,90+Inputs!$B$26+Inputs!$B$29,IF(Skills!C10=3,120+Inputs!$B$27+Inputs!$B$29,MAX(0,(Inputs!$B$3-100)*3)+Inputs!$B$28+Inputs!$B$29)))</f>
        <v>184</v>
      </c>
      <c r="E2060">
        <f>INDEX(FactorTable!$B$2:$Y$301, MATCH(ROUND(MIN(300,MAX(1,D2060)),0), FactorTable!$A$2:$A$301,0), Skills!M10+1)</f>
        <v>1920</v>
      </c>
      <c r="F2060">
        <f>IF(Skills!N10=TRUE,(Skills!L10/10)*(E2060/1000),Skills!L10/10)+Skills!O10</f>
        <v>280.39999999999998</v>
      </c>
      <c r="G2060">
        <f>Calc!G10</f>
        <v>15</v>
      </c>
      <c r="H2060">
        <f>Calc!H10</f>
        <v>1</v>
      </c>
      <c r="I2060">
        <f>IF(Skills!X10&lt;&gt;"",1+(Skills!X10/10)*(Z2053/1000)/100,1)</f>
        <v>1.7650000000000001</v>
      </c>
      <c r="J2060">
        <f>((Inputs!$B$6*(1+Inputs!$B$7/100))+(((Inputs!$B$12*(1+Inputs!$B$13/100))-(Inputs!$B$12*(1+Inputs!$B$13/100)))+0.25*(Inputs!$B$14-Inputs!$B$14))*(1+Inputs!$B$7/100))*(F2060/100)</f>
        <v>1012621197.9803641</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8980586260374.2793</v>
      </c>
      <c r="L2060">
        <f>K2060*(MIN(Inputs!$B$22+(F2072-Calc!F22),(Inputs!$B$23+(IF(ArtifactsInput!$M$15,CHOOSE(ArtifactsInput!$N$15+1,25,30,35,40,45,50)/100*(Inputs!$B$11-Inputs!$B$11),0))))/100+(Inputs!$B$23+(IF(ArtifactsInput!$M$15,CHOOSE(ArtifactsInput!$N$15+1,25,30,35,40,45,50)/100*(Inputs!$B$11-Inputs!$B$11),0)))/100)/2</f>
        <v>29860449315744.48</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2060">
        <f>L2060*(1-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2060">
        <f>(1-Summary!$B$11)*S2060+Summary!$B$11*U2060</f>
        <v>324323455609081.62</v>
      </c>
      <c r="P2060">
        <f>IF(B2091=0,0,O2060/B2091)</f>
        <v>9.8021872154419789E-3</v>
      </c>
      <c r="Q2060">
        <f>IFERROR(1/(IF(Inputs!$B$38="pvp",15,MAX(0.1,Skills!E10-IF(TRUE=TRUE,Inputs!$B$32,0)))*(1-IF(AND(IF(ArtifactsInput!$M$27,FALSE,TRUE),Inputs!$B$4="Chapter Hunt"),CHOOSE(ArtifactsInput!$N$27+1,20,24,28,32,36,40),0)/100)),0)</f>
        <v>3.7037037037037035E-2</v>
      </c>
      <c r="R2060">
        <f>IF(AND(Inputs!$B$38&lt;&gt;"pvp",Inputs!$B$43&gt;0),IF(MAX(0,Inputs!$B$43-B2088)&lt;=0,0,(INT(MAX(0,Inputs!$B$43-B2088)/(IF(Inputs!$B$38="pvp",15,MAX(0.1,Skills!E10-IF(TRUE=TRUE,Inputs!$B$32,0)))*(1-IF(AND(IF(ArtifactsInput!$M$27,FALSE,TRUE),Inputs!$B$4="Chapter Hunt"),CHOOSE(ArtifactsInput!$N$27+1,20,24,28,32,36,40),0)/100)))+1)),0)</f>
        <v>2</v>
      </c>
      <c r="S2060">
        <f>IF(C2060,(H2060*N2060*IF(AND(Inputs!$B$38&lt;&gt;"pvp",Inputs!$B$43&gt;0),((Skills!G10*((R2060-1)*IF(Skills!H10&gt;0,Skills!I10/Skills!H10,1)+IF(Skills!H10&gt;0,MIN(Skills!I10,MAX(0,MAX(0,Inputs!$B$43-B2088)-((R2060-1)*(IF(Inputs!$B$38="pvp",15,MAX(0.1,Skills!E10-IF(TRUE=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2060">
        <f>IF(C2060,(H2060*N2060*IF(AND(Inputs!$B$38&lt;&gt;"pvp",Inputs!$B$43&gt;0),((Skills!G10*((R2060-1)*IF(Skills!H10&gt;0,Skills!I10/Skills!H10,1)+IF(Skills!H10&gt;0,MIN(Skills!I10,MAX(0,MAX(0,Inputs!$B$43-B2088)-((R2060-1)*(IF(Inputs!$B$38="pvp",15,MAX(0.1,Skills!E10-IF(TRUE=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2061" spans="1:26" x14ac:dyDescent="0.2">
      <c r="A2061" t="str">
        <f>Skills!A11</f>
        <v>BURNING_MAGIC</v>
      </c>
      <c r="B2061" t="str">
        <f>Skills!B11</f>
        <v>Burning Magic</v>
      </c>
      <c r="C2061" t="b">
        <f>TRUE</f>
        <v>1</v>
      </c>
      <c r="D2061">
        <f>IF(Skills!C11=1,60+Inputs!$B$25+Inputs!$B$29,IF(Skills!C11=2,90+Inputs!$B$26+Inputs!$B$29,IF(Skills!C11=3,120+Inputs!$B$27+Inputs!$B$29,MAX(0,(Inputs!$B$3-100)*3)+Inputs!$B$28+Inputs!$B$29)))</f>
        <v>184</v>
      </c>
      <c r="E2061">
        <f>INDEX(FactorTable!$B$2:$Y$301, MATCH(ROUND(MIN(300,MAX(1,D2061)),0), FactorTable!$A$2:$A$301,0), Skills!M11+1)</f>
        <v>0</v>
      </c>
      <c r="F2061">
        <f>IF(Skills!N11=TRUE,(Skills!L11/10)*(E2061/1000),Skills!L11/10)+Skills!O11</f>
        <v>5</v>
      </c>
      <c r="G2061">
        <f>Calc!G11</f>
        <v>1</v>
      </c>
      <c r="H2061">
        <f>Calc!H11</f>
        <v>1</v>
      </c>
      <c r="I2061">
        <f>IF(Skills!X11&lt;&gt;"",1+(Skills!X11/10)*(Z2053/1000)/100,1)</f>
        <v>1</v>
      </c>
      <c r="O2061">
        <f>(1-Summary!$B$11)*S2061+Summary!$B$11*U2061</f>
        <v>0</v>
      </c>
      <c r="P2061">
        <f>IF(B2091=0,0,O2061/B2091)</f>
        <v>0</v>
      </c>
      <c r="Q2061">
        <f>IFERROR(1/(IF(Inputs!$B$38="pvp",15,MAX(0.1,Skills!E11-IF(TRUE=TRUE,Inputs!$B$32,0)))*(1-IF(AND(IF(ArtifactsInput!$M$27,FALSE,TRUE),Inputs!$B$4="Chapter Hunt"),CHOOSE(ArtifactsInput!$N$27+1,20,24,28,32,36,40),0)/100)),0)</f>
        <v>10</v>
      </c>
      <c r="R2061">
        <v>0</v>
      </c>
      <c r="S2061">
        <v>0</v>
      </c>
      <c r="U2061">
        <v>0</v>
      </c>
    </row>
    <row r="2062" spans="1:26" x14ac:dyDescent="0.2">
      <c r="A2062" t="str">
        <f>Skills!A12</f>
        <v>ELEMENTAL_DECREASE</v>
      </c>
      <c r="B2062" t="str">
        <f>Skills!B12</f>
        <v>Elemental Decrease</v>
      </c>
      <c r="C2062" t="b">
        <f>TRUE</f>
        <v>1</v>
      </c>
      <c r="D2062">
        <f>IF(Skills!C12=1,60+Inputs!$B$25+Inputs!$B$29,IF(Skills!C12=2,90+Inputs!$B$26+Inputs!$B$29,IF(Skills!C12=3,120+Inputs!$B$27+Inputs!$B$29,MAX(0,(Inputs!$B$3-100)*3)+Inputs!$B$28+Inputs!$B$29)))</f>
        <v>184</v>
      </c>
      <c r="E2062">
        <f>INDEX(FactorTable!$B$2:$Y$301, MATCH(ROUND(MIN(300,MAX(1,D2062)),0), FactorTable!$A$2:$A$301,0), Skills!M12+1)</f>
        <v>1552</v>
      </c>
      <c r="F2062">
        <f>IF(Skills!N12=TRUE,(Skills!L12/10)*(E2062/1000),Skills!L12/10)+Skills!O12</f>
        <v>18.624000000000002</v>
      </c>
      <c r="G2062">
        <f>Calc!G12</f>
        <v>1</v>
      </c>
      <c r="H2062">
        <f>Calc!H12</f>
        <v>0.5</v>
      </c>
      <c r="I2062">
        <f>IF(Skills!X12&lt;&gt;"",1+(Skills!X12/10)*(Z2053/1000)/100,1)</f>
        <v>1</v>
      </c>
      <c r="O2062">
        <f>(1-Summary!$B$11)*S2062+Summary!$B$11*U2062</f>
        <v>0</v>
      </c>
      <c r="P2062">
        <f>IF(B2091=0,0,O2062/B2091)</f>
        <v>0</v>
      </c>
      <c r="Q2062">
        <f>IFERROR(1/(IF(Inputs!$B$38="pvp",15,MAX(0.1,Skills!E12-IF(TRUE=TRUE,Inputs!$B$32,0)))*(1-IF(AND(IF(ArtifactsInput!$M$27,FALSE,TRUE),Inputs!$B$4="Chapter Hunt"),CHOOSE(ArtifactsInput!$N$27+1,20,24,28,32,36,40),0)/100)),0)</f>
        <v>10</v>
      </c>
      <c r="R2062">
        <v>0</v>
      </c>
      <c r="S2062">
        <v>0</v>
      </c>
      <c r="U2062">
        <v>0</v>
      </c>
    </row>
    <row r="2063" spans="1:26" x14ac:dyDescent="0.2">
      <c r="A2063" t="str">
        <f>Skills!A13</f>
        <v>METEOR_SHOWER_BURST</v>
      </c>
      <c r="B2063" t="str">
        <f>Skills!B13</f>
        <v>Meteor Shower (burst)</v>
      </c>
      <c r="C2063" t="b">
        <f>Inputs!$B$3&gt;=105</f>
        <v>1</v>
      </c>
      <c r="D2063">
        <f>IF(Skills!C13=1,60+Inputs!$B$25+Inputs!$B$29,IF(Skills!C13=2,90+Inputs!$B$26+Inputs!$B$29,IF(Skills!C13=3,120+Inputs!$B$27+Inputs!$B$29,MAX(0,(Inputs!$B$3-100)*3)+Inputs!$B$28+Inputs!$B$29)))</f>
        <v>185</v>
      </c>
      <c r="E2063">
        <f>INDEX(FactorTable!$B$2:$Y$301, MATCH(ROUND(MIN(300,MAX(1,D2063)),0), FactorTable!$A$2:$A$301,0), Skills!M13+1)</f>
        <v>1925</v>
      </c>
      <c r="F2063">
        <f>IF(Skills!N13=TRUE,(Skills!L13/10)*(E2063/1000),Skills!L13/10)+Skills!O13</f>
        <v>1155</v>
      </c>
      <c r="G2063">
        <f>Calc!G13</f>
        <v>9</v>
      </c>
      <c r="H2063">
        <f>Calc!H13</f>
        <v>1</v>
      </c>
      <c r="I2063">
        <f>IF(Skills!X13&lt;&gt;"",1+(Skills!X13/10)*(Z2053/1000)/100,1)</f>
        <v>1</v>
      </c>
      <c r="J2063">
        <f>((Inputs!$B$6*(1+Inputs!$B$7/100))+(((Inputs!$B$12*(1+Inputs!$B$13/100))-(Inputs!$B$12*(1+Inputs!$B$13/100)))+0.25*(Inputs!$B$14-Inputs!$B$14))*(1+Inputs!$B$7/100))*(F2063/100)</f>
        <v>4171103722.0660505</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20958681306616.391</v>
      </c>
      <c r="L2063">
        <f>K2063*(MIN(Inputs!$B$22+(F2072-Calc!F22),(Inputs!$B$23+(IF(ArtifactsInput!$M$15,CHOOSE(ArtifactsInput!$N$15+1,25,30,35,40,45,50)/100*(Inputs!$B$11-Inputs!$B$11),0))))/100+(Inputs!$B$23+(IF(ArtifactsInput!$M$15,CHOOSE(ArtifactsInput!$N$15+1,25,30,35,40,45,50)/100*(Inputs!$B$11-Inputs!$B$11),0)))/100)/2</f>
        <v>69687615344499.5</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2063">
        <f>L2063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2063">
        <f>(1-Summary!$B$11)*S2063+Summary!$B$11*U2063</f>
        <v>1793579843045520.5</v>
      </c>
      <c r="P2063">
        <f>IF(B2091=0,0,O2063/B2091)</f>
        <v>5.4208245204954375E-2</v>
      </c>
      <c r="Q2063">
        <f>IFERROR(1/(IF(Inputs!$B$38="pvp",15,MAX(0.1,Skills!E13-IF(TRUE=TRUE,Inputs!$B$32,0)))*(1-IF(AND(IF(ArtifactsInput!$M$27,FALSE,TRUE),Inputs!$B$4="Chapter Hunt"),CHOOSE(ArtifactsInput!$N$27+1,20,24,28,32,36,40),0)/100)),0)</f>
        <v>3.0303030303030304E-2</v>
      </c>
      <c r="R2063">
        <f>IF(AND(Inputs!$B$38&lt;&gt;"pvp",Inputs!$B$43&gt;0),IF(MAX(0,Inputs!$B$43-B2088)&lt;=0,0,(INT(MAX(0,Inputs!$B$43-B2088)/(IF(Inputs!$B$38="pvp",15,MAX(0.1,Skills!E13-IF(TRUE=TRUE,Inputs!$B$32,0)))*(1-IF(AND(IF(ArtifactsInput!$M$27,FALSE,TRUE),Inputs!$B$4="Chapter Hunt"),CHOOSE(ArtifactsInput!$N$27+1,20,24,28,32,36,40),0)/100)))+1)),0)</f>
        <v>2</v>
      </c>
      <c r="S2063">
        <f>IF(C2063,(H2063*N2063*IF(AND(Inputs!$B$38&lt;&gt;"pvp",Inputs!$B$43&gt;0),((Skills!G13*((R2063-1)*IF(Skills!H13&gt;0,Skills!I13/Skills!H13,1)+IF(Skills!H13&gt;0,MIN(Skills!I13,MAX(0,MAX(0,Inputs!$B$43-B2088)-((R2063-1)*(IF(Inputs!$B$38="pvp",15,MAX(0.1,Skills!E13-IF(TRUE=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2063">
        <f>IF(C2063,(H2063*N2063*IF(AND(Inputs!$B$38&lt;&gt;"pvp",Inputs!$B$43&gt;0),((Skills!G13*((R2063-1)*IF(Skills!H13&gt;0,Skills!I13/Skills!H13,1)+IF(Skills!H13&gt;0,MIN(Skills!I13,MAX(0,MAX(0,Inputs!$B$43-B2088)-((R2063-1)*(IF(Inputs!$B$38="pvp",15,MAX(0.1,Skills!E13-IF(TRUE=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2064" spans="1:26" x14ac:dyDescent="0.2">
      <c r="A2064" t="str">
        <f>Skills!A14</f>
        <v>METEOR_PROC</v>
      </c>
      <c r="B2064" t="str">
        <f>Skills!B14</f>
        <v>Meteor Proc (30% on-hit, 1s ICD)</v>
      </c>
      <c r="C2064" t="b">
        <f>Inputs!$B$3&gt;=113</f>
        <v>1</v>
      </c>
      <c r="D2064">
        <f>IF(Skills!C14=1,60+Inputs!$B$25+Inputs!$B$29,IF(Skills!C14=2,90+Inputs!$B$26+Inputs!$B$29,IF(Skills!C14=3,120+Inputs!$B$27+Inputs!$B$29,MAX(0,(Inputs!$B$3-100)*3)+Inputs!$B$28+Inputs!$B$29)))</f>
        <v>185</v>
      </c>
      <c r="E2064">
        <f>INDEX(FactorTable!$B$2:$Y$301, MATCH(ROUND(MIN(300,MAX(1,D2064)),0), FactorTable!$A$2:$A$301,0), Skills!M14+1)</f>
        <v>1740</v>
      </c>
      <c r="F2064">
        <f>IF(Skills!N14=TRUE,(Skills!L14/10)*(E2064/1000),Skills!L14/10)+Skills!O14</f>
        <v>1653</v>
      </c>
      <c r="G2064">
        <f>Calc!G14</f>
        <v>0</v>
      </c>
      <c r="H2064">
        <f>Calc!H14</f>
        <v>0.30000000000000004</v>
      </c>
      <c r="I2064">
        <f>IF(Skills!X14&lt;&gt;"",1+(Skills!X14/10)*(Z2053/1000)/100,1)</f>
        <v>1</v>
      </c>
      <c r="J2064">
        <f>((Inputs!$B$6*(1+Inputs!$B$7/100))+(((Inputs!$B$12*(1+Inputs!$B$13/100))-(Inputs!$B$12*(1+Inputs!$B$13/100)))+0.25*(Inputs!$B$14-Inputs!$B$14))*(1+Inputs!$B$7/100))*(F2064/100)</f>
        <v>5969553638.5932312</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29995411428430.203</v>
      </c>
      <c r="L2064">
        <f>K2064*(MIN(Inputs!$B$22+(F2072-Calc!F22),(Inputs!$B$23+(IF(ArtifactsInput!$M$15,CHOOSE(ArtifactsInput!$N$15+1,25,30,35,40,45,50)/100*(Inputs!$B$11-Inputs!$B$11),0))))/100+(Inputs!$B$23+(IF(ArtifactsInput!$M$15,CHOOSE(ArtifactsInput!$N$15+1,25,30,35,40,45,50)/100*(Inputs!$B$11-Inputs!$B$11),0)))/100)/2</f>
        <v>99734742999530.438</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2064">
        <f>L2064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2064">
        <f>(1-Summary!$B$11)*S2064+Summary!$B$11*U2064</f>
        <v>461258197543910.38</v>
      </c>
      <c r="P2064">
        <f>IF(B2091=0,0,O2064/B2091)</f>
        <v>1.3940833229257574E-2</v>
      </c>
      <c r="Q2064">
        <f>IFERROR(1/(IF(Inputs!$B$38="pvp",15,MAX(0.1,Skills!E14-IF(TRUE=TRUE,Inputs!$B$32,0)))*(1-IF(AND(IF(ArtifactsInput!$M$27,FALSE,TRUE),Inputs!$B$4="Chapter Hunt"),CHOOSE(ArtifactsInput!$N$27+1,20,24,28,32,36,40),0)/100)),0)</f>
        <v>10</v>
      </c>
      <c r="R2064">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2065" spans="1:21" x14ac:dyDescent="0.2">
      <c r="A2065" t="str">
        <f>Skills!A15</f>
        <v>FLAME_HAZE_BURST</v>
      </c>
      <c r="B2065" t="str">
        <f>Skills!B15</f>
        <v>Flame Haze (burst)</v>
      </c>
      <c r="C2065" t="b">
        <f>Inputs!$B$3&gt;=107</f>
        <v>1</v>
      </c>
      <c r="D2065">
        <f>IF(Skills!C15=1,60+Inputs!$B$25+Inputs!$B$29,IF(Skills!C15=2,90+Inputs!$B$26+Inputs!$B$29,IF(Skills!C15=3,120+Inputs!$B$27+Inputs!$B$29,MAX(0,(Inputs!$B$3-100)*3)+Inputs!$B$28+Inputs!$B$29)))</f>
        <v>185</v>
      </c>
      <c r="E2065">
        <f>INDEX(FactorTable!$B$2:$Y$301, MATCH(ROUND(MIN(300,MAX(1,D2065)),0), FactorTable!$A$2:$A$301,0), Skills!M15+1)</f>
        <v>1925</v>
      </c>
      <c r="F2065">
        <f>IF(Skills!N15=TRUE,(Skills!L15/10)*(E2065/1000),Skills!L15/10)+Skills!O15</f>
        <v>2310</v>
      </c>
      <c r="G2065">
        <f>Calc!G15</f>
        <v>3</v>
      </c>
      <c r="H2065">
        <f>Calc!H15</f>
        <v>1</v>
      </c>
      <c r="I2065">
        <f>IF(Skills!X15&lt;&gt;"",1+(Skills!X15/10)*(Z2053/1000)/100,1)</f>
        <v>1</v>
      </c>
      <c r="J2065">
        <f>((Inputs!$B$6*(1+Inputs!$B$7/100))+(((Inputs!$B$12*(1+Inputs!$B$13/100))-(Inputs!$B$12*(1+Inputs!$B$13/100)))+0.25*(Inputs!$B$14-Inputs!$B$14))*(1+Inputs!$B$7/100))*(F2065/100)</f>
        <v>8342207444.1321011</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41917362613232.781</v>
      </c>
      <c r="L2065">
        <f>K2065*(MIN(Inputs!$B$22+(F2072-Calc!F22),(Inputs!$B$23+(IF(ArtifactsInput!$M$15,CHOOSE(ArtifactsInput!$N$15+1,25,30,35,40,45,50)/100*(Inputs!$B$11-Inputs!$B$11),0))))/100+(Inputs!$B$23+(IF(ArtifactsInput!$M$15,CHOOSE(ArtifactsInput!$N$15+1,25,30,35,40,45,50)/100*(Inputs!$B$11-Inputs!$B$11),0)))/100)/2</f>
        <v>139375230688999</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2065">
        <f>L2065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2065">
        <f>(1-Summary!$B$11)*S2065+Summary!$B$11*U2065</f>
        <v>1641155153413763.8</v>
      </c>
      <c r="P2065">
        <f>IF(B2091=0,0,O2065/B2091)</f>
        <v>4.9601438888031674E-2</v>
      </c>
      <c r="Q2065">
        <f>IFERROR(1/(IF(Inputs!$B$38="pvp",15,MAX(0.1,Skills!E15-IF(TRUE=TRUE,Inputs!$B$32,0)))*(1-IF(AND(IF(ArtifactsInput!$M$27,FALSE,TRUE),Inputs!$B$4="Chapter Hunt"),CHOOSE(ArtifactsInput!$N$27+1,20,24,28,32,36,40),0)/100)),0)</f>
        <v>0.04</v>
      </c>
      <c r="R2065">
        <f>IF(AND(Inputs!$B$38&lt;&gt;"pvp",Inputs!$B$43&gt;0),IF(MAX(0,Inputs!$B$43-B2088)&lt;=0,0,(INT(MAX(0,Inputs!$B$43-B2088)/(IF(Inputs!$B$38="pvp",15,MAX(0.1,Skills!E15-IF(TRUE=TRUE,Inputs!$B$32,0)))*(1-IF(AND(IF(ArtifactsInput!$M$27,FALSE,TRUE),Inputs!$B$4="Chapter Hunt"),CHOOSE(ArtifactsInput!$N$27+1,20,24,28,32,36,40),0)/100)))+1)),0)</f>
        <v>2</v>
      </c>
      <c r="S2065">
        <f>IF(C2065,(H2065*N2065*IF(AND(Inputs!$B$38&lt;&gt;"pvp",Inputs!$B$43&gt;0),((Skills!G15*((R2065-1)*IF(Skills!H15&gt;0,Skills!I15/Skills!H15,1)+IF(Skills!H15&gt;0,MIN(Skills!I15,MAX(0,MAX(0,Inputs!$B$43-B2088)-((R2065-1)*(IF(Inputs!$B$38="pvp",15,MAX(0.1,Skills!E15-IF(TRUE=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2065">
        <f>IF(C2065,(H2065*N2065*IF(AND(Inputs!$B$38&lt;&gt;"pvp",Inputs!$B$43&gt;0),((Skills!G15*((R2065-1)*IF(Skills!H15&gt;0,Skills!I15/Skills!H15,1)+IF(Skills!H15&gt;0,MIN(Skills!I15,MAX(0,MAX(0,Inputs!$B$43-B2088)-((R2065-1)*(IF(Inputs!$B$38="pvp",15,MAX(0.1,Skills!E15-IF(TRUE=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2066" spans="1:21" x14ac:dyDescent="0.2">
      <c r="A2066" t="str">
        <f>Skills!A16</f>
        <v>FLAME_HAZE_DOT</v>
      </c>
      <c r="B2066" t="str">
        <f>Skills!B16</f>
        <v>Flame Haze (burn DoT)</v>
      </c>
      <c r="C2066" t="b">
        <f>Inputs!$B$3&gt;=107</f>
        <v>1</v>
      </c>
      <c r="D2066">
        <f>IF(Skills!C16=1,60+Inputs!$B$25+Inputs!$B$29,IF(Skills!C16=2,90+Inputs!$B$26+Inputs!$B$29,IF(Skills!C16=3,120+Inputs!$B$27+Inputs!$B$29,MAX(0,(Inputs!$B$3-100)*3)+Inputs!$B$28+Inputs!$B$29)))</f>
        <v>185</v>
      </c>
      <c r="E2066">
        <f>INDEX(FactorTable!$B$2:$Y$301, MATCH(ROUND(MIN(300,MAX(1,D2066)),0), FactorTable!$A$2:$A$301,0), Skills!M16+1)</f>
        <v>1925</v>
      </c>
      <c r="F2066">
        <f>IF(Skills!N16=TRUE,(Skills!L16/10)*(E2066/1000),Skills!L16/10)+Skills!O16</f>
        <v>288.75</v>
      </c>
      <c r="G2066">
        <f>Calc!G16</f>
        <v>30</v>
      </c>
      <c r="H2066">
        <f>Calc!H16</f>
        <v>1</v>
      </c>
      <c r="I2066">
        <f>IF(Skills!X16&lt;&gt;"",1+(Skills!X16/10)*(Z2053/1000)/100,1)</f>
        <v>1</v>
      </c>
      <c r="J2066">
        <f>((Inputs!$B$6*(1+Inputs!$B$7/100))+(((Inputs!$B$12*(1+Inputs!$B$13/100))-(Inputs!$B$12*(1+Inputs!$B$13/100)))+0.25*(Inputs!$B$14-Inputs!$B$14))*(1+Inputs!$B$7/100))*(F2066/100)</f>
        <v>1042775930.5165126</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5239670326654.0977</v>
      </c>
      <c r="L2066">
        <f>K2066*(MIN(Inputs!$B$22+(F2072-Calc!F22),(Inputs!$B$23+(IF(ArtifactsInput!$M$15,CHOOSE(ArtifactsInput!$N$15+1,25,30,35,40,45,50)/100*(Inputs!$B$11-Inputs!$B$11),0))))/100+(Inputs!$B$23+(IF(ArtifactsInput!$M$15,CHOOSE(ArtifactsInput!$N$15+1,25,30,35,40,45,50)/100*(Inputs!$B$11-Inputs!$B$11),0)))/100)/2</f>
        <v>17421903836124.875</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2066">
        <f>L2066*(1-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2066">
        <f>(1-Summary!$B$11)*S2066+Summary!$B$11*U2066</f>
        <v>1890384927888193</v>
      </c>
      <c r="P2066">
        <f>IF(B2091=0,0,O2066/B2091)</f>
        <v>5.7134032867313167E-2</v>
      </c>
      <c r="Q2066">
        <f>IFERROR(1/(IF(Inputs!$B$38="pvp",15,MAX(0.1,Skills!E16-IF(TRUE=TRUE,Inputs!$B$32,0)))*(1-IF(AND(IF(ArtifactsInput!$M$27,FALSE,TRUE),Inputs!$B$4="Chapter Hunt"),CHOOSE(ArtifactsInput!$N$27+1,20,24,28,32,36,40),0)/100)),0)</f>
        <v>0.04</v>
      </c>
      <c r="R2066">
        <f>IF(AND(Inputs!$B$38&lt;&gt;"pvp",Inputs!$B$43&gt;0),IF(MAX(0,Inputs!$B$43-B2088)&lt;=0,0,(INT(MAX(0,Inputs!$B$43-B2088)/(IF(Inputs!$B$38="pvp",15,MAX(0.1,Skills!E16-IF(TRUE=TRUE,Inputs!$B$32,0)))*(1-IF(AND(IF(ArtifactsInput!$M$27,FALSE,TRUE),Inputs!$B$4="Chapter Hunt"),CHOOSE(ArtifactsInput!$N$27+1,20,24,28,32,36,40),0)/100)))+1)),0)</f>
        <v>2</v>
      </c>
      <c r="S2066">
        <f>IF(C2066,(H2066*N2066*IF(AND(Inputs!$B$38&lt;&gt;"pvp",Inputs!$B$43&gt;0),((Skills!G16*((R2066-1)*IF(Skills!H16&gt;0,Skills!I16/Skills!H16,1)+IF(Skills!H16&gt;0,MIN(Skills!I16,MAX(0,MAX(0,Inputs!$B$43-B2088)-((R2066-1)*(IF(Inputs!$B$38="pvp",15,MAX(0.1,Skills!E16-IF(TRUE=TRUE,Inputs!$B$32,0)))*(1-IF(AND(IF(ArtifactsInput!$M$27,FALSE,TRUE),Inputs!$B$4="Chapter Hunt"),CHOOSE(ArtifactsInput!$N$27+1,20,24,28,32,36,40),0)/100)))))/Skills!H16,1)))/Inputs!$B$43),G2066*Q2066)*(1+IF(Inputs!$B$3&gt;=126,0.05*(B2086+Q2063+(H2064*B2087)/(1+Skills!H14*H2064*B2087)+Q2074),0)*(1/Q2065)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2066">
        <f>IF(C2066,(H2066*N2066*IF(AND(Inputs!$B$38&lt;&gt;"pvp",Inputs!$B$43&gt;0),((Skills!G16*((R2066-1)*IF(Skills!H16&gt;0,Skills!I16/Skills!H16,1)+IF(Skills!H16&gt;0,MIN(Skills!I16,MAX(0,MAX(0,Inputs!$B$43-B2088)-((R2066-1)*(IF(Inputs!$B$38="pvp",15,MAX(0.1,Skills!E16-IF(TRUE=TRUE,Inputs!$B$32,0)))*(1-IF(AND(IF(ArtifactsInput!$M$27,FALSE,TRUE),Inputs!$B$4="Chapter Hunt"),CHOOSE(ArtifactsInput!$N$27+1,20,24,28,32,36,40),0)/100)))))/Skills!H16,1)))/Inputs!$B$43),G2066*Q2066)*(1+IF(Inputs!$B$3&gt;=126,0.05*(B2086+Q2063+(H2064*B2087)/(1+Skills!H14*H2064*B2087)+Q2074),0)*(1/Q2065)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2067" spans="1:21" x14ac:dyDescent="0.2">
      <c r="A2067" t="str">
        <f>Skills!A17</f>
        <v>MAGIC_GUARD</v>
      </c>
      <c r="B2067" t="str">
        <f>Skills!B17</f>
        <v>Magic Guard</v>
      </c>
      <c r="C2067" t="b">
        <f>TRUE</f>
        <v>1</v>
      </c>
      <c r="D2067">
        <f>IF(Skills!C17=1,60+Inputs!$B$25+Inputs!$B$29,IF(Skills!C17=2,90+Inputs!$B$26+Inputs!$B$29,IF(Skills!C17=3,120+Inputs!$B$27+Inputs!$B$29,MAX(0,(Inputs!$B$3-100)*3)+Inputs!$B$28+Inputs!$B$29)))</f>
        <v>127</v>
      </c>
      <c r="E2067">
        <f>INDEX(FactorTable!$B$2:$Y$301, MATCH(ROUND(MIN(300,MAX(1,D2067)),0), FactorTable!$A$2:$A$301,0), Skills!M17+1)</f>
        <v>1508</v>
      </c>
      <c r="F2067">
        <f>IF(Skills!N17=TRUE,(Skills!L17/10)*(E2067/1000),Skills!L17/10)+Skills!O17</f>
        <v>18.096</v>
      </c>
      <c r="G2067">
        <f>Calc!G17</f>
        <v>1</v>
      </c>
      <c r="H2067">
        <f>Calc!H17</f>
        <v>1</v>
      </c>
      <c r="I2067">
        <f>IF(Skills!X17&lt;&gt;"",1+(Skills!X17/10)*(Z2053/1000)/100,1)</f>
        <v>1</v>
      </c>
      <c r="O2067">
        <f>(1-Summary!$B$11)*S2067+Summary!$B$11*U2067</f>
        <v>0</v>
      </c>
      <c r="P2067">
        <f>IF(B2091=0,0,O2067/B2091)</f>
        <v>0</v>
      </c>
      <c r="Q2067">
        <f>IFERROR(1/(IF(Inputs!$B$38="pvp",15,MAX(0.1,Skills!E17-IF(TRUE=TRUE,Inputs!$B$32,0)))*(1-IF(AND(IF(ArtifactsInput!$M$27,FALSE,TRUE),Inputs!$B$4="Chapter Hunt"),CHOOSE(ArtifactsInput!$N$27+1,20,24,28,32,36,40),0)/100)),0)</f>
        <v>4.7619047619047616E-2</v>
      </c>
      <c r="R2067">
        <f>IF(AND(Inputs!$B$38&lt;&gt;"pvp",Inputs!$B$43&gt;0),IF(Inputs!$B$43&lt;=0,0,(INT(Inputs!$B$43/(IF(Inputs!$B$38="pvp",15,MAX(0.1,Skills!E17-IF(TRUE=TRUE,Inputs!$B$32,0)))*(1-IF(AND(IF(ArtifactsInput!$M$27,FALSE,TRUE),Inputs!$B$4="Chapter Hunt"),CHOOSE(ArtifactsInput!$N$27+1,20,24,28,32,36,40),0)/100)))+1)),0)</f>
        <v>2</v>
      </c>
      <c r="S2067">
        <v>0</v>
      </c>
      <c r="U2067">
        <v>0</v>
      </c>
    </row>
    <row r="2068" spans="1:21" x14ac:dyDescent="0.2">
      <c r="A2068" t="str">
        <f>Skills!A18</f>
        <v>NIMBLE_FEET</v>
      </c>
      <c r="B2068" t="str">
        <f>Skills!B18</f>
        <v>Nimble Feet</v>
      </c>
      <c r="C2068" t="b">
        <f>TRUE</f>
        <v>1</v>
      </c>
      <c r="D2068">
        <f>IF(Skills!C18=1,60+Inputs!$B$25+Inputs!$B$29,IF(Skills!C18=2,90+Inputs!$B$26+Inputs!$B$29,IF(Skills!C18=3,120+Inputs!$B$27+Inputs!$B$29,MAX(0,(Inputs!$B$3-100)*3)+Inputs!$B$28+Inputs!$B$29)))</f>
        <v>127</v>
      </c>
      <c r="E2068">
        <f>INDEX(FactorTable!$B$2:$Y$301, MATCH(ROUND(MIN(300,MAX(1,D2068)),0), FactorTable!$A$2:$A$301,0), Skills!M18+1)</f>
        <v>0</v>
      </c>
      <c r="F2068">
        <f>IF(Skills!N18=TRUE,(Skills!L18/10)*(E2068/1000),Skills!L18/10)+Skills!O18</f>
        <v>15</v>
      </c>
      <c r="G2068">
        <f>Calc!G18</f>
        <v>1</v>
      </c>
      <c r="H2068">
        <f>Calc!H18</f>
        <v>1</v>
      </c>
      <c r="I2068">
        <f>IF(Skills!X18&lt;&gt;"",1+(Skills!X18/10)*(Z2053/1000)/100,1)</f>
        <v>1</v>
      </c>
      <c r="O2068">
        <f>(1-Summary!$B$11)*S2068+Summary!$B$11*U2068</f>
        <v>0</v>
      </c>
      <c r="P2068">
        <f>IF(B2091=0,0,O2068/B2091)</f>
        <v>0</v>
      </c>
      <c r="Q2068">
        <f>IFERROR(1/(IF(Inputs!$B$38="pvp",15,MAX(0.1,Skills!E18-IF(TRUE=TRUE,Inputs!$B$32,0)))*(1-IF(AND(IF(ArtifactsInput!$M$27,FALSE,TRUE),Inputs!$B$4="Chapter Hunt"),CHOOSE(ArtifactsInput!$N$27+1,20,24,28,32,36,40),0)/100)),0)</f>
        <v>1.6666666666666666E-2</v>
      </c>
      <c r="R2068">
        <f>IF(AND(Inputs!$B$38&lt;&gt;"pvp",Inputs!$B$43&gt;0),IF(Inputs!$B$43&lt;=0,0,(INT(Inputs!$B$43/(IF(Inputs!$B$38="pvp",15,MAX(0.1,Skills!E18-IF(TRUE=TRUE,Inputs!$B$32,0)))*(1-IF(AND(IF(ArtifactsInput!$M$27,FALSE,TRUE),Inputs!$B$4="Chapter Hunt"),CHOOSE(ArtifactsInput!$N$27+1,20,24,28,32,36,40),0)/100)))+1)),0)</f>
        <v>1</v>
      </c>
      <c r="S2068">
        <v>0</v>
      </c>
      <c r="U2068">
        <v>0</v>
      </c>
    </row>
    <row r="2069" spans="1:21" x14ac:dyDescent="0.2">
      <c r="A2069" t="str">
        <f>Skills!A19</f>
        <v>INFINITY</v>
      </c>
      <c r="B2069" t="str">
        <f>Skills!B19</f>
        <v>Infinity</v>
      </c>
      <c r="C2069" t="b">
        <f>Inputs!$B$3&gt;=110</f>
        <v>1</v>
      </c>
      <c r="D2069">
        <f>IF(Skills!C19=1,60+Inputs!$B$25+Inputs!$B$29,IF(Skills!C19=2,90+Inputs!$B$26+Inputs!$B$29,IF(Skills!C19=3,120+Inputs!$B$27+Inputs!$B$29,MAX(0,(Inputs!$B$3-100)*3)+Inputs!$B$28+Inputs!$B$29)))</f>
        <v>185</v>
      </c>
      <c r="E2069">
        <f>INDEX(FactorTable!$B$2:$Y$301, MATCH(ROUND(MIN(300,MAX(1,D2069)),0), FactorTable!$A$2:$A$301,0), Skills!M19+1)</f>
        <v>1740</v>
      </c>
      <c r="F2069">
        <f>IF(Skills!N19=TRUE,(Skills!L19/10)*(E2069/1000),Skills!L19/10)+Skills!O19</f>
        <v>37.700579999999995</v>
      </c>
      <c r="G2069">
        <f>Calc!G19</f>
        <v>1</v>
      </c>
      <c r="H2069">
        <f>Calc!H19</f>
        <v>1</v>
      </c>
      <c r="I2069">
        <f>IF(Skills!X19&lt;&gt;"",1+(Skills!X19/10)*(Z2053/1000)/100,1)</f>
        <v>1</v>
      </c>
      <c r="O2069">
        <f>(1-Summary!$B$11)*S2069+Summary!$B$11*U2069</f>
        <v>0</v>
      </c>
      <c r="P2069">
        <f>IF(B2091=0,0,O2069/B2091)</f>
        <v>0</v>
      </c>
      <c r="Q2069">
        <f>IFERROR(1/(IF(Inputs!$B$38="pvp",15,MAX(0.1,Skills!E19-IF(TRUE=TRUE,Inputs!$B$32,0)))*(1-IF(AND(IF(ArtifactsInput!$M$27,FALSE,TRUE),Inputs!$B$4="Chapter Hunt"),CHOOSE(ArtifactsInput!$N$27+1,20,24,28,32,36,40),0)/100)),0)</f>
        <v>3.3333333333333333E-2</v>
      </c>
      <c r="R2069">
        <f>IF(AND(Inputs!$B$38&lt;&gt;"pvp",Inputs!$B$43&gt;0),IF(Inputs!$B$43&lt;=0,0,(INT(Inputs!$B$43/(IF(Inputs!$B$38="pvp",15,MAX(0.1,Skills!E19-IF(TRUE=TRUE,Inputs!$B$32,0)))*(1-IF(AND(IF(ArtifactsInput!$M$27,FALSE,TRUE),Inputs!$B$4="Chapter Hunt"),CHOOSE(ArtifactsInput!$N$27+1,20,24,28,32,36,40),0)/100)))+1)),0)</f>
        <v>2</v>
      </c>
      <c r="S2069">
        <v>0</v>
      </c>
      <c r="U2069">
        <v>0</v>
      </c>
    </row>
    <row r="2070" spans="1:21" x14ac:dyDescent="0.2">
      <c r="A2070" t="str">
        <f>Skills!A20</f>
        <v>MAGIC_CRITICAL_RATE</v>
      </c>
      <c r="B2070" t="str">
        <f>Skills!B20</f>
        <v>Magic Critical (Crit Rate)</v>
      </c>
      <c r="C2070" t="b">
        <f>TRUE</f>
        <v>1</v>
      </c>
      <c r="D2070">
        <f>IF(Skills!C20=1,60+Inputs!$B$25+Inputs!$B$29,IF(Skills!C20=2,90+Inputs!$B$26+Inputs!$B$29,IF(Skills!C20=3,120+Inputs!$B$27+Inputs!$B$29,MAX(0,(Inputs!$B$3-100)*3)+Inputs!$B$28+Inputs!$B$29)))</f>
        <v>184</v>
      </c>
      <c r="E2070">
        <f>INDEX(FactorTable!$B$2:$Y$301, MATCH(ROUND(MIN(300,MAX(1,D2070)),0), FactorTable!$A$2:$A$301,0), Skills!M20+1)</f>
        <v>1552</v>
      </c>
      <c r="F2070">
        <f>IF(Skills!N20=TRUE,(Skills!L20/10)*(E2070/1000),Skills!L20/10)+Skills!O20</f>
        <v>12.416</v>
      </c>
      <c r="G2070">
        <f>Calc!G20</f>
        <v>1</v>
      </c>
      <c r="H2070">
        <f>Calc!H20</f>
        <v>1</v>
      </c>
      <c r="I2070">
        <f>IF(Skills!X20&lt;&gt;"",1+(Skills!X20/10)*(Z2053/1000)/100,1)</f>
        <v>1</v>
      </c>
      <c r="O2070">
        <f>(1-Summary!$B$11)*S2070+Summary!$B$11*U2070</f>
        <v>0</v>
      </c>
      <c r="P2070">
        <f>IF(B2091=0,0,O2070/B2091)</f>
        <v>0</v>
      </c>
      <c r="Q2070">
        <f>IFERROR(1/(IF(Inputs!$B$38="pvp",15,MAX(0.1,Skills!E20-IF(TRUE=TRUE,Inputs!$B$32,0)))*(1-IF(AND(IF(ArtifactsInput!$M$27,FALSE,TRUE),Inputs!$B$4="Chapter Hunt"),CHOOSE(ArtifactsInput!$N$27+1,20,24,28,32,36,40),0)/100)),0)</f>
        <v>10</v>
      </c>
      <c r="R2070">
        <v>0</v>
      </c>
      <c r="S2070">
        <v>0</v>
      </c>
      <c r="U2070">
        <v>0</v>
      </c>
    </row>
    <row r="2071" spans="1:21" x14ac:dyDescent="0.2">
      <c r="A2071" t="str">
        <f>Skills!A21</f>
        <v>MAGIC_CRITICAL_DAMAGE</v>
      </c>
      <c r="B2071" t="str">
        <f>Skills!B21</f>
        <v>Magic Critical (Crit Damage)</v>
      </c>
      <c r="C2071" t="b">
        <f>TRUE</f>
        <v>1</v>
      </c>
      <c r="D2071">
        <f>IF(Skills!C21=1,60+Inputs!$B$25+Inputs!$B$29,IF(Skills!C21=2,90+Inputs!$B$26+Inputs!$B$29,IF(Skills!C21=3,120+Inputs!$B$27+Inputs!$B$29,MAX(0,(Inputs!$B$3-100)*3)+Inputs!$B$28+Inputs!$B$29)))</f>
        <v>184</v>
      </c>
      <c r="E2071">
        <f>INDEX(FactorTable!$B$2:$Y$301, MATCH(ROUND(MIN(300,MAX(1,D2071)),0), FactorTable!$A$2:$A$301,0), Skills!M21+1)</f>
        <v>1552</v>
      </c>
      <c r="F2071">
        <f>IF(Skills!N21=TRUE,(Skills!L21/10)*(E2071/1000),Skills!L21/10)+Skills!O21</f>
        <v>18.624000000000002</v>
      </c>
      <c r="G2071">
        <f>Calc!G21</f>
        <v>1</v>
      </c>
      <c r="H2071">
        <f>Calc!H21</f>
        <v>1</v>
      </c>
      <c r="I2071">
        <f>IF(Skills!X21&lt;&gt;"",1+(Skills!X21/10)*(Z2053/1000)/100,1)</f>
        <v>1</v>
      </c>
      <c r="O2071">
        <f>(1-Summary!$B$11)*S2071+Summary!$B$11*U2071</f>
        <v>0</v>
      </c>
      <c r="P2071">
        <f>IF(B2091=0,0,O2071/B2091)</f>
        <v>0</v>
      </c>
      <c r="Q2071">
        <f>IFERROR(1/(IF(Inputs!$B$38="pvp",15,MAX(0.1,Skills!E21-IF(TRUE=TRUE,Inputs!$B$32,0)))*(1-IF(AND(IF(ArtifactsInput!$M$27,FALSE,TRUE),Inputs!$B$4="Chapter Hunt"),CHOOSE(ArtifactsInput!$N$27+1,20,24,28,32,36,40),0)/100)),0)</f>
        <v>10</v>
      </c>
      <c r="R2071">
        <v>0</v>
      </c>
      <c r="S2071">
        <v>0</v>
      </c>
      <c r="U2071">
        <v>0</v>
      </c>
    </row>
    <row r="2072" spans="1:21" x14ac:dyDescent="0.2">
      <c r="A2072" t="str">
        <f>Skills!A22</f>
        <v>SPELL_MASTERY</v>
      </c>
      <c r="B2072" t="str">
        <f>Skills!B22</f>
        <v>Spell Mastery</v>
      </c>
      <c r="C2072" t="b">
        <f>TRUE</f>
        <v>1</v>
      </c>
      <c r="D2072">
        <f>IF(Skills!C22=1,60+Inputs!$B$25+Inputs!$B$29,IF(Skills!C22=2,90+Inputs!$B$26+Inputs!$B$29,IF(Skills!C22=3,120+Inputs!$B$27+Inputs!$B$29,MAX(0,(Inputs!$B$3-100)*3)+Inputs!$B$28+Inputs!$B$29)))</f>
        <v>168</v>
      </c>
      <c r="E2072">
        <f>INDEX(FactorTable!$B$2:$Y$301, MATCH(ROUND(MIN(300,MAX(1,D2072)),0), FactorTable!$A$2:$A$301,0), Skills!M22+1)</f>
        <v>1504</v>
      </c>
      <c r="F2072">
        <f>IF(Skills!N22=TRUE,(Skills!L22/10)*(E2072/1000),Skills!L22/10)+Skills!O22</f>
        <v>22.56</v>
      </c>
      <c r="G2072">
        <f>Calc!G22</f>
        <v>1</v>
      </c>
      <c r="H2072">
        <f>Calc!H22</f>
        <v>1</v>
      </c>
      <c r="I2072">
        <f>IF(Skills!X22&lt;&gt;"",1+(Skills!X22/10)*(Z2053/1000)/100,1)</f>
        <v>1</v>
      </c>
      <c r="O2072">
        <f>(1-Summary!$B$11)*S2072+Summary!$B$11*U2072</f>
        <v>0</v>
      </c>
      <c r="P2072">
        <f>IF(B2091=0,0,O2072/B2091)</f>
        <v>0</v>
      </c>
      <c r="Q2072">
        <f>IFERROR(1/(IF(Inputs!$B$38="pvp",15,MAX(0.1,Skills!E22-IF(TRUE=TRUE,Inputs!$B$32,0)))*(1-IF(AND(IF(ArtifactsInput!$M$27,FALSE,TRUE),Inputs!$B$4="Chapter Hunt"),CHOOSE(ArtifactsInput!$N$27+1,20,24,28,32,36,40),0)/100)),0)</f>
        <v>10</v>
      </c>
      <c r="R2072">
        <v>0</v>
      </c>
      <c r="S2072">
        <v>0</v>
      </c>
      <c r="U2072">
        <v>0</v>
      </c>
    </row>
    <row r="2073" spans="1:21" x14ac:dyDescent="0.2">
      <c r="A2073" t="str">
        <f>Skills!A23</f>
        <v>ELEMENT_AMPLIFICATION</v>
      </c>
      <c r="B2073" t="str">
        <f>Skills!B23</f>
        <v>Element Amplification</v>
      </c>
      <c r="C2073" t="b">
        <f>TRUE</f>
        <v>1</v>
      </c>
      <c r="D2073">
        <f>IF(Skills!C23=1,60+Inputs!$B$25+Inputs!$B$29,IF(Skills!C23=2,90+Inputs!$B$26+Inputs!$B$29,IF(Skills!C23=3,120+Inputs!$B$27+Inputs!$B$29,MAX(0,(Inputs!$B$3-100)*3)+Inputs!$B$28+Inputs!$B$29)))</f>
        <v>185</v>
      </c>
      <c r="E2073">
        <f>INDEX(FactorTable!$B$2:$Y$301, MATCH(ROUND(MIN(300,MAX(1,D2073)),0), FactorTable!$A$2:$A$301,0), Skills!M23+1)</f>
        <v>1555</v>
      </c>
      <c r="F2073">
        <f>IF(Skills!N23=TRUE,(Skills!L23/10)*(E2073/1000),Skills!L23/10)+Skills!O23</f>
        <v>23.324999999999999</v>
      </c>
      <c r="G2073">
        <f>Calc!G23</f>
        <v>1</v>
      </c>
      <c r="H2073">
        <f>Calc!H23</f>
        <v>1</v>
      </c>
      <c r="I2073">
        <f>IF(Skills!X23&lt;&gt;"",1+(Skills!X23/10)*(Z2053/1000)/100,1)</f>
        <v>1</v>
      </c>
      <c r="O2073">
        <f>(1-Summary!$B$11)*S2073+Summary!$B$11*U2073</f>
        <v>0</v>
      </c>
      <c r="P2073">
        <f>IF(B2091=0,0,O2073/B2091)</f>
        <v>0</v>
      </c>
      <c r="Q2073">
        <f>IFERROR(1/(IF(Inputs!$B$38="pvp",15,MAX(0.1,Skills!E23-IF(TRUE=TRUE,Inputs!$B$32,0)))*(1-IF(AND(IF(ArtifactsInput!$M$27,FALSE,TRUE),Inputs!$B$4="Chapter Hunt"),CHOOSE(ArtifactsInput!$N$27+1,20,24,28,32,36,40),0)/100)),0)</f>
        <v>10</v>
      </c>
      <c r="R2073">
        <v>0</v>
      </c>
      <c r="S2073">
        <v>0</v>
      </c>
      <c r="U2073">
        <v>0</v>
      </c>
    </row>
    <row r="2074" spans="1:21" x14ac:dyDescent="0.2">
      <c r="A2074" t="str">
        <f>Skills!A24</f>
        <v>IFRIT</v>
      </c>
      <c r="B2074" t="str">
        <f>Skills!B24</f>
        <v>Ifrit</v>
      </c>
      <c r="C2074" t="b">
        <f>Inputs!$B$3&gt;=115</f>
        <v>1</v>
      </c>
      <c r="D2074">
        <f>IF(Skills!C24=1,60+Inputs!$B$25+Inputs!$B$29,IF(Skills!C24=2,90+Inputs!$B$26+Inputs!$B$29,IF(Skills!C24=3,120+Inputs!$B$27+Inputs!$B$29,MAX(0,(Inputs!$B$3-100)*3)+Inputs!$B$28+Inputs!$B$29)))</f>
        <v>185</v>
      </c>
      <c r="E2074">
        <f>INDEX(FactorTable!$B$2:$Y$301, MATCH(ROUND(MIN(300,MAX(1,D2074)),0), FactorTable!$A$2:$A$301,0), Skills!M24+1)</f>
        <v>1925</v>
      </c>
      <c r="F2074">
        <f>IF(Skills!N24=TRUE,(Skills!L24/10)*(E2074/1000),Skills!L24/10)+Skills!O24</f>
        <v>6737.5</v>
      </c>
      <c r="G2074">
        <f>Calc!G24</f>
        <v>7.5</v>
      </c>
      <c r="H2074">
        <f>Calc!H24</f>
        <v>1</v>
      </c>
      <c r="I2074">
        <f>IF(Skills!X24&lt;&gt;"",1+(Skills!X24/10)*(Z2053/1000)/100,1)</f>
        <v>1</v>
      </c>
      <c r="J2074">
        <f>((Inputs!$B$6*(1+Inputs!$B$7/100))+(((Inputs!$B$12*(1+Inputs!$B$13/100))-(Inputs!$B$12*(1+Inputs!$B$13/100)))+0.25*(Inputs!$B$14-Inputs!$B$14))*(1+Inputs!$B$7/100))*(F2074/100)</f>
        <v>24331438378.718628</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122258974288595.61</v>
      </c>
      <c r="L2074">
        <f>K2074*(MIN(Inputs!$B$22+(F2072-Calc!F22),(Inputs!$B$23+(IF(ArtifactsInput!$M$15,CHOOSE(ArtifactsInput!$N$15+1,25,30,35,40,45,50)/100*(Inputs!$B$11-Inputs!$B$11),0))))/100+(Inputs!$B$23+(IF(ArtifactsInput!$M$15,CHOOSE(ArtifactsInput!$N$15+1,25,30,35,40,45,50)/100*(Inputs!$B$11-Inputs!$B$11),0)))/100)/2</f>
        <v>406511089509580.44</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2074">
        <f>L2074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2074">
        <f>(1-Summary!$B$11)*S2074+Summary!$B$11*U2074</f>
        <v>2194085169658842.8</v>
      </c>
      <c r="P2074">
        <f>IF(B2091=0,0,O2074/B2091)</f>
        <v>6.6312914553869617E-2</v>
      </c>
      <c r="Q2074">
        <f>IFERROR(1/(IF(Inputs!$B$38="pvp",15,MAX(0.1,Skills!E24-IF(TRUE=TRUE,Inputs!$B$32,0)))*(1-IF(AND(IF(ArtifactsInput!$M$27,FALSE,TRUE),Inputs!$B$4="Chapter Hunt"),CHOOSE(ArtifactsInput!$N$27+1,20,24,28,32,36,40),0)/100)),0)</f>
        <v>1.2500000000000001E-2</v>
      </c>
      <c r="R2074">
        <f>IF(AND(Inputs!$B$38&lt;&gt;"pvp",Inputs!$B$43&gt;0),IF(MAX(0,Inputs!$B$43-B2088)&lt;=0,0,(INT(MAX(0,Inputs!$B$43-B2088)/(IF(Inputs!$B$38="pvp",15,MAX(0.1,Skills!E24-IF(TRUE=TRUE,Inputs!$B$32,0)))*(1-IF(AND(IF(ArtifactsInput!$M$27,FALSE,TRUE),Inputs!$B$4="Chapter Hunt"),CHOOSE(ArtifactsInput!$N$27+1,20,24,28,32,36,40),0)/100)))+1)),0)</f>
        <v>1</v>
      </c>
      <c r="S2074">
        <f>IF(C2074,(H2074*N2074*IF(AND(Inputs!$B$38&lt;&gt;"pvp",Inputs!$B$43&gt;0),((Skills!G24*((R2074-1)*IF(Skills!H24&gt;0,Skills!I24/Skills!H24,1)+IF(Skills!H24&gt;0,MIN(Skills!I24,MAX(0,MAX(0,Inputs!$B$43-B2088)-((R2074-1)*(IF(Inputs!$B$38="pvp",15,MAX(0.1,Skills!E24-IF(TRUE=TRUE,Inputs!$B$32,0)))*(1-IF(AND(IF(ArtifactsInput!$M$27,FALSE,TRUE),Inputs!$B$4="Chapter Hunt"),CHOOSE(ArtifactsInput!$N$27+1,20,24,28,32,36,40),0)/100)))))/Skills!H24,1)))/Inputs!$B$43),G2074*Q2074)*(1+IF(Inputs!$B$3&gt;=130,0.2*(Skills!I16/(1/Q2065)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2074">
        <f>IF(C2074,(H2074*N2074*IF(AND(Inputs!$B$38&lt;&gt;"pvp",Inputs!$B$43&gt;0),((Skills!G24*((R2074-1)*IF(Skills!H24&gt;0,Skills!I24/Skills!H24,1)+IF(Skills!H24&gt;0,MIN(Skills!I24,MAX(0,MAX(0,Inputs!$B$43-B2088)-((R2074-1)*(IF(Inputs!$B$38="pvp",15,MAX(0.1,Skills!E24-IF(TRUE=TRUE,Inputs!$B$32,0)))*(1-IF(AND(IF(ArtifactsInput!$M$27,FALSE,TRUE),Inputs!$B$4="Chapter Hunt"),CHOOSE(ArtifactsInput!$N$27+1,20,24,28,32,36,40),0)/100)))))/Skills!H24,1)))/Inputs!$B$43),G2074*Q2074)*(1+IF(Inputs!$B$3&gt;=130,0.2*(Skills!I16/(1/Q2065)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2075" spans="1:21" x14ac:dyDescent="0.2">
      <c r="A2075" t="str">
        <f>Skills!A25</f>
        <v>BUFF_MASTERY</v>
      </c>
      <c r="B2075" t="str">
        <f>Skills!B25</f>
        <v>Buff Mastery</v>
      </c>
      <c r="C2075" t="b">
        <f>Inputs!$B$3&gt;=117</f>
        <v>1</v>
      </c>
      <c r="D2075">
        <f>IF(Skills!C25=1,60+Inputs!$B$25+Inputs!$B$29,IF(Skills!C25=2,90+Inputs!$B$26+Inputs!$B$29,IF(Skills!C25=3,120+Inputs!$B$27+Inputs!$B$29,MAX(0,(Inputs!$B$3-100)*3)+Inputs!$B$28+Inputs!$B$29)))</f>
        <v>185</v>
      </c>
      <c r="E2075">
        <f>INDEX(FactorTable!$B$2:$Y$301, MATCH(ROUND(MIN(300,MAX(1,D2075)),0), FactorTable!$A$2:$A$301,0), Skills!M25+1)</f>
        <v>1555</v>
      </c>
      <c r="F2075">
        <f>IF(Skills!N25=TRUE,(Skills!L25/10)*(E2075/1000),Skills!L25/10)+Skills!O25</f>
        <v>15.549999999999999</v>
      </c>
      <c r="G2075">
        <f>Calc!G25</f>
        <v>1</v>
      </c>
      <c r="H2075">
        <f>Calc!H25</f>
        <v>1</v>
      </c>
      <c r="I2075">
        <f>IF(Skills!X25&lt;&gt;"",1+(Skills!X25/10)*(Z2053/1000)/100,1)</f>
        <v>1</v>
      </c>
      <c r="O2075">
        <f>(1-Summary!$B$11)*S2075+Summary!$B$11*U2075</f>
        <v>0</v>
      </c>
      <c r="P2075">
        <f>IF(B2091=0,0,O2075/B2091)</f>
        <v>0</v>
      </c>
      <c r="Q2075">
        <f>IFERROR(1/(IF(Inputs!$B$38="pvp",15,MAX(0.1,Skills!E25-IF(TRUE=TRUE,Inputs!$B$32,0)))*(1-IF(AND(IF(ArtifactsInput!$M$27,FALSE,TRUE),Inputs!$B$4="Chapter Hunt"),CHOOSE(ArtifactsInput!$N$27+1,20,24,28,32,36,40),0)/100)),0)</f>
        <v>10</v>
      </c>
      <c r="R2075">
        <v>0</v>
      </c>
      <c r="S2075">
        <v>0</v>
      </c>
      <c r="U2075">
        <v>0</v>
      </c>
    </row>
    <row r="2076" spans="1:21" x14ac:dyDescent="0.2">
      <c r="A2076" t="str">
        <f>Skills!A26</f>
        <v>ARCANE_AIM</v>
      </c>
      <c r="B2076" t="str">
        <f>Skills!B26</f>
        <v>Arcane Aim</v>
      </c>
      <c r="C2076" t="b">
        <f>Inputs!$B$3&gt;=120</f>
        <v>0</v>
      </c>
      <c r="D2076">
        <f>IF(Skills!C26=1,60+Inputs!$B$25+Inputs!$B$29,IF(Skills!C26=2,90+Inputs!$B$26+Inputs!$B$29,IF(Skills!C26=3,120+Inputs!$B$27+Inputs!$B$29,MAX(0,(Inputs!$B$3-100)*3)+Inputs!$B$28+Inputs!$B$29)))</f>
        <v>185</v>
      </c>
      <c r="E2076">
        <f>INDEX(FactorTable!$B$2:$Y$301, MATCH(ROUND(MIN(300,MAX(1,D2076)),0), FactorTable!$A$2:$A$301,0), Skills!M26+1)</f>
        <v>1555</v>
      </c>
      <c r="F2076">
        <f>IF(Skills!N26=TRUE,(Skills!L26/10)*(E2076/1000),Skills!L26/10)+Skills!O26</f>
        <v>4.665</v>
      </c>
      <c r="G2076">
        <f>Calc!G26</f>
        <v>1</v>
      </c>
      <c r="H2076">
        <f>Calc!H26</f>
        <v>1</v>
      </c>
      <c r="I2076">
        <f>IF(Skills!X26&lt;&gt;"",1+(Skills!X26/10)*(Z2053/1000)/100,1)</f>
        <v>1</v>
      </c>
      <c r="O2076">
        <f>(1-Summary!$B$11)*S2076+Summary!$B$11*U2076</f>
        <v>0</v>
      </c>
      <c r="P2076">
        <f>IF(B2091=0,0,O2076/B2091)</f>
        <v>0</v>
      </c>
      <c r="Q2076">
        <f>IFERROR(1/(IF(Inputs!$B$38="pvp",15,MAX(0.1,Skills!E26-IF(TRUE=TRUE,Inputs!$B$32,0)))*(1-IF(AND(IF(ArtifactsInput!$M$27,FALSE,TRUE),Inputs!$B$4="Chapter Hunt"),CHOOSE(ArtifactsInput!$N$27+1,20,24,28,32,36,40),0)/100)),0)</f>
        <v>10</v>
      </c>
      <c r="R2076">
        <v>0</v>
      </c>
      <c r="S2076">
        <v>0</v>
      </c>
      <c r="U2076">
        <v>0</v>
      </c>
    </row>
    <row r="2077" spans="1:21" x14ac:dyDescent="0.2">
      <c r="A2077" t="str">
        <f>Skills!A27</f>
        <v>FERVENT_DRAIN</v>
      </c>
      <c r="B2077" t="str">
        <f>Skills!B27</f>
        <v>Fervent Drain</v>
      </c>
      <c r="C2077" t="b">
        <f>Inputs!$B$3&gt;=125</f>
        <v>0</v>
      </c>
      <c r="D2077">
        <f>IF(Skills!C27=1,60+Inputs!$B$25+Inputs!$B$29,IF(Skills!C27=2,90+Inputs!$B$26+Inputs!$B$29,IF(Skills!C27=3,120+Inputs!$B$27+Inputs!$B$29,MAX(0,(Inputs!$B$3-100)*3)+Inputs!$B$28+Inputs!$B$29)))</f>
        <v>185</v>
      </c>
      <c r="E2077">
        <f>INDEX(FactorTable!$B$2:$Y$301, MATCH(ROUND(MIN(300,MAX(1,D2077)),0), FactorTable!$A$2:$A$301,0), Skills!M27+1)</f>
        <v>1555</v>
      </c>
      <c r="F2077">
        <f>IF(Skills!N27=TRUE,(Skills!L27/10)*(E2077/1000),Skills!L27/10)+Skills!O27</f>
        <v>6.22</v>
      </c>
      <c r="G2077">
        <f>Calc!G27</f>
        <v>1</v>
      </c>
      <c r="H2077">
        <f>Calc!H27</f>
        <v>1</v>
      </c>
      <c r="I2077">
        <f>IF(Skills!X27&lt;&gt;"",1+(Skills!X27/10)*(Z2053/1000)/100,1)</f>
        <v>1</v>
      </c>
      <c r="O2077">
        <f>(1-Summary!$B$11)*S2077+Summary!$B$11*U2077</f>
        <v>0</v>
      </c>
      <c r="P2077">
        <f>IF(B2091=0,0,O2077/B2091)</f>
        <v>0</v>
      </c>
      <c r="Q2077">
        <f>IFERROR(1/(IF(Inputs!$B$38="pvp",15,MAX(0.1,Skills!E27-IF(TRUE=TRUE,Inputs!$B$32,0)))*(1-IF(AND(IF(ArtifactsInput!$M$27,FALSE,TRUE),Inputs!$B$4="Chapter Hunt"),CHOOSE(ArtifactsInput!$N$27+1,20,24,28,32,36,40),0)/100)),0)</f>
        <v>10</v>
      </c>
      <c r="R2077">
        <v>0</v>
      </c>
      <c r="S2077">
        <v>0</v>
      </c>
      <c r="U2077">
        <v>0</v>
      </c>
    </row>
    <row r="2078" spans="1:21" x14ac:dyDescent="0.2">
      <c r="A2078" t="str">
        <f>Skills!A28</f>
        <v>FLAME_HAZE_FOG</v>
      </c>
      <c r="B2078" t="str">
        <f>Skills!B28</f>
        <v>Flame Haze (poison fog DoT)</v>
      </c>
      <c r="C2078" t="b">
        <f>Inputs!$B$3&gt;=118</f>
        <v>0</v>
      </c>
      <c r="D2078">
        <f>IF(Skills!C28=1,60+Inputs!$B$25+Inputs!$B$29,IF(Skills!C28=2,90+Inputs!$B$26+Inputs!$B$29,IF(Skills!C28=3,120+Inputs!$B$27+Inputs!$B$29,MAX(0,(Inputs!$B$3-100)*3)+Inputs!$B$28+Inputs!$B$29)))</f>
        <v>185</v>
      </c>
      <c r="E2078">
        <f>INDEX(FactorTable!$B$2:$Y$301, MATCH(ROUND(MIN(300,MAX(1,D2078)),0), FactorTable!$A$2:$A$301,0), Skills!M28+1)</f>
        <v>1925</v>
      </c>
      <c r="F2078">
        <f>IF(Skills!N28=TRUE,(Skills!L28/10)*(E2078/1000),Skills!L28/10)+Skills!O28</f>
        <v>134.75</v>
      </c>
      <c r="G2078">
        <f>Calc!G28</f>
        <v>50</v>
      </c>
      <c r="H2078">
        <f>Calc!H28</f>
        <v>1</v>
      </c>
      <c r="I2078">
        <f>IF(Skills!X28&lt;&gt;"",1+(Skills!X28/10)*(Z2053/1000)/100,1)</f>
        <v>1</v>
      </c>
      <c r="J2078">
        <f>((Inputs!$B$6*(1+Inputs!$B$7/100))+(((Inputs!$B$12*(1+Inputs!$B$13/100))-(Inputs!$B$12*(1+Inputs!$B$13/100)))+0.25*(Inputs!$B$14-Inputs!$B$14))*(1+Inputs!$B$7/100))*(F2078/100)</f>
        <v>486628767.57437253</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2445179485771.9116</v>
      </c>
      <c r="L2078">
        <f>K2078*(MIN(Inputs!$B$22+(F2072-Calc!F22),(Inputs!$B$23+(IF(ArtifactsInput!$M$15,CHOOSE(ArtifactsInput!$N$15+1,25,30,35,40,45,50)/100*(Inputs!$B$11-Inputs!$B$11),0))))/100+(Inputs!$B$23+(IF(ArtifactsInput!$M$15,CHOOSE(ArtifactsInput!$N$15+1,25,30,35,40,45,50)/100*(Inputs!$B$11-Inputs!$B$11),0)))/100)/2</f>
        <v>8130221790191.6064</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2078">
        <f>L2078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2078">
        <f>(1-Summary!$B$11)*S2078+Summary!$B$11*U2078</f>
        <v>0</v>
      </c>
      <c r="P2078">
        <f>IF(B2091=0,0,O2078/B2091)</f>
        <v>0</v>
      </c>
      <c r="Q2078">
        <f>IFERROR(1/(IF(Inputs!$B$38="pvp",15,MAX(0.1,Skills!E28-IF(TRUE=TRUE,Inputs!$B$32,0)))*(1-IF(AND(IF(ArtifactsInput!$M$27,FALSE,TRUE),Inputs!$B$4="Chapter Hunt"),CHOOSE(ArtifactsInput!$N$27+1,20,24,28,32,36,40),0)/100)),0)</f>
        <v>0.04</v>
      </c>
      <c r="R2078">
        <f>IF(AND(Inputs!$B$38&lt;&gt;"pvp",Inputs!$B$43&gt;0),IF(MAX(0,Inputs!$B$43-B2088)&lt;=0,0,(INT(MAX(0,Inputs!$B$43-B2088)/(IF(Inputs!$B$38="pvp",15,MAX(0.1,Skills!E28-IF(TRUE=TRUE,Inputs!$B$32,0)))*(1-IF(AND(IF(ArtifactsInput!$M$27,FALSE,TRUE),Inputs!$B$4="Chapter Hunt"),CHOOSE(ArtifactsInput!$N$27+1,20,24,28,32,36,40),0)/100)))+1)),0)</f>
        <v>2</v>
      </c>
      <c r="S2078">
        <f>IF(C2078,(H2078*N2078*IF(AND(Inputs!$B$38&lt;&gt;"pvp",Inputs!$B$43&gt;0),((Skills!G28*((R2078-1)*IF(Skills!H28&gt;0,Skills!I28/Skills!H28,1)+IF(Skills!H28&gt;0,MIN(Skills!I28,MAX(0,MAX(0,Inputs!$B$43-B2088)-((R2078-1)*(IF(Inputs!$B$38="pvp",15,MAX(0.1,Skills!E28-IF(TRUE=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078">
        <f>IF(C2078,(H2078*N2078*IF(AND(Inputs!$B$38&lt;&gt;"pvp",Inputs!$B$43&gt;0),((Skills!G28*((R2078-1)*IF(Skills!H28&gt;0,Skills!I28/Skills!H28,1)+IF(Skills!H28&gt;0,MIN(Skills!I28,MAX(0,MAX(0,Inputs!$B$43-B2088)-((R2078-1)*(IF(Inputs!$B$38="pvp",15,MAX(0.1,Skills!E28-IF(TRUE=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080" spans="1:21" x14ac:dyDescent="0.2">
      <c r="A2080" t="s">
        <v>356</v>
      </c>
      <c r="B2080">
        <f>1+(F2061*Skills!Z11)/100</f>
        <v>1.25</v>
      </c>
    </row>
    <row r="2081" spans="1:26" x14ac:dyDescent="0.2">
      <c r="A2081" t="s">
        <v>435</v>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1.18624</v>
      </c>
    </row>
    <row r="2082" spans="1:26" x14ac:dyDescent="0.2">
      <c r="A2082" t="s">
        <v>358</v>
      </c>
      <c r="B2082">
        <f>(1+(F2056*IF(AND(Inputs!$B$38&lt;&gt;"pvp",Inputs!$B$43&gt;0),(((R2056-1)*MIN((Skills!T6*(1+((Inputs!$B$34+(ArtifactsInput!$M$7-ArtifactsInput!$M$7)*CHOOSE(ArtifactsInput!$N$7+1,6,7.2,8.4,9.6,10.8,12)))/100)),(1/Q2056))+MIN((Skills!T6*(1+((Inputs!$B$34+(ArtifactsInput!$M$7-ArtifactsInput!$M$7)*CHOOSE(ArtifactsInput!$N$7+1,6,7.2,8.4,9.6,10.8,12)))/100)),MAX(0,Inputs!$B$43-((R2056-1)*(1/Q2056)))))/Inputs!$B$43),IF(Inputs!$B$38="pvp",MIN((Skills!T6*(1+((Inputs!$B$34+(ArtifactsInput!$M$7-ArtifactsInput!$M$7)*CHOOSE(ArtifactsInput!$N$7+1,6,7.2,8.4,9.6,10.8,12)))/100)),15)/15,MIN(1,(Skills!T6*(1+((Inputs!$B$34+(ArtifactsInput!$M$7-ArtifactsInput!$M$7)*CHOOSE(ArtifactsInput!$N$7+1,6,7.2,8.4,9.6,10.8,12)))/100))/(1/Q2056))))+F2067*IF(AND(Inputs!$B$38&lt;&gt;"pvp",Inputs!$B$43&gt;0),(((R2067-1)*MIN((Skills!T17*(1+((Inputs!$B$34+(ArtifactsInput!$M$7-ArtifactsInput!$M$7)*CHOOSE(ArtifactsInput!$N$7+1,6,7.2,8.4,9.6,10.8,12)))/100)),(1/Q2067))+MIN((Skills!T17*(1+((Inputs!$B$34+(ArtifactsInput!$M$7-ArtifactsInput!$M$7)*CHOOSE(ArtifactsInput!$N$7+1,6,7.2,8.4,9.6,10.8,12)))/100)),MAX(0,Inputs!$B$43-((R2067-1)*(1/Q2067)))))/Inputs!$B$43),IF(Inputs!$B$38="pvp",MIN((Skills!T17*(1+((Inputs!$B$34+(ArtifactsInput!$M$7-ArtifactsInput!$M$7)*CHOOSE(ArtifactsInput!$N$7+1,6,7.2,8.4,9.6,10.8,12)))/100)),15)/15,MIN(1,(Skills!T17*(1+((Inputs!$B$34+(ArtifactsInput!$M$7-ArtifactsInput!$M$7)*CHOOSE(ArtifactsInput!$N$7+1,6,7.2,8.4,9.6,10.8,12)))/100))/(1/Q2067)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MIN((Skills!T19*(1+((Inputs!$B$34+(ArtifactsInput!$M$7-ArtifactsInput!$M$7)*CHOOSE(ArtifactsInput!$N$7+1,6,7.2,8.4,9.6,10.8,12)))/100)),(1/Q2069))+MIN((Skills!T19*(1+((Inputs!$B$34+(ArtifactsInput!$M$7-ArtifactsInput!$M$7)*CHOOSE(ArtifactsInput!$N$7+1,6,7.2,8.4,9.6,10.8,12)))/100)),MAX(0,Inputs!$B$43-((R2069-1)*(1/Q2069)))))/Inputs!$B$43),IF(Inputs!$B$38="pvp",MIN((Skills!T19*(1+((Inputs!$B$34+(ArtifactsInput!$M$7-ArtifactsInput!$M$7)*CHOOSE(ArtifactsInput!$N$7+1,6,7.2,8.4,9.6,10.8,12)))/100)),15)/15,MIN(1,(Skills!T19*(1+((Inputs!$B$34+(ArtifactsInput!$M$7-ArtifactsInput!$M$7)*CHOOSE(ArtifactsInput!$N$7+1,6,7.2,8.4,9.6,10.8,12)))/100))/(1/Q2069))))/100),1)</f>
        <v>1.7965808377980694</v>
      </c>
    </row>
    <row r="2083" spans="1:26" x14ac:dyDescent="0.2">
      <c r="A2083" t="s">
        <v>359</v>
      </c>
      <c r="B2083">
        <f>F2068*IF(AND(Inputs!$B$38&lt;&gt;"pvp",Inputs!$B$43&gt;0),(((R2068-1)*MIN((Skills!T18*(1+((Inputs!$B$34+(ArtifactsInput!$M$7-ArtifactsInput!$M$7)*CHOOSE(ArtifactsInput!$N$7+1,6,7.2,8.4,9.6,10.8,12)))/100)),(1/Q2068))+MIN((Skills!T18*(1+((Inputs!$B$34+(ArtifactsInput!$M$7-ArtifactsInput!$M$7)*CHOOSE(ArtifactsInput!$N$7+1,6,7.2,8.4,9.6,10.8,12)))/100)),MAX(0,Inputs!$B$43-((R2068-1)*(1/Q2068)))))/Inputs!$B$43),IF(Inputs!$B$38="pvp",MIN((Skills!T18*(1+((Inputs!$B$34+(ArtifactsInput!$M$7-ArtifactsInput!$M$7)*CHOOSE(ArtifactsInput!$N$7+1,6,7.2,8.4,9.6,10.8,12)))/100)),15)/15,MIN(1,(Skills!T18*(1+((Inputs!$B$34+(ArtifactsInput!$M$7-ArtifactsInput!$M$7)*CHOOSE(ArtifactsInput!$N$7+1,6,7.2,8.4,9.6,10.8,12)))/100))/(1/Q2068))))</f>
        <v>6.4968749999999993</v>
      </c>
    </row>
    <row r="2084" spans="1:26" x14ac:dyDescent="0.2">
      <c r="A2084" t="s">
        <v>436</v>
      </c>
      <c r="B2084">
        <f>1+MIN(150,150*(1-(1-(Inputs!$B$11+(ArtifactsInput!$M$15-ArtifactsInput!$M$15)*CHOOSE(ArtifactsInput!$N$15+1,8,9.6,11.2,12.8,14.4,16))/150)*(1-B2083/150)))/100</f>
        <v>1.6982958749999999</v>
      </c>
    </row>
    <row r="2085" spans="1:26" x14ac:dyDescent="0.2">
      <c r="A2085" t="s">
        <v>437</v>
      </c>
      <c r="B2085">
        <f>IF(AND(Inputs!$B$38&lt;&gt;"pvp",Inputs!$B$43&gt;0),SUMPRODUCT((Skills!F2:F28=TRUE)*(C2052:C2078=TRUE)*R2052:R2078)/Inputs!$B$43,SUMPRODUCT((Skills!F2:F28=TRUE)*(C2052:C2078=TRUE)*Q2052:Q2078))</f>
        <v>0.47499999999999998</v>
      </c>
    </row>
    <row r="2086" spans="1:26" x14ac:dyDescent="0.2">
      <c r="A2086" t="s">
        <v>362</v>
      </c>
      <c r="B2086">
        <f>MAX(0,B2084-B2085)</f>
        <v>1.2232958749999998</v>
      </c>
    </row>
    <row r="2087" spans="1:26" x14ac:dyDescent="0.2">
      <c r="A2087" t="s">
        <v>438</v>
      </c>
      <c r="B2087">
        <f>IF(AND(Inputs!$B$38&lt;&gt;"pvp",Inputs!$B$43&gt;0),SUMPRODUCT((Skills!V2:V28=TRUE)*(C2052:C2078=TRUE)*R2052:R2078*Skills!W2:W28)/Inputs!$B$43,SUMPRODUCT((Skills!V2:V28=TRUE)*(C2052:C2078=TRUE)*Q2052:Q2078*Skills!W2:W28))+B2086</f>
        <v>1.5482958749999998</v>
      </c>
    </row>
    <row r="2088" spans="1:26" x14ac:dyDescent="0.2">
      <c r="A2088" t="s">
        <v>439</v>
      </c>
      <c r="B2088">
        <f>IF(AND(Inputs!$B$38&lt;&gt;"pvp",Inputs!$B$43&gt;0),SUMPRODUCT((Skills!T2:T28&gt;0)*(Skills!F2:F28=TRUE)*(C2052:C2078=TRUE))/B2084,0)</f>
        <v>2.3553021937358238</v>
      </c>
    </row>
    <row r="2089" spans="1:26" x14ac:dyDescent="0.2">
      <c r="A2089" t="s">
        <v>440</v>
      </c>
      <c r="B2089">
        <f>SUM(S2052:S2078)</f>
        <v>9517263078933292</v>
      </c>
    </row>
    <row r="2090" spans="1:26" x14ac:dyDescent="0.2">
      <c r="A2090" t="s">
        <v>441</v>
      </c>
      <c r="B2090">
        <f>SUM(U2052:U2078)</f>
        <v>5.6656428257660488E+16</v>
      </c>
    </row>
    <row r="2091" spans="1:26" x14ac:dyDescent="0.2">
      <c r="A2091" s="6" t="s">
        <v>348</v>
      </c>
      <c r="B2091" s="6">
        <f>SUM(O2052:O2078)</f>
        <v>3.3086845668296892E+16</v>
      </c>
    </row>
    <row r="2094" spans="1:26" x14ac:dyDescent="0.2">
      <c r="A2094" s="6" t="s">
        <v>487</v>
      </c>
    </row>
    <row r="2095" spans="1:26" x14ac:dyDescent="0.2">
      <c r="A2095" s="5" t="s">
        <v>136</v>
      </c>
      <c r="B2095" s="5" t="s">
        <v>137</v>
      </c>
      <c r="C2095" s="5" t="s">
        <v>328</v>
      </c>
      <c r="D2095" s="5" t="s">
        <v>329</v>
      </c>
      <c r="E2095" s="5" t="s">
        <v>330</v>
      </c>
      <c r="F2095" s="5" t="s">
        <v>331</v>
      </c>
      <c r="G2095" s="5" t="s">
        <v>332</v>
      </c>
      <c r="H2095" s="5" t="s">
        <v>333</v>
      </c>
      <c r="I2095" s="5" t="s">
        <v>334</v>
      </c>
      <c r="J2095" s="5" t="s">
        <v>335</v>
      </c>
      <c r="K2095" s="5" t="s">
        <v>336</v>
      </c>
      <c r="L2095" s="5" t="s">
        <v>337</v>
      </c>
      <c r="M2095" s="5" t="s">
        <v>338</v>
      </c>
      <c r="N2095" s="5" t="s">
        <v>339</v>
      </c>
      <c r="O2095" s="5" t="s">
        <v>340</v>
      </c>
      <c r="P2095" s="5" t="s">
        <v>341</v>
      </c>
      <c r="R2095" t="s">
        <v>434</v>
      </c>
    </row>
    <row r="2096" spans="1:26" x14ac:dyDescent="0.2">
      <c r="A2096" t="str">
        <f>Skills!A2</f>
        <v>BASIC_ATTACK</v>
      </c>
      <c r="B2096" t="str">
        <f>Skills!B2</f>
        <v>Basic Attack</v>
      </c>
      <c r="C2096" t="b">
        <f>TRUE</f>
        <v>1</v>
      </c>
      <c r="F2096">
        <f>T2098+Skills!O2</f>
        <v>537.6</v>
      </c>
      <c r="G2096">
        <f>Calc!G2</f>
        <v>5</v>
      </c>
      <c r="H2096">
        <f>Calc!H2</f>
        <v>1</v>
      </c>
      <c r="I2096">
        <f>IF(Skills!X2&lt;&gt;"",1+(Skills!X2/10)*(Z2097/1000)/100,1)</f>
        <v>1</v>
      </c>
      <c r="J2096">
        <f>((Inputs!$B$6*(1+Inputs!$B$7/100))+(((Inputs!$B$12*(1+Inputs!$B$13/100))-(Inputs!$B$12*(1+Inputs!$B$13/100)))+0.25*(Inputs!$B$14-Inputs!$B$14))*(1+Inputs!$B$7/100))*(F2096/100)</f>
        <v>1941459186.9980164</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6620290711466.1074</v>
      </c>
      <c r="L2096">
        <f>K2096*(MIN(Inputs!$B$22+(F2116-Calc!F22),(Inputs!$B$23+(IF(ArtifactsInput!$M$15,CHOOSE(ArtifactsInput!$N$15+1,25,30,35,40,45,50)/100*(Inputs!$B$11-Inputs!$B$11),0))))/100+(Inputs!$B$23+(IF(ArtifactsInput!$M$15,CHOOSE(ArtifactsInput!$N$15+1,25,30,35,40,45,50)/100*(Inputs!$B$11-Inputs!$B$11),0)))/100)/2</f>
        <v>22012466615624.809</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2096">
        <f>L2096*(1-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2096">
        <f>(1-Summary!$B$11)*S2096+Summary!$B$11*U2096</f>
        <v>1.251342481087288E+16</v>
      </c>
      <c r="P2096">
        <f>IF(B2135=0,0,O2096/B2135)</f>
        <v>0.378199388854495</v>
      </c>
      <c r="Q2096">
        <f>IFERROR(1/(IF(Inputs!$B$38="pvp",15,MAX(0.1,Skills!E2-IF(TRUE=TRUE,Inputs!$B$32,0)))*(1-IF(AND(ArtifactsInput!$M$27,Inputs!$B$4="Chapter Hunt"),CHOOSE(ArtifactsInput!$N$27+1,20,24,28,32,36,40),0)/100)),0)</f>
        <v>10</v>
      </c>
      <c r="R2096">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2096">
        <f>MAX(0,(Inputs!$B$3-100)*3)+Inputs!$B$28+Inputs!$B$29</f>
        <v>185</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2096">
        <f>MAX(0,(Inputs!$B$3-100)*3)+Inputs!$B$28+Inputs!$B$29</f>
        <v>185</v>
      </c>
    </row>
    <row r="2097" spans="1:26" x14ac:dyDescent="0.2">
      <c r="A2097" t="str">
        <f>Skills!A3</f>
        <v>IGNITE</v>
      </c>
      <c r="B2097" t="str">
        <f>Skills!B3</f>
        <v>Ignite</v>
      </c>
      <c r="C2097" t="b">
        <f>TRUE</f>
        <v>1</v>
      </c>
      <c r="D2097">
        <f>IF(Skills!C3=1,60+Inputs!$B$25+Inputs!$B$29,IF(Skills!C3=2,90+Inputs!$B$26+Inputs!$B$29,IF(Skills!C3=3,120+Inputs!$B$27+Inputs!$B$29,MAX(0,(Inputs!$B$3-100)*3)+Inputs!$B$28+Inputs!$B$29)))</f>
        <v>168</v>
      </c>
      <c r="E2097">
        <f>INDEX(FactorTable!$B$2:$Y$301, MATCH(ROUND(MIN(300,MAX(1,D2097)),0), FactorTable!$A$2:$A$301,0), Skills!M3+1)</f>
        <v>1672</v>
      </c>
      <c r="F2097">
        <f>IF(Skills!N3=TRUE,(Skills!L3/10)*(E2097/1000),Skills!L3/10)+Skills!O3</f>
        <v>121.736</v>
      </c>
      <c r="G2097">
        <f>Calc!G3</f>
        <v>3</v>
      </c>
      <c r="H2097">
        <f>Calc!H3</f>
        <v>1</v>
      </c>
      <c r="I2097">
        <f>IF(Skills!X3&lt;&gt;"",1+(Skills!X3/10)*(Z2097/1000)/100,1)</f>
        <v>4.8250000000000002</v>
      </c>
      <c r="J2097">
        <f>((Inputs!$B$6*(1+Inputs!$B$7/100))+(((Inputs!$B$12*(1+Inputs!$B$13/100))-(Inputs!$B$12*(1+Inputs!$B$13/100)))+0.25*(Inputs!$B$14-Inputs!$B$14))*(1+Inputs!$B$7/100))*(F2097/100)</f>
        <v>439630720.9605478</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10658554617221.965</v>
      </c>
      <c r="L2097">
        <f>K2097*(MIN(Inputs!$B$22+(F2116-Calc!F22),(Inputs!$B$23+(IF(ArtifactsInput!$M$15,CHOOSE(ArtifactsInput!$N$15+1,25,30,35,40,45,50)/100*(Inputs!$B$11-Inputs!$B$11),0))))/100+(Inputs!$B$23+(IF(ArtifactsInput!$M$15,CHOOSE(ArtifactsInput!$N$15+1,25,30,35,40,45,50)/100*(Inputs!$B$11-Inputs!$B$11),0)))/100)/2</f>
        <v>35439694102263.031</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2097">
        <f>L2097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2097">
        <f>(1-Summary!$B$11)*S2097+Summary!$B$11*U2097</f>
        <v>2907465947806250</v>
      </c>
      <c r="P2097">
        <f>IF(B2135=0,0,O2097/B2135)</f>
        <v>8.7873772463965091E-2</v>
      </c>
      <c r="Q2097">
        <f>IFERROR(1/(IF(Inputs!$B$38="pvp",15,MAX(0.1,Skills!E3-IF(FALSE=TRUE,Inputs!$B$32,0)))*(1-IF(AND(ArtifactsInput!$M$27,Inputs!$B$4="Chapter Hunt"),CHOOSE(ArtifactsInput!$N$27+1,20,24,28,32,36,40),0)/100)),0)</f>
        <v>1</v>
      </c>
      <c r="R2097">
        <f>IF(AND(Inputs!$B$38&lt;&gt;"pvp",Inputs!$B$43&gt;0),IF(MAX(0,Inputs!$B$43-B2132)&lt;=0,0,(INT(MAX(0,Inputs!$B$43-B2132)/(IF(Inputs!$B$38="pvp",15,MAX(0.1,Skills!E3-IF(FALSE=TRUE,Inputs!$B$32,0)))*(1-IF(AND(ArtifactsInput!$M$27,Inputs!$B$4="Chapter Hunt"),CHOOSE(ArtifactsInput!$N$27+1,20,24,28,32,36,40),0)/100)))+1)),0)</f>
        <v>38</v>
      </c>
      <c r="S2097">
        <f>IF(C2097,(H2097*N2097*IF(AND(Inputs!$B$38&lt;&gt;"pvp",Inputs!$B$43&gt;0),((Skills!G3*((R2097-1)*IF(Skills!H3&gt;0,Skills!I3/Skills!H3,1)+IF(Skills!H3&gt;0,MIN(Skills!I3,MAX(0,MAX(0,Inputs!$B$43-B2132)-((R2097-1)*(IF(Inputs!$B$38="pvp",15,MAX(0.1,Skills!E3-IF(FALSE=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2097">
        <f>INDEX(FactorTable!$B$2:$Y$301, MATCH(ROUND(MIN(300,MAX(1,T2096)),0), FactorTable!$A$2:$A$301,0), 22)</f>
        <v>1740</v>
      </c>
      <c r="U2097">
        <f>IF(C2097,(H2097*N2097*IF(AND(Inputs!$B$38&lt;&gt;"pvp",Inputs!$B$43&gt;0),((Skills!G3*((R2097-1)*IF(Skills!H3&gt;0,Skills!I3/Skills!H3,1)+IF(Skills!H3&gt;0,MIN(Skills!I3,MAX(0,MAX(0,Inputs!$B$43-B2132)-((R2097-1)*(IF(Inputs!$B$38="pvp",15,MAX(0.1,Skills!E3-IF(FALSE=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2097">
        <f>INDEX(FactorTable!$B$2:$Y$301, MATCH(ROUND(MIN(300,MAX(1,Z2096)),0), FactorTable!$A$2:$A$301,0), 24)</f>
        <v>7650</v>
      </c>
    </row>
    <row r="2098" spans="1:26" x14ac:dyDescent="0.2">
      <c r="A2098" t="str">
        <f>Skills!A4</f>
        <v>POISON_BREATH</v>
      </c>
      <c r="B2098" t="str">
        <f>Skills!B4</f>
        <v>Poison Breath</v>
      </c>
      <c r="C2098" t="b">
        <f>TRUE</f>
        <v>1</v>
      </c>
      <c r="D2098">
        <f>IF(Skills!C4=1,60+Inputs!$B$25+Inputs!$B$29,IF(Skills!C4=2,90+Inputs!$B$26+Inputs!$B$29,IF(Skills!C4=3,120+Inputs!$B$27+Inputs!$B$29,MAX(0,(Inputs!$B$3-100)*3)+Inputs!$B$28+Inputs!$B$29)))</f>
        <v>168</v>
      </c>
      <c r="E2098">
        <f>INDEX(FactorTable!$B$2:$Y$301, MATCH(ROUND(MIN(300,MAX(1,D2098)),0), FactorTable!$A$2:$A$301,0), Skills!M4+1)</f>
        <v>1840</v>
      </c>
      <c r="F2098">
        <f>IF(Skills!N4=TRUE,(Skills!L4/10)*(E2098/1000),Skills!L4/10)+Skills!O4</f>
        <v>438</v>
      </c>
      <c r="G2098">
        <f>Calc!G4</f>
        <v>3</v>
      </c>
      <c r="H2098">
        <f>Calc!H4</f>
        <v>1</v>
      </c>
      <c r="I2098">
        <f>IF(Skills!X4&lt;&gt;"",1+(Skills!X4/10)*(Z2097/1000)/100,1)</f>
        <v>7.12</v>
      </c>
      <c r="J2098">
        <f>((Inputs!$B$6*(1+Inputs!$B$7/100))+(((Inputs!$B$12*(1+Inputs!$B$13/100))-(Inputs!$B$12*(1+Inputs!$B$13/100)))+0.25*(Inputs!$B$14-Inputs!$B$14))*(1+Inputs!$B$7/100))*(F2098/100)</f>
        <v>1581769203.69258</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56589528290529.523</v>
      </c>
      <c r="L2098">
        <f>K2098*(MIN(Inputs!$B$22+(F2116-Calc!F22),(Inputs!$B$23+(IF(ArtifactsInput!$M$15,CHOOSE(ArtifactsInput!$N$15+1,25,30,35,40,45,50)/100*(Inputs!$B$11-Inputs!$B$11),0))))/100+(Inputs!$B$23+(IF(ArtifactsInput!$M$15,CHOOSE(ArtifactsInput!$N$15+1,25,30,35,40,45,50)/100*(Inputs!$B$11-Inputs!$B$11),0)))/100)/2</f>
        <v>188160181566010.69</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2098">
        <f>L2098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2098">
        <f>(1-Summary!$B$11)*S2098+Summary!$B$11*U2098</f>
        <v>2120704790543594.2</v>
      </c>
      <c r="P2098">
        <f>IF(B2135=0,0,O2098/B2135)</f>
        <v>6.4095103286790744E-2</v>
      </c>
      <c r="Q2098">
        <f>IFERROR(1/(IF(Inputs!$B$38="pvp",15,MAX(0.1,Skills!E4-IF(TRUE=TRUE,Inputs!$B$32,0)))*(1-IF(AND(ArtifactsInput!$M$27,Inputs!$B$4="Chapter Hunt"),CHOOSE(ArtifactsInput!$N$27+1,20,24,28,32,36,40),0)/100)),0)</f>
        <v>5.5555555555555552E-2</v>
      </c>
      <c r="R2098">
        <f>IF(AND(Inputs!$B$38&lt;&gt;"pvp",Inputs!$B$43&gt;0),IF(MAX(0,Inputs!$B$43-B2132)&lt;=0,0,(INT(MAX(0,Inputs!$B$43-B2132)/(IF(Inputs!$B$38="pvp",15,MAX(0.1,Skills!E4-IF(TRUE=TRUE,Inputs!$B$32,0)))*(1-IF(AND(ArtifactsInput!$M$27,Inputs!$B$4="Chapter Hunt"),CHOOSE(ArtifactsInput!$N$27+1,20,24,28,32,36,40),0)/100)))+1)),0)</f>
        <v>3</v>
      </c>
      <c r="S2098">
        <f>IF(C2098,(H2098*N2098*IF(AND(Inputs!$B$38&lt;&gt;"pvp",Inputs!$B$43&gt;0),((Skills!G4*((R2098-1)*IF(Skills!H4&gt;0,Skills!I4/Skills!H4,1)+IF(Skills!H4&gt;0,MIN(Skills!I4,MAX(0,MAX(0,Inputs!$B$43-B2132)-((R2098-1)*(IF(Inputs!$B$38="pvp",15,MAX(0.1,Skills!E4-IF(TRUE=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2098">
        <f>290*T2097/1000</f>
        <v>504.6</v>
      </c>
      <c r="U2098">
        <f>IF(C2098,(H2098*N2098*IF(AND(Inputs!$B$38&lt;&gt;"pvp",Inputs!$B$43&gt;0),((Skills!G4*((R2098-1)*IF(Skills!H4&gt;0,Skills!I4/Skills!H4,1)+IF(Skills!H4&gt;0,MIN(Skills!I4,MAX(0,MAX(0,Inputs!$B$43-B2132)-((R2098-1)*(IF(Inputs!$B$38="pvp",15,MAX(0.1,Skills!E4-IF(TRUE=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2099" spans="1:26" x14ac:dyDescent="0.2">
      <c r="A2099" t="str">
        <f>Skills!A5</f>
        <v>ELEMENTAL_DRAIN</v>
      </c>
      <c r="B2099" t="str">
        <f>Skills!B5</f>
        <v>Elemental Drain</v>
      </c>
      <c r="C2099" t="b">
        <f>TRUE</f>
        <v>1</v>
      </c>
      <c r="D2099">
        <f>IF(Skills!C5=1,60+Inputs!$B$25+Inputs!$B$29,IF(Skills!C5=2,90+Inputs!$B$26+Inputs!$B$29,IF(Skills!C5=3,120+Inputs!$B$27+Inputs!$B$29,MAX(0,(Inputs!$B$3-100)*3)+Inputs!$B$28+Inputs!$B$29)))</f>
        <v>168</v>
      </c>
      <c r="E2099">
        <f>INDEX(FactorTable!$B$2:$Y$301, MATCH(ROUND(MIN(300,MAX(1,D2099)),0), FactorTable!$A$2:$A$301,0), Skills!M5+1)</f>
        <v>1672</v>
      </c>
      <c r="F2099">
        <f>IF(Skills!N5=TRUE,(Skills!L5/10)*(E2099/1000),Skills!L5/10)+Skills!O5</f>
        <v>20.064</v>
      </c>
      <c r="G2099">
        <f>Calc!G5</f>
        <v>5</v>
      </c>
      <c r="H2099">
        <f>Calc!H5</f>
        <v>1</v>
      </c>
      <c r="I2099">
        <f>IF(Skills!X5&lt;&gt;"",1+(Skills!X5/10)*(Z2097/1000)/100,1)</f>
        <v>12.475</v>
      </c>
      <c r="J2099">
        <f>((Inputs!$B$6*(1+Inputs!$B$7/100))+(((Inputs!$B$12*(1+Inputs!$B$13/100))-(Inputs!$B$12*(1+Inputs!$B$13/100)))+0.25*(Inputs!$B$14-Inputs!$B$14))*(1+Inputs!$B$7/100))*(F2099/100)</f>
        <v>72458030.371890247</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4541925884983.542</v>
      </c>
      <c r="L2099">
        <f>K2099*(MIN(Inputs!$B$22+(F2116-Calc!F22),(Inputs!$B$23+(IF(ArtifactsInput!$M$15,CHOOSE(ArtifactsInput!$N$15+1,25,30,35,40,45,50)/100*(Inputs!$B$11-Inputs!$B$11),0))))/100+(Inputs!$B$23+(IF(ArtifactsInput!$M$15,CHOOSE(ArtifactsInput!$N$15+1,25,30,35,40,45,50)/100*(Inputs!$B$11-Inputs!$B$11),0)))/100)/2</f>
        <v>15101903567570.277</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2099">
        <f>L2099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2099">
        <f>(1-Summary!$B$11)*S2099+Summary!$B$11*U2099</f>
        <v>1046004996783807</v>
      </c>
      <c r="P2099">
        <f>IF(B2135=0,0,O2099/B2135)</f>
        <v>3.1613923166633758E-2</v>
      </c>
      <c r="Q2099">
        <f>IFERROR(1/(IF(Inputs!$B$38="pvp",15,MAX(0.1,Skills!E5-IF(FALSE=TRUE,Inputs!$B$32,0)))*(1-IF(AND(ArtifactsInput!$M$27,Inputs!$B$4="Chapter Hunt"),CHOOSE(ArtifactsInput!$N$27+1,20,24,28,32,36,40),0)/100)),0)</f>
        <v>1</v>
      </c>
      <c r="R2099">
        <f>IF(AND(Inputs!$B$38&lt;&gt;"pvp",Inputs!$B$43&gt;0),IF(MAX(0,Inputs!$B$43-B2132)&lt;=0,0,(INT(MAX(0,Inputs!$B$43-B2132)/(IF(Inputs!$B$38="pvp",15,MAX(0.1,Skills!E5-IF(FALSE=TRUE,Inputs!$B$32,0)))*(1-IF(AND(ArtifactsInput!$M$27,Inputs!$B$4="Chapter Hunt"),CHOOSE(ArtifactsInput!$N$27+1,20,24,28,32,36,40),0)/100)))+1)),0)</f>
        <v>38</v>
      </c>
      <c r="S2099">
        <f>IF(C2099,(H2099*N2099*IF(AND(Inputs!$B$38&lt;&gt;"pvp",Inputs!$B$43&gt;0),((Skills!G5*((R2099-1)*IF(Skills!H5&gt;0,Skills!I5/Skills!H5,1)+IF(Skills!H5&gt;0,MIN(Skills!I5,MAX(0,MAX(0,Inputs!$B$43-B2132)-((R2099-1)*(IF(Inputs!$B$38="pvp",15,MAX(0.1,Skills!E5-IF(FALSE=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2099">
        <f>IF(C2099,(H2099*N2099*IF(AND(Inputs!$B$38&lt;&gt;"pvp",Inputs!$B$43&gt;0),((Skills!G5*((R2099-1)*IF(Skills!H5&gt;0,Skills!I5/Skills!H5,1)+IF(Skills!H5&gt;0,MIN(Skills!I5,MAX(0,MAX(0,Inputs!$B$43-B2132)-((R2099-1)*(IF(Inputs!$B$38="pvp",15,MAX(0.1,Skills!E5-IF(FALSE=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2100" spans="1:26" x14ac:dyDescent="0.2">
      <c r="A2100" t="str">
        <f>Skills!A6</f>
        <v>MEDITATION</v>
      </c>
      <c r="B2100" t="str">
        <f>Skills!B6</f>
        <v>Meditation</v>
      </c>
      <c r="C2100" t="b">
        <f>TRUE</f>
        <v>1</v>
      </c>
      <c r="D2100">
        <f>IF(Skills!C6=1,60+Inputs!$B$25+Inputs!$B$29,IF(Skills!C6=2,90+Inputs!$B$26+Inputs!$B$29,IF(Skills!C6=3,120+Inputs!$B$27+Inputs!$B$29,MAX(0,(Inputs!$B$3-100)*3)+Inputs!$B$28+Inputs!$B$29)))</f>
        <v>168</v>
      </c>
      <c r="E2100">
        <f>INDEX(FactorTable!$B$2:$Y$301, MATCH(ROUND(MIN(300,MAX(1,D2100)),0), FactorTable!$A$2:$A$301,0), Skills!M6+1)</f>
        <v>1672</v>
      </c>
      <c r="F2100">
        <f>IF(Skills!N6=TRUE,(Skills!L6/10)*(E2100/1000),Skills!L6/10)+Skills!O6</f>
        <v>33.44</v>
      </c>
      <c r="G2100">
        <f>Calc!G6</f>
        <v>1</v>
      </c>
      <c r="H2100">
        <f>Calc!H6</f>
        <v>1</v>
      </c>
      <c r="I2100">
        <f>IF(Skills!X6&lt;&gt;"",1+(Skills!X6/10)*(Z2097/1000)/100,1)</f>
        <v>1</v>
      </c>
      <c r="O2100">
        <f>(1-Summary!$B$11)*S2100+Summary!$B$11*U2100</f>
        <v>0</v>
      </c>
      <c r="P2100">
        <f>IF(B2135=0,0,O2100/B2135)</f>
        <v>0</v>
      </c>
      <c r="Q2100">
        <f>IFERROR(1/(IF(Inputs!$B$38="pvp",15,MAX(0.1,Skills!E6-IF(TRUE=TRUE,Inputs!$B$32,0)))*(1-IF(AND(ArtifactsInput!$M$27,Inputs!$B$4="Chapter Hunt"),CHOOSE(ArtifactsInput!$N$27+1,20,24,28,32,36,40),0)/100)),0)</f>
        <v>3.3333333333333333E-2</v>
      </c>
      <c r="R2100">
        <f>IF(AND(Inputs!$B$38&lt;&gt;"pvp",Inputs!$B$43&gt;0),IF(Inputs!$B$43&lt;=0,0,(INT(Inputs!$B$43/(IF(Inputs!$B$38="pvp",15,MAX(0.1,Skills!E6-IF(TRUE=TRUE,Inputs!$B$32,0)))*(1-IF(AND(ArtifactsInput!$M$27,Inputs!$B$4="Chapter Hunt"),CHOOSE(ArtifactsInput!$N$27+1,20,24,28,32,36,40),0)/100)))+1)),0)</f>
        <v>2</v>
      </c>
      <c r="S2100">
        <v>0</v>
      </c>
      <c r="U2100">
        <v>0</v>
      </c>
    </row>
    <row r="2101" spans="1:26" x14ac:dyDescent="0.2">
      <c r="A2101" t="str">
        <f>Skills!A7</f>
        <v>POISON_MIST_BURST</v>
      </c>
      <c r="B2101" t="str">
        <f>Skills!B7</f>
        <v>Poison Mist (burst)</v>
      </c>
      <c r="C2101" t="b">
        <f>TRUE</f>
        <v>1</v>
      </c>
      <c r="D2101">
        <f>IF(Skills!C7=1,60+Inputs!$B$25+Inputs!$B$29,IF(Skills!C7=2,90+Inputs!$B$26+Inputs!$B$29,IF(Skills!C7=3,120+Inputs!$B$27+Inputs!$B$29,MAX(0,(Inputs!$B$3-100)*3)+Inputs!$B$28+Inputs!$B$29)))</f>
        <v>184</v>
      </c>
      <c r="E2101">
        <f>INDEX(FactorTable!$B$2:$Y$301, MATCH(ROUND(MIN(300,MAX(1,D2101)),0), FactorTable!$A$2:$A$301,0), Skills!M7+1)</f>
        <v>1920</v>
      </c>
      <c r="F2101">
        <f>IF(Skills!N7=TRUE,(Skills!L7/10)*(E2101/1000),Skills!L7/10)+Skills!O7</f>
        <v>357.2</v>
      </c>
      <c r="G2101">
        <f>Calc!G7</f>
        <v>3</v>
      </c>
      <c r="H2101">
        <f>Calc!H7</f>
        <v>1</v>
      </c>
      <c r="I2101">
        <f>IF(Skills!X7&lt;&gt;"",1+(Skills!X7/10)*(Z2097/1000)/100,1)</f>
        <v>1.7650000000000001</v>
      </c>
      <c r="J2101">
        <f>((Inputs!$B$6*(1+Inputs!$B$7/100))+(((Inputs!$B$12*(1+Inputs!$B$13/100))-(Inputs!$B$12*(1+Inputs!$B$13/100)))+0.25*(Inputs!$B$14-Inputs!$B$14))*(1+Inputs!$B$7/100))*(F2101/100)</f>
        <v>1289972510.4086521</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11440318873772.086</v>
      </c>
      <c r="L2101">
        <f>K2101*(MIN(Inputs!$B$22+(F2116-Calc!F22),(Inputs!$B$23+(IF(ArtifactsInput!$M$15,CHOOSE(ArtifactsInput!$N$15+1,25,30,35,40,45,50)/100*(Inputs!$B$11-Inputs!$B$11),0))))/100+(Inputs!$B$23+(IF(ArtifactsInput!$M$15,CHOOSE(ArtifactsInput!$N$15+1,25,30,35,40,45,50)/100*(Inputs!$B$11-Inputs!$B$11),0)))/100)/2</f>
        <v>38039060255292.188</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2101">
        <f>L2101*(1-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2101">
        <f>(1-Summary!$B$11)*S2101+Summary!$B$11*U2101</f>
        <v>447913158316422</v>
      </c>
      <c r="P2101">
        <f>IF(B2135=0,0,O2101/B2135)</f>
        <v>1.3537499549121505E-2</v>
      </c>
      <c r="Q2101">
        <f>IFERROR(1/(IF(Inputs!$B$38="pvp",15,MAX(0.1,Skills!E7-IF(TRUE=TRUE,Inputs!$B$32,0)))*(1-IF(AND(ArtifactsInput!$M$27,Inputs!$B$4="Chapter Hunt"),CHOOSE(ArtifactsInput!$N$27+1,20,24,28,32,36,40),0)/100)),0)</f>
        <v>4.0816326530612242E-2</v>
      </c>
      <c r="R2101">
        <f>IF(AND(Inputs!$B$38&lt;&gt;"pvp",Inputs!$B$43&gt;0),IF(MAX(0,Inputs!$B$43-B2132)&lt;=0,0,(INT(MAX(0,Inputs!$B$43-B2132)/(IF(Inputs!$B$38="pvp",15,MAX(0.1,Skills!E7-IF(TRUE=TRUE,Inputs!$B$32,0)))*(1-IF(AND(ArtifactsInput!$M$27,Inputs!$B$4="Chapter Hunt"),CHOOSE(ArtifactsInput!$N$27+1,20,24,28,32,36,40),0)/100)))+1)),0)</f>
        <v>2</v>
      </c>
      <c r="S2101">
        <f>IF(C2101,(H2101*N2101*IF(AND(Inputs!$B$38&lt;&gt;"pvp",Inputs!$B$43&gt;0),((Skills!G7*((R2101-1)*IF(Skills!H7&gt;0,Skills!I7/Skills!H7,1)+IF(Skills!H7&gt;0,MIN(Skills!I7,MAX(0,MAX(0,Inputs!$B$43-B2132)-((R2101-1)*(IF(Inputs!$B$38="pvp",15,MAX(0.1,Skills!E7-IF(TRUE=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2101">
        <f>IF(C2101,(H2101*N2101*IF(AND(Inputs!$B$38&lt;&gt;"pvp",Inputs!$B$43&gt;0),((Skills!G7*((R2101-1)*IF(Skills!H7&gt;0,Skills!I7/Skills!H7,1)+IF(Skills!H7&gt;0,MIN(Skills!I7,MAX(0,MAX(0,Inputs!$B$43-B2132)-((R2101-1)*(IF(Inputs!$B$38="pvp",15,MAX(0.1,Skills!E7-IF(TRUE=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2102" spans="1:26" x14ac:dyDescent="0.2">
      <c r="A2102" t="str">
        <f>Skills!A8</f>
        <v>POISON_MIST_DOT</v>
      </c>
      <c r="B2102" t="str">
        <f>Skills!B8</f>
        <v>Poison Mist (fog DoT)</v>
      </c>
      <c r="C2102" t="b">
        <f>TRUE</f>
        <v>1</v>
      </c>
      <c r="D2102">
        <f>IF(Skills!C8=1,60+Inputs!$B$25+Inputs!$B$29,IF(Skills!C8=2,90+Inputs!$B$26+Inputs!$B$29,IF(Skills!C8=3,120+Inputs!$B$27+Inputs!$B$29,MAX(0,(Inputs!$B$3-100)*3)+Inputs!$B$28+Inputs!$B$29)))</f>
        <v>184</v>
      </c>
      <c r="E2102">
        <f>INDEX(FactorTable!$B$2:$Y$301, MATCH(ROUND(MIN(300,MAX(1,D2102)),0), FactorTable!$A$2:$A$301,0), Skills!M8+1)</f>
        <v>1920</v>
      </c>
      <c r="F2102">
        <f>IF(Skills!N8=TRUE,(Skills!L8/10)*(E2102/1000),Skills!L8/10)+Skills!O8</f>
        <v>134.4</v>
      </c>
      <c r="G2102">
        <f>Calc!G8</f>
        <v>50</v>
      </c>
      <c r="H2102">
        <f>Calc!H8</f>
        <v>1</v>
      </c>
      <c r="I2102">
        <f>IF(Skills!X8&lt;&gt;"",1+(Skills!X8/10)*(Z2097/1000)/100,1)</f>
        <v>1.7650000000000001</v>
      </c>
      <c r="J2102">
        <f>((Inputs!$B$6*(1+Inputs!$B$7/100))+(((Inputs!$B$12*(1+Inputs!$B$13/100))-(Inputs!$B$12*(1+Inputs!$B$13/100)))+0.25*(Inputs!$B$14-Inputs!$B$14))*(1+Inputs!$B$7/100))*(F2102/100)</f>
        <v>485364796.74950409</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4304532073446.1597</v>
      </c>
      <c r="L2102">
        <f>K2102*(MIN(Inputs!$B$22+(F2116-Calc!F22),(Inputs!$B$23+(IF(ArtifactsInput!$M$15,CHOOSE(ArtifactsInput!$N$15+1,25,30,35,40,45,50)/100*(Inputs!$B$11-Inputs!$B$11),0))))/100+(Inputs!$B$23+(IF(ArtifactsInput!$M$15,CHOOSE(ArtifactsInput!$N$15+1,25,30,35,40,45,50)/100*(Inputs!$B$11-Inputs!$B$11),0)))/100)/2</f>
        <v>14312569144208.482</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2102">
        <f>L2102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2102">
        <f>(1-Summary!$B$11)*S2102+Summary!$B$11*U2102</f>
        <v>2327471980535951</v>
      </c>
      <c r="P2102">
        <f>IF(B2135=0,0,O2102/B2135)</f>
        <v>7.0344329703392813E-2</v>
      </c>
      <c r="Q2102">
        <f>IFERROR(1/(IF(Inputs!$B$38="pvp",15,MAX(0.1,Skills!E8-IF(TRUE=TRUE,Inputs!$B$32,0)))*(1-IF(AND(ArtifactsInput!$M$27,Inputs!$B$4="Chapter Hunt"),CHOOSE(ArtifactsInput!$N$27+1,20,24,28,32,36,40),0)/100)),0)</f>
        <v>4.0816326530612242E-2</v>
      </c>
      <c r="R2102">
        <f>IF(AND(Inputs!$B$38&lt;&gt;"pvp",Inputs!$B$43&gt;0),IF(MAX(0,Inputs!$B$43-B2132)&lt;=0,0,(INT(MAX(0,Inputs!$B$43-B2132)/(IF(Inputs!$B$38="pvp",15,MAX(0.1,Skills!E8-IF(TRUE=TRUE,Inputs!$B$32,0)))*(1-IF(AND(ArtifactsInput!$M$27,Inputs!$B$4="Chapter Hunt"),CHOOSE(ArtifactsInput!$N$27+1,20,24,28,32,36,40),0)/100)))+1)),0)</f>
        <v>2</v>
      </c>
      <c r="S2102">
        <f>IF(C2102,(H2102*N2102*IF(AND(Inputs!$B$38&lt;&gt;"pvp",Inputs!$B$43&gt;0),((Skills!G8*((R2102-1)*IF(Skills!H8&gt;0,Skills!I8/Skills!H8,1)+IF(Skills!H8&gt;0,MIN(Skills!I8,MAX(0,MAX(0,Inputs!$B$43-B2132)-((R2102-1)*(IF(Inputs!$B$38="pvp",15,MAX(0.1,Skills!E8-IF(TRUE=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2102">
        <f>IF(C2102,(H2102*N2102*IF(AND(Inputs!$B$38&lt;&gt;"pvp",Inputs!$B$43&gt;0),((Skills!G8*((R2102-1)*IF(Skills!H8&gt;0,Skills!I8/Skills!H8,1)+IF(Skills!H8&gt;0,MIN(Skills!I8,MAX(0,MAX(0,Inputs!$B$43-B2132)-((R2102-1)*(IF(Inputs!$B$38="pvp",15,MAX(0.1,Skills!E8-IF(TRUE=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2103" spans="1:26" x14ac:dyDescent="0.2">
      <c r="A2103" t="str">
        <f>Skills!A9</f>
        <v>MIST_ERUPTION</v>
      </c>
      <c r="B2103" t="str">
        <f>Skills!B9</f>
        <v>Mist Eruption</v>
      </c>
      <c r="C2103" t="b">
        <f>Inputs!$B$3&gt;=103</f>
        <v>1</v>
      </c>
      <c r="D2103">
        <f>IF(Skills!C9=1,60+Inputs!$B$25+Inputs!$B$29,IF(Skills!C9=2,90+Inputs!$B$26+Inputs!$B$29,IF(Skills!C9=3,120+Inputs!$B$27+Inputs!$B$29,MAX(0,(Inputs!$B$3-100)*3)+Inputs!$B$28+Inputs!$B$29)))</f>
        <v>185</v>
      </c>
      <c r="E2103">
        <f>INDEX(FactorTable!$B$2:$Y$301, MATCH(ROUND(MIN(300,MAX(1,D2103)),0), FactorTable!$A$2:$A$301,0), Skills!M9+1)</f>
        <v>1925</v>
      </c>
      <c r="F2103">
        <f>IF(Skills!N9=TRUE,(Skills!L9/10)*(E2103/1000),Skills!L9/10)+Skills!O9</f>
        <v>5775</v>
      </c>
      <c r="G2103">
        <f>Calc!G9</f>
        <v>2.5</v>
      </c>
      <c r="H2103">
        <f>Calc!H9</f>
        <v>1</v>
      </c>
      <c r="I2103">
        <f>IF(Skills!X9&lt;&gt;"",1+(Skills!X9/10)*(Z2097/1000)/100,1)</f>
        <v>1</v>
      </c>
      <c r="J2103">
        <f>((Inputs!$B$6*(1+Inputs!$B$7/100))+(((Inputs!$B$12*(1+Inputs!$B$13/100))-(Inputs!$B$12*(1+Inputs!$B$13/100)))+0.25*(Inputs!$B$14-Inputs!$B$14))*(1+Inputs!$B$7/100))*(F2103/100)</f>
        <v>20855518610.330254</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104793406533081.95</v>
      </c>
      <c r="L2103">
        <f>K2103*(MIN(Inputs!$B$22+(F2116-Calc!F22),(Inputs!$B$23+(IF(ArtifactsInput!$M$15,CHOOSE(ArtifactsInput!$N$15+1,25,30,35,40,45,50)/100*(Inputs!$B$11-Inputs!$B$11),0))))/100+(Inputs!$B$23+(IF(ArtifactsInput!$M$15,CHOOSE(ArtifactsInput!$N$15+1,25,30,35,40,45,50)/100*(Inputs!$B$11-Inputs!$B$11),0)))/100)/2</f>
        <v>348438076722497.5</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2103">
        <f>L2103*(1-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2103">
        <f>(1-Summary!$B$11)*S2103+Summary!$B$11*U2103</f>
        <v>3419073236278675</v>
      </c>
      <c r="P2103">
        <f>IF(B2135=0,0,O2103/B2135)</f>
        <v>0.10333633101673266</v>
      </c>
      <c r="Q2103">
        <f>IFERROR(1/(IF(Inputs!$B$38="pvp",15,MAX(0.1,Skills!E9-IF(TRUE=TRUE,Inputs!$B$32,0)))*(1-IF(AND(ArtifactsInput!$M$27,Inputs!$B$4="Chapter Hunt"),CHOOSE(ArtifactsInput!$N$27+1,20,24,28,32,36,40),0)/100)),0)</f>
        <v>4.0816326530612242E-2</v>
      </c>
      <c r="R2103">
        <f>IF(AND(Inputs!$B$38&lt;&gt;"pvp",Inputs!$B$43&gt;0),IF(MAX(0,Inputs!$B$43-B2132)&lt;=0,0,(INT(MAX(0,Inputs!$B$43-B2132)/(IF(Inputs!$B$38="pvp",15,MAX(0.1,Skills!E9-IF(TRUE=TRUE,Inputs!$B$32,0)))*(1-IF(AND(ArtifactsInput!$M$27,Inputs!$B$4="Chapter Hunt"),CHOOSE(ArtifactsInput!$N$27+1,20,24,28,32,36,40),0)/100)))+1)),0)</f>
        <v>2</v>
      </c>
      <c r="S2103">
        <f>IF(C2103,(H2103*N2103*IF(AND(Inputs!$B$38&lt;&gt;"pvp",Inputs!$B$43&gt;0),((Skills!G9*((R2103-1)*IF(Skills!H9&gt;0,Skills!I9/Skills!H9,1)+IF(Skills!H9&gt;0,MIN(Skills!I9,MAX(0,MAX(0,Inputs!$B$43-B2132)-((R2103-1)*(IF(Inputs!$B$38="pvp",15,MAX(0.1,Skills!E9-IF(TRUE=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2103">
        <f>IF(C2103,(H2103*N2103*IF(AND(Inputs!$B$38&lt;&gt;"pvp",Inputs!$B$43&gt;0),((Skills!G9*((R2103-1)*IF(Skills!H9&gt;0,Skills!I9/Skills!H9,1)+IF(Skills!H9&gt;0,MIN(Skills!I9,MAX(0,MAX(0,Inputs!$B$43-B2132)-((R2103-1)*(IF(Inputs!$B$38="pvp",15,MAX(0.1,Skills!E9-IF(TRUE=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2104" spans="1:26" x14ac:dyDescent="0.2">
      <c r="A2104" t="str">
        <f>Skills!A10</f>
        <v>CREEPING_TOXIN</v>
      </c>
      <c r="B2104" t="str">
        <f>Skills!B10</f>
        <v>Creeping Toxin</v>
      </c>
      <c r="C2104" t="b">
        <f>TRUE</f>
        <v>1</v>
      </c>
      <c r="D2104">
        <f>IF(Skills!C10=1,60+Inputs!$B$25+Inputs!$B$29,IF(Skills!C10=2,90+Inputs!$B$26+Inputs!$B$29,IF(Skills!C10=3,120+Inputs!$B$27+Inputs!$B$29,MAX(0,(Inputs!$B$3-100)*3)+Inputs!$B$28+Inputs!$B$29)))</f>
        <v>184</v>
      </c>
      <c r="E2104">
        <f>INDEX(FactorTable!$B$2:$Y$301, MATCH(ROUND(MIN(300,MAX(1,D2104)),0), FactorTable!$A$2:$A$301,0), Skills!M10+1)</f>
        <v>1920</v>
      </c>
      <c r="F2104">
        <f>IF(Skills!N10=TRUE,(Skills!L10/10)*(E2104/1000),Skills!L10/10)+Skills!O10</f>
        <v>280.39999999999998</v>
      </c>
      <c r="G2104">
        <f>Calc!G10</f>
        <v>15</v>
      </c>
      <c r="H2104">
        <f>Calc!H10</f>
        <v>1</v>
      </c>
      <c r="I2104">
        <f>IF(Skills!X10&lt;&gt;"",1+(Skills!X10/10)*(Z2097/1000)/100,1)</f>
        <v>1.7650000000000001</v>
      </c>
      <c r="J2104">
        <f>((Inputs!$B$6*(1+Inputs!$B$7/100))+(((Inputs!$B$12*(1+Inputs!$B$13/100))-(Inputs!$B$12*(1+Inputs!$B$13/100)))+0.25*(Inputs!$B$14-Inputs!$B$14))*(1+Inputs!$B$7/100))*(F2104/100)</f>
        <v>1012621197.9803641</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8980586260374.2793</v>
      </c>
      <c r="L2104">
        <f>K2104*(MIN(Inputs!$B$22+(F2116-Calc!F22),(Inputs!$B$23+(IF(ArtifactsInput!$M$15,CHOOSE(ArtifactsInput!$N$15+1,25,30,35,40,45,50)/100*(Inputs!$B$11-Inputs!$B$11),0))))/100+(Inputs!$B$23+(IF(ArtifactsInput!$M$15,CHOOSE(ArtifactsInput!$N$15+1,25,30,35,40,45,50)/100*(Inputs!$B$11-Inputs!$B$11),0)))/100)/2</f>
        <v>29860449315744.48</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2104">
        <f>L2104*(1-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2104">
        <f>(1-Summary!$B$11)*S2104+Summary!$B$11*U2104</f>
        <v>324323455609081.62</v>
      </c>
      <c r="P2104">
        <f>IF(B2135=0,0,O2104/B2135)</f>
        <v>9.8021872154419789E-3</v>
      </c>
      <c r="Q2104">
        <f>IFERROR(1/(IF(Inputs!$B$38="pvp",15,MAX(0.1,Skills!E10-IF(TRUE=TRUE,Inputs!$B$32,0)))*(1-IF(AND(ArtifactsInput!$M$27,Inputs!$B$4="Chapter Hunt"),CHOOSE(ArtifactsInput!$N$27+1,20,24,28,32,36,40),0)/100)),0)</f>
        <v>3.7037037037037035E-2</v>
      </c>
      <c r="R2104">
        <f>IF(AND(Inputs!$B$38&lt;&gt;"pvp",Inputs!$B$43&gt;0),IF(MAX(0,Inputs!$B$43-B2132)&lt;=0,0,(INT(MAX(0,Inputs!$B$43-B2132)/(IF(Inputs!$B$38="pvp",15,MAX(0.1,Skills!E10-IF(TRUE=TRUE,Inputs!$B$32,0)))*(1-IF(AND(ArtifactsInput!$M$27,Inputs!$B$4="Chapter Hunt"),CHOOSE(ArtifactsInput!$N$27+1,20,24,28,32,36,40),0)/100)))+1)),0)</f>
        <v>2</v>
      </c>
      <c r="S2104">
        <f>IF(C2104,(H2104*N2104*IF(AND(Inputs!$B$38&lt;&gt;"pvp",Inputs!$B$43&gt;0),((Skills!G10*((R2104-1)*IF(Skills!H10&gt;0,Skills!I10/Skills!H10,1)+IF(Skills!H10&gt;0,MIN(Skills!I10,MAX(0,MAX(0,Inputs!$B$43-B2132)-((R2104-1)*(IF(Inputs!$B$38="pvp",15,MAX(0.1,Skills!E10-IF(TRUE=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2104">
        <f>IF(C2104,(H2104*N2104*IF(AND(Inputs!$B$38&lt;&gt;"pvp",Inputs!$B$43&gt;0),((Skills!G10*((R2104-1)*IF(Skills!H10&gt;0,Skills!I10/Skills!H10,1)+IF(Skills!H10&gt;0,MIN(Skills!I10,MAX(0,MAX(0,Inputs!$B$43-B2132)-((R2104-1)*(IF(Inputs!$B$38="pvp",15,MAX(0.1,Skills!E10-IF(TRUE=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2105" spans="1:26" x14ac:dyDescent="0.2">
      <c r="A2105" t="str">
        <f>Skills!A11</f>
        <v>BURNING_MAGIC</v>
      </c>
      <c r="B2105" t="str">
        <f>Skills!B11</f>
        <v>Burning Magic</v>
      </c>
      <c r="C2105" t="b">
        <f>TRUE</f>
        <v>1</v>
      </c>
      <c r="D2105">
        <f>IF(Skills!C11=1,60+Inputs!$B$25+Inputs!$B$29,IF(Skills!C11=2,90+Inputs!$B$26+Inputs!$B$29,IF(Skills!C11=3,120+Inputs!$B$27+Inputs!$B$29,MAX(0,(Inputs!$B$3-100)*3)+Inputs!$B$28+Inputs!$B$29)))</f>
        <v>184</v>
      </c>
      <c r="E2105">
        <f>INDEX(FactorTable!$B$2:$Y$301, MATCH(ROUND(MIN(300,MAX(1,D2105)),0), FactorTable!$A$2:$A$301,0), Skills!M11+1)</f>
        <v>0</v>
      </c>
      <c r="F2105">
        <f>IF(Skills!N11=TRUE,(Skills!L11/10)*(E2105/1000),Skills!L11/10)+Skills!O11</f>
        <v>5</v>
      </c>
      <c r="G2105">
        <f>Calc!G11</f>
        <v>1</v>
      </c>
      <c r="H2105">
        <f>Calc!H11</f>
        <v>1</v>
      </c>
      <c r="I2105">
        <f>IF(Skills!X11&lt;&gt;"",1+(Skills!X11/10)*(Z2097/1000)/100,1)</f>
        <v>1</v>
      </c>
      <c r="O2105">
        <f>(1-Summary!$B$11)*S2105+Summary!$B$11*U2105</f>
        <v>0</v>
      </c>
      <c r="P2105">
        <f>IF(B2135=0,0,O2105/B2135)</f>
        <v>0</v>
      </c>
      <c r="Q2105">
        <f>IFERROR(1/(IF(Inputs!$B$38="pvp",15,MAX(0.1,Skills!E11-IF(TRUE=TRUE,Inputs!$B$32,0)))*(1-IF(AND(ArtifactsInput!$M$27,Inputs!$B$4="Chapter Hunt"),CHOOSE(ArtifactsInput!$N$27+1,20,24,28,32,36,40),0)/100)),0)</f>
        <v>10</v>
      </c>
      <c r="R2105">
        <v>0</v>
      </c>
      <c r="S2105">
        <v>0</v>
      </c>
      <c r="U2105">
        <v>0</v>
      </c>
    </row>
    <row r="2106" spans="1:26" x14ac:dyDescent="0.2">
      <c r="A2106" t="str">
        <f>Skills!A12</f>
        <v>ELEMENTAL_DECREASE</v>
      </c>
      <c r="B2106" t="str">
        <f>Skills!B12</f>
        <v>Elemental Decrease</v>
      </c>
      <c r="C2106" t="b">
        <f>TRUE</f>
        <v>1</v>
      </c>
      <c r="D2106">
        <f>IF(Skills!C12=1,60+Inputs!$B$25+Inputs!$B$29,IF(Skills!C12=2,90+Inputs!$B$26+Inputs!$B$29,IF(Skills!C12=3,120+Inputs!$B$27+Inputs!$B$29,MAX(0,(Inputs!$B$3-100)*3)+Inputs!$B$28+Inputs!$B$29)))</f>
        <v>184</v>
      </c>
      <c r="E2106">
        <f>INDEX(FactorTable!$B$2:$Y$301, MATCH(ROUND(MIN(300,MAX(1,D2106)),0), FactorTable!$A$2:$A$301,0), Skills!M12+1)</f>
        <v>1552</v>
      </c>
      <c r="F2106">
        <f>IF(Skills!N12=TRUE,(Skills!L12/10)*(E2106/1000),Skills!L12/10)+Skills!O12</f>
        <v>18.624000000000002</v>
      </c>
      <c r="G2106">
        <f>Calc!G12</f>
        <v>1</v>
      </c>
      <c r="H2106">
        <f>Calc!H12</f>
        <v>0.5</v>
      </c>
      <c r="I2106">
        <f>IF(Skills!X12&lt;&gt;"",1+(Skills!X12/10)*(Z2097/1000)/100,1)</f>
        <v>1</v>
      </c>
      <c r="O2106">
        <f>(1-Summary!$B$11)*S2106+Summary!$B$11*U2106</f>
        <v>0</v>
      </c>
      <c r="P2106">
        <f>IF(B2135=0,0,O2106/B2135)</f>
        <v>0</v>
      </c>
      <c r="Q2106">
        <f>IFERROR(1/(IF(Inputs!$B$38="pvp",15,MAX(0.1,Skills!E12-IF(TRUE=TRUE,Inputs!$B$32,0)))*(1-IF(AND(ArtifactsInput!$M$27,Inputs!$B$4="Chapter Hunt"),CHOOSE(ArtifactsInput!$N$27+1,20,24,28,32,36,40),0)/100)),0)</f>
        <v>10</v>
      </c>
      <c r="R2106">
        <v>0</v>
      </c>
      <c r="S2106">
        <v>0</v>
      </c>
      <c r="U2106">
        <v>0</v>
      </c>
    </row>
    <row r="2107" spans="1:26" x14ac:dyDescent="0.2">
      <c r="A2107" t="str">
        <f>Skills!A13</f>
        <v>METEOR_SHOWER_BURST</v>
      </c>
      <c r="B2107" t="str">
        <f>Skills!B13</f>
        <v>Meteor Shower (burst)</v>
      </c>
      <c r="C2107" t="b">
        <f>Inputs!$B$3&gt;=105</f>
        <v>1</v>
      </c>
      <c r="D2107">
        <f>IF(Skills!C13=1,60+Inputs!$B$25+Inputs!$B$29,IF(Skills!C13=2,90+Inputs!$B$26+Inputs!$B$29,IF(Skills!C13=3,120+Inputs!$B$27+Inputs!$B$29,MAX(0,(Inputs!$B$3-100)*3)+Inputs!$B$28+Inputs!$B$29)))</f>
        <v>185</v>
      </c>
      <c r="E2107">
        <f>INDEX(FactorTable!$B$2:$Y$301, MATCH(ROUND(MIN(300,MAX(1,D2107)),0), FactorTable!$A$2:$A$301,0), Skills!M13+1)</f>
        <v>1925</v>
      </c>
      <c r="F2107">
        <f>IF(Skills!N13=TRUE,(Skills!L13/10)*(E2107/1000),Skills!L13/10)+Skills!O13</f>
        <v>1155</v>
      </c>
      <c r="G2107">
        <f>Calc!G13</f>
        <v>9</v>
      </c>
      <c r="H2107">
        <f>Calc!H13</f>
        <v>1</v>
      </c>
      <c r="I2107">
        <f>IF(Skills!X13&lt;&gt;"",1+(Skills!X13/10)*(Z2097/1000)/100,1)</f>
        <v>1</v>
      </c>
      <c r="J2107">
        <f>((Inputs!$B$6*(1+Inputs!$B$7/100))+(((Inputs!$B$12*(1+Inputs!$B$13/100))-(Inputs!$B$12*(1+Inputs!$B$13/100)))+0.25*(Inputs!$B$14-Inputs!$B$14))*(1+Inputs!$B$7/100))*(F2107/100)</f>
        <v>4171103722.0660505</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20958681306616.391</v>
      </c>
      <c r="L2107">
        <f>K2107*(MIN(Inputs!$B$22+(F2116-Calc!F22),(Inputs!$B$23+(IF(ArtifactsInput!$M$15,CHOOSE(ArtifactsInput!$N$15+1,25,30,35,40,45,50)/100*(Inputs!$B$11-Inputs!$B$11),0))))/100+(Inputs!$B$23+(IF(ArtifactsInput!$M$15,CHOOSE(ArtifactsInput!$N$15+1,25,30,35,40,45,50)/100*(Inputs!$B$11-Inputs!$B$11),0)))/100)/2</f>
        <v>69687615344499.5</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2107">
        <f>L2107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2107">
        <f>(1-Summary!$B$11)*S2107+Summary!$B$11*U2107</f>
        <v>1793579843045520.5</v>
      </c>
      <c r="P2107">
        <f>IF(B2135=0,0,O2107/B2135)</f>
        <v>5.4208245204954375E-2</v>
      </c>
      <c r="Q2107">
        <f>IFERROR(1/(IF(Inputs!$B$38="pvp",15,MAX(0.1,Skills!E13-IF(TRUE=TRUE,Inputs!$B$32,0)))*(1-IF(AND(ArtifactsInput!$M$27,Inputs!$B$4="Chapter Hunt"),CHOOSE(ArtifactsInput!$N$27+1,20,24,28,32,36,40),0)/100)),0)</f>
        <v>3.0303030303030304E-2</v>
      </c>
      <c r="R2107">
        <f>IF(AND(Inputs!$B$38&lt;&gt;"pvp",Inputs!$B$43&gt;0),IF(MAX(0,Inputs!$B$43-B2132)&lt;=0,0,(INT(MAX(0,Inputs!$B$43-B2132)/(IF(Inputs!$B$38="pvp",15,MAX(0.1,Skills!E13-IF(TRUE=TRUE,Inputs!$B$32,0)))*(1-IF(AND(ArtifactsInput!$M$27,Inputs!$B$4="Chapter Hunt"),CHOOSE(ArtifactsInput!$N$27+1,20,24,28,32,36,40),0)/100)))+1)),0)</f>
        <v>2</v>
      </c>
      <c r="S2107">
        <f>IF(C2107,(H2107*N2107*IF(AND(Inputs!$B$38&lt;&gt;"pvp",Inputs!$B$43&gt;0),((Skills!G13*((R2107-1)*IF(Skills!H13&gt;0,Skills!I13/Skills!H13,1)+IF(Skills!H13&gt;0,MIN(Skills!I13,MAX(0,MAX(0,Inputs!$B$43-B2132)-((R2107-1)*(IF(Inputs!$B$38="pvp",15,MAX(0.1,Skills!E13-IF(TRUE=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2107">
        <f>IF(C2107,(H2107*N2107*IF(AND(Inputs!$B$38&lt;&gt;"pvp",Inputs!$B$43&gt;0),((Skills!G13*((R2107-1)*IF(Skills!H13&gt;0,Skills!I13/Skills!H13,1)+IF(Skills!H13&gt;0,MIN(Skills!I13,MAX(0,MAX(0,Inputs!$B$43-B2132)-((R2107-1)*(IF(Inputs!$B$38="pvp",15,MAX(0.1,Skills!E13-IF(TRUE=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2108" spans="1:26" x14ac:dyDescent="0.2">
      <c r="A2108" t="str">
        <f>Skills!A14</f>
        <v>METEOR_PROC</v>
      </c>
      <c r="B2108" t="str">
        <f>Skills!B14</f>
        <v>Meteor Proc (30% on-hit, 1s ICD)</v>
      </c>
      <c r="C2108" t="b">
        <f>Inputs!$B$3&gt;=113</f>
        <v>1</v>
      </c>
      <c r="D2108">
        <f>IF(Skills!C14=1,60+Inputs!$B$25+Inputs!$B$29,IF(Skills!C14=2,90+Inputs!$B$26+Inputs!$B$29,IF(Skills!C14=3,120+Inputs!$B$27+Inputs!$B$29,MAX(0,(Inputs!$B$3-100)*3)+Inputs!$B$28+Inputs!$B$29)))</f>
        <v>185</v>
      </c>
      <c r="E2108">
        <f>INDEX(FactorTable!$B$2:$Y$301, MATCH(ROUND(MIN(300,MAX(1,D2108)),0), FactorTable!$A$2:$A$301,0), Skills!M14+1)</f>
        <v>1740</v>
      </c>
      <c r="F2108">
        <f>IF(Skills!N14=TRUE,(Skills!L14/10)*(E2108/1000),Skills!L14/10)+Skills!O14</f>
        <v>1653</v>
      </c>
      <c r="G2108">
        <f>Calc!G14</f>
        <v>0</v>
      </c>
      <c r="H2108">
        <f>Calc!H14</f>
        <v>0.30000000000000004</v>
      </c>
      <c r="I2108">
        <f>IF(Skills!X14&lt;&gt;"",1+(Skills!X14/10)*(Z2097/1000)/100,1)</f>
        <v>1</v>
      </c>
      <c r="J2108">
        <f>((Inputs!$B$6*(1+Inputs!$B$7/100))+(((Inputs!$B$12*(1+Inputs!$B$13/100))-(Inputs!$B$12*(1+Inputs!$B$13/100)))+0.25*(Inputs!$B$14-Inputs!$B$14))*(1+Inputs!$B$7/100))*(F2108/100)</f>
        <v>5969553638.5932312</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29995411428430.203</v>
      </c>
      <c r="L2108">
        <f>K2108*(MIN(Inputs!$B$22+(F2116-Calc!F22),(Inputs!$B$23+(IF(ArtifactsInput!$M$15,CHOOSE(ArtifactsInput!$N$15+1,25,30,35,40,45,50)/100*(Inputs!$B$11-Inputs!$B$11),0))))/100+(Inputs!$B$23+(IF(ArtifactsInput!$M$15,CHOOSE(ArtifactsInput!$N$15+1,25,30,35,40,45,50)/100*(Inputs!$B$11-Inputs!$B$11),0)))/100)/2</f>
        <v>99734742999530.438</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2108">
        <f>L2108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2108">
        <f>(1-Summary!$B$11)*S2108+Summary!$B$11*U2108</f>
        <v>461258197543910.38</v>
      </c>
      <c r="P2108">
        <f>IF(B2135=0,0,O2108/B2135)</f>
        <v>1.3940833229257574E-2</v>
      </c>
      <c r="Q2108">
        <f>IFERROR(1/(IF(Inputs!$B$38="pvp",15,MAX(0.1,Skills!E14-IF(TRUE=TRUE,Inputs!$B$32,0)))*(1-IF(AND(ArtifactsInput!$M$27,Inputs!$B$4="Chapter Hunt"),CHOOSE(ArtifactsInput!$N$27+1,20,24,28,32,36,40),0)/100)),0)</f>
        <v>10</v>
      </c>
      <c r="R2108">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2109" spans="1:26" x14ac:dyDescent="0.2">
      <c r="A2109" t="str">
        <f>Skills!A15</f>
        <v>FLAME_HAZE_BURST</v>
      </c>
      <c r="B2109" t="str">
        <f>Skills!B15</f>
        <v>Flame Haze (burst)</v>
      </c>
      <c r="C2109" t="b">
        <f>Inputs!$B$3&gt;=107</f>
        <v>1</v>
      </c>
      <c r="D2109">
        <f>IF(Skills!C15=1,60+Inputs!$B$25+Inputs!$B$29,IF(Skills!C15=2,90+Inputs!$B$26+Inputs!$B$29,IF(Skills!C15=3,120+Inputs!$B$27+Inputs!$B$29,MAX(0,(Inputs!$B$3-100)*3)+Inputs!$B$28+Inputs!$B$29)))</f>
        <v>185</v>
      </c>
      <c r="E2109">
        <f>INDEX(FactorTable!$B$2:$Y$301, MATCH(ROUND(MIN(300,MAX(1,D2109)),0), FactorTable!$A$2:$A$301,0), Skills!M15+1)</f>
        <v>1925</v>
      </c>
      <c r="F2109">
        <f>IF(Skills!N15=TRUE,(Skills!L15/10)*(E2109/1000),Skills!L15/10)+Skills!O15</f>
        <v>2310</v>
      </c>
      <c r="G2109">
        <f>Calc!G15</f>
        <v>3</v>
      </c>
      <c r="H2109">
        <f>Calc!H15</f>
        <v>1</v>
      </c>
      <c r="I2109">
        <f>IF(Skills!X15&lt;&gt;"",1+(Skills!X15/10)*(Z2097/1000)/100,1)</f>
        <v>1</v>
      </c>
      <c r="J2109">
        <f>((Inputs!$B$6*(1+Inputs!$B$7/100))+(((Inputs!$B$12*(1+Inputs!$B$13/100))-(Inputs!$B$12*(1+Inputs!$B$13/100)))+0.25*(Inputs!$B$14-Inputs!$B$14))*(1+Inputs!$B$7/100))*(F2109/100)</f>
        <v>8342207444.1321011</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41917362613232.781</v>
      </c>
      <c r="L2109">
        <f>K2109*(MIN(Inputs!$B$22+(F2116-Calc!F22),(Inputs!$B$23+(IF(ArtifactsInput!$M$15,CHOOSE(ArtifactsInput!$N$15+1,25,30,35,40,45,50)/100*(Inputs!$B$11-Inputs!$B$11),0))))/100+(Inputs!$B$23+(IF(ArtifactsInput!$M$15,CHOOSE(ArtifactsInput!$N$15+1,25,30,35,40,45,50)/100*(Inputs!$B$11-Inputs!$B$11),0)))/100)/2</f>
        <v>139375230688999</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2109">
        <f>L2109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2109">
        <f>(1-Summary!$B$11)*S2109+Summary!$B$11*U2109</f>
        <v>1641155153413763.8</v>
      </c>
      <c r="P2109">
        <f>IF(B2135=0,0,O2109/B2135)</f>
        <v>4.9601438888031674E-2</v>
      </c>
      <c r="Q2109">
        <f>IFERROR(1/(IF(Inputs!$B$38="pvp",15,MAX(0.1,Skills!E15-IF(TRUE=TRUE,Inputs!$B$32,0)))*(1-IF(AND(ArtifactsInput!$M$27,Inputs!$B$4="Chapter Hunt"),CHOOSE(ArtifactsInput!$N$27+1,20,24,28,32,36,40),0)/100)),0)</f>
        <v>0.04</v>
      </c>
      <c r="R2109">
        <f>IF(AND(Inputs!$B$38&lt;&gt;"pvp",Inputs!$B$43&gt;0),IF(MAX(0,Inputs!$B$43-B2132)&lt;=0,0,(INT(MAX(0,Inputs!$B$43-B2132)/(IF(Inputs!$B$38="pvp",15,MAX(0.1,Skills!E15-IF(TRUE=TRUE,Inputs!$B$32,0)))*(1-IF(AND(ArtifactsInput!$M$27,Inputs!$B$4="Chapter Hunt"),CHOOSE(ArtifactsInput!$N$27+1,20,24,28,32,36,40),0)/100)))+1)),0)</f>
        <v>2</v>
      </c>
      <c r="S2109">
        <f>IF(C2109,(H2109*N2109*IF(AND(Inputs!$B$38&lt;&gt;"pvp",Inputs!$B$43&gt;0),((Skills!G15*((R2109-1)*IF(Skills!H15&gt;0,Skills!I15/Skills!H15,1)+IF(Skills!H15&gt;0,MIN(Skills!I15,MAX(0,MAX(0,Inputs!$B$43-B2132)-((R2109-1)*(IF(Inputs!$B$38="pvp",15,MAX(0.1,Skills!E15-IF(TRUE=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2109">
        <f>IF(C2109,(H2109*N2109*IF(AND(Inputs!$B$38&lt;&gt;"pvp",Inputs!$B$43&gt;0),((Skills!G15*((R2109-1)*IF(Skills!H15&gt;0,Skills!I15/Skills!H15,1)+IF(Skills!H15&gt;0,MIN(Skills!I15,MAX(0,MAX(0,Inputs!$B$43-B2132)-((R2109-1)*(IF(Inputs!$B$38="pvp",15,MAX(0.1,Skills!E15-IF(TRUE=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2110" spans="1:26" x14ac:dyDescent="0.2">
      <c r="A2110" t="str">
        <f>Skills!A16</f>
        <v>FLAME_HAZE_DOT</v>
      </c>
      <c r="B2110" t="str">
        <f>Skills!B16</f>
        <v>Flame Haze (burn DoT)</v>
      </c>
      <c r="C2110" t="b">
        <f>Inputs!$B$3&gt;=107</f>
        <v>1</v>
      </c>
      <c r="D2110">
        <f>IF(Skills!C16=1,60+Inputs!$B$25+Inputs!$B$29,IF(Skills!C16=2,90+Inputs!$B$26+Inputs!$B$29,IF(Skills!C16=3,120+Inputs!$B$27+Inputs!$B$29,MAX(0,(Inputs!$B$3-100)*3)+Inputs!$B$28+Inputs!$B$29)))</f>
        <v>185</v>
      </c>
      <c r="E2110">
        <f>INDEX(FactorTable!$B$2:$Y$301, MATCH(ROUND(MIN(300,MAX(1,D2110)),0), FactorTable!$A$2:$A$301,0), Skills!M16+1)</f>
        <v>1925</v>
      </c>
      <c r="F2110">
        <f>IF(Skills!N16=TRUE,(Skills!L16/10)*(E2110/1000),Skills!L16/10)+Skills!O16</f>
        <v>288.75</v>
      </c>
      <c r="G2110">
        <f>Calc!G16</f>
        <v>30</v>
      </c>
      <c r="H2110">
        <f>Calc!H16</f>
        <v>1</v>
      </c>
      <c r="I2110">
        <f>IF(Skills!X16&lt;&gt;"",1+(Skills!X16/10)*(Z2097/1000)/100,1)</f>
        <v>1</v>
      </c>
      <c r="J2110">
        <f>((Inputs!$B$6*(1+Inputs!$B$7/100))+(((Inputs!$B$12*(1+Inputs!$B$13/100))-(Inputs!$B$12*(1+Inputs!$B$13/100)))+0.25*(Inputs!$B$14-Inputs!$B$14))*(1+Inputs!$B$7/100))*(F2110/100)</f>
        <v>1042775930.5165126</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5239670326654.0977</v>
      </c>
      <c r="L2110">
        <f>K2110*(MIN(Inputs!$B$22+(F2116-Calc!F22),(Inputs!$B$23+(IF(ArtifactsInput!$M$15,CHOOSE(ArtifactsInput!$N$15+1,25,30,35,40,45,50)/100*(Inputs!$B$11-Inputs!$B$11),0))))/100+(Inputs!$B$23+(IF(ArtifactsInput!$M$15,CHOOSE(ArtifactsInput!$N$15+1,25,30,35,40,45,50)/100*(Inputs!$B$11-Inputs!$B$11),0)))/100)/2</f>
        <v>17421903836124.875</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2110">
        <f>L2110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2110">
        <f>(1-Summary!$B$11)*S2110+Summary!$B$11*U2110</f>
        <v>1890384927888193</v>
      </c>
      <c r="P2110">
        <f>IF(B2135=0,0,O2110/B2135)</f>
        <v>5.7134032867313167E-2</v>
      </c>
      <c r="Q2110">
        <f>IFERROR(1/(IF(Inputs!$B$38="pvp",15,MAX(0.1,Skills!E16-IF(TRUE=TRUE,Inputs!$B$32,0)))*(1-IF(AND(ArtifactsInput!$M$27,Inputs!$B$4="Chapter Hunt"),CHOOSE(ArtifactsInput!$N$27+1,20,24,28,32,36,40),0)/100)),0)</f>
        <v>0.04</v>
      </c>
      <c r="R2110">
        <f>IF(AND(Inputs!$B$38&lt;&gt;"pvp",Inputs!$B$43&gt;0),IF(MAX(0,Inputs!$B$43-B2132)&lt;=0,0,(INT(MAX(0,Inputs!$B$43-B2132)/(IF(Inputs!$B$38="pvp",15,MAX(0.1,Skills!E16-IF(TRUE=TRUE,Inputs!$B$32,0)))*(1-IF(AND(ArtifactsInput!$M$27,Inputs!$B$4="Chapter Hunt"),CHOOSE(ArtifactsInput!$N$27+1,20,24,28,32,36,40),0)/100)))+1)),0)</f>
        <v>2</v>
      </c>
      <c r="S2110">
        <f>IF(C2110,(H2110*N2110*IF(AND(Inputs!$B$38&lt;&gt;"pvp",Inputs!$B$43&gt;0),((Skills!G16*((R2110-1)*IF(Skills!H16&gt;0,Skills!I16/Skills!H16,1)+IF(Skills!H16&gt;0,MIN(Skills!I16,MAX(0,MAX(0,Inputs!$B$43-B2132)-((R2110-1)*(IF(Inputs!$B$38="pvp",15,MAX(0.1,Skills!E16-IF(TRUE=TRUE,Inputs!$B$32,0)))*(1-IF(AND(ArtifactsInput!$M$27,Inputs!$B$4="Chapter Hunt"),CHOOSE(ArtifactsInput!$N$27+1,20,24,28,32,36,40),0)/100)))))/Skills!H16,1)))/Inputs!$B$43),G2110*Q2110)*(1+IF(Inputs!$B$3&gt;=126,0.05*(B2130+Q2107+(H2108*B2131)/(1+Skills!H14*H2108*B2131)+Q2118),0)*(1/Q2109)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2110">
        <f>IF(C2110,(H2110*N2110*IF(AND(Inputs!$B$38&lt;&gt;"pvp",Inputs!$B$43&gt;0),((Skills!G16*((R2110-1)*IF(Skills!H16&gt;0,Skills!I16/Skills!H16,1)+IF(Skills!H16&gt;0,MIN(Skills!I16,MAX(0,MAX(0,Inputs!$B$43-B2132)-((R2110-1)*(IF(Inputs!$B$38="pvp",15,MAX(0.1,Skills!E16-IF(TRUE=TRUE,Inputs!$B$32,0)))*(1-IF(AND(ArtifactsInput!$M$27,Inputs!$B$4="Chapter Hunt"),CHOOSE(ArtifactsInput!$N$27+1,20,24,28,32,36,40),0)/100)))))/Skills!H16,1)))/Inputs!$B$43),G2110*Q2110)*(1+IF(Inputs!$B$3&gt;=126,0.05*(B2130+Q2107+(H2108*B2131)/(1+Skills!H14*H2108*B2131)+Q2118),0)*(1/Q2109)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2111" spans="1:26" x14ac:dyDescent="0.2">
      <c r="A2111" t="str">
        <f>Skills!A17</f>
        <v>MAGIC_GUARD</v>
      </c>
      <c r="B2111" t="str">
        <f>Skills!B17</f>
        <v>Magic Guard</v>
      </c>
      <c r="C2111" t="b">
        <f>TRUE</f>
        <v>1</v>
      </c>
      <c r="D2111">
        <f>IF(Skills!C17=1,60+Inputs!$B$25+Inputs!$B$29,IF(Skills!C17=2,90+Inputs!$B$26+Inputs!$B$29,IF(Skills!C17=3,120+Inputs!$B$27+Inputs!$B$29,MAX(0,(Inputs!$B$3-100)*3)+Inputs!$B$28+Inputs!$B$29)))</f>
        <v>127</v>
      </c>
      <c r="E2111">
        <f>INDEX(FactorTable!$B$2:$Y$301, MATCH(ROUND(MIN(300,MAX(1,D2111)),0), FactorTable!$A$2:$A$301,0), Skills!M17+1)</f>
        <v>1508</v>
      </c>
      <c r="F2111">
        <f>IF(Skills!N17=TRUE,(Skills!L17/10)*(E2111/1000),Skills!L17/10)+Skills!O17</f>
        <v>18.096</v>
      </c>
      <c r="G2111">
        <f>Calc!G17</f>
        <v>1</v>
      </c>
      <c r="H2111">
        <f>Calc!H17</f>
        <v>1</v>
      </c>
      <c r="I2111">
        <f>IF(Skills!X17&lt;&gt;"",1+(Skills!X17/10)*(Z2097/1000)/100,1)</f>
        <v>1</v>
      </c>
      <c r="O2111">
        <f>(1-Summary!$B$11)*S2111+Summary!$B$11*U2111</f>
        <v>0</v>
      </c>
      <c r="P2111">
        <f>IF(B2135=0,0,O2111/B2135)</f>
        <v>0</v>
      </c>
      <c r="Q2111">
        <f>IFERROR(1/(IF(Inputs!$B$38="pvp",15,MAX(0.1,Skills!E17-IF(TRUE=TRUE,Inputs!$B$32,0)))*(1-IF(AND(ArtifactsInput!$M$27,Inputs!$B$4="Chapter Hunt"),CHOOSE(ArtifactsInput!$N$27+1,20,24,28,32,36,40),0)/100)),0)</f>
        <v>4.7619047619047616E-2</v>
      </c>
      <c r="R2111">
        <f>IF(AND(Inputs!$B$38&lt;&gt;"pvp",Inputs!$B$43&gt;0),IF(Inputs!$B$43&lt;=0,0,(INT(Inputs!$B$43/(IF(Inputs!$B$38="pvp",15,MAX(0.1,Skills!E17-IF(TRUE=TRUE,Inputs!$B$32,0)))*(1-IF(AND(ArtifactsInput!$M$27,Inputs!$B$4="Chapter Hunt"),CHOOSE(ArtifactsInput!$N$27+1,20,24,28,32,36,40),0)/100)))+1)),0)</f>
        <v>2</v>
      </c>
      <c r="S2111">
        <v>0</v>
      </c>
      <c r="U2111">
        <v>0</v>
      </c>
    </row>
    <row r="2112" spans="1:26" x14ac:dyDescent="0.2">
      <c r="A2112" t="str">
        <f>Skills!A18</f>
        <v>NIMBLE_FEET</v>
      </c>
      <c r="B2112" t="str">
        <f>Skills!B18</f>
        <v>Nimble Feet</v>
      </c>
      <c r="C2112" t="b">
        <f>TRUE</f>
        <v>1</v>
      </c>
      <c r="D2112">
        <f>IF(Skills!C18=1,60+Inputs!$B$25+Inputs!$B$29,IF(Skills!C18=2,90+Inputs!$B$26+Inputs!$B$29,IF(Skills!C18=3,120+Inputs!$B$27+Inputs!$B$29,MAX(0,(Inputs!$B$3-100)*3)+Inputs!$B$28+Inputs!$B$29)))</f>
        <v>127</v>
      </c>
      <c r="E2112">
        <f>INDEX(FactorTable!$B$2:$Y$301, MATCH(ROUND(MIN(300,MAX(1,D2112)),0), FactorTable!$A$2:$A$301,0), Skills!M18+1)</f>
        <v>0</v>
      </c>
      <c r="F2112">
        <f>IF(Skills!N18=TRUE,(Skills!L18/10)*(E2112/1000),Skills!L18/10)+Skills!O18</f>
        <v>15</v>
      </c>
      <c r="G2112">
        <f>Calc!G18</f>
        <v>1</v>
      </c>
      <c r="H2112">
        <f>Calc!H18</f>
        <v>1</v>
      </c>
      <c r="I2112">
        <f>IF(Skills!X18&lt;&gt;"",1+(Skills!X18/10)*(Z2097/1000)/100,1)</f>
        <v>1</v>
      </c>
      <c r="O2112">
        <f>(1-Summary!$B$11)*S2112+Summary!$B$11*U2112</f>
        <v>0</v>
      </c>
      <c r="P2112">
        <f>IF(B2135=0,0,O2112/B2135)</f>
        <v>0</v>
      </c>
      <c r="Q2112">
        <f>IFERROR(1/(IF(Inputs!$B$38="pvp",15,MAX(0.1,Skills!E18-IF(TRUE=TRUE,Inputs!$B$32,0)))*(1-IF(AND(ArtifactsInput!$M$27,Inputs!$B$4="Chapter Hunt"),CHOOSE(ArtifactsInput!$N$27+1,20,24,28,32,36,40),0)/100)),0)</f>
        <v>1.6666666666666666E-2</v>
      </c>
      <c r="R2112">
        <f>IF(AND(Inputs!$B$38&lt;&gt;"pvp",Inputs!$B$43&gt;0),IF(Inputs!$B$43&lt;=0,0,(INT(Inputs!$B$43/(IF(Inputs!$B$38="pvp",15,MAX(0.1,Skills!E18-IF(TRUE=TRUE,Inputs!$B$32,0)))*(1-IF(AND(ArtifactsInput!$M$27,Inputs!$B$4="Chapter Hunt"),CHOOSE(ArtifactsInput!$N$27+1,20,24,28,32,36,40),0)/100)))+1)),0)</f>
        <v>1</v>
      </c>
      <c r="S2112">
        <v>0</v>
      </c>
      <c r="U2112">
        <v>0</v>
      </c>
    </row>
    <row r="2113" spans="1:21" x14ac:dyDescent="0.2">
      <c r="A2113" t="str">
        <f>Skills!A19</f>
        <v>INFINITY</v>
      </c>
      <c r="B2113" t="str">
        <f>Skills!B19</f>
        <v>Infinity</v>
      </c>
      <c r="C2113" t="b">
        <f>Inputs!$B$3&gt;=110</f>
        <v>1</v>
      </c>
      <c r="D2113">
        <f>IF(Skills!C19=1,60+Inputs!$B$25+Inputs!$B$29,IF(Skills!C19=2,90+Inputs!$B$26+Inputs!$B$29,IF(Skills!C19=3,120+Inputs!$B$27+Inputs!$B$29,MAX(0,(Inputs!$B$3-100)*3)+Inputs!$B$28+Inputs!$B$29)))</f>
        <v>185</v>
      </c>
      <c r="E2113">
        <f>INDEX(FactorTable!$B$2:$Y$301, MATCH(ROUND(MIN(300,MAX(1,D2113)),0), FactorTable!$A$2:$A$301,0), Skills!M19+1)</f>
        <v>1740</v>
      </c>
      <c r="F2113">
        <f>IF(Skills!N19=TRUE,(Skills!L19/10)*(E2113/1000),Skills!L19/10)+Skills!O19</f>
        <v>37.700579999999995</v>
      </c>
      <c r="G2113">
        <f>Calc!G19</f>
        <v>1</v>
      </c>
      <c r="H2113">
        <f>Calc!H19</f>
        <v>1</v>
      </c>
      <c r="I2113">
        <f>IF(Skills!X19&lt;&gt;"",1+(Skills!X19/10)*(Z2097/1000)/100,1)</f>
        <v>1</v>
      </c>
      <c r="O2113">
        <f>(1-Summary!$B$11)*S2113+Summary!$B$11*U2113</f>
        <v>0</v>
      </c>
      <c r="P2113">
        <f>IF(B2135=0,0,O2113/B2135)</f>
        <v>0</v>
      </c>
      <c r="Q2113">
        <f>IFERROR(1/(IF(Inputs!$B$38="pvp",15,MAX(0.1,Skills!E19-IF(TRUE=TRUE,Inputs!$B$32,0)))*(1-IF(AND(ArtifactsInput!$M$27,Inputs!$B$4="Chapter Hunt"),CHOOSE(ArtifactsInput!$N$27+1,20,24,28,32,36,40),0)/100)),0)</f>
        <v>3.3333333333333333E-2</v>
      </c>
      <c r="R2113">
        <f>IF(AND(Inputs!$B$38&lt;&gt;"pvp",Inputs!$B$43&gt;0),IF(Inputs!$B$43&lt;=0,0,(INT(Inputs!$B$43/(IF(Inputs!$B$38="pvp",15,MAX(0.1,Skills!E19-IF(TRUE=TRUE,Inputs!$B$32,0)))*(1-IF(AND(ArtifactsInput!$M$27,Inputs!$B$4="Chapter Hunt"),CHOOSE(ArtifactsInput!$N$27+1,20,24,28,32,36,40),0)/100)))+1)),0)</f>
        <v>2</v>
      </c>
      <c r="S2113">
        <v>0</v>
      </c>
      <c r="U2113">
        <v>0</v>
      </c>
    </row>
    <row r="2114" spans="1:21" x14ac:dyDescent="0.2">
      <c r="A2114" t="str">
        <f>Skills!A20</f>
        <v>MAGIC_CRITICAL_RATE</v>
      </c>
      <c r="B2114" t="str">
        <f>Skills!B20</f>
        <v>Magic Critical (Crit Rate)</v>
      </c>
      <c r="C2114" t="b">
        <f>TRUE</f>
        <v>1</v>
      </c>
      <c r="D2114">
        <f>IF(Skills!C20=1,60+Inputs!$B$25+Inputs!$B$29,IF(Skills!C20=2,90+Inputs!$B$26+Inputs!$B$29,IF(Skills!C20=3,120+Inputs!$B$27+Inputs!$B$29,MAX(0,(Inputs!$B$3-100)*3)+Inputs!$B$28+Inputs!$B$29)))</f>
        <v>184</v>
      </c>
      <c r="E2114">
        <f>INDEX(FactorTable!$B$2:$Y$301, MATCH(ROUND(MIN(300,MAX(1,D2114)),0), FactorTable!$A$2:$A$301,0), Skills!M20+1)</f>
        <v>1552</v>
      </c>
      <c r="F2114">
        <f>IF(Skills!N20=TRUE,(Skills!L20/10)*(E2114/1000),Skills!L20/10)+Skills!O20</f>
        <v>12.416</v>
      </c>
      <c r="G2114">
        <f>Calc!G20</f>
        <v>1</v>
      </c>
      <c r="H2114">
        <f>Calc!H20</f>
        <v>1</v>
      </c>
      <c r="I2114">
        <f>IF(Skills!X20&lt;&gt;"",1+(Skills!X20/10)*(Z2097/1000)/100,1)</f>
        <v>1</v>
      </c>
      <c r="O2114">
        <f>(1-Summary!$B$11)*S2114+Summary!$B$11*U2114</f>
        <v>0</v>
      </c>
      <c r="P2114">
        <f>IF(B2135=0,0,O2114/B2135)</f>
        <v>0</v>
      </c>
      <c r="Q2114">
        <f>IFERROR(1/(IF(Inputs!$B$38="pvp",15,MAX(0.1,Skills!E20-IF(TRUE=TRUE,Inputs!$B$32,0)))*(1-IF(AND(ArtifactsInput!$M$27,Inputs!$B$4="Chapter Hunt"),CHOOSE(ArtifactsInput!$N$27+1,20,24,28,32,36,40),0)/100)),0)</f>
        <v>10</v>
      </c>
      <c r="R2114">
        <v>0</v>
      </c>
      <c r="S2114">
        <v>0</v>
      </c>
      <c r="U2114">
        <v>0</v>
      </c>
    </row>
    <row r="2115" spans="1:21" x14ac:dyDescent="0.2">
      <c r="A2115" t="str">
        <f>Skills!A21</f>
        <v>MAGIC_CRITICAL_DAMAGE</v>
      </c>
      <c r="B2115" t="str">
        <f>Skills!B21</f>
        <v>Magic Critical (Crit Damage)</v>
      </c>
      <c r="C2115" t="b">
        <f>TRUE</f>
        <v>1</v>
      </c>
      <c r="D2115">
        <f>IF(Skills!C21=1,60+Inputs!$B$25+Inputs!$B$29,IF(Skills!C21=2,90+Inputs!$B$26+Inputs!$B$29,IF(Skills!C21=3,120+Inputs!$B$27+Inputs!$B$29,MAX(0,(Inputs!$B$3-100)*3)+Inputs!$B$28+Inputs!$B$29)))</f>
        <v>184</v>
      </c>
      <c r="E2115">
        <f>INDEX(FactorTable!$B$2:$Y$301, MATCH(ROUND(MIN(300,MAX(1,D2115)),0), FactorTable!$A$2:$A$301,0), Skills!M21+1)</f>
        <v>1552</v>
      </c>
      <c r="F2115">
        <f>IF(Skills!N21=TRUE,(Skills!L21/10)*(E2115/1000),Skills!L21/10)+Skills!O21</f>
        <v>18.624000000000002</v>
      </c>
      <c r="G2115">
        <f>Calc!G21</f>
        <v>1</v>
      </c>
      <c r="H2115">
        <f>Calc!H21</f>
        <v>1</v>
      </c>
      <c r="I2115">
        <f>IF(Skills!X21&lt;&gt;"",1+(Skills!X21/10)*(Z2097/1000)/100,1)</f>
        <v>1</v>
      </c>
      <c r="O2115">
        <f>(1-Summary!$B$11)*S2115+Summary!$B$11*U2115</f>
        <v>0</v>
      </c>
      <c r="P2115">
        <f>IF(B2135=0,0,O2115/B2135)</f>
        <v>0</v>
      </c>
      <c r="Q2115">
        <f>IFERROR(1/(IF(Inputs!$B$38="pvp",15,MAX(0.1,Skills!E21-IF(TRUE=TRUE,Inputs!$B$32,0)))*(1-IF(AND(ArtifactsInput!$M$27,Inputs!$B$4="Chapter Hunt"),CHOOSE(ArtifactsInput!$N$27+1,20,24,28,32,36,40),0)/100)),0)</f>
        <v>10</v>
      </c>
      <c r="R2115">
        <v>0</v>
      </c>
      <c r="S2115">
        <v>0</v>
      </c>
      <c r="U2115">
        <v>0</v>
      </c>
    </row>
    <row r="2116" spans="1:21" x14ac:dyDescent="0.2">
      <c r="A2116" t="str">
        <f>Skills!A22</f>
        <v>SPELL_MASTERY</v>
      </c>
      <c r="B2116" t="str">
        <f>Skills!B22</f>
        <v>Spell Mastery</v>
      </c>
      <c r="C2116" t="b">
        <f>TRUE</f>
        <v>1</v>
      </c>
      <c r="D2116">
        <f>IF(Skills!C22=1,60+Inputs!$B$25+Inputs!$B$29,IF(Skills!C22=2,90+Inputs!$B$26+Inputs!$B$29,IF(Skills!C22=3,120+Inputs!$B$27+Inputs!$B$29,MAX(0,(Inputs!$B$3-100)*3)+Inputs!$B$28+Inputs!$B$29)))</f>
        <v>168</v>
      </c>
      <c r="E2116">
        <f>INDEX(FactorTable!$B$2:$Y$301, MATCH(ROUND(MIN(300,MAX(1,D2116)),0), FactorTable!$A$2:$A$301,0), Skills!M22+1)</f>
        <v>1504</v>
      </c>
      <c r="F2116">
        <f>IF(Skills!N22=TRUE,(Skills!L22/10)*(E2116/1000),Skills!L22/10)+Skills!O22</f>
        <v>22.56</v>
      </c>
      <c r="G2116">
        <f>Calc!G22</f>
        <v>1</v>
      </c>
      <c r="H2116">
        <f>Calc!H22</f>
        <v>1</v>
      </c>
      <c r="I2116">
        <f>IF(Skills!X22&lt;&gt;"",1+(Skills!X22/10)*(Z2097/1000)/100,1)</f>
        <v>1</v>
      </c>
      <c r="O2116">
        <f>(1-Summary!$B$11)*S2116+Summary!$B$11*U2116</f>
        <v>0</v>
      </c>
      <c r="P2116">
        <f>IF(B2135=0,0,O2116/B2135)</f>
        <v>0</v>
      </c>
      <c r="Q2116">
        <f>IFERROR(1/(IF(Inputs!$B$38="pvp",15,MAX(0.1,Skills!E22-IF(TRUE=TRUE,Inputs!$B$32,0)))*(1-IF(AND(ArtifactsInput!$M$27,Inputs!$B$4="Chapter Hunt"),CHOOSE(ArtifactsInput!$N$27+1,20,24,28,32,36,40),0)/100)),0)</f>
        <v>10</v>
      </c>
      <c r="R2116">
        <v>0</v>
      </c>
      <c r="S2116">
        <v>0</v>
      </c>
      <c r="U2116">
        <v>0</v>
      </c>
    </row>
    <row r="2117" spans="1:21" x14ac:dyDescent="0.2">
      <c r="A2117" t="str">
        <f>Skills!A23</f>
        <v>ELEMENT_AMPLIFICATION</v>
      </c>
      <c r="B2117" t="str">
        <f>Skills!B23</f>
        <v>Element Amplification</v>
      </c>
      <c r="C2117" t="b">
        <f>TRUE</f>
        <v>1</v>
      </c>
      <c r="D2117">
        <f>IF(Skills!C23=1,60+Inputs!$B$25+Inputs!$B$29,IF(Skills!C23=2,90+Inputs!$B$26+Inputs!$B$29,IF(Skills!C23=3,120+Inputs!$B$27+Inputs!$B$29,MAX(0,(Inputs!$B$3-100)*3)+Inputs!$B$28+Inputs!$B$29)))</f>
        <v>185</v>
      </c>
      <c r="E2117">
        <f>INDEX(FactorTable!$B$2:$Y$301, MATCH(ROUND(MIN(300,MAX(1,D2117)),0), FactorTable!$A$2:$A$301,0), Skills!M23+1)</f>
        <v>1555</v>
      </c>
      <c r="F2117">
        <f>IF(Skills!N23=TRUE,(Skills!L23/10)*(E2117/1000),Skills!L23/10)+Skills!O23</f>
        <v>23.324999999999999</v>
      </c>
      <c r="G2117">
        <f>Calc!G23</f>
        <v>1</v>
      </c>
      <c r="H2117">
        <f>Calc!H23</f>
        <v>1</v>
      </c>
      <c r="I2117">
        <f>IF(Skills!X23&lt;&gt;"",1+(Skills!X23/10)*(Z2097/1000)/100,1)</f>
        <v>1</v>
      </c>
      <c r="O2117">
        <f>(1-Summary!$B$11)*S2117+Summary!$B$11*U2117</f>
        <v>0</v>
      </c>
      <c r="P2117">
        <f>IF(B2135=0,0,O2117/B2135)</f>
        <v>0</v>
      </c>
      <c r="Q2117">
        <f>IFERROR(1/(IF(Inputs!$B$38="pvp",15,MAX(0.1,Skills!E23-IF(TRUE=TRUE,Inputs!$B$32,0)))*(1-IF(AND(ArtifactsInput!$M$27,Inputs!$B$4="Chapter Hunt"),CHOOSE(ArtifactsInput!$N$27+1,20,24,28,32,36,40),0)/100)),0)</f>
        <v>10</v>
      </c>
      <c r="R2117">
        <v>0</v>
      </c>
      <c r="S2117">
        <v>0</v>
      </c>
      <c r="U2117">
        <v>0</v>
      </c>
    </row>
    <row r="2118" spans="1:21" x14ac:dyDescent="0.2">
      <c r="A2118" t="str">
        <f>Skills!A24</f>
        <v>IFRIT</v>
      </c>
      <c r="B2118" t="str">
        <f>Skills!B24</f>
        <v>Ifrit</v>
      </c>
      <c r="C2118" t="b">
        <f>Inputs!$B$3&gt;=115</f>
        <v>1</v>
      </c>
      <c r="D2118">
        <f>IF(Skills!C24=1,60+Inputs!$B$25+Inputs!$B$29,IF(Skills!C24=2,90+Inputs!$B$26+Inputs!$B$29,IF(Skills!C24=3,120+Inputs!$B$27+Inputs!$B$29,MAX(0,(Inputs!$B$3-100)*3)+Inputs!$B$28+Inputs!$B$29)))</f>
        <v>185</v>
      </c>
      <c r="E2118">
        <f>INDEX(FactorTable!$B$2:$Y$301, MATCH(ROUND(MIN(300,MAX(1,D2118)),0), FactorTable!$A$2:$A$301,0), Skills!M24+1)</f>
        <v>1925</v>
      </c>
      <c r="F2118">
        <f>IF(Skills!N24=TRUE,(Skills!L24/10)*(E2118/1000),Skills!L24/10)+Skills!O24</f>
        <v>6737.5</v>
      </c>
      <c r="G2118">
        <f>Calc!G24</f>
        <v>7.5</v>
      </c>
      <c r="H2118">
        <f>Calc!H24</f>
        <v>1</v>
      </c>
      <c r="I2118">
        <f>IF(Skills!X24&lt;&gt;"",1+(Skills!X24/10)*(Z2097/1000)/100,1)</f>
        <v>1</v>
      </c>
      <c r="J2118">
        <f>((Inputs!$B$6*(1+Inputs!$B$7/100))+(((Inputs!$B$12*(1+Inputs!$B$13/100))-(Inputs!$B$12*(1+Inputs!$B$13/100)))+0.25*(Inputs!$B$14-Inputs!$B$14))*(1+Inputs!$B$7/100))*(F2118/100)</f>
        <v>24331438378.718628</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122258974288595.61</v>
      </c>
      <c r="L2118">
        <f>K2118*(MIN(Inputs!$B$22+(F2116-Calc!F22),(Inputs!$B$23+(IF(ArtifactsInput!$M$15,CHOOSE(ArtifactsInput!$N$15+1,25,30,35,40,45,50)/100*(Inputs!$B$11-Inputs!$B$11),0))))/100+(Inputs!$B$23+(IF(ArtifactsInput!$M$15,CHOOSE(ArtifactsInput!$N$15+1,25,30,35,40,45,50)/100*(Inputs!$B$11-Inputs!$B$11),0)))/100)/2</f>
        <v>406511089509580.44</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2118">
        <f>L2118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2118">
        <f>(1-Summary!$B$11)*S2118+Summary!$B$11*U2118</f>
        <v>2194085169658842.8</v>
      </c>
      <c r="P2118">
        <f>IF(B2135=0,0,O2118/B2135)</f>
        <v>6.6312914553869617E-2</v>
      </c>
      <c r="Q2118">
        <f>IFERROR(1/(IF(Inputs!$B$38="pvp",15,MAX(0.1,Skills!E24-IF(TRUE=TRUE,Inputs!$B$32,0)))*(1-IF(AND(ArtifactsInput!$M$27,Inputs!$B$4="Chapter Hunt"),CHOOSE(ArtifactsInput!$N$27+1,20,24,28,32,36,40),0)/100)),0)</f>
        <v>1.2500000000000001E-2</v>
      </c>
      <c r="R2118">
        <f>IF(AND(Inputs!$B$38&lt;&gt;"pvp",Inputs!$B$43&gt;0),IF(MAX(0,Inputs!$B$43-B2132)&lt;=0,0,(INT(MAX(0,Inputs!$B$43-B2132)/(IF(Inputs!$B$38="pvp",15,MAX(0.1,Skills!E24-IF(TRUE=TRUE,Inputs!$B$32,0)))*(1-IF(AND(ArtifactsInput!$M$27,Inputs!$B$4="Chapter Hunt"),CHOOSE(ArtifactsInput!$N$27+1,20,24,28,32,36,40),0)/100)))+1)),0)</f>
        <v>1</v>
      </c>
      <c r="S2118">
        <f>IF(C2118,(H2118*N2118*IF(AND(Inputs!$B$38&lt;&gt;"pvp",Inputs!$B$43&gt;0),((Skills!G24*((R2118-1)*IF(Skills!H24&gt;0,Skills!I24/Skills!H24,1)+IF(Skills!H24&gt;0,MIN(Skills!I24,MAX(0,MAX(0,Inputs!$B$43-B2132)-((R2118-1)*(IF(Inputs!$B$38="pvp",15,MAX(0.1,Skills!E24-IF(TRUE=TRUE,Inputs!$B$32,0)))*(1-IF(AND(ArtifactsInput!$M$27,Inputs!$B$4="Chapter Hunt"),CHOOSE(ArtifactsInput!$N$27+1,20,24,28,32,36,40),0)/100)))))/Skills!H24,1)))/Inputs!$B$43),G2118*Q2118)*(1+IF(Inputs!$B$3&gt;=130,0.2*(Skills!I16/(1/Q2109)+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2118">
        <f>IF(C2118,(H2118*N2118*IF(AND(Inputs!$B$38&lt;&gt;"pvp",Inputs!$B$43&gt;0),((Skills!G24*((R2118-1)*IF(Skills!H24&gt;0,Skills!I24/Skills!H24,1)+IF(Skills!H24&gt;0,MIN(Skills!I24,MAX(0,MAX(0,Inputs!$B$43-B2132)-((R2118-1)*(IF(Inputs!$B$38="pvp",15,MAX(0.1,Skills!E24-IF(TRUE=TRUE,Inputs!$B$32,0)))*(1-IF(AND(ArtifactsInput!$M$27,Inputs!$B$4="Chapter Hunt"),CHOOSE(ArtifactsInput!$N$27+1,20,24,28,32,36,40),0)/100)))))/Skills!H24,1)))/Inputs!$B$43),G2118*Q2118)*(1+IF(Inputs!$B$3&gt;=130,0.2*(Skills!I16/(1/Q2109)+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2119" spans="1:21" x14ac:dyDescent="0.2">
      <c r="A2119" t="str">
        <f>Skills!A25</f>
        <v>BUFF_MASTERY</v>
      </c>
      <c r="B2119" t="str">
        <f>Skills!B25</f>
        <v>Buff Mastery</v>
      </c>
      <c r="C2119" t="b">
        <f>Inputs!$B$3&gt;=117</f>
        <v>1</v>
      </c>
      <c r="D2119">
        <f>IF(Skills!C25=1,60+Inputs!$B$25+Inputs!$B$29,IF(Skills!C25=2,90+Inputs!$B$26+Inputs!$B$29,IF(Skills!C25=3,120+Inputs!$B$27+Inputs!$B$29,MAX(0,(Inputs!$B$3-100)*3)+Inputs!$B$28+Inputs!$B$29)))</f>
        <v>185</v>
      </c>
      <c r="E2119">
        <f>INDEX(FactorTable!$B$2:$Y$301, MATCH(ROUND(MIN(300,MAX(1,D2119)),0), FactorTable!$A$2:$A$301,0), Skills!M25+1)</f>
        <v>1555</v>
      </c>
      <c r="F2119">
        <f>IF(Skills!N25=TRUE,(Skills!L25/10)*(E2119/1000),Skills!L25/10)+Skills!O25</f>
        <v>15.549999999999999</v>
      </c>
      <c r="G2119">
        <f>Calc!G25</f>
        <v>1</v>
      </c>
      <c r="H2119">
        <f>Calc!H25</f>
        <v>1</v>
      </c>
      <c r="I2119">
        <f>IF(Skills!X25&lt;&gt;"",1+(Skills!X25/10)*(Z2097/1000)/100,1)</f>
        <v>1</v>
      </c>
      <c r="O2119">
        <f>(1-Summary!$B$11)*S2119+Summary!$B$11*U2119</f>
        <v>0</v>
      </c>
      <c r="P2119">
        <f>IF(B2135=0,0,O2119/B2135)</f>
        <v>0</v>
      </c>
      <c r="Q2119">
        <f>IFERROR(1/(IF(Inputs!$B$38="pvp",15,MAX(0.1,Skills!E25-IF(TRUE=TRUE,Inputs!$B$32,0)))*(1-IF(AND(ArtifactsInput!$M$27,Inputs!$B$4="Chapter Hunt"),CHOOSE(ArtifactsInput!$N$27+1,20,24,28,32,36,40),0)/100)),0)</f>
        <v>10</v>
      </c>
      <c r="R2119">
        <v>0</v>
      </c>
      <c r="S2119">
        <v>0</v>
      </c>
      <c r="U2119">
        <v>0</v>
      </c>
    </row>
    <row r="2120" spans="1:21" x14ac:dyDescent="0.2">
      <c r="A2120" t="str">
        <f>Skills!A26</f>
        <v>ARCANE_AIM</v>
      </c>
      <c r="B2120" t="str">
        <f>Skills!B26</f>
        <v>Arcane Aim</v>
      </c>
      <c r="C2120" t="b">
        <f>Inputs!$B$3&gt;=120</f>
        <v>0</v>
      </c>
      <c r="D2120">
        <f>IF(Skills!C26=1,60+Inputs!$B$25+Inputs!$B$29,IF(Skills!C26=2,90+Inputs!$B$26+Inputs!$B$29,IF(Skills!C26=3,120+Inputs!$B$27+Inputs!$B$29,MAX(0,(Inputs!$B$3-100)*3)+Inputs!$B$28+Inputs!$B$29)))</f>
        <v>185</v>
      </c>
      <c r="E2120">
        <f>INDEX(FactorTable!$B$2:$Y$301, MATCH(ROUND(MIN(300,MAX(1,D2120)),0), FactorTable!$A$2:$A$301,0), Skills!M26+1)</f>
        <v>1555</v>
      </c>
      <c r="F2120">
        <f>IF(Skills!N26=TRUE,(Skills!L26/10)*(E2120/1000),Skills!L26/10)+Skills!O26</f>
        <v>4.665</v>
      </c>
      <c r="G2120">
        <f>Calc!G26</f>
        <v>1</v>
      </c>
      <c r="H2120">
        <f>Calc!H26</f>
        <v>1</v>
      </c>
      <c r="I2120">
        <f>IF(Skills!X26&lt;&gt;"",1+(Skills!X26/10)*(Z2097/1000)/100,1)</f>
        <v>1</v>
      </c>
      <c r="O2120">
        <f>(1-Summary!$B$11)*S2120+Summary!$B$11*U2120</f>
        <v>0</v>
      </c>
      <c r="P2120">
        <f>IF(B2135=0,0,O2120/B2135)</f>
        <v>0</v>
      </c>
      <c r="Q2120">
        <f>IFERROR(1/(IF(Inputs!$B$38="pvp",15,MAX(0.1,Skills!E26-IF(TRUE=TRUE,Inputs!$B$32,0)))*(1-IF(AND(ArtifactsInput!$M$27,Inputs!$B$4="Chapter Hunt"),CHOOSE(ArtifactsInput!$N$27+1,20,24,28,32,36,40),0)/100)),0)</f>
        <v>10</v>
      </c>
      <c r="R2120">
        <v>0</v>
      </c>
      <c r="S2120">
        <v>0</v>
      </c>
      <c r="U2120">
        <v>0</v>
      </c>
    </row>
    <row r="2121" spans="1:21" x14ac:dyDescent="0.2">
      <c r="A2121" t="str">
        <f>Skills!A27</f>
        <v>FERVENT_DRAIN</v>
      </c>
      <c r="B2121" t="str">
        <f>Skills!B27</f>
        <v>Fervent Drain</v>
      </c>
      <c r="C2121" t="b">
        <f>Inputs!$B$3&gt;=125</f>
        <v>0</v>
      </c>
      <c r="D2121">
        <f>IF(Skills!C27=1,60+Inputs!$B$25+Inputs!$B$29,IF(Skills!C27=2,90+Inputs!$B$26+Inputs!$B$29,IF(Skills!C27=3,120+Inputs!$B$27+Inputs!$B$29,MAX(0,(Inputs!$B$3-100)*3)+Inputs!$B$28+Inputs!$B$29)))</f>
        <v>185</v>
      </c>
      <c r="E2121">
        <f>INDEX(FactorTable!$B$2:$Y$301, MATCH(ROUND(MIN(300,MAX(1,D2121)),0), FactorTable!$A$2:$A$301,0), Skills!M27+1)</f>
        <v>1555</v>
      </c>
      <c r="F2121">
        <f>IF(Skills!N27=TRUE,(Skills!L27/10)*(E2121/1000),Skills!L27/10)+Skills!O27</f>
        <v>6.22</v>
      </c>
      <c r="G2121">
        <f>Calc!G27</f>
        <v>1</v>
      </c>
      <c r="H2121">
        <f>Calc!H27</f>
        <v>1</v>
      </c>
      <c r="I2121">
        <f>IF(Skills!X27&lt;&gt;"",1+(Skills!X27/10)*(Z2097/1000)/100,1)</f>
        <v>1</v>
      </c>
      <c r="O2121">
        <f>(1-Summary!$B$11)*S2121+Summary!$B$11*U2121</f>
        <v>0</v>
      </c>
      <c r="P2121">
        <f>IF(B2135=0,0,O2121/B2135)</f>
        <v>0</v>
      </c>
      <c r="Q2121">
        <f>IFERROR(1/(IF(Inputs!$B$38="pvp",15,MAX(0.1,Skills!E27-IF(TRUE=TRUE,Inputs!$B$32,0)))*(1-IF(AND(ArtifactsInput!$M$27,Inputs!$B$4="Chapter Hunt"),CHOOSE(ArtifactsInput!$N$27+1,20,24,28,32,36,40),0)/100)),0)</f>
        <v>10</v>
      </c>
      <c r="R2121">
        <v>0</v>
      </c>
      <c r="S2121">
        <v>0</v>
      </c>
      <c r="U2121">
        <v>0</v>
      </c>
    </row>
    <row r="2122" spans="1:21" x14ac:dyDescent="0.2">
      <c r="A2122" t="str">
        <f>Skills!A28</f>
        <v>FLAME_HAZE_FOG</v>
      </c>
      <c r="B2122" t="str">
        <f>Skills!B28</f>
        <v>Flame Haze (poison fog DoT)</v>
      </c>
      <c r="C2122" t="b">
        <f>Inputs!$B$3&gt;=118</f>
        <v>0</v>
      </c>
      <c r="D2122">
        <f>IF(Skills!C28=1,60+Inputs!$B$25+Inputs!$B$29,IF(Skills!C28=2,90+Inputs!$B$26+Inputs!$B$29,IF(Skills!C28=3,120+Inputs!$B$27+Inputs!$B$29,MAX(0,(Inputs!$B$3-100)*3)+Inputs!$B$28+Inputs!$B$29)))</f>
        <v>185</v>
      </c>
      <c r="E2122">
        <f>INDEX(FactorTable!$B$2:$Y$301, MATCH(ROUND(MIN(300,MAX(1,D2122)),0), FactorTable!$A$2:$A$301,0), Skills!M28+1)</f>
        <v>1925</v>
      </c>
      <c r="F2122">
        <f>IF(Skills!N28=TRUE,(Skills!L28/10)*(E2122/1000),Skills!L28/10)+Skills!O28</f>
        <v>134.75</v>
      </c>
      <c r="G2122">
        <f>Calc!G28</f>
        <v>50</v>
      </c>
      <c r="H2122">
        <f>Calc!H28</f>
        <v>1</v>
      </c>
      <c r="I2122">
        <f>IF(Skills!X28&lt;&gt;"",1+(Skills!X28/10)*(Z2097/1000)/100,1)</f>
        <v>1</v>
      </c>
      <c r="J2122">
        <f>((Inputs!$B$6*(1+Inputs!$B$7/100))+(((Inputs!$B$12*(1+Inputs!$B$13/100))-(Inputs!$B$12*(1+Inputs!$B$13/100)))+0.25*(Inputs!$B$14-Inputs!$B$14))*(1+Inputs!$B$7/100))*(F2122/100)</f>
        <v>486628767.57437253</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2445179485771.9116</v>
      </c>
      <c r="L2122">
        <f>K2122*(MIN(Inputs!$B$22+(F2116-Calc!F22),(Inputs!$B$23+(IF(ArtifactsInput!$M$15,CHOOSE(ArtifactsInput!$N$15+1,25,30,35,40,45,50)/100*(Inputs!$B$11-Inputs!$B$11),0))))/100+(Inputs!$B$23+(IF(ArtifactsInput!$M$15,CHOOSE(ArtifactsInput!$N$15+1,25,30,35,40,45,50)/100*(Inputs!$B$11-Inputs!$B$11),0)))/100)/2</f>
        <v>8130221790191.6064</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2122">
        <f>L2122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2122">
        <f>(1-Summary!$B$11)*S2122+Summary!$B$11*U2122</f>
        <v>0</v>
      </c>
      <c r="P2122">
        <f>IF(B2135=0,0,O2122/B2135)</f>
        <v>0</v>
      </c>
      <c r="Q2122">
        <f>IFERROR(1/(IF(Inputs!$B$38="pvp",15,MAX(0.1,Skills!E28-IF(TRUE=TRUE,Inputs!$B$32,0)))*(1-IF(AND(ArtifactsInput!$M$27,Inputs!$B$4="Chapter Hunt"),CHOOSE(ArtifactsInput!$N$27+1,20,24,28,32,36,40),0)/100)),0)</f>
        <v>0.04</v>
      </c>
      <c r="R2122">
        <f>IF(AND(Inputs!$B$38&lt;&gt;"pvp",Inputs!$B$43&gt;0),IF(MAX(0,Inputs!$B$43-B2132)&lt;=0,0,(INT(MAX(0,Inputs!$B$43-B2132)/(IF(Inputs!$B$38="pvp",15,MAX(0.1,Skills!E28-IF(TRUE=TRUE,Inputs!$B$32,0)))*(1-IF(AND(ArtifactsInput!$M$27,Inputs!$B$4="Chapter Hunt"),CHOOSE(ArtifactsInput!$N$27+1,20,24,28,32,36,40),0)/100)))+1)),0)</f>
        <v>2</v>
      </c>
      <c r="S2122">
        <f>IF(C2122,(H2122*N2122*IF(AND(Inputs!$B$38&lt;&gt;"pvp",Inputs!$B$43&gt;0),((Skills!G28*((R2122-1)*IF(Skills!H28&gt;0,Skills!I28/Skills!H28,1)+IF(Skills!H28&gt;0,MIN(Skills!I28,MAX(0,MAX(0,Inputs!$B$43-B2132)-((R2122-1)*(IF(Inputs!$B$38="pvp",15,MAX(0.1,Skills!E28-IF(TRUE=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122">
        <f>IF(C2122,(H2122*N2122*IF(AND(Inputs!$B$38&lt;&gt;"pvp",Inputs!$B$43&gt;0),((Skills!G28*((R2122-1)*IF(Skills!H28&gt;0,Skills!I28/Skills!H28,1)+IF(Skills!H28&gt;0,MIN(Skills!I28,MAX(0,MAX(0,Inputs!$B$43-B2132)-((R2122-1)*(IF(Inputs!$B$38="pvp",15,MAX(0.1,Skills!E28-IF(TRUE=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124" spans="1:21" x14ac:dyDescent="0.2">
      <c r="A2124" t="s">
        <v>356</v>
      </c>
      <c r="B2124">
        <f>1+(F2105*Skills!Z11)/100</f>
        <v>1.25</v>
      </c>
    </row>
    <row r="2125" spans="1:21" x14ac:dyDescent="0.2">
      <c r="A2125" t="s">
        <v>435</v>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1.18624</v>
      </c>
    </row>
    <row r="2126" spans="1:21" x14ac:dyDescent="0.2">
      <c r="A2126" t="s">
        <v>358</v>
      </c>
      <c r="B2126">
        <f>(1+(F2100*IF(AND(Inputs!$B$38&lt;&gt;"pvp",Inputs!$B$43&gt;0),(((R2100-1)*MIN((Skills!T6*(1+((Inputs!$B$34+(ArtifactsInput!$M$7-ArtifactsInput!$M$7)*CHOOSE(ArtifactsInput!$N$7+1,6,7.2,8.4,9.6,10.8,12)))/100)),(1/Q2100))+MIN((Skills!T6*(1+((Inputs!$B$34+(ArtifactsInput!$M$7-ArtifactsInput!$M$7)*CHOOSE(ArtifactsInput!$N$7+1,6,7.2,8.4,9.6,10.8,12)))/100)),MAX(0,Inputs!$B$43-((R2100-1)*(1/Q2100)))))/Inputs!$B$43),IF(Inputs!$B$38="pvp",MIN((Skills!T6*(1+((Inputs!$B$34+(ArtifactsInput!$M$7-ArtifactsInput!$M$7)*CHOOSE(ArtifactsInput!$N$7+1,6,7.2,8.4,9.6,10.8,12)))/100)),15)/15,MIN(1,(Skills!T6*(1+((Inputs!$B$34+(ArtifactsInput!$M$7-ArtifactsInput!$M$7)*CHOOSE(ArtifactsInput!$N$7+1,6,7.2,8.4,9.6,10.8,12)))/100))/(1/Q2100))))+F2111*IF(AND(Inputs!$B$38&lt;&gt;"pvp",Inputs!$B$43&gt;0),(((R2111-1)*MIN((Skills!T17*(1+((Inputs!$B$34+(ArtifactsInput!$M$7-ArtifactsInput!$M$7)*CHOOSE(ArtifactsInput!$N$7+1,6,7.2,8.4,9.6,10.8,12)))/100)),(1/Q2111))+MIN((Skills!T17*(1+((Inputs!$B$34+(ArtifactsInput!$M$7-ArtifactsInput!$M$7)*CHOOSE(ArtifactsInput!$N$7+1,6,7.2,8.4,9.6,10.8,12)))/100)),MAX(0,Inputs!$B$43-((R2111-1)*(1/Q2111)))))/Inputs!$B$43),IF(Inputs!$B$38="pvp",MIN((Skills!T17*(1+((Inputs!$B$34+(ArtifactsInput!$M$7-ArtifactsInput!$M$7)*CHOOSE(ArtifactsInput!$N$7+1,6,7.2,8.4,9.6,10.8,12)))/100)),15)/15,MIN(1,(Skills!T17*(1+((Inputs!$B$34+(ArtifactsInput!$M$7-ArtifactsInput!$M$7)*CHOOSE(ArtifactsInput!$N$7+1,6,7.2,8.4,9.6,10.8,12)))/100))/(1/Q2111)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MIN((Skills!T19*(1+((Inputs!$B$34+(ArtifactsInput!$M$7-ArtifactsInput!$M$7)*CHOOSE(ArtifactsInput!$N$7+1,6,7.2,8.4,9.6,10.8,12)))/100)),(1/Q2113))+MIN((Skills!T19*(1+((Inputs!$B$34+(ArtifactsInput!$M$7-ArtifactsInput!$M$7)*CHOOSE(ArtifactsInput!$N$7+1,6,7.2,8.4,9.6,10.8,12)))/100)),MAX(0,Inputs!$B$43-((R2113-1)*(1/Q2113)))))/Inputs!$B$43),IF(Inputs!$B$38="pvp",MIN((Skills!T19*(1+((Inputs!$B$34+(ArtifactsInput!$M$7-ArtifactsInput!$M$7)*CHOOSE(ArtifactsInput!$N$7+1,6,7.2,8.4,9.6,10.8,12)))/100)),15)/15,MIN(1,(Skills!T19*(1+((Inputs!$B$34+(ArtifactsInput!$M$7-ArtifactsInput!$M$7)*CHOOSE(ArtifactsInput!$N$7+1,6,7.2,8.4,9.6,10.8,12)))/100))/(1/Q2113))))/100),1)</f>
        <v>1.7965808377980694</v>
      </c>
    </row>
    <row r="2127" spans="1:21" x14ac:dyDescent="0.2">
      <c r="A2127" t="s">
        <v>359</v>
      </c>
      <c r="B2127">
        <f>F2112*IF(AND(Inputs!$B$38&lt;&gt;"pvp",Inputs!$B$43&gt;0),(((R2112-1)*MIN((Skills!T18*(1+((Inputs!$B$34+(ArtifactsInput!$M$7-ArtifactsInput!$M$7)*CHOOSE(ArtifactsInput!$N$7+1,6,7.2,8.4,9.6,10.8,12)))/100)),(1/Q2112))+MIN((Skills!T18*(1+((Inputs!$B$34+(ArtifactsInput!$M$7-ArtifactsInput!$M$7)*CHOOSE(ArtifactsInput!$N$7+1,6,7.2,8.4,9.6,10.8,12)))/100)),MAX(0,Inputs!$B$43-((R2112-1)*(1/Q2112)))))/Inputs!$B$43),IF(Inputs!$B$38="pvp",MIN((Skills!T18*(1+((Inputs!$B$34+(ArtifactsInput!$M$7-ArtifactsInput!$M$7)*CHOOSE(ArtifactsInput!$N$7+1,6,7.2,8.4,9.6,10.8,12)))/100)),15)/15,MIN(1,(Skills!T18*(1+((Inputs!$B$34+(ArtifactsInput!$M$7-ArtifactsInput!$M$7)*CHOOSE(ArtifactsInput!$N$7+1,6,7.2,8.4,9.6,10.8,12)))/100))/(1/Q2112))))</f>
        <v>6.4968749999999993</v>
      </c>
    </row>
    <row r="2128" spans="1:21" x14ac:dyDescent="0.2">
      <c r="A2128" t="s">
        <v>436</v>
      </c>
      <c r="B2128">
        <f>1+MIN(150,150*(1-(1-(Inputs!$B$11+(ArtifactsInput!$M$15-ArtifactsInput!$M$15)*CHOOSE(ArtifactsInput!$N$15+1,8,9.6,11.2,12.8,14.4,16))/150)*(1-B2127/150)))/100</f>
        <v>1.6982958749999999</v>
      </c>
    </row>
    <row r="2129" spans="1:26" x14ac:dyDescent="0.2">
      <c r="A2129" t="s">
        <v>437</v>
      </c>
      <c r="B2129">
        <f>IF(AND(Inputs!$B$38&lt;&gt;"pvp",Inputs!$B$43&gt;0),SUMPRODUCT((Skills!F2:F28=TRUE)*(C2096:C2122=TRUE)*R2096:R2122)/Inputs!$B$43,SUMPRODUCT((Skills!F2:F28=TRUE)*(C2096:C2122=TRUE)*Q2096:Q2122))</f>
        <v>0.47499999999999998</v>
      </c>
    </row>
    <row r="2130" spans="1:26" x14ac:dyDescent="0.2">
      <c r="A2130" t="s">
        <v>362</v>
      </c>
      <c r="B2130">
        <f>MAX(0,B2128-B2129)</f>
        <v>1.2232958749999998</v>
      </c>
    </row>
    <row r="2131" spans="1:26" x14ac:dyDescent="0.2">
      <c r="A2131" t="s">
        <v>438</v>
      </c>
      <c r="B2131">
        <f>IF(AND(Inputs!$B$38&lt;&gt;"pvp",Inputs!$B$43&gt;0),SUMPRODUCT((Skills!V2:V28=TRUE)*(C2096:C2122=TRUE)*R2096:R2122*Skills!W2:W28)/Inputs!$B$43,SUMPRODUCT((Skills!V2:V28=TRUE)*(C2096:C2122=TRUE)*Q2096:Q2122*Skills!W2:W28))+B2130</f>
        <v>1.5482958749999998</v>
      </c>
    </row>
    <row r="2132" spans="1:26" x14ac:dyDescent="0.2">
      <c r="A2132" t="s">
        <v>439</v>
      </c>
      <c r="B2132">
        <f>IF(AND(Inputs!$B$38&lt;&gt;"pvp",Inputs!$B$43&gt;0),SUMPRODUCT((Skills!T2:T28&gt;0)*(Skills!F2:F28=TRUE)*(C2096:C2122=TRUE))/B2128,0)</f>
        <v>2.3553021937358238</v>
      </c>
    </row>
    <row r="2133" spans="1:26" x14ac:dyDescent="0.2">
      <c r="A2133" t="s">
        <v>440</v>
      </c>
      <c r="B2133">
        <f>SUM(S2096:S2122)</f>
        <v>9517263078933292</v>
      </c>
    </row>
    <row r="2134" spans="1:26" x14ac:dyDescent="0.2">
      <c r="A2134" t="s">
        <v>441</v>
      </c>
      <c r="B2134">
        <f>SUM(U2096:U2122)</f>
        <v>5.6656428257660488E+16</v>
      </c>
    </row>
    <row r="2135" spans="1:26" x14ac:dyDescent="0.2">
      <c r="A2135" s="6" t="s">
        <v>348</v>
      </c>
      <c r="B2135" s="6">
        <f>SUM(O2096:O2122)</f>
        <v>3.3086845668296892E+16</v>
      </c>
    </row>
    <row r="2138" spans="1:26" x14ac:dyDescent="0.2">
      <c r="A2138" s="6" t="s">
        <v>488</v>
      </c>
    </row>
    <row r="2139" spans="1:26" x14ac:dyDescent="0.2">
      <c r="A2139" s="5" t="s">
        <v>136</v>
      </c>
      <c r="B2139" s="5" t="s">
        <v>137</v>
      </c>
      <c r="C2139" s="5" t="s">
        <v>328</v>
      </c>
      <c r="D2139" s="5" t="s">
        <v>329</v>
      </c>
      <c r="E2139" s="5" t="s">
        <v>330</v>
      </c>
      <c r="F2139" s="5" t="s">
        <v>331</v>
      </c>
      <c r="G2139" s="5" t="s">
        <v>332</v>
      </c>
      <c r="H2139" s="5" t="s">
        <v>333</v>
      </c>
      <c r="I2139" s="5" t="s">
        <v>334</v>
      </c>
      <c r="J2139" s="5" t="s">
        <v>335</v>
      </c>
      <c r="K2139" s="5" t="s">
        <v>336</v>
      </c>
      <c r="L2139" s="5" t="s">
        <v>337</v>
      </c>
      <c r="M2139" s="5" t="s">
        <v>338</v>
      </c>
      <c r="N2139" s="5" t="s">
        <v>339</v>
      </c>
      <c r="O2139" s="5" t="s">
        <v>340</v>
      </c>
      <c r="P2139" s="5" t="s">
        <v>341</v>
      </c>
      <c r="R2139" t="s">
        <v>434</v>
      </c>
    </row>
    <row r="2140" spans="1:26" x14ac:dyDescent="0.2">
      <c r="A2140" t="str">
        <f>Skills!A2</f>
        <v>BASIC_ATTACK</v>
      </c>
      <c r="B2140" t="str">
        <f>Skills!B2</f>
        <v>Basic Attack</v>
      </c>
      <c r="C2140" t="b">
        <f>TRUE</f>
        <v>1</v>
      </c>
      <c r="F2140">
        <f>T2142+Skills!O2</f>
        <v>537.6</v>
      </c>
      <c r="G2140">
        <f>Calc!G2</f>
        <v>5</v>
      </c>
      <c r="H2140">
        <f>Calc!H2</f>
        <v>1</v>
      </c>
      <c r="I2140">
        <f>IF(Skills!X2&lt;&gt;"",1+(Skills!X2/10)*(Z2141/1000)/100,1)</f>
        <v>1</v>
      </c>
      <c r="J2140">
        <f>((Inputs!$B$6*(1+Inputs!$B$7/100))+(((Inputs!$B$12*(1+Inputs!$B$13/100))-(Inputs!$B$12*(1+Inputs!$B$13/100)))+0.25*(Inputs!$B$14-Inputs!$B$14))*(1+Inputs!$B$7/100))*(F2140/100)</f>
        <v>1941459186.9980164</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6620290711466.1074</v>
      </c>
      <c r="L2140">
        <f>K2140*(MIN(Inputs!$B$22+(F2160-Calc!F22),(Inputs!$B$23+(IF(ArtifactsInput!$M$15,CHOOSE(ArtifactsInput!$N$15+1,25,30,35,40,45,50)/100*(Inputs!$B$11-Inputs!$B$11),0))))/100+(Inputs!$B$23+(IF(ArtifactsInput!$M$15,CHOOSE(ArtifactsInput!$N$15+1,25,30,35,40,45,50)/100*(Inputs!$B$11-Inputs!$B$11),0)))/100)/2</f>
        <v>22012466615624.809</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2140">
        <f>L2140*(1-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2140">
        <f>(1-Summary!$B$11)*S2140+Summary!$B$11*U2140</f>
        <v>1.251342481087288E+16</v>
      </c>
      <c r="P2140">
        <f>IF(B2179=0,0,O2140/B2179)</f>
        <v>0.378199388854495</v>
      </c>
      <c r="Q2140">
        <f>IFERROR(1/(IF(Inputs!$B$38="pvp",15,MAX(0.1,Skills!E2-IF(TRUE=TRUE,Inputs!$B$32,0)))*(1-IF(AND(ArtifactsInput!$M$27,Inputs!$B$4="Chapter Hunt"),CHOOSE(ArtifactsInput!$N$27+1,20,24,28,32,36,40),0)/100)),0)</f>
        <v>10</v>
      </c>
      <c r="R2140">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2140">
        <f>MAX(0,(Inputs!$B$3-100)*3)+Inputs!$B$28+Inputs!$B$29</f>
        <v>185</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2140">
        <f>MAX(0,(Inputs!$B$3-100)*3)+Inputs!$B$28+Inputs!$B$29</f>
        <v>185</v>
      </c>
    </row>
    <row r="2141" spans="1:26" x14ac:dyDescent="0.2">
      <c r="A2141" t="str">
        <f>Skills!A3</f>
        <v>IGNITE</v>
      </c>
      <c r="B2141" t="str">
        <f>Skills!B3</f>
        <v>Ignite</v>
      </c>
      <c r="C2141" t="b">
        <f>TRUE</f>
        <v>1</v>
      </c>
      <c r="D2141">
        <f>IF(Skills!C3=1,60+Inputs!$B$25+Inputs!$B$29,IF(Skills!C3=2,90+Inputs!$B$26+Inputs!$B$29,IF(Skills!C3=3,120+Inputs!$B$27+Inputs!$B$29,MAX(0,(Inputs!$B$3-100)*3)+Inputs!$B$28+Inputs!$B$29)))</f>
        <v>168</v>
      </c>
      <c r="E2141">
        <f>INDEX(FactorTable!$B$2:$Y$301, MATCH(ROUND(MIN(300,MAX(1,D2141)),0), FactorTable!$A$2:$A$301,0), Skills!M3+1)</f>
        <v>1672</v>
      </c>
      <c r="F2141">
        <f>IF(Skills!N3=TRUE,(Skills!L3/10)*(E2141/1000),Skills!L3/10)+Skills!O3</f>
        <v>121.736</v>
      </c>
      <c r="G2141">
        <f>Calc!G3</f>
        <v>3</v>
      </c>
      <c r="H2141">
        <f>Calc!H3</f>
        <v>1</v>
      </c>
      <c r="I2141">
        <f>IF(Skills!X3&lt;&gt;"",1+(Skills!X3/10)*(Z2141/1000)/100,1)</f>
        <v>4.8250000000000002</v>
      </c>
      <c r="J2141">
        <f>((Inputs!$B$6*(1+Inputs!$B$7/100))+(((Inputs!$B$12*(1+Inputs!$B$13/100))-(Inputs!$B$12*(1+Inputs!$B$13/100)))+0.25*(Inputs!$B$14-Inputs!$B$14))*(1+Inputs!$B$7/100))*(F2141/100)</f>
        <v>439630720.9605478</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10658554617221.965</v>
      </c>
      <c r="L2141">
        <f>K2141*(MIN(Inputs!$B$22+(F2160-Calc!F22),(Inputs!$B$23+(IF(ArtifactsInput!$M$15,CHOOSE(ArtifactsInput!$N$15+1,25,30,35,40,45,50)/100*(Inputs!$B$11-Inputs!$B$11),0))))/100+(Inputs!$B$23+(IF(ArtifactsInput!$M$15,CHOOSE(ArtifactsInput!$N$15+1,25,30,35,40,45,50)/100*(Inputs!$B$11-Inputs!$B$11),0)))/100)/2</f>
        <v>35439694102263.031</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2141">
        <f>L2141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2141">
        <f>(1-Summary!$B$11)*S2141+Summary!$B$11*U2141</f>
        <v>2907465947806250</v>
      </c>
      <c r="P2141">
        <f>IF(B2179=0,0,O2141/B2179)</f>
        <v>8.7873772463965091E-2</v>
      </c>
      <c r="Q2141">
        <f>IFERROR(1/(IF(Inputs!$B$38="pvp",15,MAX(0.1,Skills!E3-IF(FALSE=TRUE,Inputs!$B$32,0)))*(1-IF(AND(ArtifactsInput!$M$27,Inputs!$B$4="Chapter Hunt"),CHOOSE(ArtifactsInput!$N$27+1,20,24,28,32,36,40),0)/100)),0)</f>
        <v>1</v>
      </c>
      <c r="R2141">
        <f>IF(AND(Inputs!$B$38&lt;&gt;"pvp",Inputs!$B$43&gt;0),IF(MAX(0,Inputs!$B$43-B2176)&lt;=0,0,(INT(MAX(0,Inputs!$B$43-B2176)/(IF(Inputs!$B$38="pvp",15,MAX(0.1,Skills!E3-IF(FALSE=TRUE,Inputs!$B$32,0)))*(1-IF(AND(ArtifactsInput!$M$27,Inputs!$B$4="Chapter Hunt"),CHOOSE(ArtifactsInput!$N$27+1,20,24,28,32,36,40),0)/100)))+1)),0)</f>
        <v>38</v>
      </c>
      <c r="S2141">
        <f>IF(C2141,(H2141*N2141*IF(AND(Inputs!$B$38&lt;&gt;"pvp",Inputs!$B$43&gt;0),((Skills!G3*((R2141-1)*IF(Skills!H3&gt;0,Skills!I3/Skills!H3,1)+IF(Skills!H3&gt;0,MIN(Skills!I3,MAX(0,MAX(0,Inputs!$B$43-B2176)-((R2141-1)*(IF(Inputs!$B$38="pvp",15,MAX(0.1,Skills!E3-IF(FALSE=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2141">
        <f>INDEX(FactorTable!$B$2:$Y$301, MATCH(ROUND(MIN(300,MAX(1,T2140)),0), FactorTable!$A$2:$A$301,0), 22)</f>
        <v>1740</v>
      </c>
      <c r="U2141">
        <f>IF(C2141,(H2141*N2141*IF(AND(Inputs!$B$38&lt;&gt;"pvp",Inputs!$B$43&gt;0),((Skills!G3*((R2141-1)*IF(Skills!H3&gt;0,Skills!I3/Skills!H3,1)+IF(Skills!H3&gt;0,MIN(Skills!I3,MAX(0,MAX(0,Inputs!$B$43-B2176)-((R2141-1)*(IF(Inputs!$B$38="pvp",15,MAX(0.1,Skills!E3-IF(FALSE=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2141">
        <f>INDEX(FactorTable!$B$2:$Y$301, MATCH(ROUND(MIN(300,MAX(1,Z2140)),0), FactorTable!$A$2:$A$301,0), 24)</f>
        <v>7650</v>
      </c>
    </row>
    <row r="2142" spans="1:26" x14ac:dyDescent="0.2">
      <c r="A2142" t="str">
        <f>Skills!A4</f>
        <v>POISON_BREATH</v>
      </c>
      <c r="B2142" t="str">
        <f>Skills!B4</f>
        <v>Poison Breath</v>
      </c>
      <c r="C2142" t="b">
        <f>TRUE</f>
        <v>1</v>
      </c>
      <c r="D2142">
        <f>IF(Skills!C4=1,60+Inputs!$B$25+Inputs!$B$29,IF(Skills!C4=2,90+Inputs!$B$26+Inputs!$B$29,IF(Skills!C4=3,120+Inputs!$B$27+Inputs!$B$29,MAX(0,(Inputs!$B$3-100)*3)+Inputs!$B$28+Inputs!$B$29)))</f>
        <v>168</v>
      </c>
      <c r="E2142">
        <f>INDEX(FactorTable!$B$2:$Y$301, MATCH(ROUND(MIN(300,MAX(1,D2142)),0), FactorTable!$A$2:$A$301,0), Skills!M4+1)</f>
        <v>1840</v>
      </c>
      <c r="F2142">
        <f>IF(Skills!N4=TRUE,(Skills!L4/10)*(E2142/1000),Skills!L4/10)+Skills!O4</f>
        <v>438</v>
      </c>
      <c r="G2142">
        <f>Calc!G4</f>
        <v>3</v>
      </c>
      <c r="H2142">
        <f>Calc!H4</f>
        <v>1</v>
      </c>
      <c r="I2142">
        <f>IF(Skills!X4&lt;&gt;"",1+(Skills!X4/10)*(Z2141/1000)/100,1)</f>
        <v>7.12</v>
      </c>
      <c r="J2142">
        <f>((Inputs!$B$6*(1+Inputs!$B$7/100))+(((Inputs!$B$12*(1+Inputs!$B$13/100))-(Inputs!$B$12*(1+Inputs!$B$13/100)))+0.25*(Inputs!$B$14-Inputs!$B$14))*(1+Inputs!$B$7/100))*(F2142/100)</f>
        <v>1581769203.69258</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56589528290529.523</v>
      </c>
      <c r="L2142">
        <f>K2142*(MIN(Inputs!$B$22+(F2160-Calc!F22),(Inputs!$B$23+(IF(ArtifactsInput!$M$15,CHOOSE(ArtifactsInput!$N$15+1,25,30,35,40,45,50)/100*(Inputs!$B$11-Inputs!$B$11),0))))/100+(Inputs!$B$23+(IF(ArtifactsInput!$M$15,CHOOSE(ArtifactsInput!$N$15+1,25,30,35,40,45,50)/100*(Inputs!$B$11-Inputs!$B$11),0)))/100)/2</f>
        <v>188160181566010.69</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2142">
        <f>L2142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2142">
        <f>(1-Summary!$B$11)*S2142+Summary!$B$11*U2142</f>
        <v>2120704790543594.2</v>
      </c>
      <c r="P2142">
        <f>IF(B2179=0,0,O2142/B2179)</f>
        <v>6.4095103286790744E-2</v>
      </c>
      <c r="Q2142">
        <f>IFERROR(1/(IF(Inputs!$B$38="pvp",15,MAX(0.1,Skills!E4-IF(TRUE=TRUE,Inputs!$B$32,0)))*(1-IF(AND(ArtifactsInput!$M$27,Inputs!$B$4="Chapter Hunt"),CHOOSE(ArtifactsInput!$N$27+1,20,24,28,32,36,40),0)/100)),0)</f>
        <v>5.5555555555555552E-2</v>
      </c>
      <c r="R2142">
        <f>IF(AND(Inputs!$B$38&lt;&gt;"pvp",Inputs!$B$43&gt;0),IF(MAX(0,Inputs!$B$43-B2176)&lt;=0,0,(INT(MAX(0,Inputs!$B$43-B2176)/(IF(Inputs!$B$38="pvp",15,MAX(0.1,Skills!E4-IF(TRUE=TRUE,Inputs!$B$32,0)))*(1-IF(AND(ArtifactsInput!$M$27,Inputs!$B$4="Chapter Hunt"),CHOOSE(ArtifactsInput!$N$27+1,20,24,28,32,36,40),0)/100)))+1)),0)</f>
        <v>3</v>
      </c>
      <c r="S2142">
        <f>IF(C2142,(H2142*N2142*IF(AND(Inputs!$B$38&lt;&gt;"pvp",Inputs!$B$43&gt;0),((Skills!G4*((R2142-1)*IF(Skills!H4&gt;0,Skills!I4/Skills!H4,1)+IF(Skills!H4&gt;0,MIN(Skills!I4,MAX(0,MAX(0,Inputs!$B$43-B2176)-((R2142-1)*(IF(Inputs!$B$38="pvp",15,MAX(0.1,Skills!E4-IF(TRUE=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2142">
        <f>290*T2141/1000</f>
        <v>504.6</v>
      </c>
      <c r="U2142">
        <f>IF(C2142,(H2142*N2142*IF(AND(Inputs!$B$38&lt;&gt;"pvp",Inputs!$B$43&gt;0),((Skills!G4*((R2142-1)*IF(Skills!H4&gt;0,Skills!I4/Skills!H4,1)+IF(Skills!H4&gt;0,MIN(Skills!I4,MAX(0,MAX(0,Inputs!$B$43-B2176)-((R2142-1)*(IF(Inputs!$B$38="pvp",15,MAX(0.1,Skills!E4-IF(TRUE=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2143" spans="1:26" x14ac:dyDescent="0.2">
      <c r="A2143" t="str">
        <f>Skills!A5</f>
        <v>ELEMENTAL_DRAIN</v>
      </c>
      <c r="B2143" t="str">
        <f>Skills!B5</f>
        <v>Elemental Drain</v>
      </c>
      <c r="C2143" t="b">
        <f>TRUE</f>
        <v>1</v>
      </c>
      <c r="D2143">
        <f>IF(Skills!C5=1,60+Inputs!$B$25+Inputs!$B$29,IF(Skills!C5=2,90+Inputs!$B$26+Inputs!$B$29,IF(Skills!C5=3,120+Inputs!$B$27+Inputs!$B$29,MAX(0,(Inputs!$B$3-100)*3)+Inputs!$B$28+Inputs!$B$29)))</f>
        <v>168</v>
      </c>
      <c r="E2143">
        <f>INDEX(FactorTable!$B$2:$Y$301, MATCH(ROUND(MIN(300,MAX(1,D2143)),0), FactorTable!$A$2:$A$301,0), Skills!M5+1)</f>
        <v>1672</v>
      </c>
      <c r="F2143">
        <f>IF(Skills!N5=TRUE,(Skills!L5/10)*(E2143/1000),Skills!L5/10)+Skills!O5</f>
        <v>20.064</v>
      </c>
      <c r="G2143">
        <f>Calc!G5</f>
        <v>5</v>
      </c>
      <c r="H2143">
        <f>Calc!H5</f>
        <v>1</v>
      </c>
      <c r="I2143">
        <f>IF(Skills!X5&lt;&gt;"",1+(Skills!X5/10)*(Z2141/1000)/100,1)</f>
        <v>12.475</v>
      </c>
      <c r="J2143">
        <f>((Inputs!$B$6*(1+Inputs!$B$7/100))+(((Inputs!$B$12*(1+Inputs!$B$13/100))-(Inputs!$B$12*(1+Inputs!$B$13/100)))+0.25*(Inputs!$B$14-Inputs!$B$14))*(1+Inputs!$B$7/100))*(F2143/100)</f>
        <v>72458030.371890247</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4541925884983.542</v>
      </c>
      <c r="L2143">
        <f>K2143*(MIN(Inputs!$B$22+(F2160-Calc!F22),(Inputs!$B$23+(IF(ArtifactsInput!$M$15,CHOOSE(ArtifactsInput!$N$15+1,25,30,35,40,45,50)/100*(Inputs!$B$11-Inputs!$B$11),0))))/100+(Inputs!$B$23+(IF(ArtifactsInput!$M$15,CHOOSE(ArtifactsInput!$N$15+1,25,30,35,40,45,50)/100*(Inputs!$B$11-Inputs!$B$11),0)))/100)/2</f>
        <v>15101903567570.277</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2143">
        <f>L2143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2143">
        <f>(1-Summary!$B$11)*S2143+Summary!$B$11*U2143</f>
        <v>1046004996783807</v>
      </c>
      <c r="P2143">
        <f>IF(B2179=0,0,O2143/B2179)</f>
        <v>3.1613923166633758E-2</v>
      </c>
      <c r="Q2143">
        <f>IFERROR(1/(IF(Inputs!$B$38="pvp",15,MAX(0.1,Skills!E5-IF(FALSE=TRUE,Inputs!$B$32,0)))*(1-IF(AND(ArtifactsInput!$M$27,Inputs!$B$4="Chapter Hunt"),CHOOSE(ArtifactsInput!$N$27+1,20,24,28,32,36,40),0)/100)),0)</f>
        <v>1</v>
      </c>
      <c r="R2143">
        <f>IF(AND(Inputs!$B$38&lt;&gt;"pvp",Inputs!$B$43&gt;0),IF(MAX(0,Inputs!$B$43-B2176)&lt;=0,0,(INT(MAX(0,Inputs!$B$43-B2176)/(IF(Inputs!$B$38="pvp",15,MAX(0.1,Skills!E5-IF(FALSE=TRUE,Inputs!$B$32,0)))*(1-IF(AND(ArtifactsInput!$M$27,Inputs!$B$4="Chapter Hunt"),CHOOSE(ArtifactsInput!$N$27+1,20,24,28,32,36,40),0)/100)))+1)),0)</f>
        <v>38</v>
      </c>
      <c r="S2143">
        <f>IF(C2143,(H2143*N2143*IF(AND(Inputs!$B$38&lt;&gt;"pvp",Inputs!$B$43&gt;0),((Skills!G5*((R2143-1)*IF(Skills!H5&gt;0,Skills!I5/Skills!H5,1)+IF(Skills!H5&gt;0,MIN(Skills!I5,MAX(0,MAX(0,Inputs!$B$43-B2176)-((R2143-1)*(IF(Inputs!$B$38="pvp",15,MAX(0.1,Skills!E5-IF(FALSE=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2143">
        <f>IF(C2143,(H2143*N2143*IF(AND(Inputs!$B$38&lt;&gt;"pvp",Inputs!$B$43&gt;0),((Skills!G5*((R2143-1)*IF(Skills!H5&gt;0,Skills!I5/Skills!H5,1)+IF(Skills!H5&gt;0,MIN(Skills!I5,MAX(0,MAX(0,Inputs!$B$43-B2176)-((R2143-1)*(IF(Inputs!$B$38="pvp",15,MAX(0.1,Skills!E5-IF(FALSE=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2144" spans="1:26" x14ac:dyDescent="0.2">
      <c r="A2144" t="str">
        <f>Skills!A6</f>
        <v>MEDITATION</v>
      </c>
      <c r="B2144" t="str">
        <f>Skills!B6</f>
        <v>Meditation</v>
      </c>
      <c r="C2144" t="b">
        <f>TRUE</f>
        <v>1</v>
      </c>
      <c r="D2144">
        <f>IF(Skills!C6=1,60+Inputs!$B$25+Inputs!$B$29,IF(Skills!C6=2,90+Inputs!$B$26+Inputs!$B$29,IF(Skills!C6=3,120+Inputs!$B$27+Inputs!$B$29,MAX(0,(Inputs!$B$3-100)*3)+Inputs!$B$28+Inputs!$B$29)))</f>
        <v>168</v>
      </c>
      <c r="E2144">
        <f>INDEX(FactorTable!$B$2:$Y$301, MATCH(ROUND(MIN(300,MAX(1,D2144)),0), FactorTable!$A$2:$A$301,0), Skills!M6+1)</f>
        <v>1672</v>
      </c>
      <c r="F2144">
        <f>IF(Skills!N6=TRUE,(Skills!L6/10)*(E2144/1000),Skills!L6/10)+Skills!O6</f>
        <v>33.44</v>
      </c>
      <c r="G2144">
        <f>Calc!G6</f>
        <v>1</v>
      </c>
      <c r="H2144">
        <f>Calc!H6</f>
        <v>1</v>
      </c>
      <c r="I2144">
        <f>IF(Skills!X6&lt;&gt;"",1+(Skills!X6/10)*(Z2141/1000)/100,1)</f>
        <v>1</v>
      </c>
      <c r="O2144">
        <f>(1-Summary!$B$11)*S2144+Summary!$B$11*U2144</f>
        <v>0</v>
      </c>
      <c r="P2144">
        <f>IF(B2179=0,0,O2144/B2179)</f>
        <v>0</v>
      </c>
      <c r="Q2144">
        <f>IFERROR(1/(IF(Inputs!$B$38="pvp",15,MAX(0.1,Skills!E6-IF(TRUE=TRUE,Inputs!$B$32,0)))*(1-IF(AND(ArtifactsInput!$M$27,Inputs!$B$4="Chapter Hunt"),CHOOSE(ArtifactsInput!$N$27+1,20,24,28,32,36,40),0)/100)),0)</f>
        <v>3.3333333333333333E-2</v>
      </c>
      <c r="R2144">
        <f>IF(AND(Inputs!$B$38&lt;&gt;"pvp",Inputs!$B$43&gt;0),IF(Inputs!$B$43&lt;=0,0,(INT(Inputs!$B$43/(IF(Inputs!$B$38="pvp",15,MAX(0.1,Skills!E6-IF(TRUE=TRUE,Inputs!$B$32,0)))*(1-IF(AND(ArtifactsInput!$M$27,Inputs!$B$4="Chapter Hunt"),CHOOSE(ArtifactsInput!$N$27+1,20,24,28,32,36,40),0)/100)))+1)),0)</f>
        <v>2</v>
      </c>
      <c r="S2144">
        <v>0</v>
      </c>
      <c r="U2144">
        <v>0</v>
      </c>
    </row>
    <row r="2145" spans="1:21" x14ac:dyDescent="0.2">
      <c r="A2145" t="str">
        <f>Skills!A7</f>
        <v>POISON_MIST_BURST</v>
      </c>
      <c r="B2145" t="str">
        <f>Skills!B7</f>
        <v>Poison Mist (burst)</v>
      </c>
      <c r="C2145" t="b">
        <f>TRUE</f>
        <v>1</v>
      </c>
      <c r="D2145">
        <f>IF(Skills!C7=1,60+Inputs!$B$25+Inputs!$B$29,IF(Skills!C7=2,90+Inputs!$B$26+Inputs!$B$29,IF(Skills!C7=3,120+Inputs!$B$27+Inputs!$B$29,MAX(0,(Inputs!$B$3-100)*3)+Inputs!$B$28+Inputs!$B$29)))</f>
        <v>184</v>
      </c>
      <c r="E2145">
        <f>INDEX(FactorTable!$B$2:$Y$301, MATCH(ROUND(MIN(300,MAX(1,D2145)),0), FactorTable!$A$2:$A$301,0), Skills!M7+1)</f>
        <v>1920</v>
      </c>
      <c r="F2145">
        <f>IF(Skills!N7=TRUE,(Skills!L7/10)*(E2145/1000),Skills!L7/10)+Skills!O7</f>
        <v>357.2</v>
      </c>
      <c r="G2145">
        <f>Calc!G7</f>
        <v>3</v>
      </c>
      <c r="H2145">
        <f>Calc!H7</f>
        <v>1</v>
      </c>
      <c r="I2145">
        <f>IF(Skills!X7&lt;&gt;"",1+(Skills!X7/10)*(Z2141/1000)/100,1)</f>
        <v>1.7650000000000001</v>
      </c>
      <c r="J2145">
        <f>((Inputs!$B$6*(1+Inputs!$B$7/100))+(((Inputs!$B$12*(1+Inputs!$B$13/100))-(Inputs!$B$12*(1+Inputs!$B$13/100)))+0.25*(Inputs!$B$14-Inputs!$B$14))*(1+Inputs!$B$7/100))*(F2145/100)</f>
        <v>1289972510.4086521</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11440318873772.086</v>
      </c>
      <c r="L2145">
        <f>K2145*(MIN(Inputs!$B$22+(F2160-Calc!F22),(Inputs!$B$23+(IF(ArtifactsInput!$M$15,CHOOSE(ArtifactsInput!$N$15+1,25,30,35,40,45,50)/100*(Inputs!$B$11-Inputs!$B$11),0))))/100+(Inputs!$B$23+(IF(ArtifactsInput!$M$15,CHOOSE(ArtifactsInput!$N$15+1,25,30,35,40,45,50)/100*(Inputs!$B$11-Inputs!$B$11),0)))/100)/2</f>
        <v>38039060255292.188</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2145">
        <f>L2145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2145">
        <f>(1-Summary!$B$11)*S2145+Summary!$B$11*U2145</f>
        <v>447913158316422</v>
      </c>
      <c r="P2145">
        <f>IF(B2179=0,0,O2145/B2179)</f>
        <v>1.3537499549121505E-2</v>
      </c>
      <c r="Q2145">
        <f>IFERROR(1/(IF(Inputs!$B$38="pvp",15,MAX(0.1,Skills!E7-IF(TRUE=TRUE,Inputs!$B$32,0)))*(1-IF(AND(ArtifactsInput!$M$27,Inputs!$B$4="Chapter Hunt"),CHOOSE(ArtifactsInput!$N$27+1,20,24,28,32,36,40),0)/100)),0)</f>
        <v>4.0816326530612242E-2</v>
      </c>
      <c r="R2145">
        <f>IF(AND(Inputs!$B$38&lt;&gt;"pvp",Inputs!$B$43&gt;0),IF(MAX(0,Inputs!$B$43-B2176)&lt;=0,0,(INT(MAX(0,Inputs!$B$43-B2176)/(IF(Inputs!$B$38="pvp",15,MAX(0.1,Skills!E7-IF(TRUE=TRUE,Inputs!$B$32,0)))*(1-IF(AND(ArtifactsInput!$M$27,Inputs!$B$4="Chapter Hunt"),CHOOSE(ArtifactsInput!$N$27+1,20,24,28,32,36,40),0)/100)))+1)),0)</f>
        <v>2</v>
      </c>
      <c r="S2145">
        <f>IF(C2145,(H2145*N2145*IF(AND(Inputs!$B$38&lt;&gt;"pvp",Inputs!$B$43&gt;0),((Skills!G7*((R2145-1)*IF(Skills!H7&gt;0,Skills!I7/Skills!H7,1)+IF(Skills!H7&gt;0,MIN(Skills!I7,MAX(0,MAX(0,Inputs!$B$43-B2176)-((R2145-1)*(IF(Inputs!$B$38="pvp",15,MAX(0.1,Skills!E7-IF(TRUE=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2145">
        <f>IF(C2145,(H2145*N2145*IF(AND(Inputs!$B$38&lt;&gt;"pvp",Inputs!$B$43&gt;0),((Skills!G7*((R2145-1)*IF(Skills!H7&gt;0,Skills!I7/Skills!H7,1)+IF(Skills!H7&gt;0,MIN(Skills!I7,MAX(0,MAX(0,Inputs!$B$43-B2176)-((R2145-1)*(IF(Inputs!$B$38="pvp",15,MAX(0.1,Skills!E7-IF(TRUE=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2146" spans="1:21" x14ac:dyDescent="0.2">
      <c r="A2146" t="str">
        <f>Skills!A8</f>
        <v>POISON_MIST_DOT</v>
      </c>
      <c r="B2146" t="str">
        <f>Skills!B8</f>
        <v>Poison Mist (fog DoT)</v>
      </c>
      <c r="C2146" t="b">
        <f>TRUE</f>
        <v>1</v>
      </c>
      <c r="D2146">
        <f>IF(Skills!C8=1,60+Inputs!$B$25+Inputs!$B$29,IF(Skills!C8=2,90+Inputs!$B$26+Inputs!$B$29,IF(Skills!C8=3,120+Inputs!$B$27+Inputs!$B$29,MAX(0,(Inputs!$B$3-100)*3)+Inputs!$B$28+Inputs!$B$29)))</f>
        <v>184</v>
      </c>
      <c r="E2146">
        <f>INDEX(FactorTable!$B$2:$Y$301, MATCH(ROUND(MIN(300,MAX(1,D2146)),0), FactorTable!$A$2:$A$301,0), Skills!M8+1)</f>
        <v>1920</v>
      </c>
      <c r="F2146">
        <f>IF(Skills!N8=TRUE,(Skills!L8/10)*(E2146/1000),Skills!L8/10)+Skills!O8</f>
        <v>134.4</v>
      </c>
      <c r="G2146">
        <f>Calc!G8</f>
        <v>50</v>
      </c>
      <c r="H2146">
        <f>Calc!H8</f>
        <v>1</v>
      </c>
      <c r="I2146">
        <f>IF(Skills!X8&lt;&gt;"",1+(Skills!X8/10)*(Z2141/1000)/100,1)</f>
        <v>1.7650000000000001</v>
      </c>
      <c r="J2146">
        <f>((Inputs!$B$6*(1+Inputs!$B$7/100))+(((Inputs!$B$12*(1+Inputs!$B$13/100))-(Inputs!$B$12*(1+Inputs!$B$13/100)))+0.25*(Inputs!$B$14-Inputs!$B$14))*(1+Inputs!$B$7/100))*(F2146/100)</f>
        <v>485364796.74950409</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4304532073446.1597</v>
      </c>
      <c r="L2146">
        <f>K2146*(MIN(Inputs!$B$22+(F2160-Calc!F22),(Inputs!$B$23+(IF(ArtifactsInput!$M$15,CHOOSE(ArtifactsInput!$N$15+1,25,30,35,40,45,50)/100*(Inputs!$B$11-Inputs!$B$11),0))))/100+(Inputs!$B$23+(IF(ArtifactsInput!$M$15,CHOOSE(ArtifactsInput!$N$15+1,25,30,35,40,45,50)/100*(Inputs!$B$11-Inputs!$B$11),0)))/100)/2</f>
        <v>14312569144208.482</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2146">
        <f>L2146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2146">
        <f>(1-Summary!$B$11)*S2146+Summary!$B$11*U2146</f>
        <v>2327471980535951</v>
      </c>
      <c r="P2146">
        <f>IF(B2179=0,0,O2146/B2179)</f>
        <v>7.0344329703392813E-2</v>
      </c>
      <c r="Q2146">
        <f>IFERROR(1/(IF(Inputs!$B$38="pvp",15,MAX(0.1,Skills!E8-IF(TRUE=TRUE,Inputs!$B$32,0)))*(1-IF(AND(ArtifactsInput!$M$27,Inputs!$B$4="Chapter Hunt"),CHOOSE(ArtifactsInput!$N$27+1,20,24,28,32,36,40),0)/100)),0)</f>
        <v>4.0816326530612242E-2</v>
      </c>
      <c r="R2146">
        <f>IF(AND(Inputs!$B$38&lt;&gt;"pvp",Inputs!$B$43&gt;0),IF(MAX(0,Inputs!$B$43-B2176)&lt;=0,0,(INT(MAX(0,Inputs!$B$43-B2176)/(IF(Inputs!$B$38="pvp",15,MAX(0.1,Skills!E8-IF(TRUE=TRUE,Inputs!$B$32,0)))*(1-IF(AND(ArtifactsInput!$M$27,Inputs!$B$4="Chapter Hunt"),CHOOSE(ArtifactsInput!$N$27+1,20,24,28,32,36,40),0)/100)))+1)),0)</f>
        <v>2</v>
      </c>
      <c r="S2146">
        <f>IF(C2146,(H2146*N2146*IF(AND(Inputs!$B$38&lt;&gt;"pvp",Inputs!$B$43&gt;0),((Skills!G8*((R2146-1)*IF(Skills!H8&gt;0,Skills!I8/Skills!H8,1)+IF(Skills!H8&gt;0,MIN(Skills!I8,MAX(0,MAX(0,Inputs!$B$43-B2176)-((R2146-1)*(IF(Inputs!$B$38="pvp",15,MAX(0.1,Skills!E8-IF(TRUE=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2146">
        <f>IF(C2146,(H2146*N2146*IF(AND(Inputs!$B$38&lt;&gt;"pvp",Inputs!$B$43&gt;0),((Skills!G8*((R2146-1)*IF(Skills!H8&gt;0,Skills!I8/Skills!H8,1)+IF(Skills!H8&gt;0,MIN(Skills!I8,MAX(0,MAX(0,Inputs!$B$43-B2176)-((R2146-1)*(IF(Inputs!$B$38="pvp",15,MAX(0.1,Skills!E8-IF(TRUE=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2147" spans="1:21" x14ac:dyDescent="0.2">
      <c r="A2147" t="str">
        <f>Skills!A9</f>
        <v>MIST_ERUPTION</v>
      </c>
      <c r="B2147" t="str">
        <f>Skills!B9</f>
        <v>Mist Eruption</v>
      </c>
      <c r="C2147" t="b">
        <f>Inputs!$B$3&gt;=103</f>
        <v>1</v>
      </c>
      <c r="D2147">
        <f>IF(Skills!C9=1,60+Inputs!$B$25+Inputs!$B$29,IF(Skills!C9=2,90+Inputs!$B$26+Inputs!$B$29,IF(Skills!C9=3,120+Inputs!$B$27+Inputs!$B$29,MAX(0,(Inputs!$B$3-100)*3)+Inputs!$B$28+Inputs!$B$29)))</f>
        <v>185</v>
      </c>
      <c r="E2147">
        <f>INDEX(FactorTable!$B$2:$Y$301, MATCH(ROUND(MIN(300,MAX(1,D2147)),0), FactorTable!$A$2:$A$301,0), Skills!M9+1)</f>
        <v>1925</v>
      </c>
      <c r="F2147">
        <f>IF(Skills!N9=TRUE,(Skills!L9/10)*(E2147/1000),Skills!L9/10)+Skills!O9</f>
        <v>5775</v>
      </c>
      <c r="G2147">
        <f>Calc!G9</f>
        <v>2.5</v>
      </c>
      <c r="H2147">
        <f>Calc!H9</f>
        <v>1</v>
      </c>
      <c r="I2147">
        <f>IF(Skills!X9&lt;&gt;"",1+(Skills!X9/10)*(Z2141/1000)/100,1)</f>
        <v>1</v>
      </c>
      <c r="J2147">
        <f>((Inputs!$B$6*(1+Inputs!$B$7/100))+(((Inputs!$B$12*(1+Inputs!$B$13/100))-(Inputs!$B$12*(1+Inputs!$B$13/100)))+0.25*(Inputs!$B$14-Inputs!$B$14))*(1+Inputs!$B$7/100))*(F2147/100)</f>
        <v>20855518610.330254</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104793406533081.95</v>
      </c>
      <c r="L2147">
        <f>K2147*(MIN(Inputs!$B$22+(F2160-Calc!F22),(Inputs!$B$23+(IF(ArtifactsInput!$M$15,CHOOSE(ArtifactsInput!$N$15+1,25,30,35,40,45,50)/100*(Inputs!$B$11-Inputs!$B$11),0))))/100+(Inputs!$B$23+(IF(ArtifactsInput!$M$15,CHOOSE(ArtifactsInput!$N$15+1,25,30,35,40,45,50)/100*(Inputs!$B$11-Inputs!$B$11),0)))/100)/2</f>
        <v>348438076722497.5</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2147">
        <f>L2147*(1-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2147">
        <f>(1-Summary!$B$11)*S2147+Summary!$B$11*U2147</f>
        <v>3419073236278675</v>
      </c>
      <c r="P2147">
        <f>IF(B2179=0,0,O2147/B2179)</f>
        <v>0.10333633101673266</v>
      </c>
      <c r="Q2147">
        <f>IFERROR(1/(IF(Inputs!$B$38="pvp",15,MAX(0.1,Skills!E9-IF(TRUE=TRUE,Inputs!$B$32,0)))*(1-IF(AND(ArtifactsInput!$M$27,Inputs!$B$4="Chapter Hunt"),CHOOSE(ArtifactsInput!$N$27+1,20,24,28,32,36,40),0)/100)),0)</f>
        <v>4.0816326530612242E-2</v>
      </c>
      <c r="R2147">
        <f>IF(AND(Inputs!$B$38&lt;&gt;"pvp",Inputs!$B$43&gt;0),IF(MAX(0,Inputs!$B$43-B2176)&lt;=0,0,(INT(MAX(0,Inputs!$B$43-B2176)/(IF(Inputs!$B$38="pvp",15,MAX(0.1,Skills!E9-IF(TRUE=TRUE,Inputs!$B$32,0)))*(1-IF(AND(ArtifactsInput!$M$27,Inputs!$B$4="Chapter Hunt"),CHOOSE(ArtifactsInput!$N$27+1,20,24,28,32,36,40),0)/100)))+1)),0)</f>
        <v>2</v>
      </c>
      <c r="S2147">
        <f>IF(C2147,(H2147*N2147*IF(AND(Inputs!$B$38&lt;&gt;"pvp",Inputs!$B$43&gt;0),((Skills!G9*((R2147-1)*IF(Skills!H9&gt;0,Skills!I9/Skills!H9,1)+IF(Skills!H9&gt;0,MIN(Skills!I9,MAX(0,MAX(0,Inputs!$B$43-B2176)-((R2147-1)*(IF(Inputs!$B$38="pvp",15,MAX(0.1,Skills!E9-IF(TRUE=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2147">
        <f>IF(C2147,(H2147*N2147*IF(AND(Inputs!$B$38&lt;&gt;"pvp",Inputs!$B$43&gt;0),((Skills!G9*((R2147-1)*IF(Skills!H9&gt;0,Skills!I9/Skills!H9,1)+IF(Skills!H9&gt;0,MIN(Skills!I9,MAX(0,MAX(0,Inputs!$B$43-B2176)-((R2147-1)*(IF(Inputs!$B$38="pvp",15,MAX(0.1,Skills!E9-IF(TRUE=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2148" spans="1:21" x14ac:dyDescent="0.2">
      <c r="A2148" t="str">
        <f>Skills!A10</f>
        <v>CREEPING_TOXIN</v>
      </c>
      <c r="B2148" t="str">
        <f>Skills!B10</f>
        <v>Creeping Toxin</v>
      </c>
      <c r="C2148" t="b">
        <f>TRUE</f>
        <v>1</v>
      </c>
      <c r="D2148">
        <f>IF(Skills!C10=1,60+Inputs!$B$25+Inputs!$B$29,IF(Skills!C10=2,90+Inputs!$B$26+Inputs!$B$29,IF(Skills!C10=3,120+Inputs!$B$27+Inputs!$B$29,MAX(0,(Inputs!$B$3-100)*3)+Inputs!$B$28+Inputs!$B$29)))</f>
        <v>184</v>
      </c>
      <c r="E2148">
        <f>INDEX(FactorTable!$B$2:$Y$301, MATCH(ROUND(MIN(300,MAX(1,D2148)),0), FactorTable!$A$2:$A$301,0), Skills!M10+1)</f>
        <v>1920</v>
      </c>
      <c r="F2148">
        <f>IF(Skills!N10=TRUE,(Skills!L10/10)*(E2148/1000),Skills!L10/10)+Skills!O10</f>
        <v>280.39999999999998</v>
      </c>
      <c r="G2148">
        <f>Calc!G10</f>
        <v>15</v>
      </c>
      <c r="H2148">
        <f>Calc!H10</f>
        <v>1</v>
      </c>
      <c r="I2148">
        <f>IF(Skills!X10&lt;&gt;"",1+(Skills!X10/10)*(Z2141/1000)/100,1)</f>
        <v>1.7650000000000001</v>
      </c>
      <c r="J2148">
        <f>((Inputs!$B$6*(1+Inputs!$B$7/100))+(((Inputs!$B$12*(1+Inputs!$B$13/100))-(Inputs!$B$12*(1+Inputs!$B$13/100)))+0.25*(Inputs!$B$14-Inputs!$B$14))*(1+Inputs!$B$7/100))*(F2148/100)</f>
        <v>1012621197.9803641</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8980586260374.2793</v>
      </c>
      <c r="L2148">
        <f>K2148*(MIN(Inputs!$B$22+(F2160-Calc!F22),(Inputs!$B$23+(IF(ArtifactsInput!$M$15,CHOOSE(ArtifactsInput!$N$15+1,25,30,35,40,45,50)/100*(Inputs!$B$11-Inputs!$B$11),0))))/100+(Inputs!$B$23+(IF(ArtifactsInput!$M$15,CHOOSE(ArtifactsInput!$N$15+1,25,30,35,40,45,50)/100*(Inputs!$B$11-Inputs!$B$11),0)))/100)/2</f>
        <v>29860449315744.48</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2148">
        <f>L2148*(1-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2148">
        <f>(1-Summary!$B$11)*S2148+Summary!$B$11*U2148</f>
        <v>324323455609081.62</v>
      </c>
      <c r="P2148">
        <f>IF(B2179=0,0,O2148/B2179)</f>
        <v>9.8021872154419789E-3</v>
      </c>
      <c r="Q2148">
        <f>IFERROR(1/(IF(Inputs!$B$38="pvp",15,MAX(0.1,Skills!E10-IF(TRUE=TRUE,Inputs!$B$32,0)))*(1-IF(AND(ArtifactsInput!$M$27,Inputs!$B$4="Chapter Hunt"),CHOOSE(ArtifactsInput!$N$27+1,20,24,28,32,36,40),0)/100)),0)</f>
        <v>3.7037037037037035E-2</v>
      </c>
      <c r="R2148">
        <f>IF(AND(Inputs!$B$38&lt;&gt;"pvp",Inputs!$B$43&gt;0),IF(MAX(0,Inputs!$B$43-B2176)&lt;=0,0,(INT(MAX(0,Inputs!$B$43-B2176)/(IF(Inputs!$B$38="pvp",15,MAX(0.1,Skills!E10-IF(TRUE=TRUE,Inputs!$B$32,0)))*(1-IF(AND(ArtifactsInput!$M$27,Inputs!$B$4="Chapter Hunt"),CHOOSE(ArtifactsInput!$N$27+1,20,24,28,32,36,40),0)/100)))+1)),0)</f>
        <v>2</v>
      </c>
      <c r="S2148">
        <f>IF(C2148,(H2148*N2148*IF(AND(Inputs!$B$38&lt;&gt;"pvp",Inputs!$B$43&gt;0),((Skills!G10*((R2148-1)*IF(Skills!H10&gt;0,Skills!I10/Skills!H10,1)+IF(Skills!H10&gt;0,MIN(Skills!I10,MAX(0,MAX(0,Inputs!$B$43-B2176)-((R2148-1)*(IF(Inputs!$B$38="pvp",15,MAX(0.1,Skills!E10-IF(TRUE=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2148">
        <f>IF(C2148,(H2148*N2148*IF(AND(Inputs!$B$38&lt;&gt;"pvp",Inputs!$B$43&gt;0),((Skills!G10*((R2148-1)*IF(Skills!H10&gt;0,Skills!I10/Skills!H10,1)+IF(Skills!H10&gt;0,MIN(Skills!I10,MAX(0,MAX(0,Inputs!$B$43-B2176)-((R2148-1)*(IF(Inputs!$B$38="pvp",15,MAX(0.1,Skills!E10-IF(TRUE=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2149" spans="1:21" x14ac:dyDescent="0.2">
      <c r="A2149" t="str">
        <f>Skills!A11</f>
        <v>BURNING_MAGIC</v>
      </c>
      <c r="B2149" t="str">
        <f>Skills!B11</f>
        <v>Burning Magic</v>
      </c>
      <c r="C2149" t="b">
        <f>TRUE</f>
        <v>1</v>
      </c>
      <c r="D2149">
        <f>IF(Skills!C11=1,60+Inputs!$B$25+Inputs!$B$29,IF(Skills!C11=2,90+Inputs!$B$26+Inputs!$B$29,IF(Skills!C11=3,120+Inputs!$B$27+Inputs!$B$29,MAX(0,(Inputs!$B$3-100)*3)+Inputs!$B$28+Inputs!$B$29)))</f>
        <v>184</v>
      </c>
      <c r="E2149">
        <f>INDEX(FactorTable!$B$2:$Y$301, MATCH(ROUND(MIN(300,MAX(1,D2149)),0), FactorTable!$A$2:$A$301,0), Skills!M11+1)</f>
        <v>0</v>
      </c>
      <c r="F2149">
        <f>IF(Skills!N11=TRUE,(Skills!L11/10)*(E2149/1000),Skills!L11/10)+Skills!O11</f>
        <v>5</v>
      </c>
      <c r="G2149">
        <f>Calc!G11</f>
        <v>1</v>
      </c>
      <c r="H2149">
        <f>Calc!H11</f>
        <v>1</v>
      </c>
      <c r="I2149">
        <f>IF(Skills!X11&lt;&gt;"",1+(Skills!X11/10)*(Z2141/1000)/100,1)</f>
        <v>1</v>
      </c>
      <c r="O2149">
        <f>(1-Summary!$B$11)*S2149+Summary!$B$11*U2149</f>
        <v>0</v>
      </c>
      <c r="P2149">
        <f>IF(B2179=0,0,O2149/B2179)</f>
        <v>0</v>
      </c>
      <c r="Q2149">
        <f>IFERROR(1/(IF(Inputs!$B$38="pvp",15,MAX(0.1,Skills!E11-IF(TRUE=TRUE,Inputs!$B$32,0)))*(1-IF(AND(ArtifactsInput!$M$27,Inputs!$B$4="Chapter Hunt"),CHOOSE(ArtifactsInput!$N$27+1,20,24,28,32,36,40),0)/100)),0)</f>
        <v>10</v>
      </c>
      <c r="R2149">
        <v>0</v>
      </c>
      <c r="S2149">
        <v>0</v>
      </c>
      <c r="U2149">
        <v>0</v>
      </c>
    </row>
    <row r="2150" spans="1:21" x14ac:dyDescent="0.2">
      <c r="A2150" t="str">
        <f>Skills!A12</f>
        <v>ELEMENTAL_DECREASE</v>
      </c>
      <c r="B2150" t="str">
        <f>Skills!B12</f>
        <v>Elemental Decrease</v>
      </c>
      <c r="C2150" t="b">
        <f>TRUE</f>
        <v>1</v>
      </c>
      <c r="D2150">
        <f>IF(Skills!C12=1,60+Inputs!$B$25+Inputs!$B$29,IF(Skills!C12=2,90+Inputs!$B$26+Inputs!$B$29,IF(Skills!C12=3,120+Inputs!$B$27+Inputs!$B$29,MAX(0,(Inputs!$B$3-100)*3)+Inputs!$B$28+Inputs!$B$29)))</f>
        <v>184</v>
      </c>
      <c r="E2150">
        <f>INDEX(FactorTable!$B$2:$Y$301, MATCH(ROUND(MIN(300,MAX(1,D2150)),0), FactorTable!$A$2:$A$301,0), Skills!M12+1)</f>
        <v>1552</v>
      </c>
      <c r="F2150">
        <f>IF(Skills!N12=TRUE,(Skills!L12/10)*(E2150/1000),Skills!L12/10)+Skills!O12</f>
        <v>18.624000000000002</v>
      </c>
      <c r="G2150">
        <f>Calc!G12</f>
        <v>1</v>
      </c>
      <c r="H2150">
        <f>Calc!H12</f>
        <v>0.5</v>
      </c>
      <c r="I2150">
        <f>IF(Skills!X12&lt;&gt;"",1+(Skills!X12/10)*(Z2141/1000)/100,1)</f>
        <v>1</v>
      </c>
      <c r="O2150">
        <f>(1-Summary!$B$11)*S2150+Summary!$B$11*U2150</f>
        <v>0</v>
      </c>
      <c r="P2150">
        <f>IF(B2179=0,0,O2150/B2179)</f>
        <v>0</v>
      </c>
      <c r="Q2150">
        <f>IFERROR(1/(IF(Inputs!$B$38="pvp",15,MAX(0.1,Skills!E12-IF(TRUE=TRUE,Inputs!$B$32,0)))*(1-IF(AND(ArtifactsInput!$M$27,Inputs!$B$4="Chapter Hunt"),CHOOSE(ArtifactsInput!$N$27+1,20,24,28,32,36,40),0)/100)),0)</f>
        <v>10</v>
      </c>
      <c r="R2150">
        <v>0</v>
      </c>
      <c r="S2150">
        <v>0</v>
      </c>
      <c r="U2150">
        <v>0</v>
      </c>
    </row>
    <row r="2151" spans="1:21" x14ac:dyDescent="0.2">
      <c r="A2151" t="str">
        <f>Skills!A13</f>
        <v>METEOR_SHOWER_BURST</v>
      </c>
      <c r="B2151" t="str">
        <f>Skills!B13</f>
        <v>Meteor Shower (burst)</v>
      </c>
      <c r="C2151" t="b">
        <f>Inputs!$B$3&gt;=105</f>
        <v>1</v>
      </c>
      <c r="D2151">
        <f>IF(Skills!C13=1,60+Inputs!$B$25+Inputs!$B$29,IF(Skills!C13=2,90+Inputs!$B$26+Inputs!$B$29,IF(Skills!C13=3,120+Inputs!$B$27+Inputs!$B$29,MAX(0,(Inputs!$B$3-100)*3)+Inputs!$B$28+Inputs!$B$29)))</f>
        <v>185</v>
      </c>
      <c r="E2151">
        <f>INDEX(FactorTable!$B$2:$Y$301, MATCH(ROUND(MIN(300,MAX(1,D2151)),0), FactorTable!$A$2:$A$301,0), Skills!M13+1)</f>
        <v>1925</v>
      </c>
      <c r="F2151">
        <f>IF(Skills!N13=TRUE,(Skills!L13/10)*(E2151/1000),Skills!L13/10)+Skills!O13</f>
        <v>1155</v>
      </c>
      <c r="G2151">
        <f>Calc!G13</f>
        <v>9</v>
      </c>
      <c r="H2151">
        <f>Calc!H13</f>
        <v>1</v>
      </c>
      <c r="I2151">
        <f>IF(Skills!X13&lt;&gt;"",1+(Skills!X13/10)*(Z2141/1000)/100,1)</f>
        <v>1</v>
      </c>
      <c r="J2151">
        <f>((Inputs!$B$6*(1+Inputs!$B$7/100))+(((Inputs!$B$12*(1+Inputs!$B$13/100))-(Inputs!$B$12*(1+Inputs!$B$13/100)))+0.25*(Inputs!$B$14-Inputs!$B$14))*(1+Inputs!$B$7/100))*(F2151/100)</f>
        <v>4171103722.0660505</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20958681306616.391</v>
      </c>
      <c r="L2151">
        <f>K2151*(MIN(Inputs!$B$22+(F2160-Calc!F22),(Inputs!$B$23+(IF(ArtifactsInput!$M$15,CHOOSE(ArtifactsInput!$N$15+1,25,30,35,40,45,50)/100*(Inputs!$B$11-Inputs!$B$11),0))))/100+(Inputs!$B$23+(IF(ArtifactsInput!$M$15,CHOOSE(ArtifactsInput!$N$15+1,25,30,35,40,45,50)/100*(Inputs!$B$11-Inputs!$B$11),0)))/100)/2</f>
        <v>69687615344499.5</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2151">
        <f>L2151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2151">
        <f>(1-Summary!$B$11)*S2151+Summary!$B$11*U2151</f>
        <v>1793579843045520.5</v>
      </c>
      <c r="P2151">
        <f>IF(B2179=0,0,O2151/B2179)</f>
        <v>5.4208245204954375E-2</v>
      </c>
      <c r="Q2151">
        <f>IFERROR(1/(IF(Inputs!$B$38="pvp",15,MAX(0.1,Skills!E13-IF(TRUE=TRUE,Inputs!$B$32,0)))*(1-IF(AND(ArtifactsInput!$M$27,Inputs!$B$4="Chapter Hunt"),CHOOSE(ArtifactsInput!$N$27+1,20,24,28,32,36,40),0)/100)),0)</f>
        <v>3.0303030303030304E-2</v>
      </c>
      <c r="R2151">
        <f>IF(AND(Inputs!$B$38&lt;&gt;"pvp",Inputs!$B$43&gt;0),IF(MAX(0,Inputs!$B$43-B2176)&lt;=0,0,(INT(MAX(0,Inputs!$B$43-B2176)/(IF(Inputs!$B$38="pvp",15,MAX(0.1,Skills!E13-IF(TRUE=TRUE,Inputs!$B$32,0)))*(1-IF(AND(ArtifactsInput!$M$27,Inputs!$B$4="Chapter Hunt"),CHOOSE(ArtifactsInput!$N$27+1,20,24,28,32,36,40),0)/100)))+1)),0)</f>
        <v>2</v>
      </c>
      <c r="S2151">
        <f>IF(C2151,(H2151*N2151*IF(AND(Inputs!$B$38&lt;&gt;"pvp",Inputs!$B$43&gt;0),((Skills!G13*((R2151-1)*IF(Skills!H13&gt;0,Skills!I13/Skills!H13,1)+IF(Skills!H13&gt;0,MIN(Skills!I13,MAX(0,MAX(0,Inputs!$B$43-B2176)-((R2151-1)*(IF(Inputs!$B$38="pvp",15,MAX(0.1,Skills!E13-IF(TRUE=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2151">
        <f>IF(C2151,(H2151*N2151*IF(AND(Inputs!$B$38&lt;&gt;"pvp",Inputs!$B$43&gt;0),((Skills!G13*((R2151-1)*IF(Skills!H13&gt;0,Skills!I13/Skills!H13,1)+IF(Skills!H13&gt;0,MIN(Skills!I13,MAX(0,MAX(0,Inputs!$B$43-B2176)-((R2151-1)*(IF(Inputs!$B$38="pvp",15,MAX(0.1,Skills!E13-IF(TRUE=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2152" spans="1:21" x14ac:dyDescent="0.2">
      <c r="A2152" t="str">
        <f>Skills!A14</f>
        <v>METEOR_PROC</v>
      </c>
      <c r="B2152" t="str">
        <f>Skills!B14</f>
        <v>Meteor Proc (30% on-hit, 1s ICD)</v>
      </c>
      <c r="C2152" t="b">
        <f>Inputs!$B$3&gt;=113</f>
        <v>1</v>
      </c>
      <c r="D2152">
        <f>IF(Skills!C14=1,60+Inputs!$B$25+Inputs!$B$29,IF(Skills!C14=2,90+Inputs!$B$26+Inputs!$B$29,IF(Skills!C14=3,120+Inputs!$B$27+Inputs!$B$29,MAX(0,(Inputs!$B$3-100)*3)+Inputs!$B$28+Inputs!$B$29)))</f>
        <v>185</v>
      </c>
      <c r="E2152">
        <f>INDEX(FactorTable!$B$2:$Y$301, MATCH(ROUND(MIN(300,MAX(1,D2152)),0), FactorTable!$A$2:$A$301,0), Skills!M14+1)</f>
        <v>1740</v>
      </c>
      <c r="F2152">
        <f>IF(Skills!N14=TRUE,(Skills!L14/10)*(E2152/1000),Skills!L14/10)+Skills!O14</f>
        <v>1653</v>
      </c>
      <c r="G2152">
        <f>Calc!G14</f>
        <v>0</v>
      </c>
      <c r="H2152">
        <f>Calc!H14</f>
        <v>0.30000000000000004</v>
      </c>
      <c r="I2152">
        <f>IF(Skills!X14&lt;&gt;"",1+(Skills!X14/10)*(Z2141/1000)/100,1)</f>
        <v>1</v>
      </c>
      <c r="J2152">
        <f>((Inputs!$B$6*(1+Inputs!$B$7/100))+(((Inputs!$B$12*(1+Inputs!$B$13/100))-(Inputs!$B$12*(1+Inputs!$B$13/100)))+0.25*(Inputs!$B$14-Inputs!$B$14))*(1+Inputs!$B$7/100))*(F2152/100)</f>
        <v>5969553638.5932312</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29995411428430.203</v>
      </c>
      <c r="L2152">
        <f>K2152*(MIN(Inputs!$B$22+(F2160-Calc!F22),(Inputs!$B$23+(IF(ArtifactsInput!$M$15,CHOOSE(ArtifactsInput!$N$15+1,25,30,35,40,45,50)/100*(Inputs!$B$11-Inputs!$B$11),0))))/100+(Inputs!$B$23+(IF(ArtifactsInput!$M$15,CHOOSE(ArtifactsInput!$N$15+1,25,30,35,40,45,50)/100*(Inputs!$B$11-Inputs!$B$11),0)))/100)/2</f>
        <v>99734742999530.438</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2152">
        <f>L2152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2152">
        <f>(1-Summary!$B$11)*S2152+Summary!$B$11*U2152</f>
        <v>461258197543910.38</v>
      </c>
      <c r="P2152">
        <f>IF(B2179=0,0,O2152/B2179)</f>
        <v>1.3940833229257574E-2</v>
      </c>
      <c r="Q2152">
        <f>IFERROR(1/(IF(Inputs!$B$38="pvp",15,MAX(0.1,Skills!E14-IF(TRUE=TRUE,Inputs!$B$32,0)))*(1-IF(AND(ArtifactsInput!$M$27,Inputs!$B$4="Chapter Hunt"),CHOOSE(ArtifactsInput!$N$27+1,20,24,28,32,36,40),0)/100)),0)</f>
        <v>10</v>
      </c>
      <c r="R2152">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2153" spans="1:21" x14ac:dyDescent="0.2">
      <c r="A2153" t="str">
        <f>Skills!A15</f>
        <v>FLAME_HAZE_BURST</v>
      </c>
      <c r="B2153" t="str">
        <f>Skills!B15</f>
        <v>Flame Haze (burst)</v>
      </c>
      <c r="C2153" t="b">
        <f>Inputs!$B$3&gt;=107</f>
        <v>1</v>
      </c>
      <c r="D2153">
        <f>IF(Skills!C15=1,60+Inputs!$B$25+Inputs!$B$29,IF(Skills!C15=2,90+Inputs!$B$26+Inputs!$B$29,IF(Skills!C15=3,120+Inputs!$B$27+Inputs!$B$29,MAX(0,(Inputs!$B$3-100)*3)+Inputs!$B$28+Inputs!$B$29)))</f>
        <v>185</v>
      </c>
      <c r="E2153">
        <f>INDEX(FactorTable!$B$2:$Y$301, MATCH(ROUND(MIN(300,MAX(1,D2153)),0), FactorTable!$A$2:$A$301,0), Skills!M15+1)</f>
        <v>1925</v>
      </c>
      <c r="F2153">
        <f>IF(Skills!N15=TRUE,(Skills!L15/10)*(E2153/1000),Skills!L15/10)+Skills!O15</f>
        <v>2310</v>
      </c>
      <c r="G2153">
        <f>Calc!G15</f>
        <v>3</v>
      </c>
      <c r="H2153">
        <f>Calc!H15</f>
        <v>1</v>
      </c>
      <c r="I2153">
        <f>IF(Skills!X15&lt;&gt;"",1+(Skills!X15/10)*(Z2141/1000)/100,1)</f>
        <v>1</v>
      </c>
      <c r="J2153">
        <f>((Inputs!$B$6*(1+Inputs!$B$7/100))+(((Inputs!$B$12*(1+Inputs!$B$13/100))-(Inputs!$B$12*(1+Inputs!$B$13/100)))+0.25*(Inputs!$B$14-Inputs!$B$14))*(1+Inputs!$B$7/100))*(F2153/100)</f>
        <v>8342207444.1321011</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41917362613232.781</v>
      </c>
      <c r="L2153">
        <f>K2153*(MIN(Inputs!$B$22+(F2160-Calc!F22),(Inputs!$B$23+(IF(ArtifactsInput!$M$15,CHOOSE(ArtifactsInput!$N$15+1,25,30,35,40,45,50)/100*(Inputs!$B$11-Inputs!$B$11),0))))/100+(Inputs!$B$23+(IF(ArtifactsInput!$M$15,CHOOSE(ArtifactsInput!$N$15+1,25,30,35,40,45,50)/100*(Inputs!$B$11-Inputs!$B$11),0)))/100)/2</f>
        <v>139375230688999</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2153">
        <f>L2153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2153">
        <f>(1-Summary!$B$11)*S2153+Summary!$B$11*U2153</f>
        <v>1641155153413763.8</v>
      </c>
      <c r="P2153">
        <f>IF(B2179=0,0,O2153/B2179)</f>
        <v>4.9601438888031674E-2</v>
      </c>
      <c r="Q2153">
        <f>IFERROR(1/(IF(Inputs!$B$38="pvp",15,MAX(0.1,Skills!E15-IF(TRUE=TRUE,Inputs!$B$32,0)))*(1-IF(AND(ArtifactsInput!$M$27,Inputs!$B$4="Chapter Hunt"),CHOOSE(ArtifactsInput!$N$27+1,20,24,28,32,36,40),0)/100)),0)</f>
        <v>0.04</v>
      </c>
      <c r="R2153">
        <f>IF(AND(Inputs!$B$38&lt;&gt;"pvp",Inputs!$B$43&gt;0),IF(MAX(0,Inputs!$B$43-B2176)&lt;=0,0,(INT(MAX(0,Inputs!$B$43-B2176)/(IF(Inputs!$B$38="pvp",15,MAX(0.1,Skills!E15-IF(TRUE=TRUE,Inputs!$B$32,0)))*(1-IF(AND(ArtifactsInput!$M$27,Inputs!$B$4="Chapter Hunt"),CHOOSE(ArtifactsInput!$N$27+1,20,24,28,32,36,40),0)/100)))+1)),0)</f>
        <v>2</v>
      </c>
      <c r="S2153">
        <f>IF(C2153,(H2153*N2153*IF(AND(Inputs!$B$38&lt;&gt;"pvp",Inputs!$B$43&gt;0),((Skills!G15*((R2153-1)*IF(Skills!H15&gt;0,Skills!I15/Skills!H15,1)+IF(Skills!H15&gt;0,MIN(Skills!I15,MAX(0,MAX(0,Inputs!$B$43-B2176)-((R2153-1)*(IF(Inputs!$B$38="pvp",15,MAX(0.1,Skills!E15-IF(TRUE=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2153">
        <f>IF(C2153,(H2153*N2153*IF(AND(Inputs!$B$38&lt;&gt;"pvp",Inputs!$B$43&gt;0),((Skills!G15*((R2153-1)*IF(Skills!H15&gt;0,Skills!I15/Skills!H15,1)+IF(Skills!H15&gt;0,MIN(Skills!I15,MAX(0,MAX(0,Inputs!$B$43-B2176)-((R2153-1)*(IF(Inputs!$B$38="pvp",15,MAX(0.1,Skills!E15-IF(TRUE=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2154" spans="1:21" x14ac:dyDescent="0.2">
      <c r="A2154" t="str">
        <f>Skills!A16</f>
        <v>FLAME_HAZE_DOT</v>
      </c>
      <c r="B2154" t="str">
        <f>Skills!B16</f>
        <v>Flame Haze (burn DoT)</v>
      </c>
      <c r="C2154" t="b">
        <f>Inputs!$B$3&gt;=107</f>
        <v>1</v>
      </c>
      <c r="D2154">
        <f>IF(Skills!C16=1,60+Inputs!$B$25+Inputs!$B$29,IF(Skills!C16=2,90+Inputs!$B$26+Inputs!$B$29,IF(Skills!C16=3,120+Inputs!$B$27+Inputs!$B$29,MAX(0,(Inputs!$B$3-100)*3)+Inputs!$B$28+Inputs!$B$29)))</f>
        <v>185</v>
      </c>
      <c r="E2154">
        <f>INDEX(FactorTable!$B$2:$Y$301, MATCH(ROUND(MIN(300,MAX(1,D2154)),0), FactorTable!$A$2:$A$301,0), Skills!M16+1)</f>
        <v>1925</v>
      </c>
      <c r="F2154">
        <f>IF(Skills!N16=TRUE,(Skills!L16/10)*(E2154/1000),Skills!L16/10)+Skills!O16</f>
        <v>288.75</v>
      </c>
      <c r="G2154">
        <f>Calc!G16</f>
        <v>30</v>
      </c>
      <c r="H2154">
        <f>Calc!H16</f>
        <v>1</v>
      </c>
      <c r="I2154">
        <f>IF(Skills!X16&lt;&gt;"",1+(Skills!X16/10)*(Z2141/1000)/100,1)</f>
        <v>1</v>
      </c>
      <c r="J2154">
        <f>((Inputs!$B$6*(1+Inputs!$B$7/100))+(((Inputs!$B$12*(1+Inputs!$B$13/100))-(Inputs!$B$12*(1+Inputs!$B$13/100)))+0.25*(Inputs!$B$14-Inputs!$B$14))*(1+Inputs!$B$7/100))*(F2154/100)</f>
        <v>1042775930.5165126</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5239670326654.0977</v>
      </c>
      <c r="L2154">
        <f>K2154*(MIN(Inputs!$B$22+(F2160-Calc!F22),(Inputs!$B$23+(IF(ArtifactsInput!$M$15,CHOOSE(ArtifactsInput!$N$15+1,25,30,35,40,45,50)/100*(Inputs!$B$11-Inputs!$B$11),0))))/100+(Inputs!$B$23+(IF(ArtifactsInput!$M$15,CHOOSE(ArtifactsInput!$N$15+1,25,30,35,40,45,50)/100*(Inputs!$B$11-Inputs!$B$11),0)))/100)/2</f>
        <v>17421903836124.875</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2154">
        <f>L2154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2154">
        <f>(1-Summary!$B$11)*S2154+Summary!$B$11*U2154</f>
        <v>1890384927888193</v>
      </c>
      <c r="P2154">
        <f>IF(B2179=0,0,O2154/B2179)</f>
        <v>5.7134032867313167E-2</v>
      </c>
      <c r="Q2154">
        <f>IFERROR(1/(IF(Inputs!$B$38="pvp",15,MAX(0.1,Skills!E16-IF(TRUE=TRUE,Inputs!$B$32,0)))*(1-IF(AND(ArtifactsInput!$M$27,Inputs!$B$4="Chapter Hunt"),CHOOSE(ArtifactsInput!$N$27+1,20,24,28,32,36,40),0)/100)),0)</f>
        <v>0.04</v>
      </c>
      <c r="R2154">
        <f>IF(AND(Inputs!$B$38&lt;&gt;"pvp",Inputs!$B$43&gt;0),IF(MAX(0,Inputs!$B$43-B2176)&lt;=0,0,(INT(MAX(0,Inputs!$B$43-B2176)/(IF(Inputs!$B$38="pvp",15,MAX(0.1,Skills!E16-IF(TRUE=TRUE,Inputs!$B$32,0)))*(1-IF(AND(ArtifactsInput!$M$27,Inputs!$B$4="Chapter Hunt"),CHOOSE(ArtifactsInput!$N$27+1,20,24,28,32,36,40),0)/100)))+1)),0)</f>
        <v>2</v>
      </c>
      <c r="S2154">
        <f>IF(C2154,(H2154*N2154*IF(AND(Inputs!$B$38&lt;&gt;"pvp",Inputs!$B$43&gt;0),((Skills!G16*((R2154-1)*IF(Skills!H16&gt;0,Skills!I16/Skills!H16,1)+IF(Skills!H16&gt;0,MIN(Skills!I16,MAX(0,MAX(0,Inputs!$B$43-B2176)-((R2154-1)*(IF(Inputs!$B$38="pvp",15,MAX(0.1,Skills!E16-IF(TRUE=TRUE,Inputs!$B$32,0)))*(1-IF(AND(ArtifactsInput!$M$27,Inputs!$B$4="Chapter Hunt"),CHOOSE(ArtifactsInput!$N$27+1,20,24,28,32,36,40),0)/100)))))/Skills!H16,1)))/Inputs!$B$43),G2154*Q2154)*(1+IF(Inputs!$B$3&gt;=126,0.05*(B2174+Q2151+(H2152*B2175)/(1+Skills!H14*H2152*B2175)+Q2162),0)*(1/Q2153)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2154">
        <f>IF(C2154,(H2154*N2154*IF(AND(Inputs!$B$38&lt;&gt;"pvp",Inputs!$B$43&gt;0),((Skills!G16*((R2154-1)*IF(Skills!H16&gt;0,Skills!I16/Skills!H16,1)+IF(Skills!H16&gt;0,MIN(Skills!I16,MAX(0,MAX(0,Inputs!$B$43-B2176)-((R2154-1)*(IF(Inputs!$B$38="pvp",15,MAX(0.1,Skills!E16-IF(TRUE=TRUE,Inputs!$B$32,0)))*(1-IF(AND(ArtifactsInput!$M$27,Inputs!$B$4="Chapter Hunt"),CHOOSE(ArtifactsInput!$N$27+1,20,24,28,32,36,40),0)/100)))))/Skills!H16,1)))/Inputs!$B$43),G2154*Q2154)*(1+IF(Inputs!$B$3&gt;=126,0.05*(B2174+Q2151+(H2152*B2175)/(1+Skills!H14*H2152*B2175)+Q2162),0)*(1/Q2153)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2155" spans="1:21" x14ac:dyDescent="0.2">
      <c r="A2155" t="str">
        <f>Skills!A17</f>
        <v>MAGIC_GUARD</v>
      </c>
      <c r="B2155" t="str">
        <f>Skills!B17</f>
        <v>Magic Guard</v>
      </c>
      <c r="C2155" t="b">
        <f>TRUE</f>
        <v>1</v>
      </c>
      <c r="D2155">
        <f>IF(Skills!C17=1,60+Inputs!$B$25+Inputs!$B$29,IF(Skills!C17=2,90+Inputs!$B$26+Inputs!$B$29,IF(Skills!C17=3,120+Inputs!$B$27+Inputs!$B$29,MAX(0,(Inputs!$B$3-100)*3)+Inputs!$B$28+Inputs!$B$29)))</f>
        <v>127</v>
      </c>
      <c r="E2155">
        <f>INDEX(FactorTable!$B$2:$Y$301, MATCH(ROUND(MIN(300,MAX(1,D2155)),0), FactorTable!$A$2:$A$301,0), Skills!M17+1)</f>
        <v>1508</v>
      </c>
      <c r="F2155">
        <f>IF(Skills!N17=TRUE,(Skills!L17/10)*(E2155/1000),Skills!L17/10)+Skills!O17</f>
        <v>18.096</v>
      </c>
      <c r="G2155">
        <f>Calc!G17</f>
        <v>1</v>
      </c>
      <c r="H2155">
        <f>Calc!H17</f>
        <v>1</v>
      </c>
      <c r="I2155">
        <f>IF(Skills!X17&lt;&gt;"",1+(Skills!X17/10)*(Z2141/1000)/100,1)</f>
        <v>1</v>
      </c>
      <c r="O2155">
        <f>(1-Summary!$B$11)*S2155+Summary!$B$11*U2155</f>
        <v>0</v>
      </c>
      <c r="P2155">
        <f>IF(B2179=0,0,O2155/B2179)</f>
        <v>0</v>
      </c>
      <c r="Q2155">
        <f>IFERROR(1/(IF(Inputs!$B$38="pvp",15,MAX(0.1,Skills!E17-IF(TRUE=TRUE,Inputs!$B$32,0)))*(1-IF(AND(ArtifactsInput!$M$27,Inputs!$B$4="Chapter Hunt"),CHOOSE(ArtifactsInput!$N$27+1,20,24,28,32,36,40),0)/100)),0)</f>
        <v>4.7619047619047616E-2</v>
      </c>
      <c r="R2155">
        <f>IF(AND(Inputs!$B$38&lt;&gt;"pvp",Inputs!$B$43&gt;0),IF(Inputs!$B$43&lt;=0,0,(INT(Inputs!$B$43/(IF(Inputs!$B$38="pvp",15,MAX(0.1,Skills!E17-IF(TRUE=TRUE,Inputs!$B$32,0)))*(1-IF(AND(ArtifactsInput!$M$27,Inputs!$B$4="Chapter Hunt"),CHOOSE(ArtifactsInput!$N$27+1,20,24,28,32,36,40),0)/100)))+1)),0)</f>
        <v>2</v>
      </c>
      <c r="S2155">
        <v>0</v>
      </c>
      <c r="U2155">
        <v>0</v>
      </c>
    </row>
    <row r="2156" spans="1:21" x14ac:dyDescent="0.2">
      <c r="A2156" t="str">
        <f>Skills!A18</f>
        <v>NIMBLE_FEET</v>
      </c>
      <c r="B2156" t="str">
        <f>Skills!B18</f>
        <v>Nimble Feet</v>
      </c>
      <c r="C2156" t="b">
        <f>TRUE</f>
        <v>1</v>
      </c>
      <c r="D2156">
        <f>IF(Skills!C18=1,60+Inputs!$B$25+Inputs!$B$29,IF(Skills!C18=2,90+Inputs!$B$26+Inputs!$B$29,IF(Skills!C18=3,120+Inputs!$B$27+Inputs!$B$29,MAX(0,(Inputs!$B$3-100)*3)+Inputs!$B$28+Inputs!$B$29)))</f>
        <v>127</v>
      </c>
      <c r="E2156">
        <f>INDEX(FactorTable!$B$2:$Y$301, MATCH(ROUND(MIN(300,MAX(1,D2156)),0), FactorTable!$A$2:$A$301,0), Skills!M18+1)</f>
        <v>0</v>
      </c>
      <c r="F2156">
        <f>IF(Skills!N18=TRUE,(Skills!L18/10)*(E2156/1000),Skills!L18/10)+Skills!O18</f>
        <v>15</v>
      </c>
      <c r="G2156">
        <f>Calc!G18</f>
        <v>1</v>
      </c>
      <c r="H2156">
        <f>Calc!H18</f>
        <v>1</v>
      </c>
      <c r="I2156">
        <f>IF(Skills!X18&lt;&gt;"",1+(Skills!X18/10)*(Z2141/1000)/100,1)</f>
        <v>1</v>
      </c>
      <c r="O2156">
        <f>(1-Summary!$B$11)*S2156+Summary!$B$11*U2156</f>
        <v>0</v>
      </c>
      <c r="P2156">
        <f>IF(B2179=0,0,O2156/B2179)</f>
        <v>0</v>
      </c>
      <c r="Q2156">
        <f>IFERROR(1/(IF(Inputs!$B$38="pvp",15,MAX(0.1,Skills!E18-IF(TRUE=TRUE,Inputs!$B$32,0)))*(1-IF(AND(ArtifactsInput!$M$27,Inputs!$B$4="Chapter Hunt"),CHOOSE(ArtifactsInput!$N$27+1,20,24,28,32,36,40),0)/100)),0)</f>
        <v>1.6666666666666666E-2</v>
      </c>
      <c r="R2156">
        <f>IF(AND(Inputs!$B$38&lt;&gt;"pvp",Inputs!$B$43&gt;0),IF(Inputs!$B$43&lt;=0,0,(INT(Inputs!$B$43/(IF(Inputs!$B$38="pvp",15,MAX(0.1,Skills!E18-IF(TRUE=TRUE,Inputs!$B$32,0)))*(1-IF(AND(ArtifactsInput!$M$27,Inputs!$B$4="Chapter Hunt"),CHOOSE(ArtifactsInput!$N$27+1,20,24,28,32,36,40),0)/100)))+1)),0)</f>
        <v>1</v>
      </c>
      <c r="S2156">
        <v>0</v>
      </c>
      <c r="U2156">
        <v>0</v>
      </c>
    </row>
    <row r="2157" spans="1:21" x14ac:dyDescent="0.2">
      <c r="A2157" t="str">
        <f>Skills!A19</f>
        <v>INFINITY</v>
      </c>
      <c r="B2157" t="str">
        <f>Skills!B19</f>
        <v>Infinity</v>
      </c>
      <c r="C2157" t="b">
        <f>Inputs!$B$3&gt;=110</f>
        <v>1</v>
      </c>
      <c r="D2157">
        <f>IF(Skills!C19=1,60+Inputs!$B$25+Inputs!$B$29,IF(Skills!C19=2,90+Inputs!$B$26+Inputs!$B$29,IF(Skills!C19=3,120+Inputs!$B$27+Inputs!$B$29,MAX(0,(Inputs!$B$3-100)*3)+Inputs!$B$28+Inputs!$B$29)))</f>
        <v>185</v>
      </c>
      <c r="E2157">
        <f>INDEX(FactorTable!$B$2:$Y$301, MATCH(ROUND(MIN(300,MAX(1,D2157)),0), FactorTable!$A$2:$A$301,0), Skills!M19+1)</f>
        <v>1740</v>
      </c>
      <c r="F2157">
        <f>IF(Skills!N19=TRUE,(Skills!L19/10)*(E2157/1000),Skills!L19/10)+Skills!O19</f>
        <v>37.700579999999995</v>
      </c>
      <c r="G2157">
        <f>Calc!G19</f>
        <v>1</v>
      </c>
      <c r="H2157">
        <f>Calc!H19</f>
        <v>1</v>
      </c>
      <c r="I2157">
        <f>IF(Skills!X19&lt;&gt;"",1+(Skills!X19/10)*(Z2141/1000)/100,1)</f>
        <v>1</v>
      </c>
      <c r="O2157">
        <f>(1-Summary!$B$11)*S2157+Summary!$B$11*U2157</f>
        <v>0</v>
      </c>
      <c r="P2157">
        <f>IF(B2179=0,0,O2157/B2179)</f>
        <v>0</v>
      </c>
      <c r="Q2157">
        <f>IFERROR(1/(IF(Inputs!$B$38="pvp",15,MAX(0.1,Skills!E19-IF(TRUE=TRUE,Inputs!$B$32,0)))*(1-IF(AND(ArtifactsInput!$M$27,Inputs!$B$4="Chapter Hunt"),CHOOSE(ArtifactsInput!$N$27+1,20,24,28,32,36,40),0)/100)),0)</f>
        <v>3.3333333333333333E-2</v>
      </c>
      <c r="R2157">
        <f>IF(AND(Inputs!$B$38&lt;&gt;"pvp",Inputs!$B$43&gt;0),IF(Inputs!$B$43&lt;=0,0,(INT(Inputs!$B$43/(IF(Inputs!$B$38="pvp",15,MAX(0.1,Skills!E19-IF(TRUE=TRUE,Inputs!$B$32,0)))*(1-IF(AND(ArtifactsInput!$M$27,Inputs!$B$4="Chapter Hunt"),CHOOSE(ArtifactsInput!$N$27+1,20,24,28,32,36,40),0)/100)))+1)),0)</f>
        <v>2</v>
      </c>
      <c r="S2157">
        <v>0</v>
      </c>
      <c r="U2157">
        <v>0</v>
      </c>
    </row>
    <row r="2158" spans="1:21" x14ac:dyDescent="0.2">
      <c r="A2158" t="str">
        <f>Skills!A20</f>
        <v>MAGIC_CRITICAL_RATE</v>
      </c>
      <c r="B2158" t="str">
        <f>Skills!B20</f>
        <v>Magic Critical (Crit Rate)</v>
      </c>
      <c r="C2158" t="b">
        <f>TRUE</f>
        <v>1</v>
      </c>
      <c r="D2158">
        <f>IF(Skills!C20=1,60+Inputs!$B$25+Inputs!$B$29,IF(Skills!C20=2,90+Inputs!$B$26+Inputs!$B$29,IF(Skills!C20=3,120+Inputs!$B$27+Inputs!$B$29,MAX(0,(Inputs!$B$3-100)*3)+Inputs!$B$28+Inputs!$B$29)))</f>
        <v>184</v>
      </c>
      <c r="E2158">
        <f>INDEX(FactorTable!$B$2:$Y$301, MATCH(ROUND(MIN(300,MAX(1,D2158)),0), FactorTable!$A$2:$A$301,0), Skills!M20+1)</f>
        <v>1552</v>
      </c>
      <c r="F2158">
        <f>IF(Skills!N20=TRUE,(Skills!L20/10)*(E2158/1000),Skills!L20/10)+Skills!O20</f>
        <v>12.416</v>
      </c>
      <c r="G2158">
        <f>Calc!G20</f>
        <v>1</v>
      </c>
      <c r="H2158">
        <f>Calc!H20</f>
        <v>1</v>
      </c>
      <c r="I2158">
        <f>IF(Skills!X20&lt;&gt;"",1+(Skills!X20/10)*(Z2141/1000)/100,1)</f>
        <v>1</v>
      </c>
      <c r="O2158">
        <f>(1-Summary!$B$11)*S2158+Summary!$B$11*U2158</f>
        <v>0</v>
      </c>
      <c r="P2158">
        <f>IF(B2179=0,0,O2158/B2179)</f>
        <v>0</v>
      </c>
      <c r="Q2158">
        <f>IFERROR(1/(IF(Inputs!$B$38="pvp",15,MAX(0.1,Skills!E20-IF(TRUE=TRUE,Inputs!$B$32,0)))*(1-IF(AND(ArtifactsInput!$M$27,Inputs!$B$4="Chapter Hunt"),CHOOSE(ArtifactsInput!$N$27+1,20,24,28,32,36,40),0)/100)),0)</f>
        <v>10</v>
      </c>
      <c r="R2158">
        <v>0</v>
      </c>
      <c r="S2158">
        <v>0</v>
      </c>
      <c r="U2158">
        <v>0</v>
      </c>
    </row>
    <row r="2159" spans="1:21" x14ac:dyDescent="0.2">
      <c r="A2159" t="str">
        <f>Skills!A21</f>
        <v>MAGIC_CRITICAL_DAMAGE</v>
      </c>
      <c r="B2159" t="str">
        <f>Skills!B21</f>
        <v>Magic Critical (Crit Damage)</v>
      </c>
      <c r="C2159" t="b">
        <f>TRUE</f>
        <v>1</v>
      </c>
      <c r="D2159">
        <f>IF(Skills!C21=1,60+Inputs!$B$25+Inputs!$B$29,IF(Skills!C21=2,90+Inputs!$B$26+Inputs!$B$29,IF(Skills!C21=3,120+Inputs!$B$27+Inputs!$B$29,MAX(0,(Inputs!$B$3-100)*3)+Inputs!$B$28+Inputs!$B$29)))</f>
        <v>184</v>
      </c>
      <c r="E2159">
        <f>INDEX(FactorTable!$B$2:$Y$301, MATCH(ROUND(MIN(300,MAX(1,D2159)),0), FactorTable!$A$2:$A$301,0), Skills!M21+1)</f>
        <v>1552</v>
      </c>
      <c r="F2159">
        <f>IF(Skills!N21=TRUE,(Skills!L21/10)*(E2159/1000),Skills!L21/10)+Skills!O21</f>
        <v>18.624000000000002</v>
      </c>
      <c r="G2159">
        <f>Calc!G21</f>
        <v>1</v>
      </c>
      <c r="H2159">
        <f>Calc!H21</f>
        <v>1</v>
      </c>
      <c r="I2159">
        <f>IF(Skills!X21&lt;&gt;"",1+(Skills!X21/10)*(Z2141/1000)/100,1)</f>
        <v>1</v>
      </c>
      <c r="O2159">
        <f>(1-Summary!$B$11)*S2159+Summary!$B$11*U2159</f>
        <v>0</v>
      </c>
      <c r="P2159">
        <f>IF(B2179=0,0,O2159/B2179)</f>
        <v>0</v>
      </c>
      <c r="Q2159">
        <f>IFERROR(1/(IF(Inputs!$B$38="pvp",15,MAX(0.1,Skills!E21-IF(TRUE=TRUE,Inputs!$B$32,0)))*(1-IF(AND(ArtifactsInput!$M$27,Inputs!$B$4="Chapter Hunt"),CHOOSE(ArtifactsInput!$N$27+1,20,24,28,32,36,40),0)/100)),0)</f>
        <v>10</v>
      </c>
      <c r="R2159">
        <v>0</v>
      </c>
      <c r="S2159">
        <v>0</v>
      </c>
      <c r="U2159">
        <v>0</v>
      </c>
    </row>
    <row r="2160" spans="1:21" x14ac:dyDescent="0.2">
      <c r="A2160" t="str">
        <f>Skills!A22</f>
        <v>SPELL_MASTERY</v>
      </c>
      <c r="B2160" t="str">
        <f>Skills!B22</f>
        <v>Spell Mastery</v>
      </c>
      <c r="C2160" t="b">
        <f>TRUE</f>
        <v>1</v>
      </c>
      <c r="D2160">
        <f>IF(Skills!C22=1,60+Inputs!$B$25+Inputs!$B$29,IF(Skills!C22=2,90+Inputs!$B$26+Inputs!$B$29,IF(Skills!C22=3,120+Inputs!$B$27+Inputs!$B$29,MAX(0,(Inputs!$B$3-100)*3)+Inputs!$B$28+Inputs!$B$29)))</f>
        <v>168</v>
      </c>
      <c r="E2160">
        <f>INDEX(FactorTable!$B$2:$Y$301, MATCH(ROUND(MIN(300,MAX(1,D2160)),0), FactorTable!$A$2:$A$301,0), Skills!M22+1)</f>
        <v>1504</v>
      </c>
      <c r="F2160">
        <f>IF(Skills!N22=TRUE,(Skills!L22/10)*(E2160/1000),Skills!L22/10)+Skills!O22</f>
        <v>22.56</v>
      </c>
      <c r="G2160">
        <f>Calc!G22</f>
        <v>1</v>
      </c>
      <c r="H2160">
        <f>Calc!H22</f>
        <v>1</v>
      </c>
      <c r="I2160">
        <f>IF(Skills!X22&lt;&gt;"",1+(Skills!X22/10)*(Z2141/1000)/100,1)</f>
        <v>1</v>
      </c>
      <c r="O2160">
        <f>(1-Summary!$B$11)*S2160+Summary!$B$11*U2160</f>
        <v>0</v>
      </c>
      <c r="P2160">
        <f>IF(B2179=0,0,O2160/B2179)</f>
        <v>0</v>
      </c>
      <c r="Q2160">
        <f>IFERROR(1/(IF(Inputs!$B$38="pvp",15,MAX(0.1,Skills!E22-IF(TRUE=TRUE,Inputs!$B$32,0)))*(1-IF(AND(ArtifactsInput!$M$27,Inputs!$B$4="Chapter Hunt"),CHOOSE(ArtifactsInput!$N$27+1,20,24,28,32,36,40),0)/100)),0)</f>
        <v>10</v>
      </c>
      <c r="R2160">
        <v>0</v>
      </c>
      <c r="S2160">
        <v>0</v>
      </c>
      <c r="U2160">
        <v>0</v>
      </c>
    </row>
    <row r="2161" spans="1:21" x14ac:dyDescent="0.2">
      <c r="A2161" t="str">
        <f>Skills!A23</f>
        <v>ELEMENT_AMPLIFICATION</v>
      </c>
      <c r="B2161" t="str">
        <f>Skills!B23</f>
        <v>Element Amplification</v>
      </c>
      <c r="C2161" t="b">
        <f>TRUE</f>
        <v>1</v>
      </c>
      <c r="D2161">
        <f>IF(Skills!C23=1,60+Inputs!$B$25+Inputs!$B$29,IF(Skills!C23=2,90+Inputs!$B$26+Inputs!$B$29,IF(Skills!C23=3,120+Inputs!$B$27+Inputs!$B$29,MAX(0,(Inputs!$B$3-100)*3)+Inputs!$B$28+Inputs!$B$29)))</f>
        <v>185</v>
      </c>
      <c r="E2161">
        <f>INDEX(FactorTable!$B$2:$Y$301, MATCH(ROUND(MIN(300,MAX(1,D2161)),0), FactorTable!$A$2:$A$301,0), Skills!M23+1)</f>
        <v>1555</v>
      </c>
      <c r="F2161">
        <f>IF(Skills!N23=TRUE,(Skills!L23/10)*(E2161/1000),Skills!L23/10)+Skills!O23</f>
        <v>23.324999999999999</v>
      </c>
      <c r="G2161">
        <f>Calc!G23</f>
        <v>1</v>
      </c>
      <c r="H2161">
        <f>Calc!H23</f>
        <v>1</v>
      </c>
      <c r="I2161">
        <f>IF(Skills!X23&lt;&gt;"",1+(Skills!X23/10)*(Z2141/1000)/100,1)</f>
        <v>1</v>
      </c>
      <c r="O2161">
        <f>(1-Summary!$B$11)*S2161+Summary!$B$11*U2161</f>
        <v>0</v>
      </c>
      <c r="P2161">
        <f>IF(B2179=0,0,O2161/B2179)</f>
        <v>0</v>
      </c>
      <c r="Q2161">
        <f>IFERROR(1/(IF(Inputs!$B$38="pvp",15,MAX(0.1,Skills!E23-IF(TRUE=TRUE,Inputs!$B$32,0)))*(1-IF(AND(ArtifactsInput!$M$27,Inputs!$B$4="Chapter Hunt"),CHOOSE(ArtifactsInput!$N$27+1,20,24,28,32,36,40),0)/100)),0)</f>
        <v>10</v>
      </c>
      <c r="R2161">
        <v>0</v>
      </c>
      <c r="S2161">
        <v>0</v>
      </c>
      <c r="U2161">
        <v>0</v>
      </c>
    </row>
    <row r="2162" spans="1:21" x14ac:dyDescent="0.2">
      <c r="A2162" t="str">
        <f>Skills!A24</f>
        <v>IFRIT</v>
      </c>
      <c r="B2162" t="str">
        <f>Skills!B24</f>
        <v>Ifrit</v>
      </c>
      <c r="C2162" t="b">
        <f>Inputs!$B$3&gt;=115</f>
        <v>1</v>
      </c>
      <c r="D2162">
        <f>IF(Skills!C24=1,60+Inputs!$B$25+Inputs!$B$29,IF(Skills!C24=2,90+Inputs!$B$26+Inputs!$B$29,IF(Skills!C24=3,120+Inputs!$B$27+Inputs!$B$29,MAX(0,(Inputs!$B$3-100)*3)+Inputs!$B$28+Inputs!$B$29)))</f>
        <v>185</v>
      </c>
      <c r="E2162">
        <f>INDEX(FactorTable!$B$2:$Y$301, MATCH(ROUND(MIN(300,MAX(1,D2162)),0), FactorTable!$A$2:$A$301,0), Skills!M24+1)</f>
        <v>1925</v>
      </c>
      <c r="F2162">
        <f>IF(Skills!N24=TRUE,(Skills!L24/10)*(E2162/1000),Skills!L24/10)+Skills!O24</f>
        <v>6737.5</v>
      </c>
      <c r="G2162">
        <f>Calc!G24</f>
        <v>7.5</v>
      </c>
      <c r="H2162">
        <f>Calc!H24</f>
        <v>1</v>
      </c>
      <c r="I2162">
        <f>IF(Skills!X24&lt;&gt;"",1+(Skills!X24/10)*(Z2141/1000)/100,1)</f>
        <v>1</v>
      </c>
      <c r="J2162">
        <f>((Inputs!$B$6*(1+Inputs!$B$7/100))+(((Inputs!$B$12*(1+Inputs!$B$13/100))-(Inputs!$B$12*(1+Inputs!$B$13/100)))+0.25*(Inputs!$B$14-Inputs!$B$14))*(1+Inputs!$B$7/100))*(F2162/100)</f>
        <v>24331438378.718628</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122258974288595.61</v>
      </c>
      <c r="L2162">
        <f>K2162*(MIN(Inputs!$B$22+(F2160-Calc!F22),(Inputs!$B$23+(IF(ArtifactsInput!$M$15,CHOOSE(ArtifactsInput!$N$15+1,25,30,35,40,45,50)/100*(Inputs!$B$11-Inputs!$B$11),0))))/100+(Inputs!$B$23+(IF(ArtifactsInput!$M$15,CHOOSE(ArtifactsInput!$N$15+1,25,30,35,40,45,50)/100*(Inputs!$B$11-Inputs!$B$11),0)))/100)/2</f>
        <v>406511089509580.44</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2162">
        <f>L2162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2162">
        <f>(1-Summary!$B$11)*S2162+Summary!$B$11*U2162</f>
        <v>2194085169658842.8</v>
      </c>
      <c r="P2162">
        <f>IF(B2179=0,0,O2162/B2179)</f>
        <v>6.6312914553869617E-2</v>
      </c>
      <c r="Q2162">
        <f>IFERROR(1/(IF(Inputs!$B$38="pvp",15,MAX(0.1,Skills!E24-IF(TRUE=TRUE,Inputs!$B$32,0)))*(1-IF(AND(ArtifactsInput!$M$27,Inputs!$B$4="Chapter Hunt"),CHOOSE(ArtifactsInput!$N$27+1,20,24,28,32,36,40),0)/100)),0)</f>
        <v>1.2500000000000001E-2</v>
      </c>
      <c r="R2162">
        <f>IF(AND(Inputs!$B$38&lt;&gt;"pvp",Inputs!$B$43&gt;0),IF(MAX(0,Inputs!$B$43-B2176)&lt;=0,0,(INT(MAX(0,Inputs!$B$43-B2176)/(IF(Inputs!$B$38="pvp",15,MAX(0.1,Skills!E24-IF(TRUE=TRUE,Inputs!$B$32,0)))*(1-IF(AND(ArtifactsInput!$M$27,Inputs!$B$4="Chapter Hunt"),CHOOSE(ArtifactsInput!$N$27+1,20,24,28,32,36,40),0)/100)))+1)),0)</f>
        <v>1</v>
      </c>
      <c r="S2162">
        <f>IF(C2162,(H2162*N2162*IF(AND(Inputs!$B$38&lt;&gt;"pvp",Inputs!$B$43&gt;0),((Skills!G24*((R2162-1)*IF(Skills!H24&gt;0,Skills!I24/Skills!H24,1)+IF(Skills!H24&gt;0,MIN(Skills!I24,MAX(0,MAX(0,Inputs!$B$43-B2176)-((R2162-1)*(IF(Inputs!$B$38="pvp",15,MAX(0.1,Skills!E24-IF(TRUE=TRUE,Inputs!$B$32,0)))*(1-IF(AND(ArtifactsInput!$M$27,Inputs!$B$4="Chapter Hunt"),CHOOSE(ArtifactsInput!$N$27+1,20,24,28,32,36,40),0)/100)))))/Skills!H24,1)))/Inputs!$B$43),G2162*Q2162)*(1+IF(Inputs!$B$3&gt;=130,0.2*(Skills!I16/(1/Q2153)+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2162">
        <f>IF(C2162,(H2162*N2162*IF(AND(Inputs!$B$38&lt;&gt;"pvp",Inputs!$B$43&gt;0),((Skills!G24*((R2162-1)*IF(Skills!H24&gt;0,Skills!I24/Skills!H24,1)+IF(Skills!H24&gt;0,MIN(Skills!I24,MAX(0,MAX(0,Inputs!$B$43-B2176)-((R2162-1)*(IF(Inputs!$B$38="pvp",15,MAX(0.1,Skills!E24-IF(TRUE=TRUE,Inputs!$B$32,0)))*(1-IF(AND(ArtifactsInput!$M$27,Inputs!$B$4="Chapter Hunt"),CHOOSE(ArtifactsInput!$N$27+1,20,24,28,32,36,40),0)/100)))))/Skills!H24,1)))/Inputs!$B$43),G2162*Q2162)*(1+IF(Inputs!$B$3&gt;=130,0.2*(Skills!I16/(1/Q2153)+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2163" spans="1:21" x14ac:dyDescent="0.2">
      <c r="A2163" t="str">
        <f>Skills!A25</f>
        <v>BUFF_MASTERY</v>
      </c>
      <c r="B2163" t="str">
        <f>Skills!B25</f>
        <v>Buff Mastery</v>
      </c>
      <c r="C2163" t="b">
        <f>Inputs!$B$3&gt;=117</f>
        <v>1</v>
      </c>
      <c r="D2163">
        <f>IF(Skills!C25=1,60+Inputs!$B$25+Inputs!$B$29,IF(Skills!C25=2,90+Inputs!$B$26+Inputs!$B$29,IF(Skills!C25=3,120+Inputs!$B$27+Inputs!$B$29,MAX(0,(Inputs!$B$3-100)*3)+Inputs!$B$28+Inputs!$B$29)))</f>
        <v>185</v>
      </c>
      <c r="E2163">
        <f>INDEX(FactorTable!$B$2:$Y$301, MATCH(ROUND(MIN(300,MAX(1,D2163)),0), FactorTable!$A$2:$A$301,0), Skills!M25+1)</f>
        <v>1555</v>
      </c>
      <c r="F2163">
        <f>IF(Skills!N25=TRUE,(Skills!L25/10)*(E2163/1000),Skills!L25/10)+Skills!O25</f>
        <v>15.549999999999999</v>
      </c>
      <c r="G2163">
        <f>Calc!G25</f>
        <v>1</v>
      </c>
      <c r="H2163">
        <f>Calc!H25</f>
        <v>1</v>
      </c>
      <c r="I2163">
        <f>IF(Skills!X25&lt;&gt;"",1+(Skills!X25/10)*(Z2141/1000)/100,1)</f>
        <v>1</v>
      </c>
      <c r="O2163">
        <f>(1-Summary!$B$11)*S2163+Summary!$B$11*U2163</f>
        <v>0</v>
      </c>
      <c r="P2163">
        <f>IF(B2179=0,0,O2163/B2179)</f>
        <v>0</v>
      </c>
      <c r="Q2163">
        <f>IFERROR(1/(IF(Inputs!$B$38="pvp",15,MAX(0.1,Skills!E25-IF(TRUE=TRUE,Inputs!$B$32,0)))*(1-IF(AND(ArtifactsInput!$M$27,Inputs!$B$4="Chapter Hunt"),CHOOSE(ArtifactsInput!$N$27+1,20,24,28,32,36,40),0)/100)),0)</f>
        <v>10</v>
      </c>
      <c r="R2163">
        <v>0</v>
      </c>
      <c r="S2163">
        <v>0</v>
      </c>
      <c r="U2163">
        <v>0</v>
      </c>
    </row>
    <row r="2164" spans="1:21" x14ac:dyDescent="0.2">
      <c r="A2164" t="str">
        <f>Skills!A26</f>
        <v>ARCANE_AIM</v>
      </c>
      <c r="B2164" t="str">
        <f>Skills!B26</f>
        <v>Arcane Aim</v>
      </c>
      <c r="C2164" t="b">
        <f>Inputs!$B$3&gt;=120</f>
        <v>0</v>
      </c>
      <c r="D2164">
        <f>IF(Skills!C26=1,60+Inputs!$B$25+Inputs!$B$29,IF(Skills!C26=2,90+Inputs!$B$26+Inputs!$B$29,IF(Skills!C26=3,120+Inputs!$B$27+Inputs!$B$29,MAX(0,(Inputs!$B$3-100)*3)+Inputs!$B$28+Inputs!$B$29)))</f>
        <v>185</v>
      </c>
      <c r="E2164">
        <f>INDEX(FactorTable!$B$2:$Y$301, MATCH(ROUND(MIN(300,MAX(1,D2164)),0), FactorTable!$A$2:$A$301,0), Skills!M26+1)</f>
        <v>1555</v>
      </c>
      <c r="F2164">
        <f>IF(Skills!N26=TRUE,(Skills!L26/10)*(E2164/1000),Skills!L26/10)+Skills!O26</f>
        <v>4.665</v>
      </c>
      <c r="G2164">
        <f>Calc!G26</f>
        <v>1</v>
      </c>
      <c r="H2164">
        <f>Calc!H26</f>
        <v>1</v>
      </c>
      <c r="I2164">
        <f>IF(Skills!X26&lt;&gt;"",1+(Skills!X26/10)*(Z2141/1000)/100,1)</f>
        <v>1</v>
      </c>
      <c r="O2164">
        <f>(1-Summary!$B$11)*S2164+Summary!$B$11*U2164</f>
        <v>0</v>
      </c>
      <c r="P2164">
        <f>IF(B2179=0,0,O2164/B2179)</f>
        <v>0</v>
      </c>
      <c r="Q2164">
        <f>IFERROR(1/(IF(Inputs!$B$38="pvp",15,MAX(0.1,Skills!E26-IF(TRUE=TRUE,Inputs!$B$32,0)))*(1-IF(AND(ArtifactsInput!$M$27,Inputs!$B$4="Chapter Hunt"),CHOOSE(ArtifactsInput!$N$27+1,20,24,28,32,36,40),0)/100)),0)</f>
        <v>10</v>
      </c>
      <c r="R2164">
        <v>0</v>
      </c>
      <c r="S2164">
        <v>0</v>
      </c>
      <c r="U2164">
        <v>0</v>
      </c>
    </row>
    <row r="2165" spans="1:21" x14ac:dyDescent="0.2">
      <c r="A2165" t="str">
        <f>Skills!A27</f>
        <v>FERVENT_DRAIN</v>
      </c>
      <c r="B2165" t="str">
        <f>Skills!B27</f>
        <v>Fervent Drain</v>
      </c>
      <c r="C2165" t="b">
        <f>Inputs!$B$3&gt;=125</f>
        <v>0</v>
      </c>
      <c r="D2165">
        <f>IF(Skills!C27=1,60+Inputs!$B$25+Inputs!$B$29,IF(Skills!C27=2,90+Inputs!$B$26+Inputs!$B$29,IF(Skills!C27=3,120+Inputs!$B$27+Inputs!$B$29,MAX(0,(Inputs!$B$3-100)*3)+Inputs!$B$28+Inputs!$B$29)))</f>
        <v>185</v>
      </c>
      <c r="E2165">
        <f>INDEX(FactorTable!$B$2:$Y$301, MATCH(ROUND(MIN(300,MAX(1,D2165)),0), FactorTable!$A$2:$A$301,0), Skills!M27+1)</f>
        <v>1555</v>
      </c>
      <c r="F2165">
        <f>IF(Skills!N27=TRUE,(Skills!L27/10)*(E2165/1000),Skills!L27/10)+Skills!O27</f>
        <v>6.22</v>
      </c>
      <c r="G2165">
        <f>Calc!G27</f>
        <v>1</v>
      </c>
      <c r="H2165">
        <f>Calc!H27</f>
        <v>1</v>
      </c>
      <c r="I2165">
        <f>IF(Skills!X27&lt;&gt;"",1+(Skills!X27/10)*(Z2141/1000)/100,1)</f>
        <v>1</v>
      </c>
      <c r="O2165">
        <f>(1-Summary!$B$11)*S2165+Summary!$B$11*U2165</f>
        <v>0</v>
      </c>
      <c r="P2165">
        <f>IF(B2179=0,0,O2165/B2179)</f>
        <v>0</v>
      </c>
      <c r="Q2165">
        <f>IFERROR(1/(IF(Inputs!$B$38="pvp",15,MAX(0.1,Skills!E27-IF(TRUE=TRUE,Inputs!$B$32,0)))*(1-IF(AND(ArtifactsInput!$M$27,Inputs!$B$4="Chapter Hunt"),CHOOSE(ArtifactsInput!$N$27+1,20,24,28,32,36,40),0)/100)),0)</f>
        <v>10</v>
      </c>
      <c r="R2165">
        <v>0</v>
      </c>
      <c r="S2165">
        <v>0</v>
      </c>
      <c r="U2165">
        <v>0</v>
      </c>
    </row>
    <row r="2166" spans="1:21" x14ac:dyDescent="0.2">
      <c r="A2166" t="str">
        <f>Skills!A28</f>
        <v>FLAME_HAZE_FOG</v>
      </c>
      <c r="B2166" t="str">
        <f>Skills!B28</f>
        <v>Flame Haze (poison fog DoT)</v>
      </c>
      <c r="C2166" t="b">
        <f>Inputs!$B$3&gt;=118</f>
        <v>0</v>
      </c>
      <c r="D2166">
        <f>IF(Skills!C28=1,60+Inputs!$B$25+Inputs!$B$29,IF(Skills!C28=2,90+Inputs!$B$26+Inputs!$B$29,IF(Skills!C28=3,120+Inputs!$B$27+Inputs!$B$29,MAX(0,(Inputs!$B$3-100)*3)+Inputs!$B$28+Inputs!$B$29)))</f>
        <v>185</v>
      </c>
      <c r="E2166">
        <f>INDEX(FactorTable!$B$2:$Y$301, MATCH(ROUND(MIN(300,MAX(1,D2166)),0), FactorTable!$A$2:$A$301,0), Skills!M28+1)</f>
        <v>1925</v>
      </c>
      <c r="F2166">
        <f>IF(Skills!N28=TRUE,(Skills!L28/10)*(E2166/1000),Skills!L28/10)+Skills!O28</f>
        <v>134.75</v>
      </c>
      <c r="G2166">
        <f>Calc!G28</f>
        <v>50</v>
      </c>
      <c r="H2166">
        <f>Calc!H28</f>
        <v>1</v>
      </c>
      <c r="I2166">
        <f>IF(Skills!X28&lt;&gt;"",1+(Skills!X28/10)*(Z2141/1000)/100,1)</f>
        <v>1</v>
      </c>
      <c r="J2166">
        <f>((Inputs!$B$6*(1+Inputs!$B$7/100))+(((Inputs!$B$12*(1+Inputs!$B$13/100))-(Inputs!$B$12*(1+Inputs!$B$13/100)))+0.25*(Inputs!$B$14-Inputs!$B$14))*(1+Inputs!$B$7/100))*(F2166/100)</f>
        <v>486628767.57437253</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2445179485771.9116</v>
      </c>
      <c r="L2166">
        <f>K2166*(MIN(Inputs!$B$22+(F2160-Calc!F22),(Inputs!$B$23+(IF(ArtifactsInput!$M$15,CHOOSE(ArtifactsInput!$N$15+1,25,30,35,40,45,50)/100*(Inputs!$B$11-Inputs!$B$11),0))))/100+(Inputs!$B$23+(IF(ArtifactsInput!$M$15,CHOOSE(ArtifactsInput!$N$15+1,25,30,35,40,45,50)/100*(Inputs!$B$11-Inputs!$B$11),0)))/100)/2</f>
        <v>8130221790191.6064</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2166">
        <f>L2166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2166">
        <f>(1-Summary!$B$11)*S2166+Summary!$B$11*U2166</f>
        <v>0</v>
      </c>
      <c r="P2166">
        <f>IF(B2179=0,0,O2166/B2179)</f>
        <v>0</v>
      </c>
      <c r="Q2166">
        <f>IFERROR(1/(IF(Inputs!$B$38="pvp",15,MAX(0.1,Skills!E28-IF(TRUE=TRUE,Inputs!$B$32,0)))*(1-IF(AND(ArtifactsInput!$M$27,Inputs!$B$4="Chapter Hunt"),CHOOSE(ArtifactsInput!$N$27+1,20,24,28,32,36,40),0)/100)),0)</f>
        <v>0.04</v>
      </c>
      <c r="R2166">
        <f>IF(AND(Inputs!$B$38&lt;&gt;"pvp",Inputs!$B$43&gt;0),IF(MAX(0,Inputs!$B$43-B2176)&lt;=0,0,(INT(MAX(0,Inputs!$B$43-B2176)/(IF(Inputs!$B$38="pvp",15,MAX(0.1,Skills!E28-IF(TRUE=TRUE,Inputs!$B$32,0)))*(1-IF(AND(ArtifactsInput!$M$27,Inputs!$B$4="Chapter Hunt"),CHOOSE(ArtifactsInput!$N$27+1,20,24,28,32,36,40),0)/100)))+1)),0)</f>
        <v>2</v>
      </c>
      <c r="S2166">
        <f>IF(C2166,(H2166*N2166*IF(AND(Inputs!$B$38&lt;&gt;"pvp",Inputs!$B$43&gt;0),((Skills!G28*((R2166-1)*IF(Skills!H28&gt;0,Skills!I28/Skills!H28,1)+IF(Skills!H28&gt;0,MIN(Skills!I28,MAX(0,MAX(0,Inputs!$B$43-B2176)-((R2166-1)*(IF(Inputs!$B$38="pvp",15,MAX(0.1,Skills!E28-IF(TRUE=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166">
        <f>IF(C2166,(H2166*N2166*IF(AND(Inputs!$B$38&lt;&gt;"pvp",Inputs!$B$43&gt;0),((Skills!G28*((R2166-1)*IF(Skills!H28&gt;0,Skills!I28/Skills!H28,1)+IF(Skills!H28&gt;0,MIN(Skills!I28,MAX(0,MAX(0,Inputs!$B$43-B2176)-((R2166-1)*(IF(Inputs!$B$38="pvp",15,MAX(0.1,Skills!E28-IF(TRUE=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168" spans="1:21" x14ac:dyDescent="0.2">
      <c r="A2168" t="s">
        <v>356</v>
      </c>
      <c r="B2168">
        <f>1+(F2149*Skills!Z11)/100</f>
        <v>1.25</v>
      </c>
    </row>
    <row r="2169" spans="1:21" x14ac:dyDescent="0.2">
      <c r="A2169" t="s">
        <v>435</v>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1.18624</v>
      </c>
    </row>
    <row r="2170" spans="1:21" x14ac:dyDescent="0.2">
      <c r="A2170" t="s">
        <v>358</v>
      </c>
      <c r="B2170">
        <f>(1+(F2144*IF(AND(Inputs!$B$38&lt;&gt;"pvp",Inputs!$B$43&gt;0),(((R2144-1)*MIN((Skills!T6*(1+((Inputs!$B$34+(ArtifactsInput!$M$7-ArtifactsInput!$M$7)*CHOOSE(ArtifactsInput!$N$7+1,6,7.2,8.4,9.6,10.8,12)))/100)),(1/Q2144))+MIN((Skills!T6*(1+((Inputs!$B$34+(ArtifactsInput!$M$7-ArtifactsInput!$M$7)*CHOOSE(ArtifactsInput!$N$7+1,6,7.2,8.4,9.6,10.8,12)))/100)),MAX(0,Inputs!$B$43-((R2144-1)*(1/Q2144)))))/Inputs!$B$43),IF(Inputs!$B$38="pvp",MIN((Skills!T6*(1+((Inputs!$B$34+(ArtifactsInput!$M$7-ArtifactsInput!$M$7)*CHOOSE(ArtifactsInput!$N$7+1,6,7.2,8.4,9.6,10.8,12)))/100)),15)/15,MIN(1,(Skills!T6*(1+((Inputs!$B$34+(ArtifactsInput!$M$7-ArtifactsInput!$M$7)*CHOOSE(ArtifactsInput!$N$7+1,6,7.2,8.4,9.6,10.8,12)))/100))/(1/Q2144))))+F2155*IF(AND(Inputs!$B$38&lt;&gt;"pvp",Inputs!$B$43&gt;0),(((R2155-1)*MIN((Skills!T17*(1+((Inputs!$B$34+(ArtifactsInput!$M$7-ArtifactsInput!$M$7)*CHOOSE(ArtifactsInput!$N$7+1,6,7.2,8.4,9.6,10.8,12)))/100)),(1/Q2155))+MIN((Skills!T17*(1+((Inputs!$B$34+(ArtifactsInput!$M$7-ArtifactsInput!$M$7)*CHOOSE(ArtifactsInput!$N$7+1,6,7.2,8.4,9.6,10.8,12)))/100)),MAX(0,Inputs!$B$43-((R2155-1)*(1/Q2155)))))/Inputs!$B$43),IF(Inputs!$B$38="pvp",MIN((Skills!T17*(1+((Inputs!$B$34+(ArtifactsInput!$M$7-ArtifactsInput!$M$7)*CHOOSE(ArtifactsInput!$N$7+1,6,7.2,8.4,9.6,10.8,12)))/100)),15)/15,MIN(1,(Skills!T17*(1+((Inputs!$B$34+(ArtifactsInput!$M$7-ArtifactsInput!$M$7)*CHOOSE(ArtifactsInput!$N$7+1,6,7.2,8.4,9.6,10.8,12)))/100))/(1/Q2155)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MIN((Skills!T19*(1+((Inputs!$B$34+(ArtifactsInput!$M$7-ArtifactsInput!$M$7)*CHOOSE(ArtifactsInput!$N$7+1,6,7.2,8.4,9.6,10.8,12)))/100)),(1/Q2157))+MIN((Skills!T19*(1+((Inputs!$B$34+(ArtifactsInput!$M$7-ArtifactsInput!$M$7)*CHOOSE(ArtifactsInput!$N$7+1,6,7.2,8.4,9.6,10.8,12)))/100)),MAX(0,Inputs!$B$43-((R2157-1)*(1/Q2157)))))/Inputs!$B$43),IF(Inputs!$B$38="pvp",MIN((Skills!T19*(1+((Inputs!$B$34+(ArtifactsInput!$M$7-ArtifactsInput!$M$7)*CHOOSE(ArtifactsInput!$N$7+1,6,7.2,8.4,9.6,10.8,12)))/100)),15)/15,MIN(1,(Skills!T19*(1+((Inputs!$B$34+(ArtifactsInput!$M$7-ArtifactsInput!$M$7)*CHOOSE(ArtifactsInput!$N$7+1,6,7.2,8.4,9.6,10.8,12)))/100))/(1/Q2157))))/100),1)</f>
        <v>1.7965808377980694</v>
      </c>
    </row>
    <row r="2171" spans="1:21" x14ac:dyDescent="0.2">
      <c r="A2171" t="s">
        <v>359</v>
      </c>
      <c r="B2171">
        <f>F2156*IF(AND(Inputs!$B$38&lt;&gt;"pvp",Inputs!$B$43&gt;0),(((R2156-1)*MIN((Skills!T18*(1+((Inputs!$B$34+(ArtifactsInput!$M$7-ArtifactsInput!$M$7)*CHOOSE(ArtifactsInput!$N$7+1,6,7.2,8.4,9.6,10.8,12)))/100)),(1/Q2156))+MIN((Skills!T18*(1+((Inputs!$B$34+(ArtifactsInput!$M$7-ArtifactsInput!$M$7)*CHOOSE(ArtifactsInput!$N$7+1,6,7.2,8.4,9.6,10.8,12)))/100)),MAX(0,Inputs!$B$43-((R2156-1)*(1/Q2156)))))/Inputs!$B$43),IF(Inputs!$B$38="pvp",MIN((Skills!T18*(1+((Inputs!$B$34+(ArtifactsInput!$M$7-ArtifactsInput!$M$7)*CHOOSE(ArtifactsInput!$N$7+1,6,7.2,8.4,9.6,10.8,12)))/100)),15)/15,MIN(1,(Skills!T18*(1+((Inputs!$B$34+(ArtifactsInput!$M$7-ArtifactsInput!$M$7)*CHOOSE(ArtifactsInput!$N$7+1,6,7.2,8.4,9.6,10.8,12)))/100))/(1/Q2156))))</f>
        <v>6.4968749999999993</v>
      </c>
    </row>
    <row r="2172" spans="1:21" x14ac:dyDescent="0.2">
      <c r="A2172" t="s">
        <v>436</v>
      </c>
      <c r="B2172">
        <f>1+MIN(150,150*(1-(1-(Inputs!$B$11+(ArtifactsInput!$M$15-ArtifactsInput!$M$15)*CHOOSE(ArtifactsInput!$N$15+1,8,9.6,11.2,12.8,14.4,16))/150)*(1-B2171/150)))/100</f>
        <v>1.6982958749999999</v>
      </c>
    </row>
    <row r="2173" spans="1:21" x14ac:dyDescent="0.2">
      <c r="A2173" t="s">
        <v>437</v>
      </c>
      <c r="B2173">
        <f>IF(AND(Inputs!$B$38&lt;&gt;"pvp",Inputs!$B$43&gt;0),SUMPRODUCT((Skills!F2:F28=TRUE)*(C2140:C2166=TRUE)*R2140:R2166)/Inputs!$B$43,SUMPRODUCT((Skills!F2:F28=TRUE)*(C2140:C2166=TRUE)*Q2140:Q2166))</f>
        <v>0.47499999999999998</v>
      </c>
    </row>
    <row r="2174" spans="1:21" x14ac:dyDescent="0.2">
      <c r="A2174" t="s">
        <v>362</v>
      </c>
      <c r="B2174">
        <f>MAX(0,B2172-B2173)</f>
        <v>1.2232958749999998</v>
      </c>
    </row>
    <row r="2175" spans="1:21" x14ac:dyDescent="0.2">
      <c r="A2175" t="s">
        <v>438</v>
      </c>
      <c r="B2175">
        <f>IF(AND(Inputs!$B$38&lt;&gt;"pvp",Inputs!$B$43&gt;0),SUMPRODUCT((Skills!V2:V28=TRUE)*(C2140:C2166=TRUE)*R2140:R2166*Skills!W2:W28)/Inputs!$B$43,SUMPRODUCT((Skills!V2:V28=TRUE)*(C2140:C2166=TRUE)*Q2140:Q2166*Skills!W2:W28))+B2174</f>
        <v>1.5482958749999998</v>
      </c>
    </row>
    <row r="2176" spans="1:21" x14ac:dyDescent="0.2">
      <c r="A2176" t="s">
        <v>439</v>
      </c>
      <c r="B2176">
        <f>IF(AND(Inputs!$B$38&lt;&gt;"pvp",Inputs!$B$43&gt;0),SUMPRODUCT((Skills!T2:T28&gt;0)*(Skills!F2:F28=TRUE)*(C2140:C2166=TRUE))/B2172,0)</f>
        <v>2.3553021937358238</v>
      </c>
    </row>
    <row r="2177" spans="1:26" x14ac:dyDescent="0.2">
      <c r="A2177" t="s">
        <v>440</v>
      </c>
      <c r="B2177">
        <f>SUM(S2140:S2166)</f>
        <v>9517263078933292</v>
      </c>
    </row>
    <row r="2178" spans="1:26" x14ac:dyDescent="0.2">
      <c r="A2178" t="s">
        <v>441</v>
      </c>
      <c r="B2178">
        <f>SUM(U2140:U2166)</f>
        <v>5.6656428257660488E+16</v>
      </c>
    </row>
    <row r="2179" spans="1:26" x14ac:dyDescent="0.2">
      <c r="A2179" s="6" t="s">
        <v>348</v>
      </c>
      <c r="B2179" s="6">
        <f>SUM(O2140:O2166)</f>
        <v>3.3086845668296892E+16</v>
      </c>
    </row>
    <row r="2182" spans="1:26" x14ac:dyDescent="0.2">
      <c r="A2182" s="6" t="s">
        <v>489</v>
      </c>
    </row>
    <row r="2183" spans="1:26" x14ac:dyDescent="0.2">
      <c r="A2183" s="5" t="s">
        <v>136</v>
      </c>
      <c r="B2183" s="5" t="s">
        <v>137</v>
      </c>
      <c r="C2183" s="5" t="s">
        <v>328</v>
      </c>
      <c r="D2183" s="5" t="s">
        <v>329</v>
      </c>
      <c r="E2183" s="5" t="s">
        <v>330</v>
      </c>
      <c r="F2183" s="5" t="s">
        <v>331</v>
      </c>
      <c r="G2183" s="5" t="s">
        <v>332</v>
      </c>
      <c r="H2183" s="5" t="s">
        <v>333</v>
      </c>
      <c r="I2183" s="5" t="s">
        <v>334</v>
      </c>
      <c r="J2183" s="5" t="s">
        <v>335</v>
      </c>
      <c r="K2183" s="5" t="s">
        <v>336</v>
      </c>
      <c r="L2183" s="5" t="s">
        <v>337</v>
      </c>
      <c r="M2183" s="5" t="s">
        <v>338</v>
      </c>
      <c r="N2183" s="5" t="s">
        <v>339</v>
      </c>
      <c r="O2183" s="5" t="s">
        <v>340</v>
      </c>
      <c r="P2183" s="5" t="s">
        <v>341</v>
      </c>
      <c r="R2183" t="s">
        <v>434</v>
      </c>
    </row>
    <row r="2184" spans="1:26" x14ac:dyDescent="0.2">
      <c r="A2184" t="str">
        <f>Skills!A2</f>
        <v>BASIC_ATTACK</v>
      </c>
      <c r="B2184" t="str">
        <f>Skills!B2</f>
        <v>Basic Attack</v>
      </c>
      <c r="C2184" t="b">
        <f>TRUE</f>
        <v>1</v>
      </c>
      <c r="F2184">
        <f>T2186+Skills!O2</f>
        <v>537.6</v>
      </c>
      <c r="G2184">
        <f>Calc!G2</f>
        <v>5</v>
      </c>
      <c r="H2184">
        <f>Calc!H2</f>
        <v>1</v>
      </c>
      <c r="I2184">
        <f>IF(Skills!X2&lt;&gt;"",1+(Skills!X2/10)*(Z2185/1000)/100,1)</f>
        <v>1</v>
      </c>
      <c r="J2184">
        <f>((Inputs!$B$6*(1+Inputs!$B$7/100))+(((Inputs!$B$12*(1+Inputs!$B$13/100))-(Inputs!$B$12*(1+Inputs!$B$13/100)))+0.25*(Inputs!$B$14-Inputs!$B$14))*(1+Inputs!$B$7/100))*(F2184/100)</f>
        <v>1941459186.9980164</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6620290711466.1074</v>
      </c>
      <c r="L2184">
        <f>K2184*(MIN(Inputs!$B$22+(F2204-Calc!F22),(Inputs!$B$23+(IF(ArtifactsInput!$M$15,CHOOSE(ArtifactsInput!$N$15+1,25,30,35,40,45,50)/100*(Inputs!$B$11-Inputs!$B$11),0))))/100+(Inputs!$B$23+(IF(ArtifactsInput!$M$15,CHOOSE(ArtifactsInput!$N$15+1,25,30,35,40,45,50)/100*(Inputs!$B$11-Inputs!$B$11),0)))/100)/2</f>
        <v>22012466615624.809</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2184">
        <f>L2184*(1-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2184">
        <f>(1-Summary!$B$11)*S2184+Summary!$B$11*U2184</f>
        <v>1.251342481087288E+16</v>
      </c>
      <c r="P2184">
        <f>IF(B2223=0,0,O2184/B2223)</f>
        <v>0.378199388854495</v>
      </c>
      <c r="Q2184">
        <f>IFERROR(1/(IF(Inputs!$B$38="pvp",15,MAX(0.1,Skills!E2-IF(TRUE=TRUE,Inputs!$B$32,0)))*(1-IF(AND(ArtifactsInput!$M$27,Inputs!$B$4="Chapter Hunt"),CHOOSE(ArtifactsInput!$N$27+1,20,24,28,32,36,40),0)/100)),0)</f>
        <v>10</v>
      </c>
      <c r="R2184">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2077628795712329.2</v>
      </c>
      <c r="T2184">
        <f>MAX(0,(Inputs!$B$3-100)*3)+Inputs!$B$28+Inputs!$B$29</f>
        <v>185</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2.2949220826033432E+16</v>
      </c>
      <c r="Z2184">
        <f>MAX(0,(Inputs!$B$3-100)*3)+Inputs!$B$28+Inputs!$B$29</f>
        <v>185</v>
      </c>
    </row>
    <row r="2185" spans="1:26" x14ac:dyDescent="0.2">
      <c r="A2185" t="str">
        <f>Skills!A3</f>
        <v>IGNITE</v>
      </c>
      <c r="B2185" t="str">
        <f>Skills!B3</f>
        <v>Ignite</v>
      </c>
      <c r="C2185" t="b">
        <f>TRUE</f>
        <v>1</v>
      </c>
      <c r="D2185">
        <f>IF(Skills!C3=1,60+Inputs!$B$25+Inputs!$B$29,IF(Skills!C3=2,90+Inputs!$B$26+Inputs!$B$29,IF(Skills!C3=3,120+Inputs!$B$27+Inputs!$B$29,MAX(0,(Inputs!$B$3-100)*3)+Inputs!$B$28+Inputs!$B$29)))</f>
        <v>168</v>
      </c>
      <c r="E2185">
        <f>INDEX(FactorTable!$B$2:$Y$301, MATCH(ROUND(MIN(300,MAX(1,D2185)),0), FactorTable!$A$2:$A$301,0), Skills!M3+1)</f>
        <v>1672</v>
      </c>
      <c r="F2185">
        <f>IF(Skills!N3=TRUE,(Skills!L3/10)*(E2185/1000),Skills!L3/10)+Skills!O3</f>
        <v>121.736</v>
      </c>
      <c r="G2185">
        <f>Calc!G3</f>
        <v>3</v>
      </c>
      <c r="H2185">
        <f>Calc!H3</f>
        <v>1</v>
      </c>
      <c r="I2185">
        <f>IF(Skills!X3&lt;&gt;"",1+(Skills!X3/10)*(Z2185/1000)/100,1)</f>
        <v>4.8250000000000002</v>
      </c>
      <c r="J2185">
        <f>((Inputs!$B$6*(1+Inputs!$B$7/100))+(((Inputs!$B$12*(1+Inputs!$B$13/100))-(Inputs!$B$12*(1+Inputs!$B$13/100)))+0.25*(Inputs!$B$14-Inputs!$B$14))*(1+Inputs!$B$7/100))*(F2185/100)</f>
        <v>439630720.9605478</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10658554617221.965</v>
      </c>
      <c r="L2185">
        <f>K2185*(MIN(Inputs!$B$22+(F2204-Calc!F22),(Inputs!$B$23+(IF(ArtifactsInput!$M$15,CHOOSE(ArtifactsInput!$N$15+1,25,30,35,40,45,50)/100*(Inputs!$B$11-Inputs!$B$11),0))))/100+(Inputs!$B$23+(IF(ArtifactsInput!$M$15,CHOOSE(ArtifactsInput!$N$15+1,25,30,35,40,45,50)/100*(Inputs!$B$11-Inputs!$B$11),0)))/100)/2</f>
        <v>35439694102263.031</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2185">
        <f>L2185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2185">
        <f>(1-Summary!$B$11)*S2185+Summary!$B$11*U2185</f>
        <v>2907465947806250</v>
      </c>
      <c r="P2185">
        <f>IF(B2223=0,0,O2185/B2223)</f>
        <v>8.7873772463965091E-2</v>
      </c>
      <c r="Q2185">
        <f>IFERROR(1/(IF(Inputs!$B$38="pvp",15,MAX(0.1,Skills!E3-IF(FALSE=TRUE,Inputs!$B$32,0)))*(1-IF(AND(ArtifactsInput!$M$27,Inputs!$B$4="Chapter Hunt"),CHOOSE(ArtifactsInput!$N$27+1,20,24,28,32,36,40),0)/100)),0)</f>
        <v>1</v>
      </c>
      <c r="R2185">
        <f>IF(AND(Inputs!$B$38&lt;&gt;"pvp",Inputs!$B$43&gt;0),IF(MAX(0,Inputs!$B$43-B2220)&lt;=0,0,(INT(MAX(0,Inputs!$B$43-B2220)/(IF(Inputs!$B$38="pvp",15,MAX(0.1,Skills!E3-IF(FALSE=TRUE,Inputs!$B$32,0)))*(1-IF(AND(ArtifactsInput!$M$27,Inputs!$B$4="Chapter Hunt"),CHOOSE(ArtifactsInput!$N$27+1,20,24,28,32,36,40),0)/100)))+1)),0)</f>
        <v>38</v>
      </c>
      <c r="S2185">
        <f>IF(C2185,(H2185*N2185*IF(AND(Inputs!$B$38&lt;&gt;"pvp",Inputs!$B$43&gt;0),((Skills!G3*((R2185-1)*IF(Skills!H3&gt;0,Skills!I3/Skills!H3,1)+IF(Skills!H3&gt;0,MIN(Skills!I3,MAX(0,MAX(0,Inputs!$B$43-B2220)-((R2185-1)*(IF(Inputs!$B$38="pvp",15,MAX(0.1,Skills!E3-IF(FALSE=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1510929025335379</v>
      </c>
      <c r="T2185">
        <f>INDEX(FactorTable!$B$2:$Y$301, MATCH(ROUND(MIN(300,MAX(1,T2184)),0), FactorTable!$A$2:$A$301,0), 22)</f>
        <v>1740</v>
      </c>
      <c r="U2185">
        <f>IF(C2185,(H2185*N2185*IF(AND(Inputs!$B$38&lt;&gt;"pvp",Inputs!$B$43&gt;0),((Skills!G3*((R2185-1)*IF(Skills!H3&gt;0,Skills!I3/Skills!H3,1)+IF(Skills!H3&gt;0,MIN(Skills!I3,MAX(0,MAX(0,Inputs!$B$43-B2220)-((R2185-1)*(IF(Inputs!$B$38="pvp",15,MAX(0.1,Skills!E3-IF(FALSE=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4304002870277120.5</v>
      </c>
      <c r="Z2185">
        <f>INDEX(FactorTable!$B$2:$Y$301, MATCH(ROUND(MIN(300,MAX(1,Z2184)),0), FactorTable!$A$2:$A$301,0), 24)</f>
        <v>7650</v>
      </c>
    </row>
    <row r="2186" spans="1:26" x14ac:dyDescent="0.2">
      <c r="A2186" t="str">
        <f>Skills!A4</f>
        <v>POISON_BREATH</v>
      </c>
      <c r="B2186" t="str">
        <f>Skills!B4</f>
        <v>Poison Breath</v>
      </c>
      <c r="C2186" t="b">
        <f>TRUE</f>
        <v>1</v>
      </c>
      <c r="D2186">
        <f>IF(Skills!C4=1,60+Inputs!$B$25+Inputs!$B$29,IF(Skills!C4=2,90+Inputs!$B$26+Inputs!$B$29,IF(Skills!C4=3,120+Inputs!$B$27+Inputs!$B$29,MAX(0,(Inputs!$B$3-100)*3)+Inputs!$B$28+Inputs!$B$29)))</f>
        <v>168</v>
      </c>
      <c r="E2186">
        <f>INDEX(FactorTable!$B$2:$Y$301, MATCH(ROUND(MIN(300,MAX(1,D2186)),0), FactorTable!$A$2:$A$301,0), Skills!M4+1)</f>
        <v>1840</v>
      </c>
      <c r="F2186">
        <f>IF(Skills!N4=TRUE,(Skills!L4/10)*(E2186/1000),Skills!L4/10)+Skills!O4</f>
        <v>438</v>
      </c>
      <c r="G2186">
        <f>Calc!G4</f>
        <v>3</v>
      </c>
      <c r="H2186">
        <f>Calc!H4</f>
        <v>1</v>
      </c>
      <c r="I2186">
        <f>IF(Skills!X4&lt;&gt;"",1+(Skills!X4/10)*(Z2185/1000)/100,1)</f>
        <v>7.12</v>
      </c>
      <c r="J2186">
        <f>((Inputs!$B$6*(1+Inputs!$B$7/100))+(((Inputs!$B$12*(1+Inputs!$B$13/100))-(Inputs!$B$12*(1+Inputs!$B$13/100)))+0.25*(Inputs!$B$14-Inputs!$B$14))*(1+Inputs!$B$7/100))*(F2186/100)</f>
        <v>1581769203.69258</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56589528290529.523</v>
      </c>
      <c r="L2186">
        <f>K2186*(MIN(Inputs!$B$22+(F2204-Calc!F22),(Inputs!$B$23+(IF(ArtifactsInput!$M$15,CHOOSE(ArtifactsInput!$N$15+1,25,30,35,40,45,50)/100*(Inputs!$B$11-Inputs!$B$11),0))))/100+(Inputs!$B$23+(IF(ArtifactsInput!$M$15,CHOOSE(ArtifactsInput!$N$15+1,25,30,35,40,45,50)/100*(Inputs!$B$11-Inputs!$B$11),0)))/100)/2</f>
        <v>188160181566010.69</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2186">
        <f>L2186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2186">
        <f>(1-Summary!$B$11)*S2186+Summary!$B$11*U2186</f>
        <v>2120704790543594.2</v>
      </c>
      <c r="P2186">
        <f>IF(B2223=0,0,O2186/B2223)</f>
        <v>6.4095103286790744E-2</v>
      </c>
      <c r="Q2186">
        <f>IFERROR(1/(IF(Inputs!$B$38="pvp",15,MAX(0.1,Skills!E4-IF(TRUE=TRUE,Inputs!$B$32,0)))*(1-IF(AND(ArtifactsInput!$M$27,Inputs!$B$4="Chapter Hunt"),CHOOSE(ArtifactsInput!$N$27+1,20,24,28,32,36,40),0)/100)),0)</f>
        <v>5.5555555555555552E-2</v>
      </c>
      <c r="R2186">
        <f>IF(AND(Inputs!$B$38&lt;&gt;"pvp",Inputs!$B$43&gt;0),IF(MAX(0,Inputs!$B$43-B2220)&lt;=0,0,(INT(MAX(0,Inputs!$B$43-B2220)/(IF(Inputs!$B$38="pvp",15,MAX(0.1,Skills!E4-IF(TRUE=TRUE,Inputs!$B$32,0)))*(1-IF(AND(ArtifactsInput!$M$27,Inputs!$B$4="Chapter Hunt"),CHOOSE(ArtifactsInput!$N$27+1,20,24,28,32,36,40),0)/100)))+1)),0)</f>
        <v>3</v>
      </c>
      <c r="S2186">
        <f>IF(C2186,(H2186*N2186*IF(AND(Inputs!$B$38&lt;&gt;"pvp",Inputs!$B$43&gt;0),((Skills!G4*((R2186-1)*IF(Skills!H4&gt;0,Skills!I4/Skills!H4,1)+IF(Skills!H4&gt;0,MIN(Skills!I4,MAX(0,MAX(0,Inputs!$B$43-B2220)-((R2186-1)*(IF(Inputs!$B$38="pvp",15,MAX(0.1,Skills!E4-IF(TRUE=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633314572399735.62</v>
      </c>
      <c r="T2186">
        <f>290*T2185/1000</f>
        <v>504.6</v>
      </c>
      <c r="U2186">
        <f>IF(C2186,(H2186*N2186*IF(AND(Inputs!$B$38&lt;&gt;"pvp",Inputs!$B$43&gt;0),((Skills!G4*((R2186-1)*IF(Skills!H4&gt;0,Skills!I4/Skills!H4,1)+IF(Skills!H4&gt;0,MIN(Skills!I4,MAX(0,MAX(0,Inputs!$B$43-B2220)-((R2186-1)*(IF(Inputs!$B$38="pvp",15,MAX(0.1,Skills!E4-IF(TRUE=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3608095008687453</v>
      </c>
    </row>
    <row r="2187" spans="1:26" x14ac:dyDescent="0.2">
      <c r="A2187" t="str">
        <f>Skills!A5</f>
        <v>ELEMENTAL_DRAIN</v>
      </c>
      <c r="B2187" t="str">
        <f>Skills!B5</f>
        <v>Elemental Drain</v>
      </c>
      <c r="C2187" t="b">
        <f>TRUE</f>
        <v>1</v>
      </c>
      <c r="D2187">
        <f>IF(Skills!C5=1,60+Inputs!$B$25+Inputs!$B$29,IF(Skills!C5=2,90+Inputs!$B$26+Inputs!$B$29,IF(Skills!C5=3,120+Inputs!$B$27+Inputs!$B$29,MAX(0,(Inputs!$B$3-100)*3)+Inputs!$B$28+Inputs!$B$29)))</f>
        <v>168</v>
      </c>
      <c r="E2187">
        <f>INDEX(FactorTable!$B$2:$Y$301, MATCH(ROUND(MIN(300,MAX(1,D2187)),0), FactorTable!$A$2:$A$301,0), Skills!M5+1)</f>
        <v>1672</v>
      </c>
      <c r="F2187">
        <f>IF(Skills!N5=TRUE,(Skills!L5/10)*(E2187/1000),Skills!L5/10)+Skills!O5</f>
        <v>20.064</v>
      </c>
      <c r="G2187">
        <f>Calc!G5</f>
        <v>5</v>
      </c>
      <c r="H2187">
        <f>Calc!H5</f>
        <v>1</v>
      </c>
      <c r="I2187">
        <f>IF(Skills!X5&lt;&gt;"",1+(Skills!X5/10)*(Z2185/1000)/100,1)</f>
        <v>12.475</v>
      </c>
      <c r="J2187">
        <f>((Inputs!$B$6*(1+Inputs!$B$7/100))+(((Inputs!$B$12*(1+Inputs!$B$13/100))-(Inputs!$B$12*(1+Inputs!$B$13/100)))+0.25*(Inputs!$B$14-Inputs!$B$14))*(1+Inputs!$B$7/100))*(F2187/100)</f>
        <v>72458030.371890247</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4541925884983.542</v>
      </c>
      <c r="L2187">
        <f>K2187*(MIN(Inputs!$B$22+(F2204-Calc!F22),(Inputs!$B$23+(IF(ArtifactsInput!$M$15,CHOOSE(ArtifactsInput!$N$15+1,25,30,35,40,45,50)/100*(Inputs!$B$11-Inputs!$B$11),0))))/100+(Inputs!$B$23+(IF(ArtifactsInput!$M$15,CHOOSE(ArtifactsInput!$N$15+1,25,30,35,40,45,50)/100*(Inputs!$B$11-Inputs!$B$11),0)))/100)/2</f>
        <v>15101903567570.277</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2187">
        <f>L2187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2187">
        <f>(1-Summary!$B$11)*S2187+Summary!$B$11*U2187</f>
        <v>1046004996783807</v>
      </c>
      <c r="P2187">
        <f>IF(B2223=0,0,O2187/B2223)</f>
        <v>3.1613923166633758E-2</v>
      </c>
      <c r="Q2187">
        <f>IFERROR(1/(IF(Inputs!$B$38="pvp",15,MAX(0.1,Skills!E5-IF(FALSE=TRUE,Inputs!$B$32,0)))*(1-IF(AND(ArtifactsInput!$M$27,Inputs!$B$4="Chapter Hunt"),CHOOSE(ArtifactsInput!$N$27+1,20,24,28,32,36,40),0)/100)),0)</f>
        <v>1</v>
      </c>
      <c r="R2187">
        <f>IF(AND(Inputs!$B$38&lt;&gt;"pvp",Inputs!$B$43&gt;0),IF(MAX(0,Inputs!$B$43-B2220)&lt;=0,0,(INT(MAX(0,Inputs!$B$43-B2220)/(IF(Inputs!$B$38="pvp",15,MAX(0.1,Skills!E5-IF(FALSE=TRUE,Inputs!$B$32,0)))*(1-IF(AND(ArtifactsInput!$M$27,Inputs!$B$4="Chapter Hunt"),CHOOSE(ArtifactsInput!$N$27+1,20,24,28,32,36,40),0)/100)))+1)),0)</f>
        <v>38</v>
      </c>
      <c r="S2187">
        <f>IF(C2187,(H2187*N2187*IF(AND(Inputs!$B$38&lt;&gt;"pvp",Inputs!$B$43&gt;0),((Skills!G5*((R2187-1)*IF(Skills!H5&gt;0,Skills!I5/Skills!H5,1)+IF(Skills!H5&gt;0,MIN(Skills!I5,MAX(0,MAX(0,Inputs!$B$43-B2220)-((R2187-1)*(IF(Inputs!$B$38="pvp",15,MAX(0.1,Skills!E5-IF(FALSE=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1073086032299245.4</v>
      </c>
      <c r="U2187">
        <f>IF(C2187,(H2187*N2187*IF(AND(Inputs!$B$38&lt;&gt;"pvp",Inputs!$B$43&gt;0),((Skills!G5*((R2187-1)*IF(Skills!H5&gt;0,Skills!I5/Skills!H5,1)+IF(Skills!H5&gt;0,MIN(Skills!I5,MAX(0,MAX(0,Inputs!$B$43-B2220)-((R2187-1)*(IF(Inputs!$B$38="pvp",15,MAX(0.1,Skills!E5-IF(FALSE=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1018923961268368.6</v>
      </c>
    </row>
    <row r="2188" spans="1:26" x14ac:dyDescent="0.2">
      <c r="A2188" t="str">
        <f>Skills!A6</f>
        <v>MEDITATION</v>
      </c>
      <c r="B2188" t="str">
        <f>Skills!B6</f>
        <v>Meditation</v>
      </c>
      <c r="C2188" t="b">
        <f>TRUE</f>
        <v>1</v>
      </c>
      <c r="D2188">
        <f>IF(Skills!C6=1,60+Inputs!$B$25+Inputs!$B$29,IF(Skills!C6=2,90+Inputs!$B$26+Inputs!$B$29,IF(Skills!C6=3,120+Inputs!$B$27+Inputs!$B$29,MAX(0,(Inputs!$B$3-100)*3)+Inputs!$B$28+Inputs!$B$29)))</f>
        <v>168</v>
      </c>
      <c r="E2188">
        <f>INDEX(FactorTable!$B$2:$Y$301, MATCH(ROUND(MIN(300,MAX(1,D2188)),0), FactorTable!$A$2:$A$301,0), Skills!M6+1)</f>
        <v>1672</v>
      </c>
      <c r="F2188">
        <f>IF(Skills!N6=TRUE,(Skills!L6/10)*(E2188/1000),Skills!L6/10)+Skills!O6</f>
        <v>33.44</v>
      </c>
      <c r="G2188">
        <f>Calc!G6</f>
        <v>1</v>
      </c>
      <c r="H2188">
        <f>Calc!H6</f>
        <v>1</v>
      </c>
      <c r="I2188">
        <f>IF(Skills!X6&lt;&gt;"",1+(Skills!X6/10)*(Z2185/1000)/100,1)</f>
        <v>1</v>
      </c>
      <c r="O2188">
        <f>(1-Summary!$B$11)*S2188+Summary!$B$11*U2188</f>
        <v>0</v>
      </c>
      <c r="P2188">
        <f>IF(B2223=0,0,O2188/B2223)</f>
        <v>0</v>
      </c>
      <c r="Q2188">
        <f>IFERROR(1/(IF(Inputs!$B$38="pvp",15,MAX(0.1,Skills!E6-IF(TRUE=TRUE,Inputs!$B$32,0)))*(1-IF(AND(ArtifactsInput!$M$27,Inputs!$B$4="Chapter Hunt"),CHOOSE(ArtifactsInput!$N$27+1,20,24,28,32,36,40),0)/100)),0)</f>
        <v>3.3333333333333333E-2</v>
      </c>
      <c r="R2188">
        <f>IF(AND(Inputs!$B$38&lt;&gt;"pvp",Inputs!$B$43&gt;0),IF(Inputs!$B$43&lt;=0,0,(INT(Inputs!$B$43/(IF(Inputs!$B$38="pvp",15,MAX(0.1,Skills!E6-IF(TRUE=TRUE,Inputs!$B$32,0)))*(1-IF(AND(ArtifactsInput!$M$27,Inputs!$B$4="Chapter Hunt"),CHOOSE(ArtifactsInput!$N$27+1,20,24,28,32,36,40),0)/100)))+1)),0)</f>
        <v>2</v>
      </c>
      <c r="S2188">
        <v>0</v>
      </c>
      <c r="U2188">
        <v>0</v>
      </c>
    </row>
    <row r="2189" spans="1:26" x14ac:dyDescent="0.2">
      <c r="A2189" t="str">
        <f>Skills!A7</f>
        <v>POISON_MIST_BURST</v>
      </c>
      <c r="B2189" t="str">
        <f>Skills!B7</f>
        <v>Poison Mist (burst)</v>
      </c>
      <c r="C2189" t="b">
        <f>TRUE</f>
        <v>1</v>
      </c>
      <c r="D2189">
        <f>IF(Skills!C7=1,60+Inputs!$B$25+Inputs!$B$29,IF(Skills!C7=2,90+Inputs!$B$26+Inputs!$B$29,IF(Skills!C7=3,120+Inputs!$B$27+Inputs!$B$29,MAX(0,(Inputs!$B$3-100)*3)+Inputs!$B$28+Inputs!$B$29)))</f>
        <v>184</v>
      </c>
      <c r="E2189">
        <f>INDEX(FactorTable!$B$2:$Y$301, MATCH(ROUND(MIN(300,MAX(1,D2189)),0), FactorTable!$A$2:$A$301,0), Skills!M7+1)</f>
        <v>1920</v>
      </c>
      <c r="F2189">
        <f>IF(Skills!N7=TRUE,(Skills!L7/10)*(E2189/1000),Skills!L7/10)+Skills!O7</f>
        <v>357.2</v>
      </c>
      <c r="G2189">
        <f>Calc!G7</f>
        <v>3</v>
      </c>
      <c r="H2189">
        <f>Calc!H7</f>
        <v>1</v>
      </c>
      <c r="I2189">
        <f>IF(Skills!X7&lt;&gt;"",1+(Skills!X7/10)*(Z2185/1000)/100,1)</f>
        <v>1.7650000000000001</v>
      </c>
      <c r="J2189">
        <f>((Inputs!$B$6*(1+Inputs!$B$7/100))+(((Inputs!$B$12*(1+Inputs!$B$13/100))-(Inputs!$B$12*(1+Inputs!$B$13/100)))+0.25*(Inputs!$B$14-Inputs!$B$14))*(1+Inputs!$B$7/100))*(F2189/100)</f>
        <v>1289972510.4086521</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11440318873772.086</v>
      </c>
      <c r="L2189">
        <f>K2189*(MIN(Inputs!$B$22+(F2204-Calc!F22),(Inputs!$B$23+(IF(ArtifactsInput!$M$15,CHOOSE(ArtifactsInput!$N$15+1,25,30,35,40,45,50)/100*(Inputs!$B$11-Inputs!$B$11),0))))/100+(Inputs!$B$23+(IF(ArtifactsInput!$M$15,CHOOSE(ArtifactsInput!$N$15+1,25,30,35,40,45,50)/100*(Inputs!$B$11-Inputs!$B$11),0)))/100)/2</f>
        <v>38039060255292.188</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2189">
        <f>L2189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2189">
        <f>(1-Summary!$B$11)*S2189+Summary!$B$11*U2189</f>
        <v>447913158316422</v>
      </c>
      <c r="P2189">
        <f>IF(B2223=0,0,O2189/B2223)</f>
        <v>1.3537499549121505E-2</v>
      </c>
      <c r="Q2189">
        <f>IFERROR(1/(IF(Inputs!$B$38="pvp",15,MAX(0.1,Skills!E7-IF(TRUE=TRUE,Inputs!$B$32,0)))*(1-IF(AND(ArtifactsInput!$M$27,Inputs!$B$4="Chapter Hunt"),CHOOSE(ArtifactsInput!$N$27+1,20,24,28,32,36,40),0)/100)),0)</f>
        <v>4.0816326530612242E-2</v>
      </c>
      <c r="R2189">
        <f>IF(AND(Inputs!$B$38&lt;&gt;"pvp",Inputs!$B$43&gt;0),IF(MAX(0,Inputs!$B$43-B2220)&lt;=0,0,(INT(MAX(0,Inputs!$B$43-B2220)/(IF(Inputs!$B$38="pvp",15,MAX(0.1,Skills!E7-IF(TRUE=TRUE,Inputs!$B$32,0)))*(1-IF(AND(ArtifactsInput!$M$27,Inputs!$B$4="Chapter Hunt"),CHOOSE(ArtifactsInput!$N$27+1,20,24,28,32,36,40),0)/100)))+1)),0)</f>
        <v>2</v>
      </c>
      <c r="S2189">
        <f>IF(C2189,(H2189*N2189*IF(AND(Inputs!$B$38&lt;&gt;"pvp",Inputs!$B$43&gt;0),((Skills!G7*((R2189-1)*IF(Skills!H7&gt;0,Skills!I7/Skills!H7,1)+IF(Skills!H7&gt;0,MIN(Skills!I7,MAX(0,MAX(0,Inputs!$B$43-B2220)-((R2189-1)*(IF(Inputs!$B$38="pvp",15,MAX(0.1,Skills!E7-IF(TRUE=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85355257701416.172</v>
      </c>
      <c r="U2189">
        <f>IF(C2189,(H2189*N2189*IF(AND(Inputs!$B$38&lt;&gt;"pvp",Inputs!$B$43&gt;0),((Skills!G7*((R2189-1)*IF(Skills!H7&gt;0,Skills!I7/Skills!H7,1)+IF(Skills!H7&gt;0,MIN(Skills!I7,MAX(0,MAX(0,Inputs!$B$43-B2220)-((R2189-1)*(IF(Inputs!$B$38="pvp",15,MAX(0.1,Skills!E7-IF(TRUE=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810471058931427.88</v>
      </c>
    </row>
    <row r="2190" spans="1:26" x14ac:dyDescent="0.2">
      <c r="A2190" t="str">
        <f>Skills!A8</f>
        <v>POISON_MIST_DOT</v>
      </c>
      <c r="B2190" t="str">
        <f>Skills!B8</f>
        <v>Poison Mist (fog DoT)</v>
      </c>
      <c r="C2190" t="b">
        <f>TRUE</f>
        <v>1</v>
      </c>
      <c r="D2190">
        <f>IF(Skills!C8=1,60+Inputs!$B$25+Inputs!$B$29,IF(Skills!C8=2,90+Inputs!$B$26+Inputs!$B$29,IF(Skills!C8=3,120+Inputs!$B$27+Inputs!$B$29,MAX(0,(Inputs!$B$3-100)*3)+Inputs!$B$28+Inputs!$B$29)))</f>
        <v>184</v>
      </c>
      <c r="E2190">
        <f>INDEX(FactorTable!$B$2:$Y$301, MATCH(ROUND(MIN(300,MAX(1,D2190)),0), FactorTable!$A$2:$A$301,0), Skills!M8+1)</f>
        <v>1920</v>
      </c>
      <c r="F2190">
        <f>IF(Skills!N8=TRUE,(Skills!L8/10)*(E2190/1000),Skills!L8/10)+Skills!O8</f>
        <v>134.4</v>
      </c>
      <c r="G2190">
        <f>Calc!G8</f>
        <v>50</v>
      </c>
      <c r="H2190">
        <f>Calc!H8</f>
        <v>1</v>
      </c>
      <c r="I2190">
        <f>IF(Skills!X8&lt;&gt;"",1+(Skills!X8/10)*(Z2185/1000)/100,1)</f>
        <v>1.7650000000000001</v>
      </c>
      <c r="J2190">
        <f>((Inputs!$B$6*(1+Inputs!$B$7/100))+(((Inputs!$B$12*(1+Inputs!$B$13/100))-(Inputs!$B$12*(1+Inputs!$B$13/100)))+0.25*(Inputs!$B$14-Inputs!$B$14))*(1+Inputs!$B$7/100))*(F2190/100)</f>
        <v>485364796.74950409</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4304532073446.1597</v>
      </c>
      <c r="L2190">
        <f>K2190*(MIN(Inputs!$B$22+(F2204-Calc!F22),(Inputs!$B$23+(IF(ArtifactsInput!$M$15,CHOOSE(ArtifactsInput!$N$15+1,25,30,35,40,45,50)/100*(Inputs!$B$11-Inputs!$B$11),0))))/100+(Inputs!$B$23+(IF(ArtifactsInput!$M$15,CHOOSE(ArtifactsInput!$N$15+1,25,30,35,40,45,50)/100*(Inputs!$B$11-Inputs!$B$11),0)))/100)/2</f>
        <v>14312569144208.482</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2190">
        <f>L2190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2190">
        <f>(1-Summary!$B$11)*S2190+Summary!$B$11*U2190</f>
        <v>2327471980535951</v>
      </c>
      <c r="P2190">
        <f>IF(B2223=0,0,O2190/B2223)</f>
        <v>7.0344329703392813E-2</v>
      </c>
      <c r="Q2190">
        <f>IFERROR(1/(IF(Inputs!$B$38="pvp",15,MAX(0.1,Skills!E8-IF(TRUE=TRUE,Inputs!$B$32,0)))*(1-IF(AND(ArtifactsInput!$M$27,Inputs!$B$4="Chapter Hunt"),CHOOSE(ArtifactsInput!$N$27+1,20,24,28,32,36,40),0)/100)),0)</f>
        <v>4.0816326530612242E-2</v>
      </c>
      <c r="R2190">
        <f>IF(AND(Inputs!$B$38&lt;&gt;"pvp",Inputs!$B$43&gt;0),IF(MAX(0,Inputs!$B$43-B2220)&lt;=0,0,(INT(MAX(0,Inputs!$B$43-B2220)/(IF(Inputs!$B$38="pvp",15,MAX(0.1,Skills!E8-IF(TRUE=TRUE,Inputs!$B$32,0)))*(1-IF(AND(ArtifactsInput!$M$27,Inputs!$B$4="Chapter Hunt"),CHOOSE(ArtifactsInput!$N$27+1,20,24,28,32,36,40),0)/100)))+1)),0)</f>
        <v>2</v>
      </c>
      <c r="S2190">
        <f>IF(C2190,(H2190*N2190*IF(AND(Inputs!$B$38&lt;&gt;"pvp",Inputs!$B$43&gt;0),((Skills!G8*((R2190-1)*IF(Skills!H8&gt;0,Skills!I8/Skills!H8,1)+IF(Skills!H8&gt;0,MIN(Skills!I8,MAX(0,MAX(0,Inputs!$B$43-B2220)-((R2190-1)*(IF(Inputs!$B$38="pvp",15,MAX(0.1,Skills!E8-IF(TRUE=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443527873657887.88</v>
      </c>
      <c r="U2190">
        <f>IF(C2190,(H2190*N2190*IF(AND(Inputs!$B$38&lt;&gt;"pvp",Inputs!$B$43&gt;0),((Skills!G8*((R2190-1)*IF(Skills!H8&gt;0,Skills!I8/Skills!H8,1)+IF(Skills!H8&gt;0,MIN(Skills!I8,MAX(0,MAX(0,Inputs!$B$43-B2220)-((R2190-1)*(IF(Inputs!$B$38="pvp",15,MAX(0.1,Skills!E8-IF(TRUE=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4211416087414014</v>
      </c>
    </row>
    <row r="2191" spans="1:26" x14ac:dyDescent="0.2">
      <c r="A2191" t="str">
        <f>Skills!A9</f>
        <v>MIST_ERUPTION</v>
      </c>
      <c r="B2191" t="str">
        <f>Skills!B9</f>
        <v>Mist Eruption</v>
      </c>
      <c r="C2191" t="b">
        <f>Inputs!$B$3&gt;=103</f>
        <v>1</v>
      </c>
      <c r="D2191">
        <f>IF(Skills!C9=1,60+Inputs!$B$25+Inputs!$B$29,IF(Skills!C9=2,90+Inputs!$B$26+Inputs!$B$29,IF(Skills!C9=3,120+Inputs!$B$27+Inputs!$B$29,MAX(0,(Inputs!$B$3-100)*3)+Inputs!$B$28+Inputs!$B$29)))</f>
        <v>185</v>
      </c>
      <c r="E2191">
        <f>INDEX(FactorTable!$B$2:$Y$301, MATCH(ROUND(MIN(300,MAX(1,D2191)),0), FactorTable!$A$2:$A$301,0), Skills!M9+1)</f>
        <v>1925</v>
      </c>
      <c r="F2191">
        <f>IF(Skills!N9=TRUE,(Skills!L9/10)*(E2191/1000),Skills!L9/10)+Skills!O9</f>
        <v>5775</v>
      </c>
      <c r="G2191">
        <f>Calc!G9</f>
        <v>2.5</v>
      </c>
      <c r="H2191">
        <f>Calc!H9</f>
        <v>1</v>
      </c>
      <c r="I2191">
        <f>IF(Skills!X9&lt;&gt;"",1+(Skills!X9/10)*(Z2185/1000)/100,1)</f>
        <v>1</v>
      </c>
      <c r="J2191">
        <f>((Inputs!$B$6*(1+Inputs!$B$7/100))+(((Inputs!$B$12*(1+Inputs!$B$13/100))-(Inputs!$B$12*(1+Inputs!$B$13/100)))+0.25*(Inputs!$B$14-Inputs!$B$14))*(1+Inputs!$B$7/100))*(F2191/100)</f>
        <v>20855518610.330254</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104793406533081.95</v>
      </c>
      <c r="L2191">
        <f>K2191*(MIN(Inputs!$B$22+(F2204-Calc!F22),(Inputs!$B$23+(IF(ArtifactsInput!$M$15,CHOOSE(ArtifactsInput!$N$15+1,25,30,35,40,45,50)/100*(Inputs!$B$11-Inputs!$B$11),0))))/100+(Inputs!$B$23+(IF(ArtifactsInput!$M$15,CHOOSE(ArtifactsInput!$N$15+1,25,30,35,40,45,50)/100*(Inputs!$B$11-Inputs!$B$11),0)))/100)/2</f>
        <v>348438076722497.5</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2191">
        <f>L2191*(1-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2191">
        <f>(1-Summary!$B$11)*S2191+Summary!$B$11*U2191</f>
        <v>3419073236278675</v>
      </c>
      <c r="P2191">
        <f>IF(B2223=0,0,O2191/B2223)</f>
        <v>0.10333633101673266</v>
      </c>
      <c r="Q2191">
        <f>IFERROR(1/(IF(Inputs!$B$38="pvp",15,MAX(0.1,Skills!E9-IF(TRUE=TRUE,Inputs!$B$32,0)))*(1-IF(AND(ArtifactsInput!$M$27,Inputs!$B$4="Chapter Hunt"),CHOOSE(ArtifactsInput!$N$27+1,20,24,28,32,36,40),0)/100)),0)</f>
        <v>4.0816326530612242E-2</v>
      </c>
      <c r="R2191">
        <f>IF(AND(Inputs!$B$38&lt;&gt;"pvp",Inputs!$B$43&gt;0),IF(MAX(0,Inputs!$B$43-B2220)&lt;=0,0,(INT(MAX(0,Inputs!$B$43-B2220)/(IF(Inputs!$B$38="pvp",15,MAX(0.1,Skills!E9-IF(TRUE=TRUE,Inputs!$B$32,0)))*(1-IF(AND(ArtifactsInput!$M$27,Inputs!$B$4="Chapter Hunt"),CHOOSE(ArtifactsInput!$N$27+1,20,24,28,32,36,40),0)/100)))+1)),0)</f>
        <v>2</v>
      </c>
      <c r="S2191">
        <f>IF(C2191,(H2191*N2191*IF(AND(Inputs!$B$38&lt;&gt;"pvp",Inputs!$B$43&gt;0),((Skills!G9*((R2191-1)*IF(Skills!H9&gt;0,Skills!I9/Skills!H9,1)+IF(Skills!H9&gt;0,MIN(Skills!I9,MAX(0,MAX(0,Inputs!$B$43-B2220)-((R2191-1)*(IF(Inputs!$B$38="pvp",15,MAX(0.1,Skills!E9-IF(TRUE=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651545666306185.75</v>
      </c>
      <c r="U2191">
        <f>IF(C2191,(H2191*N2191*IF(AND(Inputs!$B$38&lt;&gt;"pvp",Inputs!$B$43&gt;0),((Skills!G9*((R2191-1)*IF(Skills!H9&gt;0,Skills!I9/Skills!H9,1)+IF(Skills!H9&gt;0,MIN(Skills!I9,MAX(0,MAX(0,Inputs!$B$43-B2220)-((R2191-1)*(IF(Inputs!$B$38="pvp",15,MAX(0.1,Skills!E9-IF(TRUE=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6186600806251164</v>
      </c>
    </row>
    <row r="2192" spans="1:26" x14ac:dyDescent="0.2">
      <c r="A2192" t="str">
        <f>Skills!A10</f>
        <v>CREEPING_TOXIN</v>
      </c>
      <c r="B2192" t="str">
        <f>Skills!B10</f>
        <v>Creeping Toxin</v>
      </c>
      <c r="C2192" t="b">
        <f>TRUE</f>
        <v>1</v>
      </c>
      <c r="D2192">
        <f>IF(Skills!C10=1,60+Inputs!$B$25+Inputs!$B$29,IF(Skills!C10=2,90+Inputs!$B$26+Inputs!$B$29,IF(Skills!C10=3,120+Inputs!$B$27+Inputs!$B$29,MAX(0,(Inputs!$B$3-100)*3)+Inputs!$B$28+Inputs!$B$29)))</f>
        <v>184</v>
      </c>
      <c r="E2192">
        <f>INDEX(FactorTable!$B$2:$Y$301, MATCH(ROUND(MIN(300,MAX(1,D2192)),0), FactorTable!$A$2:$A$301,0), Skills!M10+1)</f>
        <v>1920</v>
      </c>
      <c r="F2192">
        <f>IF(Skills!N10=TRUE,(Skills!L10/10)*(E2192/1000),Skills!L10/10)+Skills!O10</f>
        <v>280.39999999999998</v>
      </c>
      <c r="G2192">
        <f>Calc!G10</f>
        <v>15</v>
      </c>
      <c r="H2192">
        <f>Calc!H10</f>
        <v>1</v>
      </c>
      <c r="I2192">
        <f>IF(Skills!X10&lt;&gt;"",1+(Skills!X10/10)*(Z2185/1000)/100,1)</f>
        <v>1.7650000000000001</v>
      </c>
      <c r="J2192">
        <f>((Inputs!$B$6*(1+Inputs!$B$7/100))+(((Inputs!$B$12*(1+Inputs!$B$13/100))-(Inputs!$B$12*(1+Inputs!$B$13/100)))+0.25*(Inputs!$B$14-Inputs!$B$14))*(1+Inputs!$B$7/100))*(F2192/100)</f>
        <v>1012621197.9803641</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8980586260374.2793</v>
      </c>
      <c r="L2192">
        <f>K2192*(MIN(Inputs!$B$22+(F2204-Calc!F22),(Inputs!$B$23+(IF(ArtifactsInput!$M$15,CHOOSE(ArtifactsInput!$N$15+1,25,30,35,40,45,50)/100*(Inputs!$B$11-Inputs!$B$11),0))))/100+(Inputs!$B$23+(IF(ArtifactsInput!$M$15,CHOOSE(ArtifactsInput!$N$15+1,25,30,35,40,45,50)/100*(Inputs!$B$11-Inputs!$B$11),0)))/100)/2</f>
        <v>29860449315744.48</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2192">
        <f>L2192*(1-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2192">
        <f>(1-Summary!$B$11)*S2192+Summary!$B$11*U2192</f>
        <v>324323455609081.62</v>
      </c>
      <c r="P2192">
        <f>IF(B2223=0,0,O2192/B2223)</f>
        <v>9.8021872154419789E-3</v>
      </c>
      <c r="Q2192">
        <f>IFERROR(1/(IF(Inputs!$B$38="pvp",15,MAX(0.1,Skills!E10-IF(TRUE=TRUE,Inputs!$B$32,0)))*(1-IF(AND(ArtifactsInput!$M$27,Inputs!$B$4="Chapter Hunt"),CHOOSE(ArtifactsInput!$N$27+1,20,24,28,32,36,40),0)/100)),0)</f>
        <v>3.7037037037037035E-2</v>
      </c>
      <c r="R2192">
        <f>IF(AND(Inputs!$B$38&lt;&gt;"pvp",Inputs!$B$43&gt;0),IF(MAX(0,Inputs!$B$43-B2220)&lt;=0,0,(INT(MAX(0,Inputs!$B$43-B2220)/(IF(Inputs!$B$38="pvp",15,MAX(0.1,Skills!E10-IF(TRUE=TRUE,Inputs!$B$32,0)))*(1-IF(AND(ArtifactsInput!$M$27,Inputs!$B$4="Chapter Hunt"),CHOOSE(ArtifactsInput!$N$27+1,20,24,28,32,36,40),0)/100)))+1)),0)</f>
        <v>2</v>
      </c>
      <c r="S2192">
        <f>IF(C2192,(H2192*N2192*IF(AND(Inputs!$B$38&lt;&gt;"pvp",Inputs!$B$43&gt;0),((Skills!G10*((R2192-1)*IF(Skills!H10&gt;0,Skills!I10/Skills!H10,1)+IF(Skills!H10&gt;0,MIN(Skills!I10,MAX(0,MAX(0,Inputs!$B$43-B2220)-((R2192-1)*(IF(Inputs!$B$38="pvp",15,MAX(0.1,Skills!E10-IF(TRUE=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286380321526682.12</v>
      </c>
      <c r="U2192">
        <f>IF(C2192,(H2192*N2192*IF(AND(Inputs!$B$38&lt;&gt;"pvp",Inputs!$B$43&gt;0),((Skills!G10*((R2192-1)*IF(Skills!H10&gt;0,Skills!I10/Skills!H10,1)+IF(Skills!H10&gt;0,MIN(Skills!I10,MAX(0,MAX(0,Inputs!$B$43-B2220)-((R2192-1)*(IF(Inputs!$B$38="pvp",15,MAX(0.1,Skills!E10-IF(TRUE=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362266589691481.19</v>
      </c>
    </row>
    <row r="2193" spans="1:21" x14ac:dyDescent="0.2">
      <c r="A2193" t="str">
        <f>Skills!A11</f>
        <v>BURNING_MAGIC</v>
      </c>
      <c r="B2193" t="str">
        <f>Skills!B11</f>
        <v>Burning Magic</v>
      </c>
      <c r="C2193" t="b">
        <f>TRUE</f>
        <v>1</v>
      </c>
      <c r="D2193">
        <f>IF(Skills!C11=1,60+Inputs!$B$25+Inputs!$B$29,IF(Skills!C11=2,90+Inputs!$B$26+Inputs!$B$29,IF(Skills!C11=3,120+Inputs!$B$27+Inputs!$B$29,MAX(0,(Inputs!$B$3-100)*3)+Inputs!$B$28+Inputs!$B$29)))</f>
        <v>184</v>
      </c>
      <c r="E2193">
        <f>INDEX(FactorTable!$B$2:$Y$301, MATCH(ROUND(MIN(300,MAX(1,D2193)),0), FactorTable!$A$2:$A$301,0), Skills!M11+1)</f>
        <v>0</v>
      </c>
      <c r="F2193">
        <f>IF(Skills!N11=TRUE,(Skills!L11/10)*(E2193/1000),Skills!L11/10)+Skills!O11</f>
        <v>5</v>
      </c>
      <c r="G2193">
        <f>Calc!G11</f>
        <v>1</v>
      </c>
      <c r="H2193">
        <f>Calc!H11</f>
        <v>1</v>
      </c>
      <c r="I2193">
        <f>IF(Skills!X11&lt;&gt;"",1+(Skills!X11/10)*(Z2185/1000)/100,1)</f>
        <v>1</v>
      </c>
      <c r="O2193">
        <f>(1-Summary!$B$11)*S2193+Summary!$B$11*U2193</f>
        <v>0</v>
      </c>
      <c r="P2193">
        <f>IF(B2223=0,0,O2193/B2223)</f>
        <v>0</v>
      </c>
      <c r="Q2193">
        <f>IFERROR(1/(IF(Inputs!$B$38="pvp",15,MAX(0.1,Skills!E11-IF(TRUE=TRUE,Inputs!$B$32,0)))*(1-IF(AND(ArtifactsInput!$M$27,Inputs!$B$4="Chapter Hunt"),CHOOSE(ArtifactsInput!$N$27+1,20,24,28,32,36,40),0)/100)),0)</f>
        <v>10</v>
      </c>
      <c r="R2193">
        <v>0</v>
      </c>
      <c r="S2193">
        <v>0</v>
      </c>
      <c r="U2193">
        <v>0</v>
      </c>
    </row>
    <row r="2194" spans="1:21" x14ac:dyDescent="0.2">
      <c r="A2194" t="str">
        <f>Skills!A12</f>
        <v>ELEMENTAL_DECREASE</v>
      </c>
      <c r="B2194" t="str">
        <f>Skills!B12</f>
        <v>Elemental Decrease</v>
      </c>
      <c r="C2194" t="b">
        <f>TRUE</f>
        <v>1</v>
      </c>
      <c r="D2194">
        <f>IF(Skills!C12=1,60+Inputs!$B$25+Inputs!$B$29,IF(Skills!C12=2,90+Inputs!$B$26+Inputs!$B$29,IF(Skills!C12=3,120+Inputs!$B$27+Inputs!$B$29,MAX(0,(Inputs!$B$3-100)*3)+Inputs!$B$28+Inputs!$B$29)))</f>
        <v>184</v>
      </c>
      <c r="E2194">
        <f>INDEX(FactorTable!$B$2:$Y$301, MATCH(ROUND(MIN(300,MAX(1,D2194)),0), FactorTable!$A$2:$A$301,0), Skills!M12+1)</f>
        <v>1552</v>
      </c>
      <c r="F2194">
        <f>IF(Skills!N12=TRUE,(Skills!L12/10)*(E2194/1000),Skills!L12/10)+Skills!O12</f>
        <v>18.624000000000002</v>
      </c>
      <c r="G2194">
        <f>Calc!G12</f>
        <v>1</v>
      </c>
      <c r="H2194">
        <f>Calc!H12</f>
        <v>0.5</v>
      </c>
      <c r="I2194">
        <f>IF(Skills!X12&lt;&gt;"",1+(Skills!X12/10)*(Z2185/1000)/100,1)</f>
        <v>1</v>
      </c>
      <c r="O2194">
        <f>(1-Summary!$B$11)*S2194+Summary!$B$11*U2194</f>
        <v>0</v>
      </c>
      <c r="P2194">
        <f>IF(B2223=0,0,O2194/B2223)</f>
        <v>0</v>
      </c>
      <c r="Q2194">
        <f>IFERROR(1/(IF(Inputs!$B$38="pvp",15,MAX(0.1,Skills!E12-IF(TRUE=TRUE,Inputs!$B$32,0)))*(1-IF(AND(ArtifactsInput!$M$27,Inputs!$B$4="Chapter Hunt"),CHOOSE(ArtifactsInput!$N$27+1,20,24,28,32,36,40),0)/100)),0)</f>
        <v>10</v>
      </c>
      <c r="R2194">
        <v>0</v>
      </c>
      <c r="S2194">
        <v>0</v>
      </c>
      <c r="U2194">
        <v>0</v>
      </c>
    </row>
    <row r="2195" spans="1:21" x14ac:dyDescent="0.2">
      <c r="A2195" t="str">
        <f>Skills!A13</f>
        <v>METEOR_SHOWER_BURST</v>
      </c>
      <c r="B2195" t="str">
        <f>Skills!B13</f>
        <v>Meteor Shower (burst)</v>
      </c>
      <c r="C2195" t="b">
        <f>Inputs!$B$3&gt;=105</f>
        <v>1</v>
      </c>
      <c r="D2195">
        <f>IF(Skills!C13=1,60+Inputs!$B$25+Inputs!$B$29,IF(Skills!C13=2,90+Inputs!$B$26+Inputs!$B$29,IF(Skills!C13=3,120+Inputs!$B$27+Inputs!$B$29,MAX(0,(Inputs!$B$3-100)*3)+Inputs!$B$28+Inputs!$B$29)))</f>
        <v>185</v>
      </c>
      <c r="E2195">
        <f>INDEX(FactorTable!$B$2:$Y$301, MATCH(ROUND(MIN(300,MAX(1,D2195)),0), FactorTable!$A$2:$A$301,0), Skills!M13+1)</f>
        <v>1925</v>
      </c>
      <c r="F2195">
        <f>IF(Skills!N13=TRUE,(Skills!L13/10)*(E2195/1000),Skills!L13/10)+Skills!O13</f>
        <v>1155</v>
      </c>
      <c r="G2195">
        <f>Calc!G13</f>
        <v>9</v>
      </c>
      <c r="H2195">
        <f>Calc!H13</f>
        <v>1</v>
      </c>
      <c r="I2195">
        <f>IF(Skills!X13&lt;&gt;"",1+(Skills!X13/10)*(Z2185/1000)/100,1)</f>
        <v>1</v>
      </c>
      <c r="J2195">
        <f>((Inputs!$B$6*(1+Inputs!$B$7/100))+(((Inputs!$B$12*(1+Inputs!$B$13/100))-(Inputs!$B$12*(1+Inputs!$B$13/100)))+0.25*(Inputs!$B$14-Inputs!$B$14))*(1+Inputs!$B$7/100))*(F2195/100)</f>
        <v>4171103722.0660505</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20958681306616.391</v>
      </c>
      <c r="L2195">
        <f>K2195*(MIN(Inputs!$B$22+(F2204-Calc!F22),(Inputs!$B$23+(IF(ArtifactsInput!$M$15,CHOOSE(ArtifactsInput!$N$15+1,25,30,35,40,45,50)/100*(Inputs!$B$11-Inputs!$B$11),0))))/100+(Inputs!$B$23+(IF(ArtifactsInput!$M$15,CHOOSE(ArtifactsInput!$N$15+1,25,30,35,40,45,50)/100*(Inputs!$B$11-Inputs!$B$11),0)))/100)/2</f>
        <v>69687615344499.5</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2195">
        <f>L2195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2195">
        <f>(1-Summary!$B$11)*S2195+Summary!$B$11*U2195</f>
        <v>1793579843045520.5</v>
      </c>
      <c r="P2195">
        <f>IF(B2223=0,0,O2195/B2223)</f>
        <v>5.4208245204954375E-2</v>
      </c>
      <c r="Q2195">
        <f>IFERROR(1/(IF(Inputs!$B$38="pvp",15,MAX(0.1,Skills!E13-IF(TRUE=TRUE,Inputs!$B$32,0)))*(1-IF(AND(ArtifactsInput!$M$27,Inputs!$B$4="Chapter Hunt"),CHOOSE(ArtifactsInput!$N$27+1,20,24,28,32,36,40),0)/100)),0)</f>
        <v>3.0303030303030304E-2</v>
      </c>
      <c r="R2195">
        <f>IF(AND(Inputs!$B$38&lt;&gt;"pvp",Inputs!$B$43&gt;0),IF(MAX(0,Inputs!$B$43-B2220)&lt;=0,0,(INT(MAX(0,Inputs!$B$43-B2220)/(IF(Inputs!$B$38="pvp",15,MAX(0.1,Skills!E13-IF(TRUE=TRUE,Inputs!$B$32,0)))*(1-IF(AND(ArtifactsInput!$M$27,Inputs!$B$4="Chapter Hunt"),CHOOSE(ArtifactsInput!$N$27+1,20,24,28,32,36,40),0)/100)))+1)),0)</f>
        <v>2</v>
      </c>
      <c r="S2195">
        <f>IF(C2195,(H2195*N2195*IF(AND(Inputs!$B$38&lt;&gt;"pvp",Inputs!$B$43&gt;0),((Skills!G13*((R2195-1)*IF(Skills!H13&gt;0,Skills!I13/Skills!H13,1)+IF(Skills!H13&gt;0,MIN(Skills!I13,MAX(0,MAX(0,Inputs!$B$43-B2220)-((R2195-1)*(IF(Inputs!$B$38="pvp",15,MAX(0.1,Skills!E13-IF(TRUE=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469112879740453.75</v>
      </c>
      <c r="U2195">
        <f>IF(C2195,(H2195*N2195*IF(AND(Inputs!$B$38&lt;&gt;"pvp",Inputs!$B$43&gt;0),((Skills!G13*((R2195-1)*IF(Skills!H13&gt;0,Skills!I13/Skills!H13,1)+IF(Skills!H13&gt;0,MIN(Skills!I13,MAX(0,MAX(0,Inputs!$B$43-B2220)-((R2195-1)*(IF(Inputs!$B$38="pvp",15,MAX(0.1,Skills!E13-IF(TRUE=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3118046806350587</v>
      </c>
    </row>
    <row r="2196" spans="1:21" x14ac:dyDescent="0.2">
      <c r="A2196" t="str">
        <f>Skills!A14</f>
        <v>METEOR_PROC</v>
      </c>
      <c r="B2196" t="str">
        <f>Skills!B14</f>
        <v>Meteor Proc (30% on-hit, 1s ICD)</v>
      </c>
      <c r="C2196" t="b">
        <f>Inputs!$B$3&gt;=113</f>
        <v>1</v>
      </c>
      <c r="D2196">
        <f>IF(Skills!C14=1,60+Inputs!$B$25+Inputs!$B$29,IF(Skills!C14=2,90+Inputs!$B$26+Inputs!$B$29,IF(Skills!C14=3,120+Inputs!$B$27+Inputs!$B$29,MAX(0,(Inputs!$B$3-100)*3)+Inputs!$B$28+Inputs!$B$29)))</f>
        <v>185</v>
      </c>
      <c r="E2196">
        <f>INDEX(FactorTable!$B$2:$Y$301, MATCH(ROUND(MIN(300,MAX(1,D2196)),0), FactorTable!$A$2:$A$301,0), Skills!M14+1)</f>
        <v>1740</v>
      </c>
      <c r="F2196">
        <f>IF(Skills!N14=TRUE,(Skills!L14/10)*(E2196/1000),Skills!L14/10)+Skills!O14</f>
        <v>1653</v>
      </c>
      <c r="G2196">
        <f>Calc!G14</f>
        <v>0</v>
      </c>
      <c r="H2196">
        <f>Calc!H14</f>
        <v>0.30000000000000004</v>
      </c>
      <c r="I2196">
        <f>IF(Skills!X14&lt;&gt;"",1+(Skills!X14/10)*(Z2185/1000)/100,1)</f>
        <v>1</v>
      </c>
      <c r="J2196">
        <f>((Inputs!$B$6*(1+Inputs!$B$7/100))+(((Inputs!$B$12*(1+Inputs!$B$13/100))-(Inputs!$B$12*(1+Inputs!$B$13/100)))+0.25*(Inputs!$B$14-Inputs!$B$14))*(1+Inputs!$B$7/100))*(F2196/100)</f>
        <v>5969553638.5932312</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29995411428430.203</v>
      </c>
      <c r="L2196">
        <f>K2196*(MIN(Inputs!$B$22+(F2204-Calc!F22),(Inputs!$B$23+(IF(ArtifactsInput!$M$15,CHOOSE(ArtifactsInput!$N$15+1,25,30,35,40,45,50)/100*(Inputs!$B$11-Inputs!$B$11),0))))/100+(Inputs!$B$23+(IF(ArtifactsInput!$M$15,CHOOSE(ArtifactsInput!$N$15+1,25,30,35,40,45,50)/100*(Inputs!$B$11-Inputs!$B$11),0)))/100)/2</f>
        <v>99734742999530.438</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2196">
        <f>L2196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2196">
        <f>(1-Summary!$B$11)*S2196+Summary!$B$11*U2196</f>
        <v>461258197543910.38</v>
      </c>
      <c r="P2196">
        <f>IF(B2223=0,0,O2196/B2223)</f>
        <v>1.3940833229257574E-2</v>
      </c>
      <c r="Q2196">
        <f>IFERROR(1/(IF(Inputs!$B$38="pvp",15,MAX(0.1,Skills!E14-IF(TRUE=TRUE,Inputs!$B$32,0)))*(1-IF(AND(ArtifactsInput!$M$27,Inputs!$B$4="Chapter Hunt"),CHOOSE(ArtifactsInput!$N$27+1,20,24,28,32,36,40),0)/100)),0)</f>
        <v>10</v>
      </c>
      <c r="R2196">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473200157350872.44</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449316237736948.25</v>
      </c>
    </row>
    <row r="2197" spans="1:21" x14ac:dyDescent="0.2">
      <c r="A2197" t="str">
        <f>Skills!A15</f>
        <v>FLAME_HAZE_BURST</v>
      </c>
      <c r="B2197" t="str">
        <f>Skills!B15</f>
        <v>Flame Haze (burst)</v>
      </c>
      <c r="C2197" t="b">
        <f>Inputs!$B$3&gt;=107</f>
        <v>1</v>
      </c>
      <c r="D2197">
        <f>IF(Skills!C15=1,60+Inputs!$B$25+Inputs!$B$29,IF(Skills!C15=2,90+Inputs!$B$26+Inputs!$B$29,IF(Skills!C15=3,120+Inputs!$B$27+Inputs!$B$29,MAX(0,(Inputs!$B$3-100)*3)+Inputs!$B$28+Inputs!$B$29)))</f>
        <v>185</v>
      </c>
      <c r="E2197">
        <f>INDEX(FactorTable!$B$2:$Y$301, MATCH(ROUND(MIN(300,MAX(1,D2197)),0), FactorTable!$A$2:$A$301,0), Skills!M15+1)</f>
        <v>1925</v>
      </c>
      <c r="F2197">
        <f>IF(Skills!N15=TRUE,(Skills!L15/10)*(E2197/1000),Skills!L15/10)+Skills!O15</f>
        <v>2310</v>
      </c>
      <c r="G2197">
        <f>Calc!G15</f>
        <v>3</v>
      </c>
      <c r="H2197">
        <f>Calc!H15</f>
        <v>1</v>
      </c>
      <c r="I2197">
        <f>IF(Skills!X15&lt;&gt;"",1+(Skills!X15/10)*(Z2185/1000)/100,1)</f>
        <v>1</v>
      </c>
      <c r="J2197">
        <f>((Inputs!$B$6*(1+Inputs!$B$7/100))+(((Inputs!$B$12*(1+Inputs!$B$13/100))-(Inputs!$B$12*(1+Inputs!$B$13/100)))+0.25*(Inputs!$B$14-Inputs!$B$14))*(1+Inputs!$B$7/100))*(F2197/100)</f>
        <v>8342207444.1321011</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41917362613232.781</v>
      </c>
      <c r="L2197">
        <f>K2197*(MIN(Inputs!$B$22+(F2204-Calc!F22),(Inputs!$B$23+(IF(ArtifactsInput!$M$15,CHOOSE(ArtifactsInput!$N$15+1,25,30,35,40,45,50)/100*(Inputs!$B$11-Inputs!$B$11),0))))/100+(Inputs!$B$23+(IF(ArtifactsInput!$M$15,CHOOSE(ArtifactsInput!$N$15+1,25,30,35,40,45,50)/100*(Inputs!$B$11-Inputs!$B$11),0)))/100)/2</f>
        <v>139375230688999</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2197">
        <f>L2197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2197">
        <f>(1-Summary!$B$11)*S2197+Summary!$B$11*U2197</f>
        <v>1641155153413763.8</v>
      </c>
      <c r="P2197">
        <f>IF(B2223=0,0,O2197/B2223)</f>
        <v>4.9601438888031674E-2</v>
      </c>
      <c r="Q2197">
        <f>IFERROR(1/(IF(Inputs!$B$38="pvp",15,MAX(0.1,Skills!E15-IF(TRUE=TRUE,Inputs!$B$32,0)))*(1-IF(AND(ArtifactsInput!$M$27,Inputs!$B$4="Chapter Hunt"),CHOOSE(ArtifactsInput!$N$27+1,20,24,28,32,36,40),0)/100)),0)</f>
        <v>0.04</v>
      </c>
      <c r="R2197">
        <f>IF(AND(Inputs!$B$38&lt;&gt;"pvp",Inputs!$B$43&gt;0),IF(MAX(0,Inputs!$B$43-B2220)&lt;=0,0,(INT(MAX(0,Inputs!$B$43-B2220)/(IF(Inputs!$B$38="pvp",15,MAX(0.1,Skills!E15-IF(TRUE=TRUE,Inputs!$B$32,0)))*(1-IF(AND(ArtifactsInput!$M$27,Inputs!$B$4="Chapter Hunt"),CHOOSE(ArtifactsInput!$N$27+1,20,24,28,32,36,40),0)/100)))+1)),0)</f>
        <v>2</v>
      </c>
      <c r="S2197">
        <f>IF(C2197,(H2197*N2197*IF(AND(Inputs!$B$38&lt;&gt;"pvp",Inputs!$B$43&gt;0),((Skills!G15*((R2197-1)*IF(Skills!H15&gt;0,Skills!I15/Skills!H15,1)+IF(Skills!H15&gt;0,MIN(Skills!I15,MAX(0,MAX(0,Inputs!$B$43-B2220)-((R2197-1)*(IF(Inputs!$B$38="pvp",15,MAX(0.1,Skills!E15-IF(TRUE=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312741919826969.12</v>
      </c>
      <c r="U2197">
        <f>IF(C2197,(H2197*N2197*IF(AND(Inputs!$B$38&lt;&gt;"pvp",Inputs!$B$43&gt;0),((Skills!G15*((R2197-1)*IF(Skills!H15&gt;0,Skills!I15/Skills!H15,1)+IF(Skills!H15&gt;0,MIN(Skills!I15,MAX(0,MAX(0,Inputs!$B$43-B2220)-((R2197-1)*(IF(Inputs!$B$38="pvp",15,MAX(0.1,Skills!E15-IF(TRUE=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2969568387000558.5</v>
      </c>
    </row>
    <row r="2198" spans="1:21" x14ac:dyDescent="0.2">
      <c r="A2198" t="str">
        <f>Skills!A16</f>
        <v>FLAME_HAZE_DOT</v>
      </c>
      <c r="B2198" t="str">
        <f>Skills!B16</f>
        <v>Flame Haze (burn DoT)</v>
      </c>
      <c r="C2198" t="b">
        <f>Inputs!$B$3&gt;=107</f>
        <v>1</v>
      </c>
      <c r="D2198">
        <f>IF(Skills!C16=1,60+Inputs!$B$25+Inputs!$B$29,IF(Skills!C16=2,90+Inputs!$B$26+Inputs!$B$29,IF(Skills!C16=3,120+Inputs!$B$27+Inputs!$B$29,MAX(0,(Inputs!$B$3-100)*3)+Inputs!$B$28+Inputs!$B$29)))</f>
        <v>185</v>
      </c>
      <c r="E2198">
        <f>INDEX(FactorTable!$B$2:$Y$301, MATCH(ROUND(MIN(300,MAX(1,D2198)),0), FactorTable!$A$2:$A$301,0), Skills!M16+1)</f>
        <v>1925</v>
      </c>
      <c r="F2198">
        <f>IF(Skills!N16=TRUE,(Skills!L16/10)*(E2198/1000),Skills!L16/10)+Skills!O16</f>
        <v>288.75</v>
      </c>
      <c r="G2198">
        <f>Calc!G16</f>
        <v>30</v>
      </c>
      <c r="H2198">
        <f>Calc!H16</f>
        <v>1</v>
      </c>
      <c r="I2198">
        <f>IF(Skills!X16&lt;&gt;"",1+(Skills!X16/10)*(Z2185/1000)/100,1)</f>
        <v>1</v>
      </c>
      <c r="J2198">
        <f>((Inputs!$B$6*(1+Inputs!$B$7/100))+(((Inputs!$B$12*(1+Inputs!$B$13/100))-(Inputs!$B$12*(1+Inputs!$B$13/100)))+0.25*(Inputs!$B$14-Inputs!$B$14))*(1+Inputs!$B$7/100))*(F2198/100)</f>
        <v>1042775930.5165126</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5239670326654.0977</v>
      </c>
      <c r="L2198">
        <f>K2198*(MIN(Inputs!$B$22+(F2204-Calc!F22),(Inputs!$B$23+(IF(ArtifactsInput!$M$15,CHOOSE(ArtifactsInput!$N$15+1,25,30,35,40,45,50)/100*(Inputs!$B$11-Inputs!$B$11),0))))/100+(Inputs!$B$23+(IF(ArtifactsInput!$M$15,CHOOSE(ArtifactsInput!$N$15+1,25,30,35,40,45,50)/100*(Inputs!$B$11-Inputs!$B$11),0)))/100)/2</f>
        <v>17421903836124.875</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2198">
        <f>L2198*(1-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2198">
        <f>(1-Summary!$B$11)*S2198+Summary!$B$11*U2198</f>
        <v>1890384927888193</v>
      </c>
      <c r="P2198">
        <f>IF(B2223=0,0,O2198/B2223)</f>
        <v>5.7134032867313167E-2</v>
      </c>
      <c r="Q2198">
        <f>IFERROR(1/(IF(Inputs!$B$38="pvp",15,MAX(0.1,Skills!E16-IF(TRUE=TRUE,Inputs!$B$32,0)))*(1-IF(AND(ArtifactsInput!$M$27,Inputs!$B$4="Chapter Hunt"),CHOOSE(ArtifactsInput!$N$27+1,20,24,28,32,36,40),0)/100)),0)</f>
        <v>0.04</v>
      </c>
      <c r="R2198">
        <f>IF(AND(Inputs!$B$38&lt;&gt;"pvp",Inputs!$B$43&gt;0),IF(MAX(0,Inputs!$B$43-B2220)&lt;=0,0,(INT(MAX(0,Inputs!$B$43-B2220)/(IF(Inputs!$B$38="pvp",15,MAX(0.1,Skills!E16-IF(TRUE=TRUE,Inputs!$B$32,0)))*(1-IF(AND(ArtifactsInput!$M$27,Inputs!$B$4="Chapter Hunt"),CHOOSE(ArtifactsInput!$N$27+1,20,24,28,32,36,40),0)/100)))+1)),0)</f>
        <v>2</v>
      </c>
      <c r="S2198">
        <f>IF(C2198,(H2198*N2198*IF(AND(Inputs!$B$38&lt;&gt;"pvp",Inputs!$B$43&gt;0),((Skills!G16*((R2198-1)*IF(Skills!H16&gt;0,Skills!I16/Skills!H16,1)+IF(Skills!H16&gt;0,MIN(Skills!I16,MAX(0,MAX(0,Inputs!$B$43-B2220)-((R2198-1)*(IF(Inputs!$B$38="pvp",15,MAX(0.1,Skills!E16-IF(TRUE=TRUE,Inputs!$B$32,0)))*(1-IF(AND(ArtifactsInput!$M$27,Inputs!$B$4="Chapter Hunt"),CHOOSE(ArtifactsInput!$N$27+1,20,24,28,32,36,40),0)/100)))))/Skills!H16,1)))/Inputs!$B$43),G2198*Q2198)*(1+IF(Inputs!$B$3&gt;=126,0.05*(B2218+Q2195+(H2196*B2219)/(1+Skills!H14*H2196*B2219)+Q2206),0)*(1/Q2197)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360235661040310.94</v>
      </c>
      <c r="U2198">
        <f>IF(C2198,(H2198*N2198*IF(AND(Inputs!$B$38&lt;&gt;"pvp",Inputs!$B$43&gt;0),((Skills!G16*((R2198-1)*IF(Skills!H16&gt;0,Skills!I16/Skills!H16,1)+IF(Skills!H16&gt;0,MIN(Skills!I16,MAX(0,MAX(0,Inputs!$B$43-B2220)-((R2198-1)*(IF(Inputs!$B$38="pvp",15,MAX(0.1,Skills!E16-IF(TRUE=TRUE,Inputs!$B$32,0)))*(1-IF(AND(ArtifactsInput!$M$27,Inputs!$B$4="Chapter Hunt"),CHOOSE(ArtifactsInput!$N$27+1,20,24,28,32,36,40),0)/100)))))/Skills!H16,1)))/Inputs!$B$43),G2198*Q2198)*(1+IF(Inputs!$B$3&gt;=126,0.05*(B2218+Q2195+(H2196*B2219)/(1+Skills!H14*H2196*B2219)+Q2206),0)*(1/Q2197)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3420534194736075</v>
      </c>
    </row>
    <row r="2199" spans="1:21" x14ac:dyDescent="0.2">
      <c r="A2199" t="str">
        <f>Skills!A17</f>
        <v>MAGIC_GUARD</v>
      </c>
      <c r="B2199" t="str">
        <f>Skills!B17</f>
        <v>Magic Guard</v>
      </c>
      <c r="C2199" t="b">
        <f>TRUE</f>
        <v>1</v>
      </c>
      <c r="D2199">
        <f>IF(Skills!C17=1,60+Inputs!$B$25+Inputs!$B$29,IF(Skills!C17=2,90+Inputs!$B$26+Inputs!$B$29,IF(Skills!C17=3,120+Inputs!$B$27+Inputs!$B$29,MAX(0,(Inputs!$B$3-100)*3)+Inputs!$B$28+Inputs!$B$29)))</f>
        <v>127</v>
      </c>
      <c r="E2199">
        <f>INDEX(FactorTable!$B$2:$Y$301, MATCH(ROUND(MIN(300,MAX(1,D2199)),0), FactorTable!$A$2:$A$301,0), Skills!M17+1)</f>
        <v>1508</v>
      </c>
      <c r="F2199">
        <f>IF(Skills!N17=TRUE,(Skills!L17/10)*(E2199/1000),Skills!L17/10)+Skills!O17</f>
        <v>18.096</v>
      </c>
      <c r="G2199">
        <f>Calc!G17</f>
        <v>1</v>
      </c>
      <c r="H2199">
        <f>Calc!H17</f>
        <v>1</v>
      </c>
      <c r="I2199">
        <f>IF(Skills!X17&lt;&gt;"",1+(Skills!X17/10)*(Z2185/1000)/100,1)</f>
        <v>1</v>
      </c>
      <c r="O2199">
        <f>(1-Summary!$B$11)*S2199+Summary!$B$11*U2199</f>
        <v>0</v>
      </c>
      <c r="P2199">
        <f>IF(B2223=0,0,O2199/B2223)</f>
        <v>0</v>
      </c>
      <c r="Q2199">
        <f>IFERROR(1/(IF(Inputs!$B$38="pvp",15,MAX(0.1,Skills!E17-IF(TRUE=TRUE,Inputs!$B$32,0)))*(1-IF(AND(ArtifactsInput!$M$27,Inputs!$B$4="Chapter Hunt"),CHOOSE(ArtifactsInput!$N$27+1,20,24,28,32,36,40),0)/100)),0)</f>
        <v>4.7619047619047616E-2</v>
      </c>
      <c r="R2199">
        <f>IF(AND(Inputs!$B$38&lt;&gt;"pvp",Inputs!$B$43&gt;0),IF(Inputs!$B$43&lt;=0,0,(INT(Inputs!$B$43/(IF(Inputs!$B$38="pvp",15,MAX(0.1,Skills!E17-IF(TRUE=TRUE,Inputs!$B$32,0)))*(1-IF(AND(ArtifactsInput!$M$27,Inputs!$B$4="Chapter Hunt"),CHOOSE(ArtifactsInput!$N$27+1,20,24,28,32,36,40),0)/100)))+1)),0)</f>
        <v>2</v>
      </c>
      <c r="S2199">
        <v>0</v>
      </c>
      <c r="U2199">
        <v>0</v>
      </c>
    </row>
    <row r="2200" spans="1:21" x14ac:dyDescent="0.2">
      <c r="A2200" t="str">
        <f>Skills!A18</f>
        <v>NIMBLE_FEET</v>
      </c>
      <c r="B2200" t="str">
        <f>Skills!B18</f>
        <v>Nimble Feet</v>
      </c>
      <c r="C2200" t="b">
        <f>TRUE</f>
        <v>1</v>
      </c>
      <c r="D2200">
        <f>IF(Skills!C18=1,60+Inputs!$B$25+Inputs!$B$29,IF(Skills!C18=2,90+Inputs!$B$26+Inputs!$B$29,IF(Skills!C18=3,120+Inputs!$B$27+Inputs!$B$29,MAX(0,(Inputs!$B$3-100)*3)+Inputs!$B$28+Inputs!$B$29)))</f>
        <v>127</v>
      </c>
      <c r="E2200">
        <f>INDEX(FactorTable!$B$2:$Y$301, MATCH(ROUND(MIN(300,MAX(1,D2200)),0), FactorTable!$A$2:$A$301,0), Skills!M18+1)</f>
        <v>0</v>
      </c>
      <c r="F2200">
        <f>IF(Skills!N18=TRUE,(Skills!L18/10)*(E2200/1000),Skills!L18/10)+Skills!O18</f>
        <v>15</v>
      </c>
      <c r="G2200">
        <f>Calc!G18</f>
        <v>1</v>
      </c>
      <c r="H2200">
        <f>Calc!H18</f>
        <v>1</v>
      </c>
      <c r="I2200">
        <f>IF(Skills!X18&lt;&gt;"",1+(Skills!X18/10)*(Z2185/1000)/100,1)</f>
        <v>1</v>
      </c>
      <c r="O2200">
        <f>(1-Summary!$B$11)*S2200+Summary!$B$11*U2200</f>
        <v>0</v>
      </c>
      <c r="P2200">
        <f>IF(B2223=0,0,O2200/B2223)</f>
        <v>0</v>
      </c>
      <c r="Q2200">
        <f>IFERROR(1/(IF(Inputs!$B$38="pvp",15,MAX(0.1,Skills!E18-IF(TRUE=TRUE,Inputs!$B$32,0)))*(1-IF(AND(ArtifactsInput!$M$27,Inputs!$B$4="Chapter Hunt"),CHOOSE(ArtifactsInput!$N$27+1,20,24,28,32,36,40),0)/100)),0)</f>
        <v>1.6666666666666666E-2</v>
      </c>
      <c r="R2200">
        <f>IF(AND(Inputs!$B$38&lt;&gt;"pvp",Inputs!$B$43&gt;0),IF(Inputs!$B$43&lt;=0,0,(INT(Inputs!$B$43/(IF(Inputs!$B$38="pvp",15,MAX(0.1,Skills!E18-IF(TRUE=TRUE,Inputs!$B$32,0)))*(1-IF(AND(ArtifactsInput!$M$27,Inputs!$B$4="Chapter Hunt"),CHOOSE(ArtifactsInput!$N$27+1,20,24,28,32,36,40),0)/100)))+1)),0)</f>
        <v>1</v>
      </c>
      <c r="S2200">
        <v>0</v>
      </c>
      <c r="U2200">
        <v>0</v>
      </c>
    </row>
    <row r="2201" spans="1:21" x14ac:dyDescent="0.2">
      <c r="A2201" t="str">
        <f>Skills!A19</f>
        <v>INFINITY</v>
      </c>
      <c r="B2201" t="str">
        <f>Skills!B19</f>
        <v>Infinity</v>
      </c>
      <c r="C2201" t="b">
        <f>Inputs!$B$3&gt;=110</f>
        <v>1</v>
      </c>
      <c r="D2201">
        <f>IF(Skills!C19=1,60+Inputs!$B$25+Inputs!$B$29,IF(Skills!C19=2,90+Inputs!$B$26+Inputs!$B$29,IF(Skills!C19=3,120+Inputs!$B$27+Inputs!$B$29,MAX(0,(Inputs!$B$3-100)*3)+Inputs!$B$28+Inputs!$B$29)))</f>
        <v>185</v>
      </c>
      <c r="E2201">
        <f>INDEX(FactorTable!$B$2:$Y$301, MATCH(ROUND(MIN(300,MAX(1,D2201)),0), FactorTable!$A$2:$A$301,0), Skills!M19+1)</f>
        <v>1740</v>
      </c>
      <c r="F2201">
        <f>IF(Skills!N19=TRUE,(Skills!L19/10)*(E2201/1000),Skills!L19/10)+Skills!O19</f>
        <v>37.700579999999995</v>
      </c>
      <c r="G2201">
        <f>Calc!G19</f>
        <v>1</v>
      </c>
      <c r="H2201">
        <f>Calc!H19</f>
        <v>1</v>
      </c>
      <c r="I2201">
        <f>IF(Skills!X19&lt;&gt;"",1+(Skills!X19/10)*(Z2185/1000)/100,1)</f>
        <v>1</v>
      </c>
      <c r="O2201">
        <f>(1-Summary!$B$11)*S2201+Summary!$B$11*U2201</f>
        <v>0</v>
      </c>
      <c r="P2201">
        <f>IF(B2223=0,0,O2201/B2223)</f>
        <v>0</v>
      </c>
      <c r="Q2201">
        <f>IFERROR(1/(IF(Inputs!$B$38="pvp",15,MAX(0.1,Skills!E19-IF(TRUE=TRUE,Inputs!$B$32,0)))*(1-IF(AND(ArtifactsInput!$M$27,Inputs!$B$4="Chapter Hunt"),CHOOSE(ArtifactsInput!$N$27+1,20,24,28,32,36,40),0)/100)),0)</f>
        <v>3.3333333333333333E-2</v>
      </c>
      <c r="R2201">
        <f>IF(AND(Inputs!$B$38&lt;&gt;"pvp",Inputs!$B$43&gt;0),IF(Inputs!$B$43&lt;=0,0,(INT(Inputs!$B$43/(IF(Inputs!$B$38="pvp",15,MAX(0.1,Skills!E19-IF(TRUE=TRUE,Inputs!$B$32,0)))*(1-IF(AND(ArtifactsInput!$M$27,Inputs!$B$4="Chapter Hunt"),CHOOSE(ArtifactsInput!$N$27+1,20,24,28,32,36,40),0)/100)))+1)),0)</f>
        <v>2</v>
      </c>
      <c r="S2201">
        <v>0</v>
      </c>
      <c r="U2201">
        <v>0</v>
      </c>
    </row>
    <row r="2202" spans="1:21" x14ac:dyDescent="0.2">
      <c r="A2202" t="str">
        <f>Skills!A20</f>
        <v>MAGIC_CRITICAL_RATE</v>
      </c>
      <c r="B2202" t="str">
        <f>Skills!B20</f>
        <v>Magic Critical (Crit Rate)</v>
      </c>
      <c r="C2202" t="b">
        <f>TRUE</f>
        <v>1</v>
      </c>
      <c r="D2202">
        <f>IF(Skills!C20=1,60+Inputs!$B$25+Inputs!$B$29,IF(Skills!C20=2,90+Inputs!$B$26+Inputs!$B$29,IF(Skills!C20=3,120+Inputs!$B$27+Inputs!$B$29,MAX(0,(Inputs!$B$3-100)*3)+Inputs!$B$28+Inputs!$B$29)))</f>
        <v>184</v>
      </c>
      <c r="E2202">
        <f>INDEX(FactorTable!$B$2:$Y$301, MATCH(ROUND(MIN(300,MAX(1,D2202)),0), FactorTable!$A$2:$A$301,0), Skills!M20+1)</f>
        <v>1552</v>
      </c>
      <c r="F2202">
        <f>IF(Skills!N20=TRUE,(Skills!L20/10)*(E2202/1000),Skills!L20/10)+Skills!O20</f>
        <v>12.416</v>
      </c>
      <c r="G2202">
        <f>Calc!G20</f>
        <v>1</v>
      </c>
      <c r="H2202">
        <f>Calc!H20</f>
        <v>1</v>
      </c>
      <c r="I2202">
        <f>IF(Skills!X20&lt;&gt;"",1+(Skills!X20/10)*(Z2185/1000)/100,1)</f>
        <v>1</v>
      </c>
      <c r="O2202">
        <f>(1-Summary!$B$11)*S2202+Summary!$B$11*U2202</f>
        <v>0</v>
      </c>
      <c r="P2202">
        <f>IF(B2223=0,0,O2202/B2223)</f>
        <v>0</v>
      </c>
      <c r="Q2202">
        <f>IFERROR(1/(IF(Inputs!$B$38="pvp",15,MAX(0.1,Skills!E20-IF(TRUE=TRUE,Inputs!$B$32,0)))*(1-IF(AND(ArtifactsInput!$M$27,Inputs!$B$4="Chapter Hunt"),CHOOSE(ArtifactsInput!$N$27+1,20,24,28,32,36,40),0)/100)),0)</f>
        <v>10</v>
      </c>
      <c r="R2202">
        <v>0</v>
      </c>
      <c r="S2202">
        <v>0</v>
      </c>
      <c r="U2202">
        <v>0</v>
      </c>
    </row>
    <row r="2203" spans="1:21" x14ac:dyDescent="0.2">
      <c r="A2203" t="str">
        <f>Skills!A21</f>
        <v>MAGIC_CRITICAL_DAMAGE</v>
      </c>
      <c r="B2203" t="str">
        <f>Skills!B21</f>
        <v>Magic Critical (Crit Damage)</v>
      </c>
      <c r="C2203" t="b">
        <f>TRUE</f>
        <v>1</v>
      </c>
      <c r="D2203">
        <f>IF(Skills!C21=1,60+Inputs!$B$25+Inputs!$B$29,IF(Skills!C21=2,90+Inputs!$B$26+Inputs!$B$29,IF(Skills!C21=3,120+Inputs!$B$27+Inputs!$B$29,MAX(0,(Inputs!$B$3-100)*3)+Inputs!$B$28+Inputs!$B$29)))</f>
        <v>184</v>
      </c>
      <c r="E2203">
        <f>INDEX(FactorTable!$B$2:$Y$301, MATCH(ROUND(MIN(300,MAX(1,D2203)),0), FactorTable!$A$2:$A$301,0), Skills!M21+1)</f>
        <v>1552</v>
      </c>
      <c r="F2203">
        <f>IF(Skills!N21=TRUE,(Skills!L21/10)*(E2203/1000),Skills!L21/10)+Skills!O21</f>
        <v>18.624000000000002</v>
      </c>
      <c r="G2203">
        <f>Calc!G21</f>
        <v>1</v>
      </c>
      <c r="H2203">
        <f>Calc!H21</f>
        <v>1</v>
      </c>
      <c r="I2203">
        <f>IF(Skills!X21&lt;&gt;"",1+(Skills!X21/10)*(Z2185/1000)/100,1)</f>
        <v>1</v>
      </c>
      <c r="O2203">
        <f>(1-Summary!$B$11)*S2203+Summary!$B$11*U2203</f>
        <v>0</v>
      </c>
      <c r="P2203">
        <f>IF(B2223=0,0,O2203/B2223)</f>
        <v>0</v>
      </c>
      <c r="Q2203">
        <f>IFERROR(1/(IF(Inputs!$B$38="pvp",15,MAX(0.1,Skills!E21-IF(TRUE=TRUE,Inputs!$B$32,0)))*(1-IF(AND(ArtifactsInput!$M$27,Inputs!$B$4="Chapter Hunt"),CHOOSE(ArtifactsInput!$N$27+1,20,24,28,32,36,40),0)/100)),0)</f>
        <v>10</v>
      </c>
      <c r="R2203">
        <v>0</v>
      </c>
      <c r="S2203">
        <v>0</v>
      </c>
      <c r="U2203">
        <v>0</v>
      </c>
    </row>
    <row r="2204" spans="1:21" x14ac:dyDescent="0.2">
      <c r="A2204" t="str">
        <f>Skills!A22</f>
        <v>SPELL_MASTERY</v>
      </c>
      <c r="B2204" t="str">
        <f>Skills!B22</f>
        <v>Spell Mastery</v>
      </c>
      <c r="C2204" t="b">
        <f>TRUE</f>
        <v>1</v>
      </c>
      <c r="D2204">
        <f>IF(Skills!C22=1,60+Inputs!$B$25+Inputs!$B$29,IF(Skills!C22=2,90+Inputs!$B$26+Inputs!$B$29,IF(Skills!C22=3,120+Inputs!$B$27+Inputs!$B$29,MAX(0,(Inputs!$B$3-100)*3)+Inputs!$B$28+Inputs!$B$29)))</f>
        <v>168</v>
      </c>
      <c r="E2204">
        <f>INDEX(FactorTable!$B$2:$Y$301, MATCH(ROUND(MIN(300,MAX(1,D2204)),0), FactorTable!$A$2:$A$301,0), Skills!M22+1)</f>
        <v>1504</v>
      </c>
      <c r="F2204">
        <f>IF(Skills!N22=TRUE,(Skills!L22/10)*(E2204/1000),Skills!L22/10)+Skills!O22</f>
        <v>22.56</v>
      </c>
      <c r="G2204">
        <f>Calc!G22</f>
        <v>1</v>
      </c>
      <c r="H2204">
        <f>Calc!H22</f>
        <v>1</v>
      </c>
      <c r="I2204">
        <f>IF(Skills!X22&lt;&gt;"",1+(Skills!X22/10)*(Z2185/1000)/100,1)</f>
        <v>1</v>
      </c>
      <c r="O2204">
        <f>(1-Summary!$B$11)*S2204+Summary!$B$11*U2204</f>
        <v>0</v>
      </c>
      <c r="P2204">
        <f>IF(B2223=0,0,O2204/B2223)</f>
        <v>0</v>
      </c>
      <c r="Q2204">
        <f>IFERROR(1/(IF(Inputs!$B$38="pvp",15,MAX(0.1,Skills!E22-IF(TRUE=TRUE,Inputs!$B$32,0)))*(1-IF(AND(ArtifactsInput!$M$27,Inputs!$B$4="Chapter Hunt"),CHOOSE(ArtifactsInput!$N$27+1,20,24,28,32,36,40),0)/100)),0)</f>
        <v>10</v>
      </c>
      <c r="R2204">
        <v>0</v>
      </c>
      <c r="S2204">
        <v>0</v>
      </c>
      <c r="U2204">
        <v>0</v>
      </c>
    </row>
    <row r="2205" spans="1:21" x14ac:dyDescent="0.2">
      <c r="A2205" t="str">
        <f>Skills!A23</f>
        <v>ELEMENT_AMPLIFICATION</v>
      </c>
      <c r="B2205" t="str">
        <f>Skills!B23</f>
        <v>Element Amplification</v>
      </c>
      <c r="C2205" t="b">
        <f>TRUE</f>
        <v>1</v>
      </c>
      <c r="D2205">
        <f>IF(Skills!C23=1,60+Inputs!$B$25+Inputs!$B$29,IF(Skills!C23=2,90+Inputs!$B$26+Inputs!$B$29,IF(Skills!C23=3,120+Inputs!$B$27+Inputs!$B$29,MAX(0,(Inputs!$B$3-100)*3)+Inputs!$B$28+Inputs!$B$29)))</f>
        <v>185</v>
      </c>
      <c r="E2205">
        <f>INDEX(FactorTable!$B$2:$Y$301, MATCH(ROUND(MIN(300,MAX(1,D2205)),0), FactorTable!$A$2:$A$301,0), Skills!M23+1)</f>
        <v>1555</v>
      </c>
      <c r="F2205">
        <f>IF(Skills!N23=TRUE,(Skills!L23/10)*(E2205/1000),Skills!L23/10)+Skills!O23</f>
        <v>23.324999999999999</v>
      </c>
      <c r="G2205">
        <f>Calc!G23</f>
        <v>1</v>
      </c>
      <c r="H2205">
        <f>Calc!H23</f>
        <v>1</v>
      </c>
      <c r="I2205">
        <f>IF(Skills!X23&lt;&gt;"",1+(Skills!X23/10)*(Z2185/1000)/100,1)</f>
        <v>1</v>
      </c>
      <c r="O2205">
        <f>(1-Summary!$B$11)*S2205+Summary!$B$11*U2205</f>
        <v>0</v>
      </c>
      <c r="P2205">
        <f>IF(B2223=0,0,O2205/B2223)</f>
        <v>0</v>
      </c>
      <c r="Q2205">
        <f>IFERROR(1/(IF(Inputs!$B$38="pvp",15,MAX(0.1,Skills!E23-IF(TRUE=TRUE,Inputs!$B$32,0)))*(1-IF(AND(ArtifactsInput!$M$27,Inputs!$B$4="Chapter Hunt"),CHOOSE(ArtifactsInput!$N$27+1,20,24,28,32,36,40),0)/100)),0)</f>
        <v>10</v>
      </c>
      <c r="R2205">
        <v>0</v>
      </c>
      <c r="S2205">
        <v>0</v>
      </c>
      <c r="U2205">
        <v>0</v>
      </c>
    </row>
    <row r="2206" spans="1:21" x14ac:dyDescent="0.2">
      <c r="A2206" t="str">
        <f>Skills!A24</f>
        <v>IFRIT</v>
      </c>
      <c r="B2206" t="str">
        <f>Skills!B24</f>
        <v>Ifrit</v>
      </c>
      <c r="C2206" t="b">
        <f>Inputs!$B$3&gt;=115</f>
        <v>1</v>
      </c>
      <c r="D2206">
        <f>IF(Skills!C24=1,60+Inputs!$B$25+Inputs!$B$29,IF(Skills!C24=2,90+Inputs!$B$26+Inputs!$B$29,IF(Skills!C24=3,120+Inputs!$B$27+Inputs!$B$29,MAX(0,(Inputs!$B$3-100)*3)+Inputs!$B$28+Inputs!$B$29)))</f>
        <v>185</v>
      </c>
      <c r="E2206">
        <f>INDEX(FactorTable!$B$2:$Y$301, MATCH(ROUND(MIN(300,MAX(1,D2206)),0), FactorTable!$A$2:$A$301,0), Skills!M24+1)</f>
        <v>1925</v>
      </c>
      <c r="F2206">
        <f>IF(Skills!N24=TRUE,(Skills!L24/10)*(E2206/1000),Skills!L24/10)+Skills!O24</f>
        <v>6737.5</v>
      </c>
      <c r="G2206">
        <f>Calc!G24</f>
        <v>7.5</v>
      </c>
      <c r="H2206">
        <f>Calc!H24</f>
        <v>1</v>
      </c>
      <c r="I2206">
        <f>IF(Skills!X24&lt;&gt;"",1+(Skills!X24/10)*(Z2185/1000)/100,1)</f>
        <v>1</v>
      </c>
      <c r="J2206">
        <f>((Inputs!$B$6*(1+Inputs!$B$7/100))+(((Inputs!$B$12*(1+Inputs!$B$13/100))-(Inputs!$B$12*(1+Inputs!$B$13/100)))+0.25*(Inputs!$B$14-Inputs!$B$14))*(1+Inputs!$B$7/100))*(F2206/100)</f>
        <v>24331438378.718628</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122258974288595.61</v>
      </c>
      <c r="L2206">
        <f>K2206*(MIN(Inputs!$B$22+(F2204-Calc!F22),(Inputs!$B$23+(IF(ArtifactsInput!$M$15,CHOOSE(ArtifactsInput!$N$15+1,25,30,35,40,45,50)/100*(Inputs!$B$11-Inputs!$B$11),0))))/100+(Inputs!$B$23+(IF(ArtifactsInput!$M$15,CHOOSE(ArtifactsInput!$N$15+1,25,30,35,40,45,50)/100*(Inputs!$B$11-Inputs!$B$11),0)))/100)/2</f>
        <v>406511089509580.44</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2206">
        <f>L2206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2206">
        <f>(1-Summary!$B$11)*S2206+Summary!$B$11*U2206</f>
        <v>2194085169658842.8</v>
      </c>
      <c r="P2206">
        <f>IF(B2223=0,0,O2206/B2223)</f>
        <v>6.6312914553869617E-2</v>
      </c>
      <c r="Q2206">
        <f>IFERROR(1/(IF(Inputs!$B$38="pvp",15,MAX(0.1,Skills!E24-IF(TRUE=TRUE,Inputs!$B$32,0)))*(1-IF(AND(ArtifactsInput!$M$27,Inputs!$B$4="Chapter Hunt"),CHOOSE(ArtifactsInput!$N$27+1,20,24,28,32,36,40),0)/100)),0)</f>
        <v>1.2500000000000001E-2</v>
      </c>
      <c r="R2206">
        <f>IF(AND(Inputs!$B$38&lt;&gt;"pvp",Inputs!$B$43&gt;0),IF(MAX(0,Inputs!$B$43-B2220)&lt;=0,0,(INT(MAX(0,Inputs!$B$43-B2220)/(IF(Inputs!$B$38="pvp",15,MAX(0.1,Skills!E24-IF(TRUE=TRUE,Inputs!$B$32,0)))*(1-IF(AND(ArtifactsInput!$M$27,Inputs!$B$4="Chapter Hunt"),CHOOSE(ArtifactsInput!$N$27+1,20,24,28,32,36,40),0)/100)))+1)),0)</f>
        <v>1</v>
      </c>
      <c r="S2206">
        <f>IF(C2206,(H2206*N2206*IF(AND(Inputs!$B$38&lt;&gt;"pvp",Inputs!$B$43&gt;0),((Skills!G24*((R2206-1)*IF(Skills!H24&gt;0,Skills!I24/Skills!H24,1)+IF(Skills!H24&gt;0,MIN(Skills!I24,MAX(0,MAX(0,Inputs!$B$43-B2220)-((R2206-1)*(IF(Inputs!$B$38="pvp",15,MAX(0.1,Skills!E24-IF(TRUE=TRUE,Inputs!$B$32,0)))*(1-IF(AND(ArtifactsInput!$M$27,Inputs!$B$4="Chapter Hunt"),CHOOSE(ArtifactsInput!$N$27+1,20,24,28,32,36,40),0)/100)))))/Skills!H24,1)))/Inputs!$B$43),G2206*Q2206)*(1+IF(Inputs!$B$3&gt;=130,0.2*(Skills!I16/(1/Q2197)+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1140204916035825</v>
      </c>
      <c r="U2206">
        <f>IF(C2206,(H2206*N2206*IF(AND(Inputs!$B$38&lt;&gt;"pvp",Inputs!$B$43&gt;0),((Skills!G24*((R2206-1)*IF(Skills!H24&gt;0,Skills!I24/Skills!H24,1)+IF(Skills!H24&gt;0,MIN(Skills!I24,MAX(0,MAX(0,Inputs!$B$43-B2220)-((R2206-1)*(IF(Inputs!$B$38="pvp",15,MAX(0.1,Skills!E24-IF(TRUE=TRUE,Inputs!$B$32,0)))*(1-IF(AND(ArtifactsInput!$M$27,Inputs!$B$4="Chapter Hunt"),CHOOSE(ArtifactsInput!$N$27+1,20,24,28,32,36,40),0)/100)))))/Skills!H24,1)))/Inputs!$B$43),G2206*Q2206)*(1+IF(Inputs!$B$3&gt;=130,0.2*(Skills!I16/(1/Q2197)+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3247965423281860.5</v>
      </c>
    </row>
    <row r="2207" spans="1:21" x14ac:dyDescent="0.2">
      <c r="A2207" t="str">
        <f>Skills!A25</f>
        <v>BUFF_MASTERY</v>
      </c>
      <c r="B2207" t="str">
        <f>Skills!B25</f>
        <v>Buff Mastery</v>
      </c>
      <c r="C2207" t="b">
        <f>Inputs!$B$3&gt;=117</f>
        <v>1</v>
      </c>
      <c r="D2207">
        <f>IF(Skills!C25=1,60+Inputs!$B$25+Inputs!$B$29,IF(Skills!C25=2,90+Inputs!$B$26+Inputs!$B$29,IF(Skills!C25=3,120+Inputs!$B$27+Inputs!$B$29,MAX(0,(Inputs!$B$3-100)*3)+Inputs!$B$28+Inputs!$B$29)))</f>
        <v>185</v>
      </c>
      <c r="E2207">
        <f>INDEX(FactorTable!$B$2:$Y$301, MATCH(ROUND(MIN(300,MAX(1,D2207)),0), FactorTable!$A$2:$A$301,0), Skills!M25+1)</f>
        <v>1555</v>
      </c>
      <c r="F2207">
        <f>IF(Skills!N25=TRUE,(Skills!L25/10)*(E2207/1000),Skills!L25/10)+Skills!O25</f>
        <v>15.549999999999999</v>
      </c>
      <c r="G2207">
        <f>Calc!G25</f>
        <v>1</v>
      </c>
      <c r="H2207">
        <f>Calc!H25</f>
        <v>1</v>
      </c>
      <c r="I2207">
        <f>IF(Skills!X25&lt;&gt;"",1+(Skills!X25/10)*(Z2185/1000)/100,1)</f>
        <v>1</v>
      </c>
      <c r="O2207">
        <f>(1-Summary!$B$11)*S2207+Summary!$B$11*U2207</f>
        <v>0</v>
      </c>
      <c r="P2207">
        <f>IF(B2223=0,0,O2207/B2223)</f>
        <v>0</v>
      </c>
      <c r="Q2207">
        <f>IFERROR(1/(IF(Inputs!$B$38="pvp",15,MAX(0.1,Skills!E25-IF(TRUE=TRUE,Inputs!$B$32,0)))*(1-IF(AND(ArtifactsInput!$M$27,Inputs!$B$4="Chapter Hunt"),CHOOSE(ArtifactsInput!$N$27+1,20,24,28,32,36,40),0)/100)),0)</f>
        <v>10</v>
      </c>
      <c r="R2207">
        <v>0</v>
      </c>
      <c r="S2207">
        <v>0</v>
      </c>
      <c r="U2207">
        <v>0</v>
      </c>
    </row>
    <row r="2208" spans="1:21" x14ac:dyDescent="0.2">
      <c r="A2208" t="str">
        <f>Skills!A26</f>
        <v>ARCANE_AIM</v>
      </c>
      <c r="B2208" t="str">
        <f>Skills!B26</f>
        <v>Arcane Aim</v>
      </c>
      <c r="C2208" t="b">
        <f>Inputs!$B$3&gt;=120</f>
        <v>0</v>
      </c>
      <c r="D2208">
        <f>IF(Skills!C26=1,60+Inputs!$B$25+Inputs!$B$29,IF(Skills!C26=2,90+Inputs!$B$26+Inputs!$B$29,IF(Skills!C26=3,120+Inputs!$B$27+Inputs!$B$29,MAX(0,(Inputs!$B$3-100)*3)+Inputs!$B$28+Inputs!$B$29)))</f>
        <v>185</v>
      </c>
      <c r="E2208">
        <f>INDEX(FactorTable!$B$2:$Y$301, MATCH(ROUND(MIN(300,MAX(1,D2208)),0), FactorTable!$A$2:$A$301,0), Skills!M26+1)</f>
        <v>1555</v>
      </c>
      <c r="F2208">
        <f>IF(Skills!N26=TRUE,(Skills!L26/10)*(E2208/1000),Skills!L26/10)+Skills!O26</f>
        <v>4.665</v>
      </c>
      <c r="G2208">
        <f>Calc!G26</f>
        <v>1</v>
      </c>
      <c r="H2208">
        <f>Calc!H26</f>
        <v>1</v>
      </c>
      <c r="I2208">
        <f>IF(Skills!X26&lt;&gt;"",1+(Skills!X26/10)*(Z2185/1000)/100,1)</f>
        <v>1</v>
      </c>
      <c r="O2208">
        <f>(1-Summary!$B$11)*S2208+Summary!$B$11*U2208</f>
        <v>0</v>
      </c>
      <c r="P2208">
        <f>IF(B2223=0,0,O2208/B2223)</f>
        <v>0</v>
      </c>
      <c r="Q2208">
        <f>IFERROR(1/(IF(Inputs!$B$38="pvp",15,MAX(0.1,Skills!E26-IF(TRUE=TRUE,Inputs!$B$32,0)))*(1-IF(AND(ArtifactsInput!$M$27,Inputs!$B$4="Chapter Hunt"),CHOOSE(ArtifactsInput!$N$27+1,20,24,28,32,36,40),0)/100)),0)</f>
        <v>10</v>
      </c>
      <c r="R2208">
        <v>0</v>
      </c>
      <c r="S2208">
        <v>0</v>
      </c>
      <c r="U2208">
        <v>0</v>
      </c>
    </row>
    <row r="2209" spans="1:21" x14ac:dyDescent="0.2">
      <c r="A2209" t="str">
        <f>Skills!A27</f>
        <v>FERVENT_DRAIN</v>
      </c>
      <c r="B2209" t="str">
        <f>Skills!B27</f>
        <v>Fervent Drain</v>
      </c>
      <c r="C2209" t="b">
        <f>Inputs!$B$3&gt;=125</f>
        <v>0</v>
      </c>
      <c r="D2209">
        <f>IF(Skills!C27=1,60+Inputs!$B$25+Inputs!$B$29,IF(Skills!C27=2,90+Inputs!$B$26+Inputs!$B$29,IF(Skills!C27=3,120+Inputs!$B$27+Inputs!$B$29,MAX(0,(Inputs!$B$3-100)*3)+Inputs!$B$28+Inputs!$B$29)))</f>
        <v>185</v>
      </c>
      <c r="E2209">
        <f>INDEX(FactorTable!$B$2:$Y$301, MATCH(ROUND(MIN(300,MAX(1,D2209)),0), FactorTable!$A$2:$A$301,0), Skills!M27+1)</f>
        <v>1555</v>
      </c>
      <c r="F2209">
        <f>IF(Skills!N27=TRUE,(Skills!L27/10)*(E2209/1000),Skills!L27/10)+Skills!O27</f>
        <v>6.22</v>
      </c>
      <c r="G2209">
        <f>Calc!G27</f>
        <v>1</v>
      </c>
      <c r="H2209">
        <f>Calc!H27</f>
        <v>1</v>
      </c>
      <c r="I2209">
        <f>IF(Skills!X27&lt;&gt;"",1+(Skills!X27/10)*(Z2185/1000)/100,1)</f>
        <v>1</v>
      </c>
      <c r="O2209">
        <f>(1-Summary!$B$11)*S2209+Summary!$B$11*U2209</f>
        <v>0</v>
      </c>
      <c r="P2209">
        <f>IF(B2223=0,0,O2209/B2223)</f>
        <v>0</v>
      </c>
      <c r="Q2209">
        <f>IFERROR(1/(IF(Inputs!$B$38="pvp",15,MAX(0.1,Skills!E27-IF(TRUE=TRUE,Inputs!$B$32,0)))*(1-IF(AND(ArtifactsInput!$M$27,Inputs!$B$4="Chapter Hunt"),CHOOSE(ArtifactsInput!$N$27+1,20,24,28,32,36,40),0)/100)),0)</f>
        <v>10</v>
      </c>
      <c r="R2209">
        <v>0</v>
      </c>
      <c r="S2209">
        <v>0</v>
      </c>
      <c r="U2209">
        <v>0</v>
      </c>
    </row>
    <row r="2210" spans="1:21" x14ac:dyDescent="0.2">
      <c r="A2210" t="str">
        <f>Skills!A28</f>
        <v>FLAME_HAZE_FOG</v>
      </c>
      <c r="B2210" t="str">
        <f>Skills!B28</f>
        <v>Flame Haze (poison fog DoT)</v>
      </c>
      <c r="C2210" t="b">
        <f>Inputs!$B$3&gt;=118</f>
        <v>0</v>
      </c>
      <c r="D2210">
        <f>IF(Skills!C28=1,60+Inputs!$B$25+Inputs!$B$29,IF(Skills!C28=2,90+Inputs!$B$26+Inputs!$B$29,IF(Skills!C28=3,120+Inputs!$B$27+Inputs!$B$29,MAX(0,(Inputs!$B$3-100)*3)+Inputs!$B$28+Inputs!$B$29)))</f>
        <v>185</v>
      </c>
      <c r="E2210">
        <f>INDEX(FactorTable!$B$2:$Y$301, MATCH(ROUND(MIN(300,MAX(1,D2210)),0), FactorTable!$A$2:$A$301,0), Skills!M28+1)</f>
        <v>1925</v>
      </c>
      <c r="F2210">
        <f>IF(Skills!N28=TRUE,(Skills!L28/10)*(E2210/1000),Skills!L28/10)+Skills!O28</f>
        <v>134.75</v>
      </c>
      <c r="G2210">
        <f>Calc!G28</f>
        <v>50</v>
      </c>
      <c r="H2210">
        <f>Calc!H28</f>
        <v>1</v>
      </c>
      <c r="I2210">
        <f>IF(Skills!X28&lt;&gt;"",1+(Skills!X28/10)*(Z2185/1000)/100,1)</f>
        <v>1</v>
      </c>
      <c r="J2210">
        <f>((Inputs!$B$6*(1+Inputs!$B$7/100))+(((Inputs!$B$12*(1+Inputs!$B$13/100))-(Inputs!$B$12*(1+Inputs!$B$13/100)))+0.25*(Inputs!$B$14-Inputs!$B$14))*(1+Inputs!$B$7/100))*(F2210/100)</f>
        <v>486628767.57437253</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2445179485771.9116</v>
      </c>
      <c r="L2210">
        <f>K2210*(MIN(Inputs!$B$22+(F2204-Calc!F22),(Inputs!$B$23+(IF(ArtifactsInput!$M$15,CHOOSE(ArtifactsInput!$N$15+1,25,30,35,40,45,50)/100*(Inputs!$B$11-Inputs!$B$11),0))))/100+(Inputs!$B$23+(IF(ArtifactsInput!$M$15,CHOOSE(ArtifactsInput!$N$15+1,25,30,35,40,45,50)/100*(Inputs!$B$11-Inputs!$B$11),0)))/100)/2</f>
        <v>8130221790191.6064</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2210">
        <f>L2210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2210">
        <f>(1-Summary!$B$11)*S2210+Summary!$B$11*U2210</f>
        <v>0</v>
      </c>
      <c r="P2210">
        <f>IF(B2223=0,0,O2210/B2223)</f>
        <v>0</v>
      </c>
      <c r="Q2210">
        <f>IFERROR(1/(IF(Inputs!$B$38="pvp",15,MAX(0.1,Skills!E28-IF(TRUE=TRUE,Inputs!$B$32,0)))*(1-IF(AND(ArtifactsInput!$M$27,Inputs!$B$4="Chapter Hunt"),CHOOSE(ArtifactsInput!$N$27+1,20,24,28,32,36,40),0)/100)),0)</f>
        <v>0.04</v>
      </c>
      <c r="R2210">
        <f>IF(AND(Inputs!$B$38&lt;&gt;"pvp",Inputs!$B$43&gt;0),IF(MAX(0,Inputs!$B$43-B2220)&lt;=0,0,(INT(MAX(0,Inputs!$B$43-B2220)/(IF(Inputs!$B$38="pvp",15,MAX(0.1,Skills!E28-IF(TRUE=TRUE,Inputs!$B$32,0)))*(1-IF(AND(ArtifactsInput!$M$27,Inputs!$B$4="Chapter Hunt"),CHOOSE(ArtifactsInput!$N$27+1,20,24,28,32,36,40),0)/100)))+1)),0)</f>
        <v>2</v>
      </c>
      <c r="S2210">
        <f>IF(C2210,(H2210*N2210*IF(AND(Inputs!$B$38&lt;&gt;"pvp",Inputs!$B$43&gt;0),((Skills!G28*((R2210-1)*IF(Skills!H28&gt;0,Skills!I28/Skills!H28,1)+IF(Skills!H28&gt;0,MIN(Skills!I28,MAX(0,MAX(0,Inputs!$B$43-B2220)-((R2210-1)*(IF(Inputs!$B$38="pvp",15,MAX(0.1,Skills!E28-IF(TRUE=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10">
        <f>IF(C2210,(H2210*N2210*IF(AND(Inputs!$B$38&lt;&gt;"pvp",Inputs!$B$43&gt;0),((Skills!G28*((R2210-1)*IF(Skills!H28&gt;0,Skills!I28/Skills!H28,1)+IF(Skills!H28&gt;0,MIN(Skills!I28,MAX(0,MAX(0,Inputs!$B$43-B2220)-((R2210-1)*(IF(Inputs!$B$38="pvp",15,MAX(0.1,Skills!E28-IF(TRUE=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212" spans="1:21" x14ac:dyDescent="0.2">
      <c r="A2212" t="s">
        <v>356</v>
      </c>
      <c r="B2212">
        <f>1+(F2193*Skills!Z11)/100</f>
        <v>1.25</v>
      </c>
    </row>
    <row r="2213" spans="1:21" x14ac:dyDescent="0.2">
      <c r="A2213" t="s">
        <v>435</v>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1.18624</v>
      </c>
    </row>
    <row r="2214" spans="1:21" x14ac:dyDescent="0.2">
      <c r="A2214" t="s">
        <v>358</v>
      </c>
      <c r="B2214">
        <f>(1+(F2188*IF(AND(Inputs!$B$38&lt;&gt;"pvp",Inputs!$B$43&gt;0),(((R2188-1)*MIN((Skills!T6*(1+((Inputs!$B$34+(ArtifactsInput!$M$7-ArtifactsInput!$M$7)*CHOOSE(ArtifactsInput!$N$7+1,6,7.2,8.4,9.6,10.8,12)))/100)),(1/Q2188))+MIN((Skills!T6*(1+((Inputs!$B$34+(ArtifactsInput!$M$7-ArtifactsInput!$M$7)*CHOOSE(ArtifactsInput!$N$7+1,6,7.2,8.4,9.6,10.8,12)))/100)),MAX(0,Inputs!$B$43-((R2188-1)*(1/Q2188)))))/Inputs!$B$43),IF(Inputs!$B$38="pvp",MIN((Skills!T6*(1+((Inputs!$B$34+(ArtifactsInput!$M$7-ArtifactsInput!$M$7)*CHOOSE(ArtifactsInput!$N$7+1,6,7.2,8.4,9.6,10.8,12)))/100)),15)/15,MIN(1,(Skills!T6*(1+((Inputs!$B$34+(ArtifactsInput!$M$7-ArtifactsInput!$M$7)*CHOOSE(ArtifactsInput!$N$7+1,6,7.2,8.4,9.6,10.8,12)))/100))/(1/Q2188))))+F2199*IF(AND(Inputs!$B$38&lt;&gt;"pvp",Inputs!$B$43&gt;0),(((R2199-1)*MIN((Skills!T17*(1+((Inputs!$B$34+(ArtifactsInput!$M$7-ArtifactsInput!$M$7)*CHOOSE(ArtifactsInput!$N$7+1,6,7.2,8.4,9.6,10.8,12)))/100)),(1/Q2199))+MIN((Skills!T17*(1+((Inputs!$B$34+(ArtifactsInput!$M$7-ArtifactsInput!$M$7)*CHOOSE(ArtifactsInput!$N$7+1,6,7.2,8.4,9.6,10.8,12)))/100)),MAX(0,Inputs!$B$43-((R2199-1)*(1/Q2199)))))/Inputs!$B$43),IF(Inputs!$B$38="pvp",MIN((Skills!T17*(1+((Inputs!$B$34+(ArtifactsInput!$M$7-ArtifactsInput!$M$7)*CHOOSE(ArtifactsInput!$N$7+1,6,7.2,8.4,9.6,10.8,12)))/100)),15)/15,MIN(1,(Skills!T17*(1+((Inputs!$B$34+(ArtifactsInput!$M$7-ArtifactsInput!$M$7)*CHOOSE(ArtifactsInput!$N$7+1,6,7.2,8.4,9.6,10.8,12)))/100))/(1/Q2199)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MIN((Skills!T19*(1+((Inputs!$B$34+(ArtifactsInput!$M$7-ArtifactsInput!$M$7)*CHOOSE(ArtifactsInput!$N$7+1,6,7.2,8.4,9.6,10.8,12)))/100)),(1/Q2201))+MIN((Skills!T19*(1+((Inputs!$B$34+(ArtifactsInput!$M$7-ArtifactsInput!$M$7)*CHOOSE(ArtifactsInput!$N$7+1,6,7.2,8.4,9.6,10.8,12)))/100)),MAX(0,Inputs!$B$43-((R2201-1)*(1/Q2201)))))/Inputs!$B$43),IF(Inputs!$B$38="pvp",MIN((Skills!T19*(1+((Inputs!$B$34+(ArtifactsInput!$M$7-ArtifactsInput!$M$7)*CHOOSE(ArtifactsInput!$N$7+1,6,7.2,8.4,9.6,10.8,12)))/100)),15)/15,MIN(1,(Skills!T19*(1+((Inputs!$B$34+(ArtifactsInput!$M$7-ArtifactsInput!$M$7)*CHOOSE(ArtifactsInput!$N$7+1,6,7.2,8.4,9.6,10.8,12)))/100))/(1/Q2201))))/100),1)</f>
        <v>1.7965808377980694</v>
      </c>
    </row>
    <row r="2215" spans="1:21" x14ac:dyDescent="0.2">
      <c r="A2215" t="s">
        <v>359</v>
      </c>
      <c r="B2215">
        <f>F2200*IF(AND(Inputs!$B$38&lt;&gt;"pvp",Inputs!$B$43&gt;0),(((R2200-1)*MIN((Skills!T18*(1+((Inputs!$B$34+(ArtifactsInput!$M$7-ArtifactsInput!$M$7)*CHOOSE(ArtifactsInput!$N$7+1,6,7.2,8.4,9.6,10.8,12)))/100)),(1/Q2200))+MIN((Skills!T18*(1+((Inputs!$B$34+(ArtifactsInput!$M$7-ArtifactsInput!$M$7)*CHOOSE(ArtifactsInput!$N$7+1,6,7.2,8.4,9.6,10.8,12)))/100)),MAX(0,Inputs!$B$43-((R2200-1)*(1/Q2200)))))/Inputs!$B$43),IF(Inputs!$B$38="pvp",MIN((Skills!T18*(1+((Inputs!$B$34+(ArtifactsInput!$M$7-ArtifactsInput!$M$7)*CHOOSE(ArtifactsInput!$N$7+1,6,7.2,8.4,9.6,10.8,12)))/100)),15)/15,MIN(1,(Skills!T18*(1+((Inputs!$B$34+(ArtifactsInput!$M$7-ArtifactsInput!$M$7)*CHOOSE(ArtifactsInput!$N$7+1,6,7.2,8.4,9.6,10.8,12)))/100))/(1/Q2200))))</f>
        <v>6.4968749999999993</v>
      </c>
    </row>
    <row r="2216" spans="1:21" x14ac:dyDescent="0.2">
      <c r="A2216" t="s">
        <v>436</v>
      </c>
      <c r="B2216">
        <f>1+MIN(150,150*(1-(1-(Inputs!$B$11+(ArtifactsInput!$M$15-ArtifactsInput!$M$15)*CHOOSE(ArtifactsInput!$N$15+1,8,9.6,11.2,12.8,14.4,16))/150)*(1-B2215/150)))/100</f>
        <v>1.6982958749999999</v>
      </c>
    </row>
    <row r="2217" spans="1:21" x14ac:dyDescent="0.2">
      <c r="A2217" t="s">
        <v>437</v>
      </c>
      <c r="B2217">
        <f>IF(AND(Inputs!$B$38&lt;&gt;"pvp",Inputs!$B$43&gt;0),SUMPRODUCT((Skills!F2:F28=TRUE)*(C2184:C2210=TRUE)*R2184:R2210)/Inputs!$B$43,SUMPRODUCT((Skills!F2:F28=TRUE)*(C2184:C2210=TRUE)*Q2184:Q2210))</f>
        <v>0.47499999999999998</v>
      </c>
    </row>
    <row r="2218" spans="1:21" x14ac:dyDescent="0.2">
      <c r="A2218" t="s">
        <v>362</v>
      </c>
      <c r="B2218">
        <f>MAX(0,B2216-B2217)</f>
        <v>1.2232958749999998</v>
      </c>
    </row>
    <row r="2219" spans="1:21" x14ac:dyDescent="0.2">
      <c r="A2219" t="s">
        <v>438</v>
      </c>
      <c r="B2219">
        <f>IF(AND(Inputs!$B$38&lt;&gt;"pvp",Inputs!$B$43&gt;0),SUMPRODUCT((Skills!V2:V28=TRUE)*(C2184:C2210=TRUE)*R2184:R2210*Skills!W2:W28)/Inputs!$B$43,SUMPRODUCT((Skills!V2:V28=TRUE)*(C2184:C2210=TRUE)*Q2184:Q2210*Skills!W2:W28))+B2218</f>
        <v>1.5482958749999998</v>
      </c>
    </row>
    <row r="2220" spans="1:21" x14ac:dyDescent="0.2">
      <c r="A2220" t="s">
        <v>439</v>
      </c>
      <c r="B2220">
        <f>IF(AND(Inputs!$B$38&lt;&gt;"pvp",Inputs!$B$43&gt;0),SUMPRODUCT((Skills!T2:T28&gt;0)*(Skills!F2:F28=TRUE)*(C2184:C2210=TRUE))/B2216,0)</f>
        <v>2.3553021937358238</v>
      </c>
    </row>
    <row r="2221" spans="1:21" x14ac:dyDescent="0.2">
      <c r="A2221" t="s">
        <v>440</v>
      </c>
      <c r="B2221">
        <f>SUM(S2184:S2210)</f>
        <v>9517263078933292</v>
      </c>
    </row>
    <row r="2222" spans="1:21" x14ac:dyDescent="0.2">
      <c r="A2222" t="s">
        <v>441</v>
      </c>
      <c r="B2222">
        <f>SUM(U2184:U2210)</f>
        <v>5.6656428257660488E+16</v>
      </c>
    </row>
    <row r="2223" spans="1:21" x14ac:dyDescent="0.2">
      <c r="A2223" s="6" t="s">
        <v>348</v>
      </c>
      <c r="B2223" s="6">
        <f>SUM(O2184:O2210)</f>
        <v>3.3086845668296892E+16</v>
      </c>
    </row>
    <row r="2226" spans="1:26" x14ac:dyDescent="0.2">
      <c r="A2226" s="6" t="s">
        <v>490</v>
      </c>
    </row>
    <row r="2227" spans="1:26" x14ac:dyDescent="0.2">
      <c r="A2227" s="5" t="s">
        <v>136</v>
      </c>
      <c r="B2227" s="5" t="s">
        <v>137</v>
      </c>
      <c r="C2227" s="5" t="s">
        <v>328</v>
      </c>
      <c r="D2227" s="5" t="s">
        <v>329</v>
      </c>
      <c r="E2227" s="5" t="s">
        <v>330</v>
      </c>
      <c r="F2227" s="5" t="s">
        <v>331</v>
      </c>
      <c r="G2227" s="5" t="s">
        <v>332</v>
      </c>
      <c r="H2227" s="5" t="s">
        <v>333</v>
      </c>
      <c r="I2227" s="5" t="s">
        <v>334</v>
      </c>
      <c r="J2227" s="5" t="s">
        <v>335</v>
      </c>
      <c r="K2227" s="5" t="s">
        <v>336</v>
      </c>
      <c r="L2227" s="5" t="s">
        <v>337</v>
      </c>
      <c r="M2227" s="5" t="s">
        <v>338</v>
      </c>
      <c r="N2227" s="5" t="s">
        <v>339</v>
      </c>
      <c r="O2227" s="5" t="s">
        <v>340</v>
      </c>
      <c r="P2227" s="5" t="s">
        <v>341</v>
      </c>
      <c r="R2227" t="s">
        <v>434</v>
      </c>
    </row>
    <row r="2228" spans="1:26" x14ac:dyDescent="0.2">
      <c r="A2228" t="str">
        <f>Skills!A2</f>
        <v>BASIC_ATTACK</v>
      </c>
      <c r="B2228" t="str">
        <f>Skills!B2</f>
        <v>Basic Attack</v>
      </c>
      <c r="C2228" t="b">
        <f>TRUE</f>
        <v>1</v>
      </c>
      <c r="F2228">
        <f>T2230+Skills!O2</f>
        <v>537.6</v>
      </c>
      <c r="G2228">
        <f>Calc!G2</f>
        <v>5</v>
      </c>
      <c r="H2228">
        <f>Calc!H2</f>
        <v>1</v>
      </c>
      <c r="I2228">
        <f>IF(Skills!X2&lt;&gt;"",1+(Skills!X2/10)*(Z2229/1000)/100,1)</f>
        <v>1</v>
      </c>
      <c r="J2228">
        <f>((Inputs!$B$6*(1+Inputs!$B$7/100))+(((Inputs!$B$12*(1+Inputs!$B$13/100))-(Inputs!$B$12*(1+Inputs!$B$13/100)))+0.25*(Inputs!$B$14-Inputs!$B$14))*(1+Inputs!$B$7/100))*(F2228/100)</f>
        <v>1941459186.9980164</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6620290711466.1074</v>
      </c>
      <c r="L2228">
        <f>K2228*(MIN(Inputs!$B$22+(F2248-Calc!F22),(Inputs!$B$23+(IF(ArtifactsInput!$M$15,CHOOSE(ArtifactsInput!$N$15+1,25,30,35,40,45,50)/100*(Inputs!$B$11-Inputs!$B$11),0))))/100+(Inputs!$B$23+(IF(ArtifactsInput!$M$15,CHOOSE(ArtifactsInput!$N$15+1,25,30,35,40,45,50)/100*(Inputs!$B$11-Inputs!$B$11),0)))/100)/2</f>
        <v>22012466615624.809</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111801317940758.39</v>
      </c>
      <c r="N2228">
        <f>L2228*(1-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111801317940758.39</v>
      </c>
      <c r="O2228">
        <f>(1-Summary!$B$11)*S2228+Summary!$B$11*U2228</f>
        <v>1.3468040816788168E+16</v>
      </c>
      <c r="P2228">
        <f>IF(B2267=0,0,O2228/B2267)</f>
        <v>0.37819938885449506</v>
      </c>
      <c r="Q2228">
        <f>IFERROR(1/(IF(Inputs!$B$38="pvp",15,MAX(0.1,Skills!E2-IF(TRUE=TRUE,Inputs!$B$32,0)))*(1-IF(AND(ArtifactsInput!$M$27,Inputs!$B$4="Chapter Hunt"),CHOOSE(ArtifactsInput!$N$27+1,20,24,28,32,36,40),0)/100)),0)</f>
        <v>10</v>
      </c>
      <c r="R2228">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2236125588773663.8</v>
      </c>
      <c r="T2228">
        <f>MAX(0,(Inputs!$B$3-100)*3)+Inputs!$B$28+Inputs!$B$29</f>
        <v>185</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2.4699956044802672E+16</v>
      </c>
      <c r="Z2228">
        <f>MAX(0,(Inputs!$B$3-100)*3)+Inputs!$B$28+Inputs!$B$29</f>
        <v>185</v>
      </c>
    </row>
    <row r="2229" spans="1:26" x14ac:dyDescent="0.2">
      <c r="A2229" t="str">
        <f>Skills!A3</f>
        <v>IGNITE</v>
      </c>
      <c r="B2229" t="str">
        <f>Skills!B3</f>
        <v>Ignite</v>
      </c>
      <c r="C2229" t="b">
        <f>TRUE</f>
        <v>1</v>
      </c>
      <c r="D2229">
        <f>IF(Skills!C3=1,60+Inputs!$B$25+Inputs!$B$29,IF(Skills!C3=2,90+Inputs!$B$26+Inputs!$B$29,IF(Skills!C3=3,120+Inputs!$B$27+Inputs!$B$29,MAX(0,(Inputs!$B$3-100)*3)+Inputs!$B$28+Inputs!$B$29)))</f>
        <v>168</v>
      </c>
      <c r="E2229">
        <f>INDEX(FactorTable!$B$2:$Y$301, MATCH(ROUND(MIN(300,MAX(1,D2229)),0), FactorTable!$A$2:$A$301,0), Skills!M3+1)</f>
        <v>1672</v>
      </c>
      <c r="F2229">
        <f>IF(Skills!N3=TRUE,(Skills!L3/10)*(E2229/1000),Skills!L3/10)+Skills!O3</f>
        <v>121.736</v>
      </c>
      <c r="G2229">
        <f>Calc!G3</f>
        <v>3</v>
      </c>
      <c r="H2229">
        <f>Calc!H3</f>
        <v>1</v>
      </c>
      <c r="I2229">
        <f>IF(Skills!X3&lt;&gt;"",1+(Skills!X3/10)*(Z2229/1000)/100,1)</f>
        <v>4.8250000000000002</v>
      </c>
      <c r="J2229">
        <f>((Inputs!$B$6*(1+Inputs!$B$7/100))+(((Inputs!$B$12*(1+Inputs!$B$13/100))-(Inputs!$B$12*(1+Inputs!$B$13/100)))+0.25*(Inputs!$B$14-Inputs!$B$14))*(1+Inputs!$B$7/100))*(F2229/100)</f>
        <v>439630720.9605478</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10658554617221.965</v>
      </c>
      <c r="L2229">
        <f>K2229*(MIN(Inputs!$B$22+(F2248-Calc!F22),(Inputs!$B$23+(IF(ArtifactsInput!$M$15,CHOOSE(ArtifactsInput!$N$15+1,25,30,35,40,45,50)/100*(Inputs!$B$11-Inputs!$B$11),0))))/100+(Inputs!$B$23+(IF(ArtifactsInput!$M$15,CHOOSE(ArtifactsInput!$N$15+1,25,30,35,40,45,50)/100*(Inputs!$B$11-Inputs!$B$11),0)))/100)/2</f>
        <v>35439694102263.031</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179998206345393.94</v>
      </c>
      <c r="N2229">
        <f>L2229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179998206345393.94</v>
      </c>
      <c r="O2229">
        <f>(1-Summary!$B$11)*S2229+Summary!$B$11*U2229</f>
        <v>3129268817314674</v>
      </c>
      <c r="P2229">
        <f>IF(B2267=0,0,O2229/B2267)</f>
        <v>8.7873772463965105E-2</v>
      </c>
      <c r="Q2229">
        <f>IFERROR(1/(IF(Inputs!$B$38="pvp",15,MAX(0.1,Skills!E3-IF(FALSE=TRUE,Inputs!$B$32,0)))*(1-IF(AND(ArtifactsInput!$M$27,Inputs!$B$4="Chapter Hunt"),CHOOSE(ArtifactsInput!$N$27+1,20,24,28,32,36,40),0)/100)),0)</f>
        <v>1</v>
      </c>
      <c r="R2229">
        <f>IF(AND(Inputs!$B$38&lt;&gt;"pvp",Inputs!$B$43&gt;0),IF(MAX(0,Inputs!$B$43-B2264)&lt;=0,0,(INT(MAX(0,Inputs!$B$43-B2264)/(IF(Inputs!$B$38="pvp",15,MAX(0.1,Skills!E3-IF(FALSE=TRUE,Inputs!$B$32,0)))*(1-IF(AND(ArtifactsInput!$M$27,Inputs!$B$4="Chapter Hunt"),CHOOSE(ArtifactsInput!$N$27+1,20,24,28,32,36,40),0)/100)))+1)),0)</f>
        <v>38</v>
      </c>
      <c r="S2229">
        <f>IF(C2229,(H2229*N2229*IF(AND(Inputs!$B$38&lt;&gt;"pvp",Inputs!$B$43&gt;0),((Skills!G3*((R2229-1)*IF(Skills!H3&gt;0,Skills!I3/Skills!H3,1)+IF(Skills!H3&gt;0,MIN(Skills!I3,MAX(0,MAX(0,Inputs!$B$43-B2264)-((R2229-1)*(IF(Inputs!$B$38="pvp",15,MAX(0.1,Skills!E3-IF(FALSE=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1626193795227461.5</v>
      </c>
      <c r="T2229">
        <f>INDEX(FactorTable!$B$2:$Y$301, MATCH(ROUND(MIN(300,MAX(1,T2228)),0), FactorTable!$A$2:$A$301,0), 22)</f>
        <v>1740</v>
      </c>
      <c r="U2229">
        <f>IF(C2229,(H2229*N2229*IF(AND(Inputs!$B$38&lt;&gt;"pvp",Inputs!$B$43&gt;0),((Skills!G3*((R2229-1)*IF(Skills!H3&gt;0,Skills!I3/Skills!H3,1)+IF(Skills!H3&gt;0,MIN(Skills!I3,MAX(0,MAX(0,Inputs!$B$43-B2264)-((R2229-1)*(IF(Inputs!$B$38="pvp",15,MAX(0.1,Skills!E3-IF(FALSE=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4632343839401886</v>
      </c>
      <c r="Z2229">
        <f>INDEX(FactorTable!$B$2:$Y$301, MATCH(ROUND(MIN(300,MAX(1,Z2228)),0), FactorTable!$A$2:$A$301,0), 24)</f>
        <v>7650</v>
      </c>
    </row>
    <row r="2230" spans="1:26" x14ac:dyDescent="0.2">
      <c r="A2230" t="str">
        <f>Skills!A4</f>
        <v>POISON_BREATH</v>
      </c>
      <c r="B2230" t="str">
        <f>Skills!B4</f>
        <v>Poison Breath</v>
      </c>
      <c r="C2230" t="b">
        <f>TRUE</f>
        <v>1</v>
      </c>
      <c r="D2230">
        <f>IF(Skills!C4=1,60+Inputs!$B$25+Inputs!$B$29,IF(Skills!C4=2,90+Inputs!$B$26+Inputs!$B$29,IF(Skills!C4=3,120+Inputs!$B$27+Inputs!$B$29,MAX(0,(Inputs!$B$3-100)*3)+Inputs!$B$28+Inputs!$B$29)))</f>
        <v>168</v>
      </c>
      <c r="E2230">
        <f>INDEX(FactorTable!$B$2:$Y$301, MATCH(ROUND(MIN(300,MAX(1,D2230)),0), FactorTable!$A$2:$A$301,0), Skills!M4+1)</f>
        <v>1840</v>
      </c>
      <c r="F2230">
        <f>IF(Skills!N4=TRUE,(Skills!L4/10)*(E2230/1000),Skills!L4/10)+Skills!O4</f>
        <v>438</v>
      </c>
      <c r="G2230">
        <f>Calc!G4</f>
        <v>3</v>
      </c>
      <c r="H2230">
        <f>Calc!H4</f>
        <v>1</v>
      </c>
      <c r="I2230">
        <f>IF(Skills!X4&lt;&gt;"",1+(Skills!X4/10)*(Z2229/1000)/100,1)</f>
        <v>7.12</v>
      </c>
      <c r="J2230">
        <f>((Inputs!$B$6*(1+Inputs!$B$7/100))+(((Inputs!$B$12*(1+Inputs!$B$13/100))-(Inputs!$B$12*(1+Inputs!$B$13/100)))+0.25*(Inputs!$B$14-Inputs!$B$14))*(1+Inputs!$B$7/100))*(F2230/100)</f>
        <v>1581769203.69258</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56589528290529.523</v>
      </c>
      <c r="L2230">
        <f>K2230*(MIN(Inputs!$B$22+(F2248-Calc!F22),(Inputs!$B$23+(IF(ArtifactsInput!$M$15,CHOOSE(ArtifactsInput!$N$15+1,25,30,35,40,45,50)/100*(Inputs!$B$11-Inputs!$B$11),0))))/100+(Inputs!$B$23+(IF(ArtifactsInput!$M$15,CHOOSE(ArtifactsInput!$N$15+1,25,30,35,40,45,50)/100*(Inputs!$B$11-Inputs!$B$11),0)))/100)/2</f>
        <v>188160181566010.69</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955665562173768.25</v>
      </c>
      <c r="N2230">
        <f>L2230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955665562173768.25</v>
      </c>
      <c r="O2230">
        <f>(1-Summary!$B$11)*S2230+Summary!$B$11*U2230</f>
        <v>2282487737056774</v>
      </c>
      <c r="P2230">
        <f>IF(B2267=0,0,O2230/B2267)</f>
        <v>6.4095103286790758E-2</v>
      </c>
      <c r="Q2230">
        <f>IFERROR(1/(IF(Inputs!$B$38="pvp",15,MAX(0.1,Skills!E4-IF(TRUE=TRUE,Inputs!$B$32,0)))*(1-IF(AND(ArtifactsInput!$M$27,Inputs!$B$4="Chapter Hunt"),CHOOSE(ArtifactsInput!$N$27+1,20,24,28,32,36,40),0)/100)),0)</f>
        <v>5.5555555555555552E-2</v>
      </c>
      <c r="R2230">
        <f>IF(AND(Inputs!$B$38&lt;&gt;"pvp",Inputs!$B$43&gt;0),IF(MAX(0,Inputs!$B$43-B2264)&lt;=0,0,(INT(MAX(0,Inputs!$B$43-B2264)/(IF(Inputs!$B$38="pvp",15,MAX(0.1,Skills!E4-IF(TRUE=TRUE,Inputs!$B$32,0)))*(1-IF(AND(ArtifactsInput!$M$27,Inputs!$B$4="Chapter Hunt"),CHOOSE(ArtifactsInput!$N$27+1,20,24,28,32,36,40),0)/100)))+1)),0)</f>
        <v>3</v>
      </c>
      <c r="S2230">
        <f>IF(C2230,(H2230*N2230*IF(AND(Inputs!$B$38&lt;&gt;"pvp",Inputs!$B$43&gt;0),((Skills!G4*((R2230-1)*IF(Skills!H4&gt;0,Skills!I4/Skills!H4,1)+IF(Skills!H4&gt;0,MIN(Skills!I4,MAX(0,MAX(0,Inputs!$B$43-B2264)-((R2230-1)*(IF(Inputs!$B$38="pvp",15,MAX(0.1,Skills!E4-IF(TRUE=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681628462220440.25</v>
      </c>
      <c r="T2230">
        <f>290*T2229/1000</f>
        <v>504.6</v>
      </c>
      <c r="U2230">
        <f>IF(C2230,(H2230*N2230*IF(AND(Inputs!$B$38&lt;&gt;"pvp",Inputs!$B$43&gt;0),((Skills!G4*((R2230-1)*IF(Skills!H4&gt;0,Skills!I4/Skills!H4,1)+IF(Skills!H4&gt;0,MIN(Skills!I4,MAX(0,MAX(0,Inputs!$B$43-B2264)-((R2230-1)*(IF(Inputs!$B$38="pvp",15,MAX(0.1,Skills!E4-IF(TRUE=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3883347011893107.5</v>
      </c>
    </row>
    <row r="2231" spans="1:26" x14ac:dyDescent="0.2">
      <c r="A2231" t="str">
        <f>Skills!A5</f>
        <v>ELEMENTAL_DRAIN</v>
      </c>
      <c r="B2231" t="str">
        <f>Skills!B5</f>
        <v>Elemental Drain</v>
      </c>
      <c r="C2231" t="b">
        <f>TRUE</f>
        <v>1</v>
      </c>
      <c r="D2231">
        <f>IF(Skills!C5=1,60+Inputs!$B$25+Inputs!$B$29,IF(Skills!C5=2,90+Inputs!$B$26+Inputs!$B$29,IF(Skills!C5=3,120+Inputs!$B$27+Inputs!$B$29,MAX(0,(Inputs!$B$3-100)*3)+Inputs!$B$28+Inputs!$B$29)))</f>
        <v>168</v>
      </c>
      <c r="E2231">
        <f>INDEX(FactorTable!$B$2:$Y$301, MATCH(ROUND(MIN(300,MAX(1,D2231)),0), FactorTable!$A$2:$A$301,0), Skills!M5+1)</f>
        <v>1672</v>
      </c>
      <c r="F2231">
        <f>IF(Skills!N5=TRUE,(Skills!L5/10)*(E2231/1000),Skills!L5/10)+Skills!O5</f>
        <v>20.064</v>
      </c>
      <c r="G2231">
        <f>Calc!G5</f>
        <v>5</v>
      </c>
      <c r="H2231">
        <f>Calc!H5</f>
        <v>1</v>
      </c>
      <c r="I2231">
        <f>IF(Skills!X5&lt;&gt;"",1+(Skills!X5/10)*(Z2229/1000)/100,1)</f>
        <v>12.475</v>
      </c>
      <c r="J2231">
        <f>((Inputs!$B$6*(1+Inputs!$B$7/100))+(((Inputs!$B$12*(1+Inputs!$B$13/100))-(Inputs!$B$12*(1+Inputs!$B$13/100)))+0.25*(Inputs!$B$14-Inputs!$B$14))*(1+Inputs!$B$7/100))*(F2231/100)</f>
        <v>72458030.371890247</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4541925884983.542</v>
      </c>
      <c r="L2231">
        <f>K2231*(MIN(Inputs!$B$22+(F2248-Calc!F22),(Inputs!$B$23+(IF(ArtifactsInput!$M$15,CHOOSE(ArtifactsInput!$N$15+1,25,30,35,40,45,50)/100*(Inputs!$B$11-Inputs!$B$11),0))))/100+(Inputs!$B$23+(IF(ArtifactsInput!$M$15,CHOOSE(ArtifactsInput!$N$15+1,25,30,35,40,45,50)/100*(Inputs!$B$11-Inputs!$B$11),0)))/100)/2</f>
        <v>15101903567570.277</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76702568219689.438</v>
      </c>
      <c r="N2231">
        <f>L2231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76702568219689.438</v>
      </c>
      <c r="O2231">
        <f>(1-Summary!$B$11)*S2231+Summary!$B$11*U2231</f>
        <v>1125801945044491.8</v>
      </c>
      <c r="P2231">
        <f>IF(B2267=0,0,O2231/B2267)</f>
        <v>3.1613923166633764E-2</v>
      </c>
      <c r="Q2231">
        <f>IFERROR(1/(IF(Inputs!$B$38="pvp",15,MAX(0.1,Skills!E5-IF(FALSE=TRUE,Inputs!$B$32,0)))*(1-IF(AND(ArtifactsInput!$M$27,Inputs!$B$4="Chapter Hunt"),CHOOSE(ArtifactsInput!$N$27+1,20,24,28,32,36,40),0)/100)),0)</f>
        <v>1</v>
      </c>
      <c r="R2231">
        <f>IF(AND(Inputs!$B$38&lt;&gt;"pvp",Inputs!$B$43&gt;0),IF(MAX(0,Inputs!$B$43-B2264)&lt;=0,0,(INT(MAX(0,Inputs!$B$43-B2264)/(IF(Inputs!$B$38="pvp",15,MAX(0.1,Skills!E5-IF(FALSE=TRUE,Inputs!$B$32,0)))*(1-IF(AND(ArtifactsInput!$M$27,Inputs!$B$4="Chapter Hunt"),CHOOSE(ArtifactsInput!$N$27+1,20,24,28,32,36,40),0)/100)))+1)),0)</f>
        <v>38</v>
      </c>
      <c r="S2231">
        <f>IF(C2231,(H2231*N2231*IF(AND(Inputs!$B$38&lt;&gt;"pvp",Inputs!$B$43&gt;0),((Skills!G5*((R2231-1)*IF(Skills!H5&gt;0,Skills!I5/Skills!H5,1)+IF(Skills!H5&gt;0,MIN(Skills!I5,MAX(0,MAX(0,Inputs!$B$43-B2264)-((R2231-1)*(IF(Inputs!$B$38="pvp",15,MAX(0.1,Skills!E5-IF(FALSE=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1154948920967973.8</v>
      </c>
      <c r="U2231">
        <f>IF(C2231,(H2231*N2231*IF(AND(Inputs!$B$38&lt;&gt;"pvp",Inputs!$B$43&gt;0),((Skills!G5*((R2231-1)*IF(Skills!H5&gt;0,Skills!I5/Skills!H5,1)+IF(Skills!H5&gt;0,MIN(Skills!I5,MAX(0,MAX(0,Inputs!$B$43-B2264)-((R2231-1)*(IF(Inputs!$B$38="pvp",15,MAX(0.1,Skills!E5-IF(FALSE=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1096654969121009.6</v>
      </c>
    </row>
    <row r="2232" spans="1:26" x14ac:dyDescent="0.2">
      <c r="A2232" t="str">
        <f>Skills!A6</f>
        <v>MEDITATION</v>
      </c>
      <c r="B2232" t="str">
        <f>Skills!B6</f>
        <v>Meditation</v>
      </c>
      <c r="C2232" t="b">
        <f>TRUE</f>
        <v>1</v>
      </c>
      <c r="D2232">
        <f>IF(Skills!C6=1,60+Inputs!$B$25+Inputs!$B$29,IF(Skills!C6=2,90+Inputs!$B$26+Inputs!$B$29,IF(Skills!C6=3,120+Inputs!$B$27+Inputs!$B$29,MAX(0,(Inputs!$B$3-100)*3)+Inputs!$B$28+Inputs!$B$29)))</f>
        <v>168</v>
      </c>
      <c r="E2232">
        <f>INDEX(FactorTable!$B$2:$Y$301, MATCH(ROUND(MIN(300,MAX(1,D2232)),0), FactorTable!$A$2:$A$301,0), Skills!M6+1)</f>
        <v>1672</v>
      </c>
      <c r="F2232">
        <f>IF(Skills!N6=TRUE,(Skills!L6/10)*(E2232/1000),Skills!L6/10)+Skills!O6</f>
        <v>33.44</v>
      </c>
      <c r="G2232">
        <f>Calc!G6</f>
        <v>1</v>
      </c>
      <c r="H2232">
        <f>Calc!H6</f>
        <v>1</v>
      </c>
      <c r="I2232">
        <f>IF(Skills!X6&lt;&gt;"",1+(Skills!X6/10)*(Z2229/1000)/100,1)</f>
        <v>1</v>
      </c>
      <c r="O2232">
        <f>(1-Summary!$B$11)*S2232+Summary!$B$11*U2232</f>
        <v>0</v>
      </c>
      <c r="P2232">
        <f>IF(B2267=0,0,O2232/B2267)</f>
        <v>0</v>
      </c>
      <c r="Q2232">
        <f>IFERROR(1/(IF(Inputs!$B$38="pvp",15,MAX(0.1,Skills!E6-IF(TRUE=TRUE,Inputs!$B$32,0)))*(1-IF(AND(ArtifactsInput!$M$27,Inputs!$B$4="Chapter Hunt"),CHOOSE(ArtifactsInput!$N$27+1,20,24,28,32,36,40),0)/100)),0)</f>
        <v>3.3333333333333333E-2</v>
      </c>
      <c r="R2232">
        <f>IF(AND(Inputs!$B$38&lt;&gt;"pvp",Inputs!$B$43&gt;0),IF(Inputs!$B$43&lt;=0,0,(INT(Inputs!$B$43/(IF(Inputs!$B$38="pvp",15,MAX(0.1,Skills!E6-IF(TRUE=TRUE,Inputs!$B$32,0)))*(1-IF(AND(ArtifactsInput!$M$27,Inputs!$B$4="Chapter Hunt"),CHOOSE(ArtifactsInput!$N$27+1,20,24,28,32,36,40),0)/100)))+1)),0)</f>
        <v>2</v>
      </c>
      <c r="S2232">
        <v>0</v>
      </c>
      <c r="U2232">
        <v>0</v>
      </c>
    </row>
    <row r="2233" spans="1:26" x14ac:dyDescent="0.2">
      <c r="A2233" t="str">
        <f>Skills!A7</f>
        <v>POISON_MIST_BURST</v>
      </c>
      <c r="B2233" t="str">
        <f>Skills!B7</f>
        <v>Poison Mist (burst)</v>
      </c>
      <c r="C2233" t="b">
        <f>TRUE</f>
        <v>1</v>
      </c>
      <c r="D2233">
        <f>IF(Skills!C7=1,60+Inputs!$B$25+Inputs!$B$29,IF(Skills!C7=2,90+Inputs!$B$26+Inputs!$B$29,IF(Skills!C7=3,120+Inputs!$B$27+Inputs!$B$29,MAX(0,(Inputs!$B$3-100)*3)+Inputs!$B$28+Inputs!$B$29)))</f>
        <v>184</v>
      </c>
      <c r="E2233">
        <f>INDEX(FactorTable!$B$2:$Y$301, MATCH(ROUND(MIN(300,MAX(1,D2233)),0), FactorTable!$A$2:$A$301,0), Skills!M7+1)</f>
        <v>1920</v>
      </c>
      <c r="F2233">
        <f>IF(Skills!N7=TRUE,(Skills!L7/10)*(E2233/1000),Skills!L7/10)+Skills!O7</f>
        <v>357.2</v>
      </c>
      <c r="G2233">
        <f>Calc!G7</f>
        <v>3</v>
      </c>
      <c r="H2233">
        <f>Calc!H7</f>
        <v>1</v>
      </c>
      <c r="I2233">
        <f>IF(Skills!X7&lt;&gt;"",1+(Skills!X7/10)*(Z2229/1000)/100,1)</f>
        <v>1.7650000000000001</v>
      </c>
      <c r="J2233">
        <f>((Inputs!$B$6*(1+Inputs!$B$7/100))+(((Inputs!$B$12*(1+Inputs!$B$13/100))-(Inputs!$B$12*(1+Inputs!$B$13/100)))+0.25*(Inputs!$B$14-Inputs!$B$14))*(1+Inputs!$B$7/100))*(F2233/100)</f>
        <v>1289972510.4086521</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11440318873772.086</v>
      </c>
      <c r="L2233">
        <f>K2233*(MIN(Inputs!$B$22+(F2248-Calc!F22),(Inputs!$B$23+(IF(ArtifactsInput!$M$15,CHOOSE(ArtifactsInput!$N$15+1,25,30,35,40,45,50)/100*(Inputs!$B$11-Inputs!$B$11),0))))/100+(Inputs!$B$23+(IF(ArtifactsInput!$M$15,CHOOSE(ArtifactsInput!$N$15+1,25,30,35,40,45,50)/100*(Inputs!$B$11-Inputs!$B$11),0)))/100)/2</f>
        <v>38039060255292.188</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193200387036629</v>
      </c>
      <c r="N2233">
        <f>L2233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193200387036629</v>
      </c>
      <c r="O2233">
        <f>(1-Summary!$B$11)*S2233+Summary!$B$11*U2233</f>
        <v>482083265753148.44</v>
      </c>
      <c r="P2233">
        <f>IF(B2267=0,0,O2233/B2267)</f>
        <v>1.3537499549121507E-2</v>
      </c>
      <c r="Q2233">
        <f>IFERROR(1/(IF(Inputs!$B$38="pvp",15,MAX(0.1,Skills!E7-IF(TRUE=TRUE,Inputs!$B$32,0)))*(1-IF(AND(ArtifactsInput!$M$27,Inputs!$B$4="Chapter Hunt"),CHOOSE(ArtifactsInput!$N$27+1,20,24,28,32,36,40),0)/100)),0)</f>
        <v>4.0816326530612242E-2</v>
      </c>
      <c r="R2233">
        <f>IF(AND(Inputs!$B$38&lt;&gt;"pvp",Inputs!$B$43&gt;0),IF(MAX(0,Inputs!$B$43-B2264)&lt;=0,0,(INT(MAX(0,Inputs!$B$43-B2264)/(IF(Inputs!$B$38="pvp",15,MAX(0.1,Skills!E7-IF(TRUE=TRUE,Inputs!$B$32,0)))*(1-IF(AND(ArtifactsInput!$M$27,Inputs!$B$4="Chapter Hunt"),CHOOSE(ArtifactsInput!$N$27+1,20,24,28,32,36,40),0)/100)))+1)),0)</f>
        <v>2</v>
      </c>
      <c r="S2233">
        <f>IF(C2233,(H2233*N2233*IF(AND(Inputs!$B$38&lt;&gt;"pvp",Inputs!$B$43&gt;0),((Skills!G7*((R2233-1)*IF(Skills!H7&gt;0,Skills!I7/Skills!H7,1)+IF(Skills!H7&gt;0,MIN(Skills!I7,MAX(0,MAX(0,Inputs!$B$43-B2264)-((R2233-1)*(IF(Inputs!$B$38="pvp",15,MAX(0.1,Skills!E7-IF(TRUE=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91866784035917.078</v>
      </c>
      <c r="U2233">
        <f>IF(C2233,(H2233*N2233*IF(AND(Inputs!$B$38&lt;&gt;"pvp",Inputs!$B$43&gt;0),((Skills!G7*((R2233-1)*IF(Skills!H7&gt;0,Skills!I7/Skills!H7,1)+IF(Skills!H7&gt;0,MIN(Skills!I7,MAX(0,MAX(0,Inputs!$B$43-B2264)-((R2233-1)*(IF(Inputs!$B$38="pvp",15,MAX(0.1,Skills!E7-IF(TRUE=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872299747470379.75</v>
      </c>
    </row>
    <row r="2234" spans="1:26" x14ac:dyDescent="0.2">
      <c r="A2234" t="str">
        <f>Skills!A8</f>
        <v>POISON_MIST_DOT</v>
      </c>
      <c r="B2234" t="str">
        <f>Skills!B8</f>
        <v>Poison Mist (fog DoT)</v>
      </c>
      <c r="C2234" t="b">
        <f>TRUE</f>
        <v>1</v>
      </c>
      <c r="D2234">
        <f>IF(Skills!C8=1,60+Inputs!$B$25+Inputs!$B$29,IF(Skills!C8=2,90+Inputs!$B$26+Inputs!$B$29,IF(Skills!C8=3,120+Inputs!$B$27+Inputs!$B$29,MAX(0,(Inputs!$B$3-100)*3)+Inputs!$B$28+Inputs!$B$29)))</f>
        <v>184</v>
      </c>
      <c r="E2234">
        <f>INDEX(FactorTable!$B$2:$Y$301, MATCH(ROUND(MIN(300,MAX(1,D2234)),0), FactorTable!$A$2:$A$301,0), Skills!M8+1)</f>
        <v>1920</v>
      </c>
      <c r="F2234">
        <f>IF(Skills!N8=TRUE,(Skills!L8/10)*(E2234/1000),Skills!L8/10)+Skills!O8</f>
        <v>134.4</v>
      </c>
      <c r="G2234">
        <f>Calc!G8</f>
        <v>50</v>
      </c>
      <c r="H2234">
        <f>Calc!H8</f>
        <v>1</v>
      </c>
      <c r="I2234">
        <f>IF(Skills!X8&lt;&gt;"",1+(Skills!X8/10)*(Z2229/1000)/100,1)</f>
        <v>1.7650000000000001</v>
      </c>
      <c r="J2234">
        <f>((Inputs!$B$6*(1+Inputs!$B$7/100))+(((Inputs!$B$12*(1+Inputs!$B$13/100))-(Inputs!$B$12*(1+Inputs!$B$13/100)))+0.25*(Inputs!$B$14-Inputs!$B$14))*(1+Inputs!$B$7/100))*(F2234/100)</f>
        <v>485364796.74950409</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4304532073446.1597</v>
      </c>
      <c r="L2234">
        <f>K2234*(MIN(Inputs!$B$22+(F2248-Calc!F22),(Inputs!$B$23+(IF(ArtifactsInput!$M$15,CHOOSE(ArtifactsInput!$N$15+1,25,30,35,40,45,50)/100*(Inputs!$B$11-Inputs!$B$11),0))))/100+(Inputs!$B$23+(IF(ArtifactsInput!$M$15,CHOOSE(ArtifactsInput!$N$15+1,25,30,35,40,45,50)/100*(Inputs!$B$11-Inputs!$B$11),0)))/100)/2</f>
        <v>14312569144208.482</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72693538683434.875</v>
      </c>
      <c r="N2234">
        <f>L2234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72693538683434.875</v>
      </c>
      <c r="O2234">
        <f>(1-Summary!$B$11)*S2234+Summary!$B$11*U2234</f>
        <v>2505028647836850</v>
      </c>
      <c r="P2234">
        <f>IF(B2267=0,0,O2234/B2267)</f>
        <v>7.0344329703392827E-2</v>
      </c>
      <c r="Q2234">
        <f>IFERROR(1/(IF(Inputs!$B$38="pvp",15,MAX(0.1,Skills!E8-IF(TRUE=TRUE,Inputs!$B$32,0)))*(1-IF(AND(ArtifactsInput!$M$27,Inputs!$B$4="Chapter Hunt"),CHOOSE(ArtifactsInput!$N$27+1,20,24,28,32,36,40),0)/100)),0)</f>
        <v>4.0816326530612242E-2</v>
      </c>
      <c r="R2234">
        <f>IF(AND(Inputs!$B$38&lt;&gt;"pvp",Inputs!$B$43&gt;0),IF(MAX(0,Inputs!$B$43-B2264)&lt;=0,0,(INT(MAX(0,Inputs!$B$43-B2264)/(IF(Inputs!$B$38="pvp",15,MAX(0.1,Skills!E8-IF(TRUE=TRUE,Inputs!$B$32,0)))*(1-IF(AND(ArtifactsInput!$M$27,Inputs!$B$4="Chapter Hunt"),CHOOSE(ArtifactsInput!$N$27+1,20,24,28,32,36,40),0)/100)))+1)),0)</f>
        <v>2</v>
      </c>
      <c r="S2234">
        <f>IF(C2234,(H2234*N2234*IF(AND(Inputs!$B$38&lt;&gt;"pvp",Inputs!$B$43&gt;0),((Skills!G8*((R2234-1)*IF(Skills!H8&gt;0,Skills!I8/Skills!H8,1)+IF(Skills!H8&gt;0,MIN(Skills!I8,MAX(0,MAX(0,Inputs!$B$43-B2264)-((R2234-1)*(IF(Inputs!$B$38="pvp",15,MAX(0.1,Skills!E8-IF(TRUE=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477363439353340.25</v>
      </c>
      <c r="U2234">
        <f>IF(C2234,(H2234*N2234*IF(AND(Inputs!$B$38&lt;&gt;"pvp",Inputs!$B$43&gt;0),((Skills!G8*((R2234-1)*IF(Skills!H8&gt;0,Skills!I8/Skills!H8,1)+IF(Skills!H8&gt;0,MIN(Skills!I8,MAX(0,MAX(0,Inputs!$B$43-B2264)-((R2234-1)*(IF(Inputs!$B$38="pvp",15,MAX(0.1,Skills!E8-IF(TRUE=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4532693856320360</v>
      </c>
    </row>
    <row r="2235" spans="1:26" x14ac:dyDescent="0.2">
      <c r="A2235" t="str">
        <f>Skills!A9</f>
        <v>MIST_ERUPTION</v>
      </c>
      <c r="B2235" t="str">
        <f>Skills!B9</f>
        <v>Mist Eruption</v>
      </c>
      <c r="C2235" t="b">
        <f>Inputs!$B$3&gt;=103</f>
        <v>1</v>
      </c>
      <c r="D2235">
        <f>IF(Skills!C9=1,60+Inputs!$B$25+Inputs!$B$29,IF(Skills!C9=2,90+Inputs!$B$26+Inputs!$B$29,IF(Skills!C9=3,120+Inputs!$B$27+Inputs!$B$29,MAX(0,(Inputs!$B$3-100)*3)+Inputs!$B$28+Inputs!$B$29)))</f>
        <v>185</v>
      </c>
      <c r="E2235">
        <f>INDEX(FactorTable!$B$2:$Y$301, MATCH(ROUND(MIN(300,MAX(1,D2235)),0), FactorTable!$A$2:$A$301,0), Skills!M9+1)</f>
        <v>1925</v>
      </c>
      <c r="F2235">
        <f>IF(Skills!N9=TRUE,(Skills!L9/10)*(E2235/1000),Skills!L9/10)+Skills!O9</f>
        <v>5775</v>
      </c>
      <c r="G2235">
        <f>Calc!G9</f>
        <v>2.5</v>
      </c>
      <c r="H2235">
        <f>Calc!H9</f>
        <v>1</v>
      </c>
      <c r="I2235">
        <f>IF(Skills!X9&lt;&gt;"",1+(Skills!X9/10)*(Z2229/1000)/100,1)</f>
        <v>1</v>
      </c>
      <c r="J2235">
        <f>((Inputs!$B$6*(1+Inputs!$B$7/100))+(((Inputs!$B$12*(1+Inputs!$B$13/100))-(Inputs!$B$12*(1+Inputs!$B$13/100)))+0.25*(Inputs!$B$14-Inputs!$B$14))*(1+Inputs!$B$7/100))*(F2235/100)</f>
        <v>20855518610.330254</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104793406533081.95</v>
      </c>
      <c r="L2235">
        <f>K2235*(MIN(Inputs!$B$22+(F2248-Calc!F22),(Inputs!$B$23+(IF(ArtifactsInput!$M$15,CHOOSE(ArtifactsInput!$N$15+1,25,30,35,40,45,50)/100*(Inputs!$B$11-Inputs!$B$11),0))))/100+(Inputs!$B$23+(IF(ArtifactsInput!$M$15,CHOOSE(ArtifactsInput!$N$15+1,25,30,35,40,45,50)/100*(Inputs!$B$11-Inputs!$B$11),0)))/100)/2</f>
        <v>348438076722497.5</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1769716991673564.8</v>
      </c>
      <c r="N2235">
        <f>L2235*(1-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1769716991673564.8</v>
      </c>
      <c r="O2235">
        <f>(1-Summary!$B$11)*S2235+Summary!$B$11*U2235</f>
        <v>3679905269561218.5</v>
      </c>
      <c r="P2235">
        <f>IF(B2267=0,0,O2235/B2267)</f>
        <v>0.10333633101673267</v>
      </c>
      <c r="Q2235">
        <f>IFERROR(1/(IF(Inputs!$B$38="pvp",15,MAX(0.1,Skills!E9-IF(TRUE=TRUE,Inputs!$B$32,0)))*(1-IF(AND(ArtifactsInput!$M$27,Inputs!$B$4="Chapter Hunt"),CHOOSE(ArtifactsInput!$N$27+1,20,24,28,32,36,40),0)/100)),0)</f>
        <v>4.0816326530612242E-2</v>
      </c>
      <c r="R2235">
        <f>IF(AND(Inputs!$B$38&lt;&gt;"pvp",Inputs!$B$43&gt;0),IF(MAX(0,Inputs!$B$43-B2264)&lt;=0,0,(INT(MAX(0,Inputs!$B$43-B2264)/(IF(Inputs!$B$38="pvp",15,MAX(0.1,Skills!E9-IF(TRUE=TRUE,Inputs!$B$32,0)))*(1-IF(AND(ArtifactsInput!$M$27,Inputs!$B$4="Chapter Hunt"),CHOOSE(ArtifactsInput!$N$27+1,20,24,28,32,36,40),0)/100)))+1)),0)</f>
        <v>2</v>
      </c>
      <c r="S2235">
        <f>IF(C2235,(H2235*N2235*IF(AND(Inputs!$B$38&lt;&gt;"pvp",Inputs!$B$43&gt;0),((Skills!G9*((R2235-1)*IF(Skills!H9&gt;0,Skills!I9/Skills!H9,1)+IF(Skills!H9&gt;0,MIN(Skills!I9,MAX(0,MAX(0,Inputs!$B$43-B2264)-((R2235-1)*(IF(Inputs!$B$38="pvp",15,MAX(0.1,Skills!E9-IF(TRUE=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701250357950650</v>
      </c>
      <c r="U2235">
        <f>IF(C2235,(H2235*N2235*IF(AND(Inputs!$B$38&lt;&gt;"pvp",Inputs!$B$43&gt;0),((Skills!G9*((R2235-1)*IF(Skills!H9&gt;0,Skills!I9/Skills!H9,1)+IF(Skills!H9&gt;0,MIN(Skills!I9,MAX(0,MAX(0,Inputs!$B$43-B2264)-((R2235-1)*(IF(Inputs!$B$38="pvp",15,MAX(0.1,Skills!E9-IF(TRUE=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6658560181171787</v>
      </c>
    </row>
    <row r="2236" spans="1:26" x14ac:dyDescent="0.2">
      <c r="A2236" t="str">
        <f>Skills!A10</f>
        <v>CREEPING_TOXIN</v>
      </c>
      <c r="B2236" t="str">
        <f>Skills!B10</f>
        <v>Creeping Toxin</v>
      </c>
      <c r="C2236" t="b">
        <f>TRUE</f>
        <v>1</v>
      </c>
      <c r="D2236">
        <f>IF(Skills!C10=1,60+Inputs!$B$25+Inputs!$B$29,IF(Skills!C10=2,90+Inputs!$B$26+Inputs!$B$29,IF(Skills!C10=3,120+Inputs!$B$27+Inputs!$B$29,MAX(0,(Inputs!$B$3-100)*3)+Inputs!$B$28+Inputs!$B$29)))</f>
        <v>184</v>
      </c>
      <c r="E2236">
        <f>INDEX(FactorTable!$B$2:$Y$301, MATCH(ROUND(MIN(300,MAX(1,D2236)),0), FactorTable!$A$2:$A$301,0), Skills!M10+1)</f>
        <v>1920</v>
      </c>
      <c r="F2236">
        <f>IF(Skills!N10=TRUE,(Skills!L10/10)*(E2236/1000),Skills!L10/10)+Skills!O10</f>
        <v>280.39999999999998</v>
      </c>
      <c r="G2236">
        <f>Calc!G10</f>
        <v>15</v>
      </c>
      <c r="H2236">
        <f>Calc!H10</f>
        <v>1</v>
      </c>
      <c r="I2236">
        <f>IF(Skills!X10&lt;&gt;"",1+(Skills!X10/10)*(Z2229/1000)/100,1)</f>
        <v>1.7650000000000001</v>
      </c>
      <c r="J2236">
        <f>((Inputs!$B$6*(1+Inputs!$B$7/100))+(((Inputs!$B$12*(1+Inputs!$B$13/100))-(Inputs!$B$12*(1+Inputs!$B$13/100)))+0.25*(Inputs!$B$14-Inputs!$B$14))*(1+Inputs!$B$7/100))*(F2236/100)</f>
        <v>1012621197.9803641</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8980586260374.2793</v>
      </c>
      <c r="L2236">
        <f>K2236*(MIN(Inputs!$B$22+(F2248-Calc!F22),(Inputs!$B$23+(IF(ArtifactsInput!$M$15,CHOOSE(ArtifactsInput!$N$15+1,25,30,35,40,45,50)/100*(Inputs!$B$11-Inputs!$B$11),0))))/100+(Inputs!$B$23+(IF(ArtifactsInput!$M$15,CHOOSE(ArtifactsInput!$N$15+1,25,30,35,40,45,50)/100*(Inputs!$B$11-Inputs!$B$11),0)))/100)/2</f>
        <v>29860449315744.48</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151661222074666.22</v>
      </c>
      <c r="N2236">
        <f>L2236*(1-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151661222074666.22</v>
      </c>
      <c r="O2236">
        <f>(1-Summary!$B$11)*S2236+Summary!$B$11*U2236</f>
        <v>349065232260759.94</v>
      </c>
      <c r="P2236">
        <f>IF(B2267=0,0,O2236/B2267)</f>
        <v>9.8021872154419841E-3</v>
      </c>
      <c r="Q2236">
        <f>IFERROR(1/(IF(Inputs!$B$38="pvp",15,MAX(0.1,Skills!E10-IF(TRUE=TRUE,Inputs!$B$32,0)))*(1-IF(AND(ArtifactsInput!$M$27,Inputs!$B$4="Chapter Hunt"),CHOOSE(ArtifactsInput!$N$27+1,20,24,28,32,36,40),0)/100)),0)</f>
        <v>3.7037037037037035E-2</v>
      </c>
      <c r="R2236">
        <f>IF(AND(Inputs!$B$38&lt;&gt;"pvp",Inputs!$B$43&gt;0),IF(MAX(0,Inputs!$B$43-B2264)&lt;=0,0,(INT(MAX(0,Inputs!$B$43-B2264)/(IF(Inputs!$B$38="pvp",15,MAX(0.1,Skills!E10-IF(TRUE=TRUE,Inputs!$B$32,0)))*(1-IF(AND(ArtifactsInput!$M$27,Inputs!$B$4="Chapter Hunt"),CHOOSE(ArtifactsInput!$N$27+1,20,24,28,32,36,40),0)/100)))+1)),0)</f>
        <v>2</v>
      </c>
      <c r="S2236">
        <f>IF(C2236,(H2236*N2236*IF(AND(Inputs!$B$38&lt;&gt;"pvp",Inputs!$B$43&gt;0),((Skills!G10*((R2236-1)*IF(Skills!H10&gt;0,Skills!I10/Skills!H10,1)+IF(Skills!H10&gt;0,MIN(Skills!I10,MAX(0,MAX(0,Inputs!$B$43-B2264)-((R2236-1)*(IF(Inputs!$B$38="pvp",15,MAX(0.1,Skills!E10-IF(TRUE=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308227517065907.81</v>
      </c>
      <c r="U2236">
        <f>IF(C2236,(H2236*N2236*IF(AND(Inputs!$B$38&lt;&gt;"pvp",Inputs!$B$43&gt;0),((Skills!G10*((R2236-1)*IF(Skills!H10&gt;0,Skills!I10/Skills!H10,1)+IF(Skills!H10&gt;0,MIN(Skills!I10,MAX(0,MAX(0,Inputs!$B$43-B2264)-((R2236-1)*(IF(Inputs!$B$38="pvp",15,MAX(0.1,Skills!E10-IF(TRUE=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389902947455612.06</v>
      </c>
    </row>
    <row r="2237" spans="1:26" x14ac:dyDescent="0.2">
      <c r="A2237" t="str">
        <f>Skills!A11</f>
        <v>BURNING_MAGIC</v>
      </c>
      <c r="B2237" t="str">
        <f>Skills!B11</f>
        <v>Burning Magic</v>
      </c>
      <c r="C2237" t="b">
        <f>TRUE</f>
        <v>1</v>
      </c>
      <c r="D2237">
        <f>IF(Skills!C11=1,60+Inputs!$B$25+Inputs!$B$29,IF(Skills!C11=2,90+Inputs!$B$26+Inputs!$B$29,IF(Skills!C11=3,120+Inputs!$B$27+Inputs!$B$29,MAX(0,(Inputs!$B$3-100)*3)+Inputs!$B$28+Inputs!$B$29)))</f>
        <v>184</v>
      </c>
      <c r="E2237">
        <f>INDEX(FactorTable!$B$2:$Y$301, MATCH(ROUND(MIN(300,MAX(1,D2237)),0), FactorTable!$A$2:$A$301,0), Skills!M11+1)</f>
        <v>0</v>
      </c>
      <c r="F2237">
        <f>IF(Skills!N11=TRUE,(Skills!L11/10)*(E2237/1000),Skills!L11/10)+Skills!O11</f>
        <v>5</v>
      </c>
      <c r="G2237">
        <f>Calc!G11</f>
        <v>1</v>
      </c>
      <c r="H2237">
        <f>Calc!H11</f>
        <v>1</v>
      </c>
      <c r="I2237">
        <f>IF(Skills!X11&lt;&gt;"",1+(Skills!X11/10)*(Z2229/1000)/100,1)</f>
        <v>1</v>
      </c>
      <c r="O2237">
        <f>(1-Summary!$B$11)*S2237+Summary!$B$11*U2237</f>
        <v>0</v>
      </c>
      <c r="P2237">
        <f>IF(B2267=0,0,O2237/B2267)</f>
        <v>0</v>
      </c>
      <c r="Q2237">
        <f>IFERROR(1/(IF(Inputs!$B$38="pvp",15,MAX(0.1,Skills!E11-IF(TRUE=TRUE,Inputs!$B$32,0)))*(1-IF(AND(ArtifactsInput!$M$27,Inputs!$B$4="Chapter Hunt"),CHOOSE(ArtifactsInput!$N$27+1,20,24,28,32,36,40),0)/100)),0)</f>
        <v>10</v>
      </c>
      <c r="R2237">
        <v>0</v>
      </c>
      <c r="S2237">
        <v>0</v>
      </c>
      <c r="U2237">
        <v>0</v>
      </c>
    </row>
    <row r="2238" spans="1:26" x14ac:dyDescent="0.2">
      <c r="A2238" t="str">
        <f>Skills!A12</f>
        <v>ELEMENTAL_DECREASE</v>
      </c>
      <c r="B2238" t="str">
        <f>Skills!B12</f>
        <v>Elemental Decrease</v>
      </c>
      <c r="C2238" t="b">
        <f>TRUE</f>
        <v>1</v>
      </c>
      <c r="D2238">
        <f>IF(Skills!C12=1,60+Inputs!$B$25+Inputs!$B$29,IF(Skills!C12=2,90+Inputs!$B$26+Inputs!$B$29,IF(Skills!C12=3,120+Inputs!$B$27+Inputs!$B$29,MAX(0,(Inputs!$B$3-100)*3)+Inputs!$B$28+Inputs!$B$29)))</f>
        <v>184</v>
      </c>
      <c r="E2238">
        <f>INDEX(FactorTable!$B$2:$Y$301, MATCH(ROUND(MIN(300,MAX(1,D2238)),0), FactorTable!$A$2:$A$301,0), Skills!M12+1)</f>
        <v>1552</v>
      </c>
      <c r="F2238">
        <f>IF(Skills!N12=TRUE,(Skills!L12/10)*(E2238/1000),Skills!L12/10)+Skills!O12</f>
        <v>18.624000000000002</v>
      </c>
      <c r="G2238">
        <f>Calc!G12</f>
        <v>1</v>
      </c>
      <c r="H2238">
        <f>Calc!H12</f>
        <v>0.5</v>
      </c>
      <c r="I2238">
        <f>IF(Skills!X12&lt;&gt;"",1+(Skills!X12/10)*(Z2229/1000)/100,1)</f>
        <v>1</v>
      </c>
      <c r="O2238">
        <f>(1-Summary!$B$11)*S2238+Summary!$B$11*U2238</f>
        <v>0</v>
      </c>
      <c r="P2238">
        <f>IF(B2267=0,0,O2238/B2267)</f>
        <v>0</v>
      </c>
      <c r="Q2238">
        <f>IFERROR(1/(IF(Inputs!$B$38="pvp",15,MAX(0.1,Skills!E12-IF(TRUE=TRUE,Inputs!$B$32,0)))*(1-IF(AND(ArtifactsInput!$M$27,Inputs!$B$4="Chapter Hunt"),CHOOSE(ArtifactsInput!$N$27+1,20,24,28,32,36,40),0)/100)),0)</f>
        <v>10</v>
      </c>
      <c r="R2238">
        <v>0</v>
      </c>
      <c r="S2238">
        <v>0</v>
      </c>
      <c r="U2238">
        <v>0</v>
      </c>
    </row>
    <row r="2239" spans="1:26" x14ac:dyDescent="0.2">
      <c r="A2239" t="str">
        <f>Skills!A13</f>
        <v>METEOR_SHOWER_BURST</v>
      </c>
      <c r="B2239" t="str">
        <f>Skills!B13</f>
        <v>Meteor Shower (burst)</v>
      </c>
      <c r="C2239" t="b">
        <f>Inputs!$B$3&gt;=105</f>
        <v>1</v>
      </c>
      <c r="D2239">
        <f>IF(Skills!C13=1,60+Inputs!$B$25+Inputs!$B$29,IF(Skills!C13=2,90+Inputs!$B$26+Inputs!$B$29,IF(Skills!C13=3,120+Inputs!$B$27+Inputs!$B$29,MAX(0,(Inputs!$B$3-100)*3)+Inputs!$B$28+Inputs!$B$29)))</f>
        <v>185</v>
      </c>
      <c r="E2239">
        <f>INDEX(FactorTable!$B$2:$Y$301, MATCH(ROUND(MIN(300,MAX(1,D2239)),0), FactorTable!$A$2:$A$301,0), Skills!M13+1)</f>
        <v>1925</v>
      </c>
      <c r="F2239">
        <f>IF(Skills!N13=TRUE,(Skills!L13/10)*(E2239/1000),Skills!L13/10)+Skills!O13</f>
        <v>1155</v>
      </c>
      <c r="G2239">
        <f>Calc!G13</f>
        <v>9</v>
      </c>
      <c r="H2239">
        <f>Calc!H13</f>
        <v>1</v>
      </c>
      <c r="I2239">
        <f>IF(Skills!X13&lt;&gt;"",1+(Skills!X13/10)*(Z2229/1000)/100,1)</f>
        <v>1</v>
      </c>
      <c r="J2239">
        <f>((Inputs!$B$6*(1+Inputs!$B$7/100))+(((Inputs!$B$12*(1+Inputs!$B$13/100))-(Inputs!$B$12*(1+Inputs!$B$13/100)))+0.25*(Inputs!$B$14-Inputs!$B$14))*(1+Inputs!$B$7/100))*(F2239/100)</f>
        <v>4171103722.0660505</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20958681306616.391</v>
      </c>
      <c r="L2239">
        <f>K2239*(MIN(Inputs!$B$22+(F2248-Calc!F22),(Inputs!$B$23+(IF(ArtifactsInput!$M$15,CHOOSE(ArtifactsInput!$N$15+1,25,30,35,40,45,50)/100*(Inputs!$B$11-Inputs!$B$11),0))))/100+(Inputs!$B$23+(IF(ArtifactsInput!$M$15,CHOOSE(ArtifactsInput!$N$15+1,25,30,35,40,45,50)/100*(Inputs!$B$11-Inputs!$B$11),0)))/100)/2</f>
        <v>69687615344499.5</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353943398334712.94</v>
      </c>
      <c r="N2239">
        <f>L2239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353943398334712.94</v>
      </c>
      <c r="O2239">
        <f>(1-Summary!$B$11)*S2239+Summary!$B$11*U2239</f>
        <v>1930407294517524.2</v>
      </c>
      <c r="P2239">
        <f>IF(B2267=0,0,O2239/B2267)</f>
        <v>5.4208245204954368E-2</v>
      </c>
      <c r="Q2239">
        <f>IFERROR(1/(IF(Inputs!$B$38="pvp",15,MAX(0.1,Skills!E13-IF(TRUE=TRUE,Inputs!$B$32,0)))*(1-IF(AND(ArtifactsInput!$M$27,Inputs!$B$4="Chapter Hunt"),CHOOSE(ArtifactsInput!$N$27+1,20,24,28,32,36,40),0)/100)),0)</f>
        <v>3.0303030303030304E-2</v>
      </c>
      <c r="R2239">
        <f>IF(AND(Inputs!$B$38&lt;&gt;"pvp",Inputs!$B$43&gt;0),IF(MAX(0,Inputs!$B$43-B2264)&lt;=0,0,(INT(MAX(0,Inputs!$B$43-B2264)/(IF(Inputs!$B$38="pvp",15,MAX(0.1,Skills!E13-IF(TRUE=TRUE,Inputs!$B$32,0)))*(1-IF(AND(ArtifactsInput!$M$27,Inputs!$B$4="Chapter Hunt"),CHOOSE(ArtifactsInput!$N$27+1,20,24,28,32,36,40),0)/100)))+1)),0)</f>
        <v>2</v>
      </c>
      <c r="S2239">
        <f>IF(C2239,(H2239*N2239*IF(AND(Inputs!$B$38&lt;&gt;"pvp",Inputs!$B$43&gt;0),((Skills!G13*((R2239-1)*IF(Skills!H13&gt;0,Skills!I13/Skills!H13,1)+IF(Skills!H13&gt;0,MIN(Skills!I13,MAX(0,MAX(0,Inputs!$B$43-B2264)-((R2239-1)*(IF(Inputs!$B$38="pvp",15,MAX(0.1,Skills!E13-IF(TRUE=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504900257724467.94</v>
      </c>
      <c r="U2239">
        <f>IF(C2239,(H2239*N2239*IF(AND(Inputs!$B$38&lt;&gt;"pvp",Inputs!$B$43&gt;0),((Skills!G13*((R2239-1)*IF(Skills!H13&gt;0,Skills!I13/Skills!H13,1)+IF(Skills!H13&gt;0,MIN(Skills!I13,MAX(0,MAX(0,Inputs!$B$43-B2264)-((R2239-1)*(IF(Inputs!$B$38="pvp",15,MAX(0.1,Skills!E13-IF(TRUE=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3355914331310580.5</v>
      </c>
    </row>
    <row r="2240" spans="1:26" x14ac:dyDescent="0.2">
      <c r="A2240" t="str">
        <f>Skills!A14</f>
        <v>METEOR_PROC</v>
      </c>
      <c r="B2240" t="str">
        <f>Skills!B14</f>
        <v>Meteor Proc (30% on-hit, 1s ICD)</v>
      </c>
      <c r="C2240" t="b">
        <f>Inputs!$B$3&gt;=113</f>
        <v>1</v>
      </c>
      <c r="D2240">
        <f>IF(Skills!C14=1,60+Inputs!$B$25+Inputs!$B$29,IF(Skills!C14=2,90+Inputs!$B$26+Inputs!$B$29,IF(Skills!C14=3,120+Inputs!$B$27+Inputs!$B$29,MAX(0,(Inputs!$B$3-100)*3)+Inputs!$B$28+Inputs!$B$29)))</f>
        <v>185</v>
      </c>
      <c r="E2240">
        <f>INDEX(FactorTable!$B$2:$Y$301, MATCH(ROUND(MIN(300,MAX(1,D2240)),0), FactorTable!$A$2:$A$301,0), Skills!M14+1)</f>
        <v>1740</v>
      </c>
      <c r="F2240">
        <f>IF(Skills!N14=TRUE,(Skills!L14/10)*(E2240/1000),Skills!L14/10)+Skills!O14</f>
        <v>1653</v>
      </c>
      <c r="G2240">
        <f>Calc!G14</f>
        <v>0</v>
      </c>
      <c r="H2240">
        <f>Calc!H14</f>
        <v>0.30000000000000004</v>
      </c>
      <c r="I2240">
        <f>IF(Skills!X14&lt;&gt;"",1+(Skills!X14/10)*(Z2229/1000)/100,1)</f>
        <v>1</v>
      </c>
      <c r="J2240">
        <f>((Inputs!$B$6*(1+Inputs!$B$7/100))+(((Inputs!$B$12*(1+Inputs!$B$13/100))-(Inputs!$B$12*(1+Inputs!$B$13/100)))+0.25*(Inputs!$B$14-Inputs!$B$14))*(1+Inputs!$B$7/100))*(F2240/100)</f>
        <v>5969553638.5932312</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29995411428430.203</v>
      </c>
      <c r="L2240">
        <f>K2240*(MIN(Inputs!$B$22+(F2248-Calc!F22),(Inputs!$B$23+(IF(ArtifactsInput!$M$15,CHOOSE(ArtifactsInput!$N$15+1,25,30,35,40,45,50)/100*(Inputs!$B$11-Inputs!$B$11),0))))/100+(Inputs!$B$23+(IF(ArtifactsInput!$M$15,CHOOSE(ArtifactsInput!$N$15+1,25,30,35,40,45,50)/100*(Inputs!$B$11-Inputs!$B$11),0)))/100)/2</f>
        <v>99734742999530.438</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506552759694615.06</v>
      </c>
      <c r="N2240">
        <f>L2240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506552759694615.06</v>
      </c>
      <c r="O2240">
        <f>(1-Summary!$B$11)*S2240+Summary!$B$11*U2240</f>
        <v>496446362645797.88</v>
      </c>
      <c r="P2240">
        <f>IF(B2267=0,0,O2240/B2267)</f>
        <v>1.3940833229257573E-2</v>
      </c>
      <c r="Q2240">
        <f>IFERROR(1/(IF(Inputs!$B$38="pvp",15,MAX(0.1,Skills!E14-IF(TRUE=TRUE,Inputs!$B$32,0)))*(1-IF(AND(ArtifactsInput!$M$27,Inputs!$B$4="Chapter Hunt"),CHOOSE(ArtifactsInput!$N$27+1,20,24,28,32,36,40),0)/100)),0)</f>
        <v>10</v>
      </c>
      <c r="R2240">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509299342908472.31</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483593382383123.5</v>
      </c>
    </row>
    <row r="2241" spans="1:21" x14ac:dyDescent="0.2">
      <c r="A2241" t="str">
        <f>Skills!A15</f>
        <v>FLAME_HAZE_BURST</v>
      </c>
      <c r="B2241" t="str">
        <f>Skills!B15</f>
        <v>Flame Haze (burst)</v>
      </c>
      <c r="C2241" t="b">
        <f>Inputs!$B$3&gt;=107</f>
        <v>1</v>
      </c>
      <c r="D2241">
        <f>IF(Skills!C15=1,60+Inputs!$B$25+Inputs!$B$29,IF(Skills!C15=2,90+Inputs!$B$26+Inputs!$B$29,IF(Skills!C15=3,120+Inputs!$B$27+Inputs!$B$29,MAX(0,(Inputs!$B$3-100)*3)+Inputs!$B$28+Inputs!$B$29)))</f>
        <v>185</v>
      </c>
      <c r="E2241">
        <f>INDEX(FactorTable!$B$2:$Y$301, MATCH(ROUND(MIN(300,MAX(1,D2241)),0), FactorTable!$A$2:$A$301,0), Skills!M15+1)</f>
        <v>1925</v>
      </c>
      <c r="F2241">
        <f>IF(Skills!N15=TRUE,(Skills!L15/10)*(E2241/1000),Skills!L15/10)+Skills!O15</f>
        <v>2310</v>
      </c>
      <c r="G2241">
        <f>Calc!G15</f>
        <v>3</v>
      </c>
      <c r="H2241">
        <f>Calc!H15</f>
        <v>1</v>
      </c>
      <c r="I2241">
        <f>IF(Skills!X15&lt;&gt;"",1+(Skills!X15/10)*(Z2229/1000)/100,1)</f>
        <v>1</v>
      </c>
      <c r="J2241">
        <f>((Inputs!$B$6*(1+Inputs!$B$7/100))+(((Inputs!$B$12*(1+Inputs!$B$13/100))-(Inputs!$B$12*(1+Inputs!$B$13/100)))+0.25*(Inputs!$B$14-Inputs!$B$14))*(1+Inputs!$B$7/100))*(F2241/100)</f>
        <v>8342207444.1321011</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41917362613232.781</v>
      </c>
      <c r="L2241">
        <f>K2241*(MIN(Inputs!$B$22+(F2248-Calc!F22),(Inputs!$B$23+(IF(ArtifactsInput!$M$15,CHOOSE(ArtifactsInput!$N$15+1,25,30,35,40,45,50)/100*(Inputs!$B$11-Inputs!$B$11),0))))/100+(Inputs!$B$23+(IF(ArtifactsInput!$M$15,CHOOSE(ArtifactsInput!$N$15+1,25,30,35,40,45,50)/100*(Inputs!$B$11-Inputs!$B$11),0)))/100)/2</f>
        <v>139375230688999</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707886796669425.88</v>
      </c>
      <c r="N2241">
        <f>L2241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707886796669425.88</v>
      </c>
      <c r="O2241">
        <f>(1-Summary!$B$11)*S2241+Summary!$B$11*U2241</f>
        <v>1766354529389384.8</v>
      </c>
      <c r="P2241">
        <f>IF(B2267=0,0,O2241/B2267)</f>
        <v>4.9601438888031681E-2</v>
      </c>
      <c r="Q2241">
        <f>IFERROR(1/(IF(Inputs!$B$38="pvp",15,MAX(0.1,Skills!E15-IF(TRUE=TRUE,Inputs!$B$32,0)))*(1-IF(AND(ArtifactsInput!$M$27,Inputs!$B$4="Chapter Hunt"),CHOOSE(ArtifactsInput!$N$27+1,20,24,28,32,36,40),0)/100)),0)</f>
        <v>0.04</v>
      </c>
      <c r="R2241">
        <f>IF(AND(Inputs!$B$38&lt;&gt;"pvp",Inputs!$B$43&gt;0),IF(MAX(0,Inputs!$B$43-B2264)&lt;=0,0,(INT(MAX(0,Inputs!$B$43-B2264)/(IF(Inputs!$B$38="pvp",15,MAX(0.1,Skills!E15-IF(TRUE=TRUE,Inputs!$B$32,0)))*(1-IF(AND(ArtifactsInput!$M$27,Inputs!$B$4="Chapter Hunt"),CHOOSE(ArtifactsInput!$N$27+1,20,24,28,32,36,40),0)/100)))+1)),0)</f>
        <v>2</v>
      </c>
      <c r="S2241">
        <f>IF(C2241,(H2241*N2241*IF(AND(Inputs!$B$38&lt;&gt;"pvp",Inputs!$B$43&gt;0),((Skills!G15*((R2241-1)*IF(Skills!H15&gt;0,Skills!I15/Skills!H15,1)+IF(Skills!H15&gt;0,MIN(Skills!I15,MAX(0,MAX(0,Inputs!$B$43-B2264)-((R2241-1)*(IF(Inputs!$B$38="pvp",15,MAX(0.1,Skills!E15-IF(TRUE=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336600171816312</v>
      </c>
      <c r="U2241">
        <f>IF(C2241,(H2241*N2241*IF(AND(Inputs!$B$38&lt;&gt;"pvp",Inputs!$B$43&gt;0),((Skills!G15*((R2241-1)*IF(Skills!H15&gt;0,Skills!I15/Skills!H15,1)+IF(Skills!H15&gt;0,MIN(Skills!I15,MAX(0,MAX(0,Inputs!$B$43-B2264)-((R2241-1)*(IF(Inputs!$B$38="pvp",15,MAX(0.1,Skills!E15-IF(TRUE=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3196108886962457.5</v>
      </c>
    </row>
    <row r="2242" spans="1:21" x14ac:dyDescent="0.2">
      <c r="A2242" t="str">
        <f>Skills!A16</f>
        <v>FLAME_HAZE_DOT</v>
      </c>
      <c r="B2242" t="str">
        <f>Skills!B16</f>
        <v>Flame Haze (burn DoT)</v>
      </c>
      <c r="C2242" t="b">
        <f>Inputs!$B$3&gt;=107</f>
        <v>1</v>
      </c>
      <c r="D2242">
        <f>IF(Skills!C16=1,60+Inputs!$B$25+Inputs!$B$29,IF(Skills!C16=2,90+Inputs!$B$26+Inputs!$B$29,IF(Skills!C16=3,120+Inputs!$B$27+Inputs!$B$29,MAX(0,(Inputs!$B$3-100)*3)+Inputs!$B$28+Inputs!$B$29)))</f>
        <v>185</v>
      </c>
      <c r="E2242">
        <f>INDEX(FactorTable!$B$2:$Y$301, MATCH(ROUND(MIN(300,MAX(1,D2242)),0), FactorTable!$A$2:$A$301,0), Skills!M16+1)</f>
        <v>1925</v>
      </c>
      <c r="F2242">
        <f>IF(Skills!N16=TRUE,(Skills!L16/10)*(E2242/1000),Skills!L16/10)+Skills!O16</f>
        <v>288.75</v>
      </c>
      <c r="G2242">
        <f>Calc!G16</f>
        <v>30</v>
      </c>
      <c r="H2242">
        <f>Calc!H16</f>
        <v>1</v>
      </c>
      <c r="I2242">
        <f>IF(Skills!X16&lt;&gt;"",1+(Skills!X16/10)*(Z2229/1000)/100,1)</f>
        <v>1</v>
      </c>
      <c r="J2242">
        <f>((Inputs!$B$6*(1+Inputs!$B$7/100))+(((Inputs!$B$12*(1+Inputs!$B$13/100))-(Inputs!$B$12*(1+Inputs!$B$13/100)))+0.25*(Inputs!$B$14-Inputs!$B$14))*(1+Inputs!$B$7/100))*(F2242/100)</f>
        <v>1042775930.5165126</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5239670326654.0977</v>
      </c>
      <c r="L2242">
        <f>K2242*(MIN(Inputs!$B$22+(F2248-Calc!F22),(Inputs!$B$23+(IF(ArtifactsInput!$M$15,CHOOSE(ArtifactsInput!$N$15+1,25,30,35,40,45,50)/100*(Inputs!$B$11-Inputs!$B$11),0))))/100+(Inputs!$B$23+(IF(ArtifactsInput!$M$15,CHOOSE(ArtifactsInput!$N$15+1,25,30,35,40,45,50)/100*(Inputs!$B$11-Inputs!$B$11),0)))/100)/2</f>
        <v>17421903836124.875</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88485849583678.234</v>
      </c>
      <c r="N2242">
        <f>L2242*(1-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88485849583678.234</v>
      </c>
      <c r="O2242">
        <f>(1-Summary!$B$11)*S2242+Summary!$B$11*U2242</f>
        <v>2034597382653979.8</v>
      </c>
      <c r="P2242">
        <f>IF(B2267=0,0,O2242/B2267)</f>
        <v>5.713403286731316E-2</v>
      </c>
      <c r="Q2242">
        <f>IFERROR(1/(IF(Inputs!$B$38="pvp",15,MAX(0.1,Skills!E16-IF(TRUE=TRUE,Inputs!$B$32,0)))*(1-IF(AND(ArtifactsInput!$M$27,Inputs!$B$4="Chapter Hunt"),CHOOSE(ArtifactsInput!$N$27+1,20,24,28,32,36,40),0)/100)),0)</f>
        <v>0.04</v>
      </c>
      <c r="R2242">
        <f>IF(AND(Inputs!$B$38&lt;&gt;"pvp",Inputs!$B$43&gt;0),IF(MAX(0,Inputs!$B$43-B2264)&lt;=0,0,(INT(MAX(0,Inputs!$B$43-B2264)/(IF(Inputs!$B$38="pvp",15,MAX(0.1,Skills!E16-IF(TRUE=TRUE,Inputs!$B$32,0)))*(1-IF(AND(ArtifactsInput!$M$27,Inputs!$B$4="Chapter Hunt"),CHOOSE(ArtifactsInput!$N$27+1,20,24,28,32,36,40),0)/100)))+1)),0)</f>
        <v>2</v>
      </c>
      <c r="S2242">
        <f>IF(C2242,(H2242*N2242*IF(AND(Inputs!$B$38&lt;&gt;"pvp",Inputs!$B$43&gt;0),((Skills!G16*((R2242-1)*IF(Skills!H16&gt;0,Skills!I16/Skills!H16,1)+IF(Skills!H16&gt;0,MIN(Skills!I16,MAX(0,MAX(0,Inputs!$B$43-B2264)-((R2242-1)*(IF(Inputs!$B$38="pvp",15,MAX(0.1,Skills!E16-IF(TRUE=TRUE,Inputs!$B$32,0)))*(1-IF(AND(ArtifactsInput!$M$27,Inputs!$B$4="Chapter Hunt"),CHOOSE(ArtifactsInput!$N$27+1,20,24,28,32,36,40),0)/100)))))/Skills!H16,1)))/Inputs!$B$43),G2242*Q2242)*(1+IF(Inputs!$B$3&gt;=126,0.05*(B2262+Q2239+(H2240*B2263)/(1+Skills!H14*H2240*B2263)+Q2250),0)*(1/Q2241)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387717084641606.06</v>
      </c>
      <c r="U2242">
        <f>IF(C2242,(H2242*N2242*IF(AND(Inputs!$B$38&lt;&gt;"pvp",Inputs!$B$43&gt;0),((Skills!G16*((R2242-1)*IF(Skills!H16&gt;0,Skills!I16/Skills!H16,1)+IF(Skills!H16&gt;0,MIN(Skills!I16,MAX(0,MAX(0,Inputs!$B$43-B2264)-((R2242-1)*(IF(Inputs!$B$38="pvp",15,MAX(0.1,Skills!E16-IF(TRUE=TRUE,Inputs!$B$32,0)))*(1-IF(AND(ArtifactsInput!$M$27,Inputs!$B$4="Chapter Hunt"),CHOOSE(ArtifactsInput!$N$27+1,20,24,28,32,36,40),0)/100)))))/Skills!H16,1)))/Inputs!$B$43),G2242*Q2242)*(1+IF(Inputs!$B$3&gt;=126,0.05*(B2262+Q2239+(H2240*B2263)/(1+Skills!H14*H2240*B2263)+Q2250),0)*(1/Q2241)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3681477680666353.5</v>
      </c>
    </row>
    <row r="2243" spans="1:21" x14ac:dyDescent="0.2">
      <c r="A2243" t="str">
        <f>Skills!A17</f>
        <v>MAGIC_GUARD</v>
      </c>
      <c r="B2243" t="str">
        <f>Skills!B17</f>
        <v>Magic Guard</v>
      </c>
      <c r="C2243" t="b">
        <f>TRUE</f>
        <v>1</v>
      </c>
      <c r="D2243">
        <f>IF(Skills!C17=1,60+Inputs!$B$25+Inputs!$B$29,IF(Skills!C17=2,90+Inputs!$B$26+Inputs!$B$29,IF(Skills!C17=3,120+Inputs!$B$27+Inputs!$B$29,MAX(0,(Inputs!$B$3-100)*3)+Inputs!$B$28+Inputs!$B$29)))</f>
        <v>127</v>
      </c>
      <c r="E2243">
        <f>INDEX(FactorTable!$B$2:$Y$301, MATCH(ROUND(MIN(300,MAX(1,D2243)),0), FactorTable!$A$2:$A$301,0), Skills!M17+1)</f>
        <v>1508</v>
      </c>
      <c r="F2243">
        <f>IF(Skills!N17=TRUE,(Skills!L17/10)*(E2243/1000),Skills!L17/10)+Skills!O17</f>
        <v>18.096</v>
      </c>
      <c r="G2243">
        <f>Calc!G17</f>
        <v>1</v>
      </c>
      <c r="H2243">
        <f>Calc!H17</f>
        <v>1</v>
      </c>
      <c r="I2243">
        <f>IF(Skills!X17&lt;&gt;"",1+(Skills!X17/10)*(Z2229/1000)/100,1)</f>
        <v>1</v>
      </c>
      <c r="O2243">
        <f>(1-Summary!$B$11)*S2243+Summary!$B$11*U2243</f>
        <v>0</v>
      </c>
      <c r="P2243">
        <f>IF(B2267=0,0,O2243/B2267)</f>
        <v>0</v>
      </c>
      <c r="Q2243">
        <f>IFERROR(1/(IF(Inputs!$B$38="pvp",15,MAX(0.1,Skills!E17-IF(TRUE=TRUE,Inputs!$B$32,0)))*(1-IF(AND(ArtifactsInput!$M$27,Inputs!$B$4="Chapter Hunt"),CHOOSE(ArtifactsInput!$N$27+1,20,24,28,32,36,40),0)/100)),0)</f>
        <v>4.7619047619047616E-2</v>
      </c>
      <c r="R2243">
        <f>IF(AND(Inputs!$B$38&lt;&gt;"pvp",Inputs!$B$43&gt;0),IF(Inputs!$B$43&lt;=0,0,(INT(Inputs!$B$43/(IF(Inputs!$B$38="pvp",15,MAX(0.1,Skills!E17-IF(TRUE=TRUE,Inputs!$B$32,0)))*(1-IF(AND(ArtifactsInput!$M$27,Inputs!$B$4="Chapter Hunt"),CHOOSE(ArtifactsInput!$N$27+1,20,24,28,32,36,40),0)/100)))+1)),0)</f>
        <v>2</v>
      </c>
      <c r="S2243">
        <v>0</v>
      </c>
      <c r="U2243">
        <v>0</v>
      </c>
    </row>
    <row r="2244" spans="1:21" x14ac:dyDescent="0.2">
      <c r="A2244" t="str">
        <f>Skills!A18</f>
        <v>NIMBLE_FEET</v>
      </c>
      <c r="B2244" t="str">
        <f>Skills!B18</f>
        <v>Nimble Feet</v>
      </c>
      <c r="C2244" t="b">
        <f>TRUE</f>
        <v>1</v>
      </c>
      <c r="D2244">
        <f>IF(Skills!C18=1,60+Inputs!$B$25+Inputs!$B$29,IF(Skills!C18=2,90+Inputs!$B$26+Inputs!$B$29,IF(Skills!C18=3,120+Inputs!$B$27+Inputs!$B$29,MAX(0,(Inputs!$B$3-100)*3)+Inputs!$B$28+Inputs!$B$29)))</f>
        <v>127</v>
      </c>
      <c r="E2244">
        <f>INDEX(FactorTable!$B$2:$Y$301, MATCH(ROUND(MIN(300,MAX(1,D2244)),0), FactorTable!$A$2:$A$301,0), Skills!M18+1)</f>
        <v>0</v>
      </c>
      <c r="F2244">
        <f>IF(Skills!N18=TRUE,(Skills!L18/10)*(E2244/1000),Skills!L18/10)+Skills!O18</f>
        <v>15</v>
      </c>
      <c r="G2244">
        <f>Calc!G18</f>
        <v>1</v>
      </c>
      <c r="H2244">
        <f>Calc!H18</f>
        <v>1</v>
      </c>
      <c r="I2244">
        <f>IF(Skills!X18&lt;&gt;"",1+(Skills!X18/10)*(Z2229/1000)/100,1)</f>
        <v>1</v>
      </c>
      <c r="O2244">
        <f>(1-Summary!$B$11)*S2244+Summary!$B$11*U2244</f>
        <v>0</v>
      </c>
      <c r="P2244">
        <f>IF(B2267=0,0,O2244/B2267)</f>
        <v>0</v>
      </c>
      <c r="Q2244">
        <f>IFERROR(1/(IF(Inputs!$B$38="pvp",15,MAX(0.1,Skills!E18-IF(TRUE=TRUE,Inputs!$B$32,0)))*(1-IF(AND(ArtifactsInput!$M$27,Inputs!$B$4="Chapter Hunt"),CHOOSE(ArtifactsInput!$N$27+1,20,24,28,32,36,40),0)/100)),0)</f>
        <v>1.6666666666666666E-2</v>
      </c>
      <c r="R2244">
        <f>IF(AND(Inputs!$B$38&lt;&gt;"pvp",Inputs!$B$43&gt;0),IF(Inputs!$B$43&lt;=0,0,(INT(Inputs!$B$43/(IF(Inputs!$B$38="pvp",15,MAX(0.1,Skills!E18-IF(TRUE=TRUE,Inputs!$B$32,0)))*(1-IF(AND(ArtifactsInput!$M$27,Inputs!$B$4="Chapter Hunt"),CHOOSE(ArtifactsInput!$N$27+1,20,24,28,32,36,40),0)/100)))+1)),0)</f>
        <v>1</v>
      </c>
      <c r="S2244">
        <v>0</v>
      </c>
      <c r="U2244">
        <v>0</v>
      </c>
    </row>
    <row r="2245" spans="1:21" x14ac:dyDescent="0.2">
      <c r="A2245" t="str">
        <f>Skills!A19</f>
        <v>INFINITY</v>
      </c>
      <c r="B2245" t="str">
        <f>Skills!B19</f>
        <v>Infinity</v>
      </c>
      <c r="C2245" t="b">
        <f>Inputs!$B$3&gt;=110</f>
        <v>1</v>
      </c>
      <c r="D2245">
        <f>IF(Skills!C19=1,60+Inputs!$B$25+Inputs!$B$29,IF(Skills!C19=2,90+Inputs!$B$26+Inputs!$B$29,IF(Skills!C19=3,120+Inputs!$B$27+Inputs!$B$29,MAX(0,(Inputs!$B$3-100)*3)+Inputs!$B$28+Inputs!$B$29)))</f>
        <v>185</v>
      </c>
      <c r="E2245">
        <f>INDEX(FactorTable!$B$2:$Y$301, MATCH(ROUND(MIN(300,MAX(1,D2245)),0), FactorTable!$A$2:$A$301,0), Skills!M19+1)</f>
        <v>1740</v>
      </c>
      <c r="F2245">
        <f>IF(Skills!N19=TRUE,(Skills!L19/10)*(E2245/1000),Skills!L19/10)+Skills!O19</f>
        <v>37.700579999999995</v>
      </c>
      <c r="G2245">
        <f>Calc!G19</f>
        <v>1</v>
      </c>
      <c r="H2245">
        <f>Calc!H19</f>
        <v>1</v>
      </c>
      <c r="I2245">
        <f>IF(Skills!X19&lt;&gt;"",1+(Skills!X19/10)*(Z2229/1000)/100,1)</f>
        <v>1</v>
      </c>
      <c r="O2245">
        <f>(1-Summary!$B$11)*S2245+Summary!$B$11*U2245</f>
        <v>0</v>
      </c>
      <c r="P2245">
        <f>IF(B2267=0,0,O2245/B2267)</f>
        <v>0</v>
      </c>
      <c r="Q2245">
        <f>IFERROR(1/(IF(Inputs!$B$38="pvp",15,MAX(0.1,Skills!E19-IF(TRUE=TRUE,Inputs!$B$32,0)))*(1-IF(AND(ArtifactsInput!$M$27,Inputs!$B$4="Chapter Hunt"),CHOOSE(ArtifactsInput!$N$27+1,20,24,28,32,36,40),0)/100)),0)</f>
        <v>3.3333333333333333E-2</v>
      </c>
      <c r="R2245">
        <f>IF(AND(Inputs!$B$38&lt;&gt;"pvp",Inputs!$B$43&gt;0),IF(Inputs!$B$43&lt;=0,0,(INT(Inputs!$B$43/(IF(Inputs!$B$38="pvp",15,MAX(0.1,Skills!E19-IF(TRUE=TRUE,Inputs!$B$32,0)))*(1-IF(AND(ArtifactsInput!$M$27,Inputs!$B$4="Chapter Hunt"),CHOOSE(ArtifactsInput!$N$27+1,20,24,28,32,36,40),0)/100)))+1)),0)</f>
        <v>2</v>
      </c>
      <c r="S2245">
        <v>0</v>
      </c>
      <c r="U2245">
        <v>0</v>
      </c>
    </row>
    <row r="2246" spans="1:21" x14ac:dyDescent="0.2">
      <c r="A2246" t="str">
        <f>Skills!A20</f>
        <v>MAGIC_CRITICAL_RATE</v>
      </c>
      <c r="B2246" t="str">
        <f>Skills!B20</f>
        <v>Magic Critical (Crit Rate)</v>
      </c>
      <c r="C2246" t="b">
        <f>TRUE</f>
        <v>1</v>
      </c>
      <c r="D2246">
        <f>IF(Skills!C20=1,60+Inputs!$B$25+Inputs!$B$29,IF(Skills!C20=2,90+Inputs!$B$26+Inputs!$B$29,IF(Skills!C20=3,120+Inputs!$B$27+Inputs!$B$29,MAX(0,(Inputs!$B$3-100)*3)+Inputs!$B$28+Inputs!$B$29)))</f>
        <v>184</v>
      </c>
      <c r="E2246">
        <f>INDEX(FactorTable!$B$2:$Y$301, MATCH(ROUND(MIN(300,MAX(1,D2246)),0), FactorTable!$A$2:$A$301,0), Skills!M20+1)</f>
        <v>1552</v>
      </c>
      <c r="F2246">
        <f>IF(Skills!N20=TRUE,(Skills!L20/10)*(E2246/1000),Skills!L20/10)+Skills!O20</f>
        <v>12.416</v>
      </c>
      <c r="G2246">
        <f>Calc!G20</f>
        <v>1</v>
      </c>
      <c r="H2246">
        <f>Calc!H20</f>
        <v>1</v>
      </c>
      <c r="I2246">
        <f>IF(Skills!X20&lt;&gt;"",1+(Skills!X20/10)*(Z2229/1000)/100,1)</f>
        <v>1</v>
      </c>
      <c r="O2246">
        <f>(1-Summary!$B$11)*S2246+Summary!$B$11*U2246</f>
        <v>0</v>
      </c>
      <c r="P2246">
        <f>IF(B2267=0,0,O2246/B2267)</f>
        <v>0</v>
      </c>
      <c r="Q2246">
        <f>IFERROR(1/(IF(Inputs!$B$38="pvp",15,MAX(0.1,Skills!E20-IF(TRUE=TRUE,Inputs!$B$32,0)))*(1-IF(AND(ArtifactsInput!$M$27,Inputs!$B$4="Chapter Hunt"),CHOOSE(ArtifactsInput!$N$27+1,20,24,28,32,36,40),0)/100)),0)</f>
        <v>10</v>
      </c>
      <c r="R2246">
        <v>0</v>
      </c>
      <c r="S2246">
        <v>0</v>
      </c>
      <c r="U2246">
        <v>0</v>
      </c>
    </row>
    <row r="2247" spans="1:21" x14ac:dyDescent="0.2">
      <c r="A2247" t="str">
        <f>Skills!A21</f>
        <v>MAGIC_CRITICAL_DAMAGE</v>
      </c>
      <c r="B2247" t="str">
        <f>Skills!B21</f>
        <v>Magic Critical (Crit Damage)</v>
      </c>
      <c r="C2247" t="b">
        <f>TRUE</f>
        <v>1</v>
      </c>
      <c r="D2247">
        <f>IF(Skills!C21=1,60+Inputs!$B$25+Inputs!$B$29,IF(Skills!C21=2,90+Inputs!$B$26+Inputs!$B$29,IF(Skills!C21=3,120+Inputs!$B$27+Inputs!$B$29,MAX(0,(Inputs!$B$3-100)*3)+Inputs!$B$28+Inputs!$B$29)))</f>
        <v>184</v>
      </c>
      <c r="E2247">
        <f>INDEX(FactorTable!$B$2:$Y$301, MATCH(ROUND(MIN(300,MAX(1,D2247)),0), FactorTable!$A$2:$A$301,0), Skills!M21+1)</f>
        <v>1552</v>
      </c>
      <c r="F2247">
        <f>IF(Skills!N21=TRUE,(Skills!L21/10)*(E2247/1000),Skills!L21/10)+Skills!O21</f>
        <v>18.624000000000002</v>
      </c>
      <c r="G2247">
        <f>Calc!G21</f>
        <v>1</v>
      </c>
      <c r="H2247">
        <f>Calc!H21</f>
        <v>1</v>
      </c>
      <c r="I2247">
        <f>IF(Skills!X21&lt;&gt;"",1+(Skills!X21/10)*(Z2229/1000)/100,1)</f>
        <v>1</v>
      </c>
      <c r="O2247">
        <f>(1-Summary!$B$11)*S2247+Summary!$B$11*U2247</f>
        <v>0</v>
      </c>
      <c r="P2247">
        <f>IF(B2267=0,0,O2247/B2267)</f>
        <v>0</v>
      </c>
      <c r="Q2247">
        <f>IFERROR(1/(IF(Inputs!$B$38="pvp",15,MAX(0.1,Skills!E21-IF(TRUE=TRUE,Inputs!$B$32,0)))*(1-IF(AND(ArtifactsInput!$M$27,Inputs!$B$4="Chapter Hunt"),CHOOSE(ArtifactsInput!$N$27+1,20,24,28,32,36,40),0)/100)),0)</f>
        <v>10</v>
      </c>
      <c r="R2247">
        <v>0</v>
      </c>
      <c r="S2247">
        <v>0</v>
      </c>
      <c r="U2247">
        <v>0</v>
      </c>
    </row>
    <row r="2248" spans="1:21" x14ac:dyDescent="0.2">
      <c r="A2248" t="str">
        <f>Skills!A22</f>
        <v>SPELL_MASTERY</v>
      </c>
      <c r="B2248" t="str">
        <f>Skills!B22</f>
        <v>Spell Mastery</v>
      </c>
      <c r="C2248" t="b">
        <f>TRUE</f>
        <v>1</v>
      </c>
      <c r="D2248">
        <f>IF(Skills!C22=1,60+Inputs!$B$25+Inputs!$B$29,IF(Skills!C22=2,90+Inputs!$B$26+Inputs!$B$29,IF(Skills!C22=3,120+Inputs!$B$27+Inputs!$B$29,MAX(0,(Inputs!$B$3-100)*3)+Inputs!$B$28+Inputs!$B$29)))</f>
        <v>168</v>
      </c>
      <c r="E2248">
        <f>INDEX(FactorTable!$B$2:$Y$301, MATCH(ROUND(MIN(300,MAX(1,D2248)),0), FactorTable!$A$2:$A$301,0), Skills!M22+1)</f>
        <v>1504</v>
      </c>
      <c r="F2248">
        <f>IF(Skills!N22=TRUE,(Skills!L22/10)*(E2248/1000),Skills!L22/10)+Skills!O22</f>
        <v>22.56</v>
      </c>
      <c r="G2248">
        <f>Calc!G22</f>
        <v>1</v>
      </c>
      <c r="H2248">
        <f>Calc!H22</f>
        <v>1</v>
      </c>
      <c r="I2248">
        <f>IF(Skills!X22&lt;&gt;"",1+(Skills!X22/10)*(Z2229/1000)/100,1)</f>
        <v>1</v>
      </c>
      <c r="O2248">
        <f>(1-Summary!$B$11)*S2248+Summary!$B$11*U2248</f>
        <v>0</v>
      </c>
      <c r="P2248">
        <f>IF(B2267=0,0,O2248/B2267)</f>
        <v>0</v>
      </c>
      <c r="Q2248">
        <f>IFERROR(1/(IF(Inputs!$B$38="pvp",15,MAX(0.1,Skills!E22-IF(TRUE=TRUE,Inputs!$B$32,0)))*(1-IF(AND(ArtifactsInput!$M$27,Inputs!$B$4="Chapter Hunt"),CHOOSE(ArtifactsInput!$N$27+1,20,24,28,32,36,40),0)/100)),0)</f>
        <v>10</v>
      </c>
      <c r="R2248">
        <v>0</v>
      </c>
      <c r="S2248">
        <v>0</v>
      </c>
      <c r="U2248">
        <v>0</v>
      </c>
    </row>
    <row r="2249" spans="1:21" x14ac:dyDescent="0.2">
      <c r="A2249" t="str">
        <f>Skills!A23</f>
        <v>ELEMENT_AMPLIFICATION</v>
      </c>
      <c r="B2249" t="str">
        <f>Skills!B23</f>
        <v>Element Amplification</v>
      </c>
      <c r="C2249" t="b">
        <f>TRUE</f>
        <v>1</v>
      </c>
      <c r="D2249">
        <f>IF(Skills!C23=1,60+Inputs!$B$25+Inputs!$B$29,IF(Skills!C23=2,90+Inputs!$B$26+Inputs!$B$29,IF(Skills!C23=3,120+Inputs!$B$27+Inputs!$B$29,MAX(0,(Inputs!$B$3-100)*3)+Inputs!$B$28+Inputs!$B$29)))</f>
        <v>185</v>
      </c>
      <c r="E2249">
        <f>INDEX(FactorTable!$B$2:$Y$301, MATCH(ROUND(MIN(300,MAX(1,D2249)),0), FactorTable!$A$2:$A$301,0), Skills!M23+1)</f>
        <v>1555</v>
      </c>
      <c r="F2249">
        <f>IF(Skills!N23=TRUE,(Skills!L23/10)*(E2249/1000),Skills!L23/10)+Skills!O23</f>
        <v>23.324999999999999</v>
      </c>
      <c r="G2249">
        <f>Calc!G23</f>
        <v>1</v>
      </c>
      <c r="H2249">
        <f>Calc!H23</f>
        <v>1</v>
      </c>
      <c r="I2249">
        <f>IF(Skills!X23&lt;&gt;"",1+(Skills!X23/10)*(Z2229/1000)/100,1)</f>
        <v>1</v>
      </c>
      <c r="O2249">
        <f>(1-Summary!$B$11)*S2249+Summary!$B$11*U2249</f>
        <v>0</v>
      </c>
      <c r="P2249">
        <f>IF(B2267=0,0,O2249/B2267)</f>
        <v>0</v>
      </c>
      <c r="Q2249">
        <f>IFERROR(1/(IF(Inputs!$B$38="pvp",15,MAX(0.1,Skills!E23-IF(TRUE=TRUE,Inputs!$B$32,0)))*(1-IF(AND(ArtifactsInput!$M$27,Inputs!$B$4="Chapter Hunt"),CHOOSE(ArtifactsInput!$N$27+1,20,24,28,32,36,40),0)/100)),0)</f>
        <v>10</v>
      </c>
      <c r="R2249">
        <v>0</v>
      </c>
      <c r="S2249">
        <v>0</v>
      </c>
      <c r="U2249">
        <v>0</v>
      </c>
    </row>
    <row r="2250" spans="1:21" x14ac:dyDescent="0.2">
      <c r="A2250" t="str">
        <f>Skills!A24</f>
        <v>IFRIT</v>
      </c>
      <c r="B2250" t="str">
        <f>Skills!B24</f>
        <v>Ifrit</v>
      </c>
      <c r="C2250" t="b">
        <f>Inputs!$B$3&gt;=115</f>
        <v>1</v>
      </c>
      <c r="D2250">
        <f>IF(Skills!C24=1,60+Inputs!$B$25+Inputs!$B$29,IF(Skills!C24=2,90+Inputs!$B$26+Inputs!$B$29,IF(Skills!C24=3,120+Inputs!$B$27+Inputs!$B$29,MAX(0,(Inputs!$B$3-100)*3)+Inputs!$B$28+Inputs!$B$29)))</f>
        <v>185</v>
      </c>
      <c r="E2250">
        <f>INDEX(FactorTable!$B$2:$Y$301, MATCH(ROUND(MIN(300,MAX(1,D2250)),0), FactorTable!$A$2:$A$301,0), Skills!M24+1)</f>
        <v>1925</v>
      </c>
      <c r="F2250">
        <f>IF(Skills!N24=TRUE,(Skills!L24/10)*(E2250/1000),Skills!L24/10)+Skills!O24</f>
        <v>6737.5</v>
      </c>
      <c r="G2250">
        <f>Calc!G24</f>
        <v>7.5</v>
      </c>
      <c r="H2250">
        <f>Calc!H24</f>
        <v>1</v>
      </c>
      <c r="I2250">
        <f>IF(Skills!X24&lt;&gt;"",1+(Skills!X24/10)*(Z2229/1000)/100,1)</f>
        <v>1</v>
      </c>
      <c r="J2250">
        <f>((Inputs!$B$6*(1+Inputs!$B$7/100))+(((Inputs!$B$12*(1+Inputs!$B$13/100))-(Inputs!$B$12*(1+Inputs!$B$13/100)))+0.25*(Inputs!$B$14-Inputs!$B$14))*(1+Inputs!$B$7/100))*(F2250/100)</f>
        <v>24331438378.718628</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122258974288595.61</v>
      </c>
      <c r="L2250">
        <f>K2250*(MIN(Inputs!$B$22+(F2248-Calc!F22),(Inputs!$B$23+(IF(ArtifactsInput!$M$15,CHOOSE(ArtifactsInput!$N$15+1,25,30,35,40,45,50)/100*(Inputs!$B$11-Inputs!$B$11),0))))/100+(Inputs!$B$23+(IF(ArtifactsInput!$M$15,CHOOSE(ArtifactsInput!$N$15+1,25,30,35,40,45,50)/100*(Inputs!$B$11-Inputs!$B$11),0)))/100)/2</f>
        <v>406511089509580.44</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2064669823619159</v>
      </c>
      <c r="N2250">
        <f>L2250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2064669823619159</v>
      </c>
      <c r="O2250">
        <f>(1-Summary!$B$11)*S2250+Summary!$B$11*U2250</f>
        <v>2361466110764413</v>
      </c>
      <c r="P2250">
        <f>IF(B2267=0,0,O2250/B2267)</f>
        <v>6.6312914553869631E-2</v>
      </c>
      <c r="Q2250">
        <f>IFERROR(1/(IF(Inputs!$B$38="pvp",15,MAX(0.1,Skills!E24-IF(TRUE=TRUE,Inputs!$B$32,0)))*(1-IF(AND(ArtifactsInput!$M$27,Inputs!$B$4="Chapter Hunt"),CHOOSE(ArtifactsInput!$N$27+1,20,24,28,32,36,40),0)/100)),0)</f>
        <v>1.2500000000000001E-2</v>
      </c>
      <c r="R2250">
        <f>IF(AND(Inputs!$B$38&lt;&gt;"pvp",Inputs!$B$43&gt;0),IF(MAX(0,Inputs!$B$43-B2264)&lt;=0,0,(INT(MAX(0,Inputs!$B$43-B2264)/(IF(Inputs!$B$38="pvp",15,MAX(0.1,Skills!E24-IF(TRUE=TRUE,Inputs!$B$32,0)))*(1-IF(AND(ArtifactsInput!$M$27,Inputs!$B$4="Chapter Hunt"),CHOOSE(ArtifactsInput!$N$27+1,20,24,28,32,36,40),0)/100)))+1)),0)</f>
        <v>1</v>
      </c>
      <c r="S2250">
        <f>IF(C2250,(H2250*N2250*IF(AND(Inputs!$B$38&lt;&gt;"pvp",Inputs!$B$43&gt;0),((Skills!G24*((R2250-1)*IF(Skills!H24&gt;0,Skills!I24/Skills!H24,1)+IF(Skills!H24&gt;0,MIN(Skills!I24,MAX(0,MAX(0,Inputs!$B$43-B2264)-((R2250-1)*(IF(Inputs!$B$38="pvp",15,MAX(0.1,Skills!E24-IF(TRUE=TRUE,Inputs!$B$32,0)))*(1-IF(AND(ArtifactsInput!$M$27,Inputs!$B$4="Chapter Hunt"),CHOOSE(ArtifactsInput!$N$27+1,20,24,28,32,36,40),0)/100)))))/Skills!H24,1)))/Inputs!$B$43),G2250*Q2250)*(1+IF(Inputs!$B$3&gt;=130,0.2*(Skills!I16/(1/Q2241)+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1227188126413637.5</v>
      </c>
      <c r="U2250">
        <f>IF(C2250,(H2250*N2250*IF(AND(Inputs!$B$38&lt;&gt;"pvp",Inputs!$B$43&gt;0),((Skills!G24*((R2250-1)*IF(Skills!H24&gt;0,Skills!I24/Skills!H24,1)+IF(Skills!H24&gt;0,MIN(Skills!I24,MAX(0,MAX(0,Inputs!$B$43-B2264)-((R2250-1)*(IF(Inputs!$B$38="pvp",15,MAX(0.1,Skills!E24-IF(TRUE=TRUE,Inputs!$B$32,0)))*(1-IF(AND(ArtifactsInput!$M$27,Inputs!$B$4="Chapter Hunt"),CHOOSE(ArtifactsInput!$N$27+1,20,24,28,32,36,40),0)/100)))))/Skills!H24,1)))/Inputs!$B$43),G2250*Q2250)*(1+IF(Inputs!$B$3&gt;=130,0.2*(Skills!I16/(1/Q2241)+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3495744095115188.5</v>
      </c>
    </row>
    <row r="2251" spans="1:21" x14ac:dyDescent="0.2">
      <c r="A2251" t="str">
        <f>Skills!A25</f>
        <v>BUFF_MASTERY</v>
      </c>
      <c r="B2251" t="str">
        <f>Skills!B25</f>
        <v>Buff Mastery</v>
      </c>
      <c r="C2251" t="b">
        <f>Inputs!$B$3&gt;=117</f>
        <v>1</v>
      </c>
      <c r="D2251">
        <f>IF(Skills!C25=1,60+Inputs!$B$25+Inputs!$B$29,IF(Skills!C25=2,90+Inputs!$B$26+Inputs!$B$29,IF(Skills!C25=3,120+Inputs!$B$27+Inputs!$B$29,MAX(0,(Inputs!$B$3-100)*3)+Inputs!$B$28+Inputs!$B$29)))</f>
        <v>185</v>
      </c>
      <c r="E2251">
        <f>INDEX(FactorTable!$B$2:$Y$301, MATCH(ROUND(MIN(300,MAX(1,D2251)),0), FactorTable!$A$2:$A$301,0), Skills!M25+1)</f>
        <v>1555</v>
      </c>
      <c r="F2251">
        <f>IF(Skills!N25=TRUE,(Skills!L25/10)*(E2251/1000),Skills!L25/10)+Skills!O25</f>
        <v>15.549999999999999</v>
      </c>
      <c r="G2251">
        <f>Calc!G25</f>
        <v>1</v>
      </c>
      <c r="H2251">
        <f>Calc!H25</f>
        <v>1</v>
      </c>
      <c r="I2251">
        <f>IF(Skills!X25&lt;&gt;"",1+(Skills!X25/10)*(Z2229/1000)/100,1)</f>
        <v>1</v>
      </c>
      <c r="O2251">
        <f>(1-Summary!$B$11)*S2251+Summary!$B$11*U2251</f>
        <v>0</v>
      </c>
      <c r="P2251">
        <f>IF(B2267=0,0,O2251/B2267)</f>
        <v>0</v>
      </c>
      <c r="Q2251">
        <f>IFERROR(1/(IF(Inputs!$B$38="pvp",15,MAX(0.1,Skills!E25-IF(TRUE=TRUE,Inputs!$B$32,0)))*(1-IF(AND(ArtifactsInput!$M$27,Inputs!$B$4="Chapter Hunt"),CHOOSE(ArtifactsInput!$N$27+1,20,24,28,32,36,40),0)/100)),0)</f>
        <v>10</v>
      </c>
      <c r="R2251">
        <v>0</v>
      </c>
      <c r="S2251">
        <v>0</v>
      </c>
      <c r="U2251">
        <v>0</v>
      </c>
    </row>
    <row r="2252" spans="1:21" x14ac:dyDescent="0.2">
      <c r="A2252" t="str">
        <f>Skills!A26</f>
        <v>ARCANE_AIM</v>
      </c>
      <c r="B2252" t="str">
        <f>Skills!B26</f>
        <v>Arcane Aim</v>
      </c>
      <c r="C2252" t="b">
        <f>Inputs!$B$3&gt;=120</f>
        <v>0</v>
      </c>
      <c r="D2252">
        <f>IF(Skills!C26=1,60+Inputs!$B$25+Inputs!$B$29,IF(Skills!C26=2,90+Inputs!$B$26+Inputs!$B$29,IF(Skills!C26=3,120+Inputs!$B$27+Inputs!$B$29,MAX(0,(Inputs!$B$3-100)*3)+Inputs!$B$28+Inputs!$B$29)))</f>
        <v>185</v>
      </c>
      <c r="E2252">
        <f>INDEX(FactorTable!$B$2:$Y$301, MATCH(ROUND(MIN(300,MAX(1,D2252)),0), FactorTable!$A$2:$A$301,0), Skills!M26+1)</f>
        <v>1555</v>
      </c>
      <c r="F2252">
        <f>IF(Skills!N26=TRUE,(Skills!L26/10)*(E2252/1000),Skills!L26/10)+Skills!O26</f>
        <v>4.665</v>
      </c>
      <c r="G2252">
        <f>Calc!G26</f>
        <v>1</v>
      </c>
      <c r="H2252">
        <f>Calc!H26</f>
        <v>1</v>
      </c>
      <c r="I2252">
        <f>IF(Skills!X26&lt;&gt;"",1+(Skills!X26/10)*(Z2229/1000)/100,1)</f>
        <v>1</v>
      </c>
      <c r="O2252">
        <f>(1-Summary!$B$11)*S2252+Summary!$B$11*U2252</f>
        <v>0</v>
      </c>
      <c r="P2252">
        <f>IF(B2267=0,0,O2252/B2267)</f>
        <v>0</v>
      </c>
      <c r="Q2252">
        <f>IFERROR(1/(IF(Inputs!$B$38="pvp",15,MAX(0.1,Skills!E26-IF(TRUE=TRUE,Inputs!$B$32,0)))*(1-IF(AND(ArtifactsInput!$M$27,Inputs!$B$4="Chapter Hunt"),CHOOSE(ArtifactsInput!$N$27+1,20,24,28,32,36,40),0)/100)),0)</f>
        <v>10</v>
      </c>
      <c r="R2252">
        <v>0</v>
      </c>
      <c r="S2252">
        <v>0</v>
      </c>
      <c r="U2252">
        <v>0</v>
      </c>
    </row>
    <row r="2253" spans="1:21" x14ac:dyDescent="0.2">
      <c r="A2253" t="str">
        <f>Skills!A27</f>
        <v>FERVENT_DRAIN</v>
      </c>
      <c r="B2253" t="str">
        <f>Skills!B27</f>
        <v>Fervent Drain</v>
      </c>
      <c r="C2253" t="b">
        <f>Inputs!$B$3&gt;=125</f>
        <v>0</v>
      </c>
      <c r="D2253">
        <f>IF(Skills!C27=1,60+Inputs!$B$25+Inputs!$B$29,IF(Skills!C27=2,90+Inputs!$B$26+Inputs!$B$29,IF(Skills!C27=3,120+Inputs!$B$27+Inputs!$B$29,MAX(0,(Inputs!$B$3-100)*3)+Inputs!$B$28+Inputs!$B$29)))</f>
        <v>185</v>
      </c>
      <c r="E2253">
        <f>INDEX(FactorTable!$B$2:$Y$301, MATCH(ROUND(MIN(300,MAX(1,D2253)),0), FactorTable!$A$2:$A$301,0), Skills!M27+1)</f>
        <v>1555</v>
      </c>
      <c r="F2253">
        <f>IF(Skills!N27=TRUE,(Skills!L27/10)*(E2253/1000),Skills!L27/10)+Skills!O27</f>
        <v>6.22</v>
      </c>
      <c r="G2253">
        <f>Calc!G27</f>
        <v>1</v>
      </c>
      <c r="H2253">
        <f>Calc!H27</f>
        <v>1</v>
      </c>
      <c r="I2253">
        <f>IF(Skills!X27&lt;&gt;"",1+(Skills!X27/10)*(Z2229/1000)/100,1)</f>
        <v>1</v>
      </c>
      <c r="O2253">
        <f>(1-Summary!$B$11)*S2253+Summary!$B$11*U2253</f>
        <v>0</v>
      </c>
      <c r="P2253">
        <f>IF(B2267=0,0,O2253/B2267)</f>
        <v>0</v>
      </c>
      <c r="Q2253">
        <f>IFERROR(1/(IF(Inputs!$B$38="pvp",15,MAX(0.1,Skills!E27-IF(TRUE=TRUE,Inputs!$B$32,0)))*(1-IF(AND(ArtifactsInput!$M$27,Inputs!$B$4="Chapter Hunt"),CHOOSE(ArtifactsInput!$N$27+1,20,24,28,32,36,40),0)/100)),0)</f>
        <v>10</v>
      </c>
      <c r="R2253">
        <v>0</v>
      </c>
      <c r="S2253">
        <v>0</v>
      </c>
      <c r="U2253">
        <v>0</v>
      </c>
    </row>
    <row r="2254" spans="1:21" x14ac:dyDescent="0.2">
      <c r="A2254" t="str">
        <f>Skills!A28</f>
        <v>FLAME_HAZE_FOG</v>
      </c>
      <c r="B2254" t="str">
        <f>Skills!B28</f>
        <v>Flame Haze (poison fog DoT)</v>
      </c>
      <c r="C2254" t="b">
        <f>Inputs!$B$3&gt;=118</f>
        <v>0</v>
      </c>
      <c r="D2254">
        <f>IF(Skills!C28=1,60+Inputs!$B$25+Inputs!$B$29,IF(Skills!C28=2,90+Inputs!$B$26+Inputs!$B$29,IF(Skills!C28=3,120+Inputs!$B$27+Inputs!$B$29,MAX(0,(Inputs!$B$3-100)*3)+Inputs!$B$28+Inputs!$B$29)))</f>
        <v>185</v>
      </c>
      <c r="E2254">
        <f>INDEX(FactorTable!$B$2:$Y$301, MATCH(ROUND(MIN(300,MAX(1,D2254)),0), FactorTable!$A$2:$A$301,0), Skills!M28+1)</f>
        <v>1925</v>
      </c>
      <c r="F2254">
        <f>IF(Skills!N28=TRUE,(Skills!L28/10)*(E2254/1000),Skills!L28/10)+Skills!O28</f>
        <v>134.75</v>
      </c>
      <c r="G2254">
        <f>Calc!G28</f>
        <v>50</v>
      </c>
      <c r="H2254">
        <f>Calc!H28</f>
        <v>1</v>
      </c>
      <c r="I2254">
        <f>IF(Skills!X28&lt;&gt;"",1+(Skills!X28/10)*(Z2229/1000)/100,1)</f>
        <v>1</v>
      </c>
      <c r="J2254">
        <f>((Inputs!$B$6*(1+Inputs!$B$7/100))+(((Inputs!$B$12*(1+Inputs!$B$13/100))-(Inputs!$B$12*(1+Inputs!$B$13/100)))+0.25*(Inputs!$B$14-Inputs!$B$14))*(1+Inputs!$B$7/100))*(F2254/100)</f>
        <v>486628767.57437253</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2445179485771.9116</v>
      </c>
      <c r="L2254">
        <f>K2254*(MIN(Inputs!$B$22+(F2248-Calc!F22),(Inputs!$B$23+(IF(ArtifactsInput!$M$15,CHOOSE(ArtifactsInput!$N$15+1,25,30,35,40,45,50)/100*(Inputs!$B$11-Inputs!$B$11),0))))/100+(Inputs!$B$23+(IF(ArtifactsInput!$M$15,CHOOSE(ArtifactsInput!$N$15+1,25,30,35,40,45,50)/100*(Inputs!$B$11-Inputs!$B$11),0)))/100)/2</f>
        <v>8130221790191.6064</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41293396472383.164</v>
      </c>
      <c r="N2254">
        <f>L2254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41293396472383.164</v>
      </c>
      <c r="O2254">
        <f>(1-Summary!$B$11)*S2254+Summary!$B$11*U2254</f>
        <v>0</v>
      </c>
      <c r="P2254">
        <f>IF(B2267=0,0,O2254/B2267)</f>
        <v>0</v>
      </c>
      <c r="Q2254">
        <f>IFERROR(1/(IF(Inputs!$B$38="pvp",15,MAX(0.1,Skills!E28-IF(TRUE=TRUE,Inputs!$B$32,0)))*(1-IF(AND(ArtifactsInput!$M$27,Inputs!$B$4="Chapter Hunt"),CHOOSE(ArtifactsInput!$N$27+1,20,24,28,32,36,40),0)/100)),0)</f>
        <v>0.04</v>
      </c>
      <c r="R2254">
        <f>IF(AND(Inputs!$B$38&lt;&gt;"pvp",Inputs!$B$43&gt;0),IF(MAX(0,Inputs!$B$43-B2264)&lt;=0,0,(INT(MAX(0,Inputs!$B$43-B2264)/(IF(Inputs!$B$38="pvp",15,MAX(0.1,Skills!E28-IF(TRUE=TRUE,Inputs!$B$32,0)))*(1-IF(AND(ArtifactsInput!$M$27,Inputs!$B$4="Chapter Hunt"),CHOOSE(ArtifactsInput!$N$27+1,20,24,28,32,36,40),0)/100)))+1)),0)</f>
        <v>2</v>
      </c>
      <c r="S2254">
        <f>IF(C2254,(H2254*N2254*IF(AND(Inputs!$B$38&lt;&gt;"pvp",Inputs!$B$43&gt;0),((Skills!G28*((R2254-1)*IF(Skills!H28&gt;0,Skills!I28/Skills!H28,1)+IF(Skills!H28&gt;0,MIN(Skills!I28,MAX(0,MAX(0,Inputs!$B$43-B2264)-((R2254-1)*(IF(Inputs!$B$38="pvp",15,MAX(0.1,Skills!E28-IF(TRUE=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54">
        <f>IF(C2254,(H2254*N2254*IF(AND(Inputs!$B$38&lt;&gt;"pvp",Inputs!$B$43&gt;0),((Skills!G28*((R2254-1)*IF(Skills!H28&gt;0,Skills!I28/Skills!H28,1)+IF(Skills!H28&gt;0,MIN(Skills!I28,MAX(0,MAX(0,Inputs!$B$43-B2264)-((R2254-1)*(IF(Inputs!$B$38="pvp",15,MAX(0.1,Skills!E28-IF(TRUE=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256" spans="1:21" x14ac:dyDescent="0.2">
      <c r="A2256" t="s">
        <v>356</v>
      </c>
      <c r="B2256">
        <f>1+(F2237*Skills!Z11)/100</f>
        <v>1.25</v>
      </c>
    </row>
    <row r="2257" spans="1:26" x14ac:dyDescent="0.2">
      <c r="A2257" t="s">
        <v>435</v>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1.18624</v>
      </c>
    </row>
    <row r="2258" spans="1:26" x14ac:dyDescent="0.2">
      <c r="A2258" t="s">
        <v>358</v>
      </c>
      <c r="B2258">
        <f>(1+(F2232*IF(AND(Inputs!$B$38&lt;&gt;"pvp",Inputs!$B$43&gt;0),(((R2232-1)*MIN((Skills!T6*(1+((Inputs!$B$34+(ArtifactsInput!$M$7-ArtifactsInput!$M$7)*CHOOSE(ArtifactsInput!$N$7+1,6,7.2,8.4,9.6,10.8,12)))/100)),(1/Q2232))+MIN((Skills!T6*(1+((Inputs!$B$34+(ArtifactsInput!$M$7-ArtifactsInput!$M$7)*CHOOSE(ArtifactsInput!$N$7+1,6,7.2,8.4,9.6,10.8,12)))/100)),MAX(0,Inputs!$B$43-((R2232-1)*(1/Q2232)))))/Inputs!$B$43),IF(Inputs!$B$38="pvp",MIN((Skills!T6*(1+((Inputs!$B$34+(ArtifactsInput!$M$7-ArtifactsInput!$M$7)*CHOOSE(ArtifactsInput!$N$7+1,6,7.2,8.4,9.6,10.8,12)))/100)),15)/15,MIN(1,(Skills!T6*(1+((Inputs!$B$34+(ArtifactsInput!$M$7-ArtifactsInput!$M$7)*CHOOSE(ArtifactsInput!$N$7+1,6,7.2,8.4,9.6,10.8,12)))/100))/(1/Q2232))))+F2243*IF(AND(Inputs!$B$38&lt;&gt;"pvp",Inputs!$B$43&gt;0),(((R2243-1)*MIN((Skills!T17*(1+((Inputs!$B$34+(ArtifactsInput!$M$7-ArtifactsInput!$M$7)*CHOOSE(ArtifactsInput!$N$7+1,6,7.2,8.4,9.6,10.8,12)))/100)),(1/Q2243))+MIN((Skills!T17*(1+((Inputs!$B$34+(ArtifactsInput!$M$7-ArtifactsInput!$M$7)*CHOOSE(ArtifactsInput!$N$7+1,6,7.2,8.4,9.6,10.8,12)))/100)),MAX(0,Inputs!$B$43-((R2243-1)*(1/Q2243)))))/Inputs!$B$43),IF(Inputs!$B$38="pvp",MIN((Skills!T17*(1+((Inputs!$B$34+(ArtifactsInput!$M$7-ArtifactsInput!$M$7)*CHOOSE(ArtifactsInput!$N$7+1,6,7.2,8.4,9.6,10.8,12)))/100)),15)/15,MIN(1,(Skills!T17*(1+((Inputs!$B$34+(ArtifactsInput!$M$7-ArtifactsInput!$M$7)*CHOOSE(ArtifactsInput!$N$7+1,6,7.2,8.4,9.6,10.8,12)))/100))/(1/Q2243)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MIN((Skills!T19*(1+((Inputs!$B$34+(ArtifactsInput!$M$7-ArtifactsInput!$M$7)*CHOOSE(ArtifactsInput!$N$7+1,6,7.2,8.4,9.6,10.8,12)))/100)),(1/Q2245))+MIN((Skills!T19*(1+((Inputs!$B$34+(ArtifactsInput!$M$7-ArtifactsInput!$M$7)*CHOOSE(ArtifactsInput!$N$7+1,6,7.2,8.4,9.6,10.8,12)))/100)),MAX(0,Inputs!$B$43-((R2245-1)*(1/Q2245)))))/Inputs!$B$43),IF(Inputs!$B$38="pvp",MIN((Skills!T19*(1+((Inputs!$B$34+(ArtifactsInput!$M$7-ArtifactsInput!$M$7)*CHOOSE(ArtifactsInput!$N$7+1,6,7.2,8.4,9.6,10.8,12)))/100)),15)/15,MIN(1,(Skills!T19*(1+((Inputs!$B$34+(ArtifactsInput!$M$7-ArtifactsInput!$M$7)*CHOOSE(ArtifactsInput!$N$7+1,6,7.2,8.4,9.6,10.8,12)))/100))/(1/Q2245))))/100),1)</f>
        <v>1.7965808377980694</v>
      </c>
    </row>
    <row r="2259" spans="1:26" x14ac:dyDescent="0.2">
      <c r="A2259" t="s">
        <v>359</v>
      </c>
      <c r="B2259">
        <f>F2244*IF(AND(Inputs!$B$38&lt;&gt;"pvp",Inputs!$B$43&gt;0),(((R2244-1)*MIN((Skills!T18*(1+((Inputs!$B$34+(ArtifactsInput!$M$7-ArtifactsInput!$M$7)*CHOOSE(ArtifactsInput!$N$7+1,6,7.2,8.4,9.6,10.8,12)))/100)),(1/Q2244))+MIN((Skills!T18*(1+((Inputs!$B$34+(ArtifactsInput!$M$7-ArtifactsInput!$M$7)*CHOOSE(ArtifactsInput!$N$7+1,6,7.2,8.4,9.6,10.8,12)))/100)),MAX(0,Inputs!$B$43-((R2244-1)*(1/Q2244)))))/Inputs!$B$43),IF(Inputs!$B$38="pvp",MIN((Skills!T18*(1+((Inputs!$B$34+(ArtifactsInput!$M$7-ArtifactsInput!$M$7)*CHOOSE(ArtifactsInput!$N$7+1,6,7.2,8.4,9.6,10.8,12)))/100)),15)/15,MIN(1,(Skills!T18*(1+((Inputs!$B$34+(ArtifactsInput!$M$7-ArtifactsInput!$M$7)*CHOOSE(ArtifactsInput!$N$7+1,6,7.2,8.4,9.6,10.8,12)))/100))/(1/Q2244))))</f>
        <v>6.4968749999999993</v>
      </c>
    </row>
    <row r="2260" spans="1:26" x14ac:dyDescent="0.2">
      <c r="A2260" t="s">
        <v>436</v>
      </c>
      <c r="B2260">
        <f>1+MIN(150,150*(1-(1-(Inputs!$B$11+(ArtifactsInput!$M$15-ArtifactsInput!$M$15)*CHOOSE(ArtifactsInput!$N$15+1,8,9.6,11.2,12.8,14.4,16))/150)*(1-B2259/150)))/100</f>
        <v>1.6982958749999999</v>
      </c>
    </row>
    <row r="2261" spans="1:26" x14ac:dyDescent="0.2">
      <c r="A2261" t="s">
        <v>437</v>
      </c>
      <c r="B2261">
        <f>IF(AND(Inputs!$B$38&lt;&gt;"pvp",Inputs!$B$43&gt;0),SUMPRODUCT((Skills!F2:F28=TRUE)*(C2228:C2254=TRUE)*R2228:R2254)/Inputs!$B$43,SUMPRODUCT((Skills!F2:F28=TRUE)*(C2228:C2254=TRUE)*Q2228:Q2254))</f>
        <v>0.47499999999999998</v>
      </c>
    </row>
    <row r="2262" spans="1:26" x14ac:dyDescent="0.2">
      <c r="A2262" t="s">
        <v>362</v>
      </c>
      <c r="B2262">
        <f>MAX(0,B2260-B2261)</f>
        <v>1.2232958749999998</v>
      </c>
    </row>
    <row r="2263" spans="1:26" x14ac:dyDescent="0.2">
      <c r="A2263" t="s">
        <v>438</v>
      </c>
      <c r="B2263">
        <f>IF(AND(Inputs!$B$38&lt;&gt;"pvp",Inputs!$B$43&gt;0),SUMPRODUCT((Skills!V2:V28=TRUE)*(C2228:C2254=TRUE)*R2228:R2254*Skills!W2:W28)/Inputs!$B$43,SUMPRODUCT((Skills!V2:V28=TRUE)*(C2228:C2254=TRUE)*Q2228:Q2254*Skills!W2:W28))+B2262</f>
        <v>1.5482958749999998</v>
      </c>
    </row>
    <row r="2264" spans="1:26" x14ac:dyDescent="0.2">
      <c r="A2264" t="s">
        <v>439</v>
      </c>
      <c r="B2264">
        <f>IF(AND(Inputs!$B$38&lt;&gt;"pvp",Inputs!$B$43&gt;0),SUMPRODUCT((Skills!T2:T28&gt;0)*(Skills!F2:F28=TRUE)*(C2228:C2254=TRUE))/B2260,0)</f>
        <v>2.3553021937358238</v>
      </c>
    </row>
    <row r="2265" spans="1:26" x14ac:dyDescent="0.2">
      <c r="A2265" t="s">
        <v>440</v>
      </c>
      <c r="B2265">
        <f>SUM(S2228:S2254)</f>
        <v>1.024330984909985E+16</v>
      </c>
    </row>
    <row r="2266" spans="1:26" x14ac:dyDescent="0.2">
      <c r="A2266" t="s">
        <v>441</v>
      </c>
      <c r="B2266">
        <f>SUM(U2228:U2254)</f>
        <v>6.097859697407452E+16</v>
      </c>
    </row>
    <row r="2267" spans="1:26" x14ac:dyDescent="0.2">
      <c r="A2267" s="6" t="s">
        <v>348</v>
      </c>
      <c r="B2267" s="6">
        <f>SUM(O2228:O2254)</f>
        <v>3.561095341158718E+16</v>
      </c>
    </row>
    <row r="2270" spans="1:26" x14ac:dyDescent="0.2">
      <c r="A2270" s="6" t="s">
        <v>491</v>
      </c>
    </row>
    <row r="2271" spans="1:26" x14ac:dyDescent="0.2">
      <c r="A2271" s="5" t="s">
        <v>136</v>
      </c>
      <c r="B2271" s="5" t="s">
        <v>137</v>
      </c>
      <c r="C2271" s="5" t="s">
        <v>328</v>
      </c>
      <c r="D2271" s="5" t="s">
        <v>329</v>
      </c>
      <c r="E2271" s="5" t="s">
        <v>330</v>
      </c>
      <c r="F2271" s="5" t="s">
        <v>331</v>
      </c>
      <c r="G2271" s="5" t="s">
        <v>332</v>
      </c>
      <c r="H2271" s="5" t="s">
        <v>333</v>
      </c>
      <c r="I2271" s="5" t="s">
        <v>334</v>
      </c>
      <c r="J2271" s="5" t="s">
        <v>335</v>
      </c>
      <c r="K2271" s="5" t="s">
        <v>336</v>
      </c>
      <c r="L2271" s="5" t="s">
        <v>337</v>
      </c>
      <c r="M2271" s="5" t="s">
        <v>338</v>
      </c>
      <c r="N2271" s="5" t="s">
        <v>339</v>
      </c>
      <c r="O2271" s="5" t="s">
        <v>340</v>
      </c>
      <c r="P2271" s="5" t="s">
        <v>341</v>
      </c>
      <c r="R2271" t="s">
        <v>434</v>
      </c>
    </row>
    <row r="2272" spans="1:26" x14ac:dyDescent="0.2">
      <c r="A2272" t="str">
        <f>Skills!A2</f>
        <v>BASIC_ATTACK</v>
      </c>
      <c r="B2272" t="str">
        <f>Skills!B2</f>
        <v>Basic Attack</v>
      </c>
      <c r="C2272" t="b">
        <f>TRUE</f>
        <v>1</v>
      </c>
      <c r="F2272">
        <f>T2274+Skills!O2</f>
        <v>537.6</v>
      </c>
      <c r="G2272">
        <f>Calc!G2</f>
        <v>5</v>
      </c>
      <c r="H2272">
        <f>Calc!H2</f>
        <v>1</v>
      </c>
      <c r="I2272">
        <f>IF(Skills!X2&lt;&gt;"",1+(Skills!X2/10)*(Z2273/1000)/100,1)</f>
        <v>1</v>
      </c>
      <c r="J2272">
        <f>((Inputs!$B$6*(1+Inputs!$B$7/100))+(((Inputs!$B$12*(1+Inputs!$B$13/100))-(Inputs!$B$12*(1+Inputs!$B$13/100)))+0.25*(Inputs!$B$14-Inputs!$B$14))*(1+Inputs!$B$7/100))*(F2272/100)</f>
        <v>1941459186.9980164</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7255838619766.8555</v>
      </c>
      <c r="L2272">
        <f>K2272*(MIN(Inputs!$B$22+(F2292-Calc!F22),(Inputs!$B$23+(IF(ArtifactsInput!$M$15,CHOOSE(ArtifactsInput!$N$15+1,25,30,35,40,45,50)/100*(Inputs!$B$11-Inputs!$B$11),0))))/100+(Inputs!$B$23+(IF(ArtifactsInput!$M$15,CHOOSE(ArtifactsInput!$N$15+1,25,30,35,40,45,50)/100*(Inputs!$B$11-Inputs!$B$11),0)))/100)/2</f>
        <v>24125663410724.797</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113849005635210.3</v>
      </c>
      <c r="N2272">
        <f>L2272*(1-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113849005635210.3</v>
      </c>
      <c r="O2272">
        <f>(1-Summary!$B$11)*S2272+Summary!$B$11*U2272</f>
        <v>1.3714713592716682E+16</v>
      </c>
      <c r="P2272">
        <f>IF(B2311=0,0,O2272/B2311)</f>
        <v>0.37819938885449511</v>
      </c>
      <c r="Q2272">
        <f>IFERROR(1/(IF(Inputs!$B$38="pvp",15,MAX(0.1,Skills!E2-IF(TRUE=TRUE,Inputs!$B$32,0)))*(1-IF(AND(ArtifactsInput!$M$27,Inputs!$B$4="Chapter Hunt"),CHOOSE(ArtifactsInput!$N$27+1,20,24,28,32,36,40),0)/100)),0)</f>
        <v>10</v>
      </c>
      <c r="R2272">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2277081160100713.5</v>
      </c>
      <c r="T2272">
        <f>MAX(0,(Inputs!$B$3-100)*3)+Inputs!$B$28+Inputs!$B$29</f>
        <v>185</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2.5152346025332652E+16</v>
      </c>
      <c r="Z2272">
        <f>MAX(0,(Inputs!$B$3-100)*3)+Inputs!$B$28+Inputs!$B$29</f>
        <v>185</v>
      </c>
    </row>
    <row r="2273" spans="1:26" x14ac:dyDescent="0.2">
      <c r="A2273" t="str">
        <f>Skills!A3</f>
        <v>IGNITE</v>
      </c>
      <c r="B2273" t="str">
        <f>Skills!B3</f>
        <v>Ignite</v>
      </c>
      <c r="C2273" t="b">
        <f>TRUE</f>
        <v>1</v>
      </c>
      <c r="D2273">
        <f>IF(Skills!C3=1,60+Inputs!$B$25+Inputs!$B$29,IF(Skills!C3=2,90+Inputs!$B$26+Inputs!$B$29,IF(Skills!C3=3,120+Inputs!$B$27+Inputs!$B$29,MAX(0,(Inputs!$B$3-100)*3)+Inputs!$B$28+Inputs!$B$29)))</f>
        <v>168</v>
      </c>
      <c r="E2273">
        <f>INDEX(FactorTable!$B$2:$Y$301, MATCH(ROUND(MIN(300,MAX(1,D2273)),0), FactorTable!$A$2:$A$301,0), Skills!M3+1)</f>
        <v>1672</v>
      </c>
      <c r="F2273">
        <f>IF(Skills!N3=TRUE,(Skills!L3/10)*(E2273/1000),Skills!L3/10)+Skills!O3</f>
        <v>121.736</v>
      </c>
      <c r="G2273">
        <f>Calc!G3</f>
        <v>3</v>
      </c>
      <c r="H2273">
        <f>Calc!H3</f>
        <v>1</v>
      </c>
      <c r="I2273">
        <f>IF(Skills!X3&lt;&gt;"",1+(Skills!X3/10)*(Z2273/1000)/100,1)</f>
        <v>4.8250000000000002</v>
      </c>
      <c r="J2273">
        <f>((Inputs!$B$6*(1+Inputs!$B$7/100))+(((Inputs!$B$12*(1+Inputs!$B$13/100))-(Inputs!$B$12*(1+Inputs!$B$13/100)))+0.25*(Inputs!$B$14-Inputs!$B$14))*(1+Inputs!$B$7/100))*(F2273/100)</f>
        <v>439630720.9605478</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11681775860475.275</v>
      </c>
      <c r="L2273">
        <f>K2273*(MIN(Inputs!$B$22+(F2292-Calc!F22),(Inputs!$B$23+(IF(ArtifactsInput!$M$15,CHOOSE(ArtifactsInput!$N$15+1,25,30,35,40,45,50)/100*(Inputs!$B$11-Inputs!$B$11),0))))/100+(Inputs!$B$23+(IF(ArtifactsInput!$M$15,CHOOSE(ArtifactsInput!$N$15+1,25,30,35,40,45,50)/100*(Inputs!$B$11-Inputs!$B$11),0)))/100)/2</f>
        <v>38841904736080.289</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183294948449562.88</v>
      </c>
      <c r="N2273">
        <f>L2273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183294948449562.88</v>
      </c>
      <c r="O2273">
        <f>(1-Summary!$B$11)*S2273+Summary!$B$11*U2273</f>
        <v>3186582678795650.5</v>
      </c>
      <c r="P2273">
        <f>IF(B2311=0,0,O2273/B2311)</f>
        <v>8.7873772463965091E-2</v>
      </c>
      <c r="Q2273">
        <f>IFERROR(1/(IF(Inputs!$B$38="pvp",15,MAX(0.1,Skills!E3-IF(FALSE=TRUE,Inputs!$B$32,0)))*(1-IF(AND(ArtifactsInput!$M$27,Inputs!$B$4="Chapter Hunt"),CHOOSE(ArtifactsInput!$N$27+1,20,24,28,32,36,40),0)/100)),0)</f>
        <v>1</v>
      </c>
      <c r="R2273">
        <f>IF(AND(Inputs!$B$38&lt;&gt;"pvp",Inputs!$B$43&gt;0),IF(MAX(0,Inputs!$B$43-B2308)&lt;=0,0,(INT(MAX(0,Inputs!$B$43-B2308)/(IF(Inputs!$B$38="pvp",15,MAX(0.1,Skills!E3-IF(FALSE=TRUE,Inputs!$B$32,0)))*(1-IF(AND(ArtifactsInput!$M$27,Inputs!$B$4="Chapter Hunt"),CHOOSE(ArtifactsInput!$N$27+1,20,24,28,32,36,40),0)/100)))+1)),0)</f>
        <v>38</v>
      </c>
      <c r="S2273">
        <f>IF(C2273,(H2273*N2273*IF(AND(Inputs!$B$38&lt;&gt;"pvp",Inputs!$B$43&gt;0),((Skills!G3*((R2273-1)*IF(Skills!H3&gt;0,Skills!I3/Skills!H3,1)+IF(Skills!H3&gt;0,MIN(Skills!I3,MAX(0,MAX(0,Inputs!$B$43-B2308)-((R2273-1)*(IF(Inputs!$B$38="pvp",15,MAX(0.1,Skills!E3-IF(FALSE=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1655978211767575.8</v>
      </c>
      <c r="T2273">
        <f>INDEX(FactorTable!$B$2:$Y$301, MATCH(ROUND(MIN(300,MAX(1,T2272)),0), FactorTable!$A$2:$A$301,0), 22)</f>
        <v>1740</v>
      </c>
      <c r="U2273">
        <f>IF(C2273,(H2273*N2273*IF(AND(Inputs!$B$38&lt;&gt;"pvp",Inputs!$B$43&gt;0),((Skills!G3*((R2273-1)*IF(Skills!H3&gt;0,Skills!I3/Skills!H3,1)+IF(Skills!H3&gt;0,MIN(Skills!I3,MAX(0,MAX(0,Inputs!$B$43-B2308)-((R2273-1)*(IF(Inputs!$B$38="pvp",15,MAX(0.1,Skills!E3-IF(FALSE=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4717187145823725</v>
      </c>
      <c r="Z2273">
        <f>INDEX(FactorTable!$B$2:$Y$301, MATCH(ROUND(MIN(300,MAX(1,Z2272)),0), FactorTable!$A$2:$A$301,0), 24)</f>
        <v>7650</v>
      </c>
    </row>
    <row r="2274" spans="1:26" x14ac:dyDescent="0.2">
      <c r="A2274" t="str">
        <f>Skills!A4</f>
        <v>POISON_BREATH</v>
      </c>
      <c r="B2274" t="str">
        <f>Skills!B4</f>
        <v>Poison Breath</v>
      </c>
      <c r="C2274" t="b">
        <f>TRUE</f>
        <v>1</v>
      </c>
      <c r="D2274">
        <f>IF(Skills!C4=1,60+Inputs!$B$25+Inputs!$B$29,IF(Skills!C4=2,90+Inputs!$B$26+Inputs!$B$29,IF(Skills!C4=3,120+Inputs!$B$27+Inputs!$B$29,MAX(0,(Inputs!$B$3-100)*3)+Inputs!$B$28+Inputs!$B$29)))</f>
        <v>168</v>
      </c>
      <c r="E2274">
        <f>INDEX(FactorTable!$B$2:$Y$301, MATCH(ROUND(MIN(300,MAX(1,D2274)),0), FactorTable!$A$2:$A$301,0), Skills!M4+1)</f>
        <v>1840</v>
      </c>
      <c r="F2274">
        <f>IF(Skills!N4=TRUE,(Skills!L4/10)*(E2274/1000),Skills!L4/10)+Skills!O4</f>
        <v>438</v>
      </c>
      <c r="G2274">
        <f>Calc!G4</f>
        <v>3</v>
      </c>
      <c r="H2274">
        <f>Calc!H4</f>
        <v>1</v>
      </c>
      <c r="I2274">
        <f>IF(Skills!X4&lt;&gt;"",1+(Skills!X4/10)*(Z2273/1000)/100,1)</f>
        <v>7.12</v>
      </c>
      <c r="J2274">
        <f>((Inputs!$B$6*(1+Inputs!$B$7/100))+(((Inputs!$B$12*(1+Inputs!$B$13/100))-(Inputs!$B$12*(1+Inputs!$B$13/100)))+0.25*(Inputs!$B$14-Inputs!$B$14))*(1+Inputs!$B$7/100))*(F2274/100)</f>
        <v>1581769203.69258</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62022123006420.352</v>
      </c>
      <c r="L2274">
        <f>K2274*(MIN(Inputs!$B$22+(F2292-Calc!F22),(Inputs!$B$23+(IF(ArtifactsInput!$M$15,CHOOSE(ArtifactsInput!$N$15+1,25,30,35,40,45,50)/100*(Inputs!$B$11-Inputs!$B$11),0))))/100+(Inputs!$B$23+(IF(ArtifactsInput!$M$15,CHOOSE(ArtifactsInput!$N$15+1,25,30,35,40,45,50)/100*(Inputs!$B$11-Inputs!$B$11),0)))/100)/2</f>
        <v>206223558996347.69</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973168974903764.62</v>
      </c>
      <c r="N2274">
        <f>L2274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973168974903764.62</v>
      </c>
      <c r="O2274">
        <f>(1-Summary!$B$11)*S2274+Summary!$B$11*U2274</f>
        <v>2324292450435778.5</v>
      </c>
      <c r="P2274">
        <f>IF(B2311=0,0,O2274/B2311)</f>
        <v>6.4095103286790717E-2</v>
      </c>
      <c r="Q2274">
        <f>IFERROR(1/(IF(Inputs!$B$38="pvp",15,MAX(0.1,Skills!E4-IF(TRUE=TRUE,Inputs!$B$32,0)))*(1-IF(AND(ArtifactsInput!$M$27,Inputs!$B$4="Chapter Hunt"),CHOOSE(ArtifactsInput!$N$27+1,20,24,28,32,36,40),0)/100)),0)</f>
        <v>5.5555555555555552E-2</v>
      </c>
      <c r="R2274">
        <f>IF(AND(Inputs!$B$38&lt;&gt;"pvp",Inputs!$B$43&gt;0),IF(MAX(0,Inputs!$B$43-B2308)&lt;=0,0,(INT(MAX(0,Inputs!$B$43-B2308)/(IF(Inputs!$B$38="pvp",15,MAX(0.1,Skills!E4-IF(TRUE=TRUE,Inputs!$B$32,0)))*(1-IF(AND(ArtifactsInput!$M$27,Inputs!$B$4="Chapter Hunt"),CHOOSE(ArtifactsInput!$N$27+1,20,24,28,32,36,40),0)/100)))+1)),0)</f>
        <v>3</v>
      </c>
      <c r="S2274">
        <f>IF(C2274,(H2274*N2274*IF(AND(Inputs!$B$38&lt;&gt;"pvp",Inputs!$B$43&gt;0),((Skills!G4*((R2274-1)*IF(Skills!H4&gt;0,Skills!I4/Skills!H4,1)+IF(Skills!H4&gt;0,MIN(Skills!I4,MAX(0,MAX(0,Inputs!$B$43-B2308)-((R2274-1)*(IF(Inputs!$B$38="pvp",15,MAX(0.1,Skills!E4-IF(TRUE=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694112771350110.12</v>
      </c>
      <c r="T2274">
        <f>290*T2273/1000</f>
        <v>504.6</v>
      </c>
      <c r="U2274">
        <f>IF(C2274,(H2274*N2274*IF(AND(Inputs!$B$38&lt;&gt;"pvp",Inputs!$B$43&gt;0),((Skills!G4*((R2274-1)*IF(Skills!H4&gt;0,Skills!I4/Skills!H4,1)+IF(Skills!H4&gt;0,MIN(Skills!I4,MAX(0,MAX(0,Inputs!$B$43-B2308)-((R2274-1)*(IF(Inputs!$B$38="pvp",15,MAX(0.1,Skills!E4-IF(TRUE=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3954472129521447</v>
      </c>
    </row>
    <row r="2275" spans="1:26" x14ac:dyDescent="0.2">
      <c r="A2275" t="str">
        <f>Skills!A5</f>
        <v>ELEMENTAL_DRAIN</v>
      </c>
      <c r="B2275" t="str">
        <f>Skills!B5</f>
        <v>Elemental Drain</v>
      </c>
      <c r="C2275" t="b">
        <f>TRUE</f>
        <v>1</v>
      </c>
      <c r="D2275">
        <f>IF(Skills!C5=1,60+Inputs!$B$25+Inputs!$B$29,IF(Skills!C5=2,90+Inputs!$B$26+Inputs!$B$29,IF(Skills!C5=3,120+Inputs!$B$27+Inputs!$B$29,MAX(0,(Inputs!$B$3-100)*3)+Inputs!$B$28+Inputs!$B$29)))</f>
        <v>168</v>
      </c>
      <c r="E2275">
        <f>INDEX(FactorTable!$B$2:$Y$301, MATCH(ROUND(MIN(300,MAX(1,D2275)),0), FactorTable!$A$2:$A$301,0), Skills!M5+1)</f>
        <v>1672</v>
      </c>
      <c r="F2275">
        <f>IF(Skills!N5=TRUE,(Skills!L5/10)*(E2275/1000),Skills!L5/10)+Skills!O5</f>
        <v>20.064</v>
      </c>
      <c r="G2275">
        <f>Calc!G5</f>
        <v>5</v>
      </c>
      <c r="H2275">
        <f>Calc!H5</f>
        <v>1</v>
      </c>
      <c r="I2275">
        <f>IF(Skills!X5&lt;&gt;"",1+(Skills!X5/10)*(Z2273/1000)/100,1)</f>
        <v>12.475</v>
      </c>
      <c r="J2275">
        <f>((Inputs!$B$6*(1+Inputs!$B$7/100))+(((Inputs!$B$12*(1+Inputs!$B$13/100))-(Inputs!$B$12*(1+Inputs!$B$13/100)))+0.25*(Inputs!$B$14-Inputs!$B$14))*(1+Inputs!$B$7/100))*(F2275/100)</f>
        <v>72458030.371890247</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4977950769941.9619</v>
      </c>
      <c r="L2275">
        <f>K2275*(MIN(Inputs!$B$22+(F2292-Calc!F22),(Inputs!$B$23+(IF(ArtifactsInput!$M$15,CHOOSE(ArtifactsInput!$N$15+1,25,30,35,40,45,50)/100*(Inputs!$B$11-Inputs!$B$11),0))))/100+(Inputs!$B$23+(IF(ArtifactsInput!$M$15,CHOOSE(ArtifactsInput!$N$15+1,25,30,35,40,45,50)/100*(Inputs!$B$11-Inputs!$B$11),0)))/100)/2</f>
        <v>16551686310057.023</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78107407697159.078</v>
      </c>
      <c r="N2275">
        <f>L2275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78107407697159.078</v>
      </c>
      <c r="O2275">
        <f>(1-Summary!$B$11)*S2275+Summary!$B$11*U2275</f>
        <v>1146421476475052.2</v>
      </c>
      <c r="P2275">
        <f>IF(B2311=0,0,O2275/B2311)</f>
        <v>3.1613923166633751E-2</v>
      </c>
      <c r="Q2275">
        <f>IFERROR(1/(IF(Inputs!$B$38="pvp",15,MAX(0.1,Skills!E5-IF(FALSE=TRUE,Inputs!$B$32,0)))*(1-IF(AND(ArtifactsInput!$M$27,Inputs!$B$4="Chapter Hunt"),CHOOSE(ArtifactsInput!$N$27+1,20,24,28,32,36,40),0)/100)),0)</f>
        <v>1</v>
      </c>
      <c r="R2275">
        <f>IF(AND(Inputs!$B$38&lt;&gt;"pvp",Inputs!$B$43&gt;0),IF(MAX(0,Inputs!$B$43-B2308)&lt;=0,0,(INT(MAX(0,Inputs!$B$43-B2308)/(IF(Inputs!$B$38="pvp",15,MAX(0.1,Skills!E5-IF(FALSE=TRUE,Inputs!$B$32,0)))*(1-IF(AND(ArtifactsInput!$M$27,Inputs!$B$4="Chapter Hunt"),CHOOSE(ArtifactsInput!$N$27+1,20,24,28,32,36,40),0)/100)))+1)),0)</f>
        <v>38</v>
      </c>
      <c r="S2275">
        <f>IF(C2275,(H2275*N2275*IF(AND(Inputs!$B$38&lt;&gt;"pvp",Inputs!$B$43&gt;0),((Skills!G5*((R2275-1)*IF(Skills!H5&gt;0,Skills!I5/Skills!H5,1)+IF(Skills!H5&gt;0,MIN(Skills!I5,MAX(0,MAX(0,Inputs!$B$43-B2308)-((R2275-1)*(IF(Inputs!$B$38="pvp",15,MAX(0.1,Skills!E5-IF(FALSE=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1176102291399972.8</v>
      </c>
      <c r="U2275">
        <f>IF(C2275,(H2275*N2275*IF(AND(Inputs!$B$38&lt;&gt;"pvp",Inputs!$B$43&gt;0),((Skills!G5*((R2275-1)*IF(Skills!H5&gt;0,Skills!I5/Skills!H5,1)+IF(Skills!H5&gt;0,MIN(Skills!I5,MAX(0,MAX(0,Inputs!$B$43-B2308)-((R2275-1)*(IF(Inputs!$B$38="pvp",15,MAX(0.1,Skills!E5-IF(FALSE=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1116740661550131.9</v>
      </c>
    </row>
    <row r="2276" spans="1:26" x14ac:dyDescent="0.2">
      <c r="A2276" t="str">
        <f>Skills!A6</f>
        <v>MEDITATION</v>
      </c>
      <c r="B2276" t="str">
        <f>Skills!B6</f>
        <v>Meditation</v>
      </c>
      <c r="C2276" t="b">
        <f>TRUE</f>
        <v>1</v>
      </c>
      <c r="D2276">
        <f>IF(Skills!C6=1,60+Inputs!$B$25+Inputs!$B$29,IF(Skills!C6=2,90+Inputs!$B$26+Inputs!$B$29,IF(Skills!C6=3,120+Inputs!$B$27+Inputs!$B$29,MAX(0,(Inputs!$B$3-100)*3)+Inputs!$B$28+Inputs!$B$29)))</f>
        <v>168</v>
      </c>
      <c r="E2276">
        <f>INDEX(FactorTable!$B$2:$Y$301, MATCH(ROUND(MIN(300,MAX(1,D2276)),0), FactorTable!$A$2:$A$301,0), Skills!M6+1)</f>
        <v>1672</v>
      </c>
      <c r="F2276">
        <f>IF(Skills!N6=TRUE,(Skills!L6/10)*(E2276/1000),Skills!L6/10)+Skills!O6</f>
        <v>33.44</v>
      </c>
      <c r="G2276">
        <f>Calc!G6</f>
        <v>1</v>
      </c>
      <c r="H2276">
        <f>Calc!H6</f>
        <v>1</v>
      </c>
      <c r="I2276">
        <f>IF(Skills!X6&lt;&gt;"",1+(Skills!X6/10)*(Z2273/1000)/100,1)</f>
        <v>1</v>
      </c>
      <c r="O2276">
        <f>(1-Summary!$B$11)*S2276+Summary!$B$11*U2276</f>
        <v>0</v>
      </c>
      <c r="P2276">
        <f>IF(B2311=0,0,O2276/B2311)</f>
        <v>0</v>
      </c>
      <c r="Q2276">
        <f>IFERROR(1/(IF(Inputs!$B$38="pvp",15,MAX(0.1,Skills!E6-IF(TRUE=TRUE,Inputs!$B$32,0)))*(1-IF(AND(ArtifactsInput!$M$27,Inputs!$B$4="Chapter Hunt"),CHOOSE(ArtifactsInput!$N$27+1,20,24,28,32,36,40),0)/100)),0)</f>
        <v>3.3333333333333333E-2</v>
      </c>
      <c r="R2276">
        <f>IF(AND(Inputs!$B$38&lt;&gt;"pvp",Inputs!$B$43&gt;0),IF(Inputs!$B$43&lt;=0,0,(INT(Inputs!$B$43/(IF(Inputs!$B$38="pvp",15,MAX(0.1,Skills!E6-IF(TRUE=TRUE,Inputs!$B$32,0)))*(1-IF(AND(ArtifactsInput!$M$27,Inputs!$B$4="Chapter Hunt"),CHOOSE(ArtifactsInput!$N$27+1,20,24,28,32,36,40),0)/100)))+1)),0)</f>
        <v>2</v>
      </c>
      <c r="S2276">
        <v>0</v>
      </c>
      <c r="U2276">
        <v>0</v>
      </c>
    </row>
    <row r="2277" spans="1:26" x14ac:dyDescent="0.2">
      <c r="A2277" t="str">
        <f>Skills!A7</f>
        <v>POISON_MIST_BURST</v>
      </c>
      <c r="B2277" t="str">
        <f>Skills!B7</f>
        <v>Poison Mist (burst)</v>
      </c>
      <c r="C2277" t="b">
        <f>TRUE</f>
        <v>1</v>
      </c>
      <c r="D2277">
        <f>IF(Skills!C7=1,60+Inputs!$B$25+Inputs!$B$29,IF(Skills!C7=2,90+Inputs!$B$26+Inputs!$B$29,IF(Skills!C7=3,120+Inputs!$B$27+Inputs!$B$29,MAX(0,(Inputs!$B$3-100)*3)+Inputs!$B$28+Inputs!$B$29)))</f>
        <v>184</v>
      </c>
      <c r="E2277">
        <f>INDEX(FactorTable!$B$2:$Y$301, MATCH(ROUND(MIN(300,MAX(1,D2277)),0), FactorTable!$A$2:$A$301,0), Skills!M7+1)</f>
        <v>1920</v>
      </c>
      <c r="F2277">
        <f>IF(Skills!N7=TRUE,(Skills!L7/10)*(E2277/1000),Skills!L7/10)+Skills!O7</f>
        <v>357.2</v>
      </c>
      <c r="G2277">
        <f>Calc!G7</f>
        <v>3</v>
      </c>
      <c r="H2277">
        <f>Calc!H7</f>
        <v>1</v>
      </c>
      <c r="I2277">
        <f>IF(Skills!X7&lt;&gt;"",1+(Skills!X7/10)*(Z2273/1000)/100,1)</f>
        <v>1.7650000000000001</v>
      </c>
      <c r="J2277">
        <f>((Inputs!$B$6*(1+Inputs!$B$7/100))+(((Inputs!$B$12*(1+Inputs!$B$13/100))-(Inputs!$B$12*(1+Inputs!$B$13/100)))+0.25*(Inputs!$B$14-Inputs!$B$14))*(1+Inputs!$B$7/100))*(F2277/100)</f>
        <v>1289972510.4086521</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12538589485654.207</v>
      </c>
      <c r="L2277">
        <f>K2277*(MIN(Inputs!$B$22+(F2292-Calc!F22),(Inputs!$B$23+(IF(ArtifactsInput!$M$15,CHOOSE(ArtifactsInput!$N$15+1,25,30,35,40,45,50)/100*(Inputs!$B$11-Inputs!$B$11),0))))/100+(Inputs!$B$23+(IF(ArtifactsInput!$M$15,CHOOSE(ArtifactsInput!$N$15+1,25,30,35,40,45,50)/100*(Inputs!$B$11-Inputs!$B$11),0)))/100)/2</f>
        <v>41690810039800.242</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196738932577817.31</v>
      </c>
      <c r="N2277">
        <f>L2277*(1-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196738932577817.31</v>
      </c>
      <c r="O2277">
        <f>(1-Summary!$B$11)*S2277+Summary!$B$11*U2277</f>
        <v>490912821514798.62</v>
      </c>
      <c r="P2277">
        <f>IF(B2311=0,0,O2277/B2311)</f>
        <v>1.3537499549121507E-2</v>
      </c>
      <c r="Q2277">
        <f>IFERROR(1/(IF(Inputs!$B$38="pvp",15,MAX(0.1,Skills!E7-IF(TRUE=TRUE,Inputs!$B$32,0)))*(1-IF(AND(ArtifactsInput!$M$27,Inputs!$B$4="Chapter Hunt"),CHOOSE(ArtifactsInput!$N$27+1,20,24,28,32,36,40),0)/100)),0)</f>
        <v>4.0816326530612242E-2</v>
      </c>
      <c r="R2277">
        <f>IF(AND(Inputs!$B$38&lt;&gt;"pvp",Inputs!$B$43&gt;0),IF(MAX(0,Inputs!$B$43-B2308)&lt;=0,0,(INT(MAX(0,Inputs!$B$43-B2308)/(IF(Inputs!$B$38="pvp",15,MAX(0.1,Skills!E7-IF(TRUE=TRUE,Inputs!$B$32,0)))*(1-IF(AND(ArtifactsInput!$M$27,Inputs!$B$4="Chapter Hunt"),CHOOSE(ArtifactsInput!$N$27+1,20,24,28,32,36,40),0)/100)))+1)),0)</f>
        <v>2</v>
      </c>
      <c r="S2277">
        <f>IF(C2277,(H2277*N2277*IF(AND(Inputs!$B$38&lt;&gt;"pvp",Inputs!$B$43&gt;0),((Skills!G7*((R2277-1)*IF(Skills!H7&gt;0,Skills!I7/Skills!H7,1)+IF(Skills!H7&gt;0,MIN(Skills!I7,MAX(0,MAX(0,Inputs!$B$43-B2308)-((R2277-1)*(IF(Inputs!$B$38="pvp",15,MAX(0.1,Skills!E7-IF(TRUE=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93549362440752.125</v>
      </c>
      <c r="U2277">
        <f>IF(C2277,(H2277*N2277*IF(AND(Inputs!$B$38&lt;&gt;"pvp",Inputs!$B$43&gt;0),((Skills!G7*((R2277-1)*IF(Skills!H7&gt;0,Skills!I7/Skills!H7,1)+IF(Skills!H7&gt;0,MIN(Skills!I7,MAX(0,MAX(0,Inputs!$B$43-B2308)-((R2277-1)*(IF(Inputs!$B$38="pvp",15,MAX(0.1,Skills!E7-IF(TRUE=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888276280588845.12</v>
      </c>
    </row>
    <row r="2278" spans="1:26" x14ac:dyDescent="0.2">
      <c r="A2278" t="str">
        <f>Skills!A8</f>
        <v>POISON_MIST_DOT</v>
      </c>
      <c r="B2278" t="str">
        <f>Skills!B8</f>
        <v>Poison Mist (fog DoT)</v>
      </c>
      <c r="C2278" t="b">
        <f>TRUE</f>
        <v>1</v>
      </c>
      <c r="D2278">
        <f>IF(Skills!C8=1,60+Inputs!$B$25+Inputs!$B$29,IF(Skills!C8=2,90+Inputs!$B$26+Inputs!$B$29,IF(Skills!C8=3,120+Inputs!$B$27+Inputs!$B$29,MAX(0,(Inputs!$B$3-100)*3)+Inputs!$B$28+Inputs!$B$29)))</f>
        <v>184</v>
      </c>
      <c r="E2278">
        <f>INDEX(FactorTable!$B$2:$Y$301, MATCH(ROUND(MIN(300,MAX(1,D2278)),0), FactorTable!$A$2:$A$301,0), Skills!M8+1)</f>
        <v>1920</v>
      </c>
      <c r="F2278">
        <f>IF(Skills!N8=TRUE,(Skills!L8/10)*(E2278/1000),Skills!L8/10)+Skills!O8</f>
        <v>134.4</v>
      </c>
      <c r="G2278">
        <f>Calc!G8</f>
        <v>50</v>
      </c>
      <c r="H2278">
        <f>Calc!H8</f>
        <v>1</v>
      </c>
      <c r="I2278">
        <f>IF(Skills!X8&lt;&gt;"",1+(Skills!X8/10)*(Z2273/1000)/100,1)</f>
        <v>1.7650000000000001</v>
      </c>
      <c r="J2278">
        <f>((Inputs!$B$6*(1+Inputs!$B$7/100))+(((Inputs!$B$12*(1+Inputs!$B$13/100))-(Inputs!$B$12*(1+Inputs!$B$13/100)))+0.25*(Inputs!$B$14-Inputs!$B$14))*(1+Inputs!$B$7/100))*(F2278/100)</f>
        <v>485364796.74950409</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4717767152496.9912</v>
      </c>
      <c r="L2278">
        <f>K2278*(MIN(Inputs!$B$22+(F2292-Calc!F22),(Inputs!$B$23+(IF(ArtifactsInput!$M$15,CHOOSE(ArtifactsInput!$N$15+1,25,30,35,40,45,50)/100*(Inputs!$B$11-Inputs!$B$11),0))))/100+(Inputs!$B$23+(IF(ArtifactsInput!$M$15,CHOOSE(ArtifactsInput!$N$15+1,25,30,35,40,45,50)/100*(Inputs!$B$11-Inputs!$B$11),0)))/100)/2</f>
        <v>15686575782052.496</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74024951115505.719</v>
      </c>
      <c r="N2278">
        <f>L2278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74024951115505.719</v>
      </c>
      <c r="O2278">
        <f>(1-Summary!$B$11)*S2278+Summary!$B$11*U2278</f>
        <v>2550909290667402</v>
      </c>
      <c r="P2278">
        <f>IF(B2311=0,0,O2278/B2311)</f>
        <v>7.0344329703392799E-2</v>
      </c>
      <c r="Q2278">
        <f>IFERROR(1/(IF(Inputs!$B$38="pvp",15,MAX(0.1,Skills!E8-IF(TRUE=TRUE,Inputs!$B$32,0)))*(1-IF(AND(ArtifactsInput!$M$27,Inputs!$B$4="Chapter Hunt"),CHOOSE(ArtifactsInput!$N$27+1,20,24,28,32,36,40),0)/100)),0)</f>
        <v>4.0816326530612242E-2</v>
      </c>
      <c r="R2278">
        <f>IF(AND(Inputs!$B$38&lt;&gt;"pvp",Inputs!$B$43&gt;0),IF(MAX(0,Inputs!$B$43-B2308)&lt;=0,0,(INT(MAX(0,Inputs!$B$43-B2308)/(IF(Inputs!$B$38="pvp",15,MAX(0.1,Skills!E8-IF(TRUE=TRUE,Inputs!$B$32,0)))*(1-IF(AND(ArtifactsInput!$M$27,Inputs!$B$4="Chapter Hunt"),CHOOSE(ArtifactsInput!$N$27+1,20,24,28,32,36,40),0)/100)))+1)),0)</f>
        <v>2</v>
      </c>
      <c r="S2278">
        <f>IF(C2278,(H2278*N2278*IF(AND(Inputs!$B$38&lt;&gt;"pvp",Inputs!$B$43&gt;0),((Skills!G8*((R2278-1)*IF(Skills!H8&gt;0,Skills!I8/Skills!H8,1)+IF(Skills!H8&gt;0,MIN(Skills!I8,MAX(0,MAX(0,Inputs!$B$43-B2308)-((R2278-1)*(IF(Inputs!$B$38="pvp",15,MAX(0.1,Skills!E8-IF(TRUE=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486106549529045.12</v>
      </c>
      <c r="U2278">
        <f>IF(C2278,(H2278*N2278*IF(AND(Inputs!$B$38&lt;&gt;"pvp",Inputs!$B$43&gt;0),((Skills!G8*((R2278-1)*IF(Skills!H8&gt;0,Skills!I8/Skills!H8,1)+IF(Skills!H8&gt;0,MIN(Skills!I8,MAX(0,MAX(0,Inputs!$B$43-B2308)-((R2278-1)*(IF(Inputs!$B$38="pvp",15,MAX(0.1,Skills!E8-IF(TRUE=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4615712031805759</v>
      </c>
    </row>
    <row r="2279" spans="1:26" x14ac:dyDescent="0.2">
      <c r="A2279" t="str">
        <f>Skills!A9</f>
        <v>MIST_ERUPTION</v>
      </c>
      <c r="B2279" t="str">
        <f>Skills!B9</f>
        <v>Mist Eruption</v>
      </c>
      <c r="C2279" t="b">
        <f>Inputs!$B$3&gt;=103</f>
        <v>1</v>
      </c>
      <c r="D2279">
        <f>IF(Skills!C9=1,60+Inputs!$B$25+Inputs!$B$29,IF(Skills!C9=2,90+Inputs!$B$26+Inputs!$B$29,IF(Skills!C9=3,120+Inputs!$B$27+Inputs!$B$29,MAX(0,(Inputs!$B$3-100)*3)+Inputs!$B$28+Inputs!$B$29)))</f>
        <v>185</v>
      </c>
      <c r="E2279">
        <f>INDEX(FactorTable!$B$2:$Y$301, MATCH(ROUND(MIN(300,MAX(1,D2279)),0), FactorTable!$A$2:$A$301,0), Skills!M9+1)</f>
        <v>1925</v>
      </c>
      <c r="F2279">
        <f>IF(Skills!N9=TRUE,(Skills!L9/10)*(E2279/1000),Skills!L9/10)+Skills!O9</f>
        <v>5775</v>
      </c>
      <c r="G2279">
        <f>Calc!G9</f>
        <v>2.5</v>
      </c>
      <c r="H2279">
        <f>Calc!H9</f>
        <v>1</v>
      </c>
      <c r="I2279">
        <f>IF(Skills!X9&lt;&gt;"",1+(Skills!X9/10)*(Z2273/1000)/100,1)</f>
        <v>1</v>
      </c>
      <c r="J2279">
        <f>((Inputs!$B$6*(1+Inputs!$B$7/100))+(((Inputs!$B$12*(1+Inputs!$B$13/100))-(Inputs!$B$12*(1+Inputs!$B$13/100)))+0.25*(Inputs!$B$14-Inputs!$B$14))*(1+Inputs!$B$7/100))*(F2279/100)</f>
        <v>20855518610.330254</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114853573560257.83</v>
      </c>
      <c r="L2279">
        <f>K2279*(MIN(Inputs!$B$22+(F2292-Calc!F22),(Inputs!$B$23+(IF(ArtifactsInput!$M$15,CHOOSE(ArtifactsInput!$N$15+1,25,30,35,40,45,50)/100*(Inputs!$B$11-Inputs!$B$11),0))))/100+(Inputs!$B$23+(IF(ArtifactsInput!$M$15,CHOOSE(ArtifactsInput!$N$15+1,25,30,35,40,45,50)/100*(Inputs!$B$11-Inputs!$B$11),0)))/100)/2</f>
        <v>381888132087857.31</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1802130095322598.5</v>
      </c>
      <c r="N2279">
        <f>L2279*(1-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1802130095322598.5</v>
      </c>
      <c r="O2279">
        <f>(1-Summary!$B$11)*S2279+Summary!$B$11*U2279</f>
        <v>3747304266961428</v>
      </c>
      <c r="P2279">
        <f>IF(B2311=0,0,O2279/B2311)</f>
        <v>0.10333633101673266</v>
      </c>
      <c r="Q2279">
        <f>IFERROR(1/(IF(Inputs!$B$38="pvp",15,MAX(0.1,Skills!E9-IF(TRUE=TRUE,Inputs!$B$32,0)))*(1-IF(AND(ArtifactsInput!$M$27,Inputs!$B$4="Chapter Hunt"),CHOOSE(ArtifactsInput!$N$27+1,20,24,28,32,36,40),0)/100)),0)</f>
        <v>4.0816326530612242E-2</v>
      </c>
      <c r="R2279">
        <f>IF(AND(Inputs!$B$38&lt;&gt;"pvp",Inputs!$B$43&gt;0),IF(MAX(0,Inputs!$B$43-B2308)&lt;=0,0,(INT(MAX(0,Inputs!$B$43-B2308)/(IF(Inputs!$B$38="pvp",15,MAX(0.1,Skills!E9-IF(TRUE=TRUE,Inputs!$B$32,0)))*(1-IF(AND(ArtifactsInput!$M$27,Inputs!$B$4="Chapter Hunt"),CHOOSE(ArtifactsInput!$N$27+1,20,24,28,32,36,40),0)/100)))+1)),0)</f>
        <v>2</v>
      </c>
      <c r="S2279">
        <f>IF(C2279,(H2279*N2279*IF(AND(Inputs!$B$38&lt;&gt;"pvp",Inputs!$B$43&gt;0),((Skills!G9*((R2279-1)*IF(Skills!H9&gt;0,Skills!I9/Skills!H9,1)+IF(Skills!H9&gt;0,MIN(Skills!I9,MAX(0,MAX(0,Inputs!$B$43-B2308)-((R2279-1)*(IF(Inputs!$B$38="pvp",15,MAX(0.1,Skills!E9-IF(TRUE=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714094050271579.62</v>
      </c>
      <c r="U2279">
        <f>IF(C2279,(H2279*N2279*IF(AND(Inputs!$B$38&lt;&gt;"pvp",Inputs!$B$43&gt;0),((Skills!G9*((R2279-1)*IF(Skills!H9&gt;0,Skills!I9/Skills!H9,1)+IF(Skills!H9&gt;0,MIN(Skills!I9,MAX(0,MAX(0,Inputs!$B$43-B2308)-((R2279-1)*(IF(Inputs!$B$38="pvp",15,MAX(0.1,Skills!E9-IF(TRUE=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6780514483651276</v>
      </c>
    </row>
    <row r="2280" spans="1:26" x14ac:dyDescent="0.2">
      <c r="A2280" t="str">
        <f>Skills!A10</f>
        <v>CREEPING_TOXIN</v>
      </c>
      <c r="B2280" t="str">
        <f>Skills!B10</f>
        <v>Creeping Toxin</v>
      </c>
      <c r="C2280" t="b">
        <f>TRUE</f>
        <v>1</v>
      </c>
      <c r="D2280">
        <f>IF(Skills!C10=1,60+Inputs!$B$25+Inputs!$B$29,IF(Skills!C10=2,90+Inputs!$B$26+Inputs!$B$29,IF(Skills!C10=3,120+Inputs!$B$27+Inputs!$B$29,MAX(0,(Inputs!$B$3-100)*3)+Inputs!$B$28+Inputs!$B$29)))</f>
        <v>184</v>
      </c>
      <c r="E2280">
        <f>INDEX(FactorTable!$B$2:$Y$301, MATCH(ROUND(MIN(300,MAX(1,D2280)),0), FactorTable!$A$2:$A$301,0), Skills!M10+1)</f>
        <v>1920</v>
      </c>
      <c r="F2280">
        <f>IF(Skills!N10=TRUE,(Skills!L10/10)*(E2280/1000),Skills!L10/10)+Skills!O10</f>
        <v>280.39999999999998</v>
      </c>
      <c r="G2280">
        <f>Calc!G10</f>
        <v>15</v>
      </c>
      <c r="H2280">
        <f>Calc!H10</f>
        <v>1</v>
      </c>
      <c r="I2280">
        <f>IF(Skills!X10&lt;&gt;"",1+(Skills!X10/10)*(Z2273/1000)/100,1)</f>
        <v>1.7650000000000001</v>
      </c>
      <c r="J2280">
        <f>((Inputs!$B$6*(1+Inputs!$B$7/100))+(((Inputs!$B$12*(1+Inputs!$B$13/100))-(Inputs!$B$12*(1+Inputs!$B$13/100)))+0.25*(Inputs!$B$14-Inputs!$B$14))*(1+Inputs!$B$7/100))*(F2280/100)</f>
        <v>1012621197.9803641</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9842722541370.2109</v>
      </c>
      <c r="L2280">
        <f>K2280*(MIN(Inputs!$B$22+(F2292-Calc!F22),(Inputs!$B$23+(IF(ArtifactsInput!$M$15,CHOOSE(ArtifactsInput!$N$15+1,25,30,35,40,45,50)/100*(Inputs!$B$11-Inputs!$B$11),0))))/100+(Inputs!$B$23+(IF(ArtifactsInput!$M$15,CHOOSE(ArtifactsInput!$N$15+1,25,30,35,40,45,50)/100*(Inputs!$B$11-Inputs!$B$11),0)))/100)/2</f>
        <v>32727052450055.953</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154438960511814.03</v>
      </c>
      <c r="N2280">
        <f>L2280*(1-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154438960511814.03</v>
      </c>
      <c r="O2280">
        <f>(1-Summary!$B$11)*S2280+Summary!$B$11*U2280</f>
        <v>355458507347553.56</v>
      </c>
      <c r="P2280">
        <f>IF(B2311=0,0,O2280/B2311)</f>
        <v>9.8021872154419806E-3</v>
      </c>
      <c r="Q2280">
        <f>IFERROR(1/(IF(Inputs!$B$38="pvp",15,MAX(0.1,Skills!E10-IF(TRUE=TRUE,Inputs!$B$32,0)))*(1-IF(AND(ArtifactsInput!$M$27,Inputs!$B$4="Chapter Hunt"),CHOOSE(ArtifactsInput!$N$27+1,20,24,28,32,36,40),0)/100)),0)</f>
        <v>3.7037037037037035E-2</v>
      </c>
      <c r="R2280">
        <f>IF(AND(Inputs!$B$38&lt;&gt;"pvp",Inputs!$B$43&gt;0),IF(MAX(0,Inputs!$B$43-B2308)&lt;=0,0,(INT(MAX(0,Inputs!$B$43-B2308)/(IF(Inputs!$B$38="pvp",15,MAX(0.1,Skills!E10-IF(TRUE=TRUE,Inputs!$B$32,0)))*(1-IF(AND(ArtifactsInput!$M$27,Inputs!$B$4="Chapter Hunt"),CHOOSE(ArtifactsInput!$N$27+1,20,24,28,32,36,40),0)/100)))+1)),0)</f>
        <v>2</v>
      </c>
      <c r="S2280">
        <f>IF(C2280,(H2280*N2280*IF(AND(Inputs!$B$38&lt;&gt;"pvp",Inputs!$B$43&gt;0),((Skills!G10*((R2280-1)*IF(Skills!H10&gt;0,Skills!I10/Skills!H10,1)+IF(Skills!H10&gt;0,MIN(Skills!I10,MAX(0,MAX(0,Inputs!$B$43-B2308)-((R2280-1)*(IF(Inputs!$B$38="pvp",15,MAX(0.1,Skills!E10-IF(TRUE=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313872832393243.69</v>
      </c>
      <c r="U2280">
        <f>IF(C2280,(H2280*N2280*IF(AND(Inputs!$B$38&lt;&gt;"pvp",Inputs!$B$43&gt;0),((Skills!G10*((R2280-1)*IF(Skills!H10&gt;0,Skills!I10/Skills!H10,1)+IF(Skills!H10&gt;0,MIN(Skills!I10,MAX(0,MAX(0,Inputs!$B$43-B2308)-((R2280-1)*(IF(Inputs!$B$38="pvp",15,MAX(0.1,Skills!E10-IF(TRUE=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397044182301863.44</v>
      </c>
    </row>
    <row r="2281" spans="1:26" x14ac:dyDescent="0.2">
      <c r="A2281" t="str">
        <f>Skills!A11</f>
        <v>BURNING_MAGIC</v>
      </c>
      <c r="B2281" t="str">
        <f>Skills!B11</f>
        <v>Burning Magic</v>
      </c>
      <c r="C2281" t="b">
        <f>TRUE</f>
        <v>1</v>
      </c>
      <c r="D2281">
        <f>IF(Skills!C11=1,60+Inputs!$B$25+Inputs!$B$29,IF(Skills!C11=2,90+Inputs!$B$26+Inputs!$B$29,IF(Skills!C11=3,120+Inputs!$B$27+Inputs!$B$29,MAX(0,(Inputs!$B$3-100)*3)+Inputs!$B$28+Inputs!$B$29)))</f>
        <v>184</v>
      </c>
      <c r="E2281">
        <f>INDEX(FactorTable!$B$2:$Y$301, MATCH(ROUND(MIN(300,MAX(1,D2281)),0), FactorTable!$A$2:$A$301,0), Skills!M11+1)</f>
        <v>0</v>
      </c>
      <c r="F2281">
        <f>IF(Skills!N11=TRUE,(Skills!L11/10)*(E2281/1000),Skills!L11/10)+Skills!O11</f>
        <v>5</v>
      </c>
      <c r="G2281">
        <f>Calc!G11</f>
        <v>1</v>
      </c>
      <c r="H2281">
        <f>Calc!H11</f>
        <v>1</v>
      </c>
      <c r="I2281">
        <f>IF(Skills!X11&lt;&gt;"",1+(Skills!X11/10)*(Z2273/1000)/100,1)</f>
        <v>1</v>
      </c>
      <c r="O2281">
        <f>(1-Summary!$B$11)*S2281+Summary!$B$11*U2281</f>
        <v>0</v>
      </c>
      <c r="P2281">
        <f>IF(B2311=0,0,O2281/B2311)</f>
        <v>0</v>
      </c>
      <c r="Q2281">
        <f>IFERROR(1/(IF(Inputs!$B$38="pvp",15,MAX(0.1,Skills!E11-IF(TRUE=TRUE,Inputs!$B$32,0)))*(1-IF(AND(ArtifactsInput!$M$27,Inputs!$B$4="Chapter Hunt"),CHOOSE(ArtifactsInput!$N$27+1,20,24,28,32,36,40),0)/100)),0)</f>
        <v>10</v>
      </c>
      <c r="R2281">
        <v>0</v>
      </c>
      <c r="S2281">
        <v>0</v>
      </c>
      <c r="U2281">
        <v>0</v>
      </c>
    </row>
    <row r="2282" spans="1:26" x14ac:dyDescent="0.2">
      <c r="A2282" t="str">
        <f>Skills!A12</f>
        <v>ELEMENTAL_DECREASE</v>
      </c>
      <c r="B2282" t="str">
        <f>Skills!B12</f>
        <v>Elemental Decrease</v>
      </c>
      <c r="C2282" t="b">
        <f>TRUE</f>
        <v>1</v>
      </c>
      <c r="D2282">
        <f>IF(Skills!C12=1,60+Inputs!$B$25+Inputs!$B$29,IF(Skills!C12=2,90+Inputs!$B$26+Inputs!$B$29,IF(Skills!C12=3,120+Inputs!$B$27+Inputs!$B$29,MAX(0,(Inputs!$B$3-100)*3)+Inputs!$B$28+Inputs!$B$29)))</f>
        <v>184</v>
      </c>
      <c r="E2282">
        <f>INDEX(FactorTable!$B$2:$Y$301, MATCH(ROUND(MIN(300,MAX(1,D2282)),0), FactorTable!$A$2:$A$301,0), Skills!M12+1)</f>
        <v>1552</v>
      </c>
      <c r="F2282">
        <f>IF(Skills!N12=TRUE,(Skills!L12/10)*(E2282/1000),Skills!L12/10)+Skills!O12</f>
        <v>18.624000000000002</v>
      </c>
      <c r="G2282">
        <f>Calc!G12</f>
        <v>1</v>
      </c>
      <c r="H2282">
        <f>Calc!H12</f>
        <v>0.5</v>
      </c>
      <c r="I2282">
        <f>IF(Skills!X12&lt;&gt;"",1+(Skills!X12/10)*(Z2273/1000)/100,1)</f>
        <v>1</v>
      </c>
      <c r="O2282">
        <f>(1-Summary!$B$11)*S2282+Summary!$B$11*U2282</f>
        <v>0</v>
      </c>
      <c r="P2282">
        <f>IF(B2311=0,0,O2282/B2311)</f>
        <v>0</v>
      </c>
      <c r="Q2282">
        <f>IFERROR(1/(IF(Inputs!$B$38="pvp",15,MAX(0.1,Skills!E12-IF(TRUE=TRUE,Inputs!$B$32,0)))*(1-IF(AND(ArtifactsInput!$M$27,Inputs!$B$4="Chapter Hunt"),CHOOSE(ArtifactsInput!$N$27+1,20,24,28,32,36,40),0)/100)),0)</f>
        <v>10</v>
      </c>
      <c r="R2282">
        <v>0</v>
      </c>
      <c r="S2282">
        <v>0</v>
      </c>
      <c r="U2282">
        <v>0</v>
      </c>
    </row>
    <row r="2283" spans="1:26" x14ac:dyDescent="0.2">
      <c r="A2283" t="str">
        <f>Skills!A13</f>
        <v>METEOR_SHOWER_BURST</v>
      </c>
      <c r="B2283" t="str">
        <f>Skills!B13</f>
        <v>Meteor Shower (burst)</v>
      </c>
      <c r="C2283" t="b">
        <f>Inputs!$B$3&gt;=105</f>
        <v>1</v>
      </c>
      <c r="D2283">
        <f>IF(Skills!C13=1,60+Inputs!$B$25+Inputs!$B$29,IF(Skills!C13=2,90+Inputs!$B$26+Inputs!$B$29,IF(Skills!C13=3,120+Inputs!$B$27+Inputs!$B$29,MAX(0,(Inputs!$B$3-100)*3)+Inputs!$B$28+Inputs!$B$29)))</f>
        <v>185</v>
      </c>
      <c r="E2283">
        <f>INDEX(FactorTable!$B$2:$Y$301, MATCH(ROUND(MIN(300,MAX(1,D2283)),0), FactorTable!$A$2:$A$301,0), Skills!M13+1)</f>
        <v>1925</v>
      </c>
      <c r="F2283">
        <f>IF(Skills!N13=TRUE,(Skills!L13/10)*(E2283/1000),Skills!L13/10)+Skills!O13</f>
        <v>1155</v>
      </c>
      <c r="G2283">
        <f>Calc!G13</f>
        <v>9</v>
      </c>
      <c r="H2283">
        <f>Calc!H13</f>
        <v>1</v>
      </c>
      <c r="I2283">
        <f>IF(Skills!X13&lt;&gt;"",1+(Skills!X13/10)*(Z2273/1000)/100,1)</f>
        <v>1</v>
      </c>
      <c r="J2283">
        <f>((Inputs!$B$6*(1+Inputs!$B$7/100))+(((Inputs!$B$12*(1+Inputs!$B$13/100))-(Inputs!$B$12*(1+Inputs!$B$13/100)))+0.25*(Inputs!$B$14-Inputs!$B$14))*(1+Inputs!$B$7/100))*(F2283/100)</f>
        <v>4171103722.0660505</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22970714712051.57</v>
      </c>
      <c r="L2283">
        <f>K2283*(MIN(Inputs!$B$22+(F2292-Calc!F22),(Inputs!$B$23+(IF(ArtifactsInput!$M$15,CHOOSE(ArtifactsInput!$N$15+1,25,30,35,40,45,50)/100*(Inputs!$B$11-Inputs!$B$11),0))))/100+(Inputs!$B$23+(IF(ArtifactsInput!$M$15,CHOOSE(ArtifactsInput!$N$15+1,25,30,35,40,45,50)/100*(Inputs!$B$11-Inputs!$B$11),0)))/100)/2</f>
        <v>76377626417571.469</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360426019064519.69</v>
      </c>
      <c r="N2283">
        <f>L2283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360426019064519.69</v>
      </c>
      <c r="O2283">
        <f>(1-Summary!$B$11)*S2283+Summary!$B$11*U2283</f>
        <v>1965763507977890.8</v>
      </c>
      <c r="P2283">
        <f>IF(B2311=0,0,O2283/B2311)</f>
        <v>5.4208245204954375E-2</v>
      </c>
      <c r="Q2283">
        <f>IFERROR(1/(IF(Inputs!$B$38="pvp",15,MAX(0.1,Skills!E13-IF(TRUE=TRUE,Inputs!$B$32,0)))*(1-IF(AND(ArtifactsInput!$M$27,Inputs!$B$4="Chapter Hunt"),CHOOSE(ArtifactsInput!$N$27+1,20,24,28,32,36,40),0)/100)),0)</f>
        <v>3.0303030303030304E-2</v>
      </c>
      <c r="R2283">
        <f>IF(AND(Inputs!$B$38&lt;&gt;"pvp",Inputs!$B$43&gt;0),IF(MAX(0,Inputs!$B$43-B2308)&lt;=0,0,(INT(MAX(0,Inputs!$B$43-B2308)/(IF(Inputs!$B$38="pvp",15,MAX(0.1,Skills!E13-IF(TRUE=TRUE,Inputs!$B$32,0)))*(1-IF(AND(ArtifactsInput!$M$27,Inputs!$B$4="Chapter Hunt"),CHOOSE(ArtifactsInput!$N$27+1,20,24,28,32,36,40),0)/100)))+1)),0)</f>
        <v>2</v>
      </c>
      <c r="S2283">
        <f>IF(C2283,(H2283*N2283*IF(AND(Inputs!$B$38&lt;&gt;"pvp",Inputs!$B$43&gt;0),((Skills!G13*((R2283-1)*IF(Skills!H13&gt;0,Skills!I13/Skills!H13,1)+IF(Skills!H13&gt;0,MIN(Skills!I13,MAX(0,MAX(0,Inputs!$B$43-B2308)-((R2283-1)*(IF(Inputs!$B$38="pvp",15,MAX(0.1,Skills!E13-IF(TRUE=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514147716195537.38</v>
      </c>
      <c r="U2283">
        <f>IF(C2283,(H2283*N2283*IF(AND(Inputs!$B$38&lt;&gt;"pvp",Inputs!$B$43&gt;0),((Skills!G13*((R2283-1)*IF(Skills!H13&gt;0,Skills!I13/Skills!H13,1)+IF(Skills!H13&gt;0,MIN(Skills!I13,MAX(0,MAX(0,Inputs!$B$43-B2308)-((R2283-1)*(IF(Inputs!$B$38="pvp",15,MAX(0.1,Skills!E13-IF(TRUE=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3417379299760244</v>
      </c>
    </row>
    <row r="2284" spans="1:26" x14ac:dyDescent="0.2">
      <c r="A2284" t="str">
        <f>Skills!A14</f>
        <v>METEOR_PROC</v>
      </c>
      <c r="B2284" t="str">
        <f>Skills!B14</f>
        <v>Meteor Proc (30% on-hit, 1s ICD)</v>
      </c>
      <c r="C2284" t="b">
        <f>Inputs!$B$3&gt;=113</f>
        <v>1</v>
      </c>
      <c r="D2284">
        <f>IF(Skills!C14=1,60+Inputs!$B$25+Inputs!$B$29,IF(Skills!C14=2,90+Inputs!$B$26+Inputs!$B$29,IF(Skills!C14=3,120+Inputs!$B$27+Inputs!$B$29,MAX(0,(Inputs!$B$3-100)*3)+Inputs!$B$28+Inputs!$B$29)))</f>
        <v>185</v>
      </c>
      <c r="E2284">
        <f>INDEX(FactorTable!$B$2:$Y$301, MATCH(ROUND(MIN(300,MAX(1,D2284)),0), FactorTable!$A$2:$A$301,0), Skills!M14+1)</f>
        <v>1740</v>
      </c>
      <c r="F2284">
        <f>IF(Skills!N14=TRUE,(Skills!L14/10)*(E2284/1000),Skills!L14/10)+Skills!O14</f>
        <v>1653</v>
      </c>
      <c r="G2284">
        <f>Calc!G14</f>
        <v>0</v>
      </c>
      <c r="H2284">
        <f>Calc!H14</f>
        <v>0.30000000000000004</v>
      </c>
      <c r="I2284">
        <f>IF(Skills!X14&lt;&gt;"",1+(Skills!X14/10)*(Z2273/1000)/100,1)</f>
        <v>1</v>
      </c>
      <c r="J2284">
        <f>((Inputs!$B$6*(1+Inputs!$B$7/100))+(((Inputs!$B$12*(1+Inputs!$B$13/100))-(Inputs!$B$12*(1+Inputs!$B$13/100)))+0.25*(Inputs!$B$14-Inputs!$B$14))*(1+Inputs!$B$7/100))*(F2284/100)</f>
        <v>5969553638.5932312</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32874970925559.504</v>
      </c>
      <c r="L2284">
        <f>K2284*(MIN(Inputs!$B$22+(F2292-Calc!F22),(Inputs!$B$23+(IF(ArtifactsInput!$M$15,CHOOSE(ArtifactsInput!$N$15+1,25,30,35,40,45,50)/100*(Inputs!$B$11-Inputs!$B$11),0))))/100+(Inputs!$B$23+(IF(ArtifactsInput!$M$15,CHOOSE(ArtifactsInput!$N$15+1,25,30,35,40,45,50)/100*(Inputs!$B$11-Inputs!$B$11),0)))/100)/2</f>
        <v>109309278327485.36</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515830484427403.38</v>
      </c>
      <c r="N2284">
        <f>L2284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515830484427403.38</v>
      </c>
      <c r="O2284">
        <f>(1-Summary!$B$11)*S2284+Summary!$B$11*U2284</f>
        <v>505538984508125.75</v>
      </c>
      <c r="P2284">
        <f>IF(B2311=0,0,O2284/B2311)</f>
        <v>1.3940833229257573E-2</v>
      </c>
      <c r="Q2284">
        <f>IFERROR(1/(IF(Inputs!$B$38="pvp",15,MAX(0.1,Skills!E14-IF(TRUE=TRUE,Inputs!$B$32,0)))*(1-IF(AND(ArtifactsInput!$M$27,Inputs!$B$4="Chapter Hunt"),CHOOSE(ArtifactsInput!$N$27+1,20,24,28,32,36,40),0)/100)),0)</f>
        <v>10</v>
      </c>
      <c r="R2284">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518627372456556.19</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492450596559695.25</v>
      </c>
    </row>
    <row r="2285" spans="1:26" x14ac:dyDescent="0.2">
      <c r="A2285" t="str">
        <f>Skills!A15</f>
        <v>FLAME_HAZE_BURST</v>
      </c>
      <c r="B2285" t="str">
        <f>Skills!B15</f>
        <v>Flame Haze (burst)</v>
      </c>
      <c r="C2285" t="b">
        <f>Inputs!$B$3&gt;=107</f>
        <v>1</v>
      </c>
      <c r="D2285">
        <f>IF(Skills!C15=1,60+Inputs!$B$25+Inputs!$B$29,IF(Skills!C15=2,90+Inputs!$B$26+Inputs!$B$29,IF(Skills!C15=3,120+Inputs!$B$27+Inputs!$B$29,MAX(0,(Inputs!$B$3-100)*3)+Inputs!$B$28+Inputs!$B$29)))</f>
        <v>185</v>
      </c>
      <c r="E2285">
        <f>INDEX(FactorTable!$B$2:$Y$301, MATCH(ROUND(MIN(300,MAX(1,D2285)),0), FactorTable!$A$2:$A$301,0), Skills!M15+1)</f>
        <v>1925</v>
      </c>
      <c r="F2285">
        <f>IF(Skills!N15=TRUE,(Skills!L15/10)*(E2285/1000),Skills!L15/10)+Skills!O15</f>
        <v>2310</v>
      </c>
      <c r="G2285">
        <f>Calc!G15</f>
        <v>3</v>
      </c>
      <c r="H2285">
        <f>Calc!H15</f>
        <v>1</v>
      </c>
      <c r="I2285">
        <f>IF(Skills!X15&lt;&gt;"",1+(Skills!X15/10)*(Z2273/1000)/100,1)</f>
        <v>1</v>
      </c>
      <c r="J2285">
        <f>((Inputs!$B$6*(1+Inputs!$B$7/100))+(((Inputs!$B$12*(1+Inputs!$B$13/100))-(Inputs!$B$12*(1+Inputs!$B$13/100)))+0.25*(Inputs!$B$14-Inputs!$B$14))*(1+Inputs!$B$7/100))*(F2285/100)</f>
        <v>8342207444.1321011</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45941429424103.141</v>
      </c>
      <c r="L2285">
        <f>K2285*(MIN(Inputs!$B$22+(F2292-Calc!F22),(Inputs!$B$23+(IF(ArtifactsInput!$M$15,CHOOSE(ArtifactsInput!$N$15+1,25,30,35,40,45,50)/100*(Inputs!$B$11-Inputs!$B$11),0))))/100+(Inputs!$B$23+(IF(ArtifactsInput!$M$15,CHOOSE(ArtifactsInput!$N$15+1,25,30,35,40,45,50)/100*(Inputs!$B$11-Inputs!$B$11),0)))/100)/2</f>
        <v>152755252835142.94</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720852038129039.38</v>
      </c>
      <c r="N2285">
        <f>L2285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720852038129039.38</v>
      </c>
      <c r="O2285">
        <f>(1-Summary!$B$11)*S2285+Summary!$B$11*U2285</f>
        <v>1798706048141485.2</v>
      </c>
      <c r="P2285">
        <f>IF(B2311=0,0,O2285/B2311)</f>
        <v>4.9601438888031667E-2</v>
      </c>
      <c r="Q2285">
        <f>IFERROR(1/(IF(Inputs!$B$38="pvp",15,MAX(0.1,Skills!E15-IF(TRUE=TRUE,Inputs!$B$32,0)))*(1-IF(AND(ArtifactsInput!$M$27,Inputs!$B$4="Chapter Hunt"),CHOOSE(ArtifactsInput!$N$27+1,20,24,28,32,36,40),0)/100)),0)</f>
        <v>0.04</v>
      </c>
      <c r="R2285">
        <f>IF(AND(Inputs!$B$38&lt;&gt;"pvp",Inputs!$B$43&gt;0),IF(MAX(0,Inputs!$B$43-B2308)&lt;=0,0,(INT(MAX(0,Inputs!$B$43-B2308)/(IF(Inputs!$B$38="pvp",15,MAX(0.1,Skills!E15-IF(TRUE=TRUE,Inputs!$B$32,0)))*(1-IF(AND(ArtifactsInput!$M$27,Inputs!$B$4="Chapter Hunt"),CHOOSE(ArtifactsInput!$N$27+1,20,24,28,32,36,40),0)/100)))+1)),0)</f>
        <v>2</v>
      </c>
      <c r="S2285">
        <f>IF(C2285,(H2285*N2285*IF(AND(Inputs!$B$38&lt;&gt;"pvp",Inputs!$B$43&gt;0),((Skills!G15*((R2285-1)*IF(Skills!H15&gt;0,Skills!I15/Skills!H15,1)+IF(Skills!H15&gt;0,MIN(Skills!I15,MAX(0,MAX(0,Inputs!$B$43-B2308)-((R2285-1)*(IF(Inputs!$B$38="pvp",15,MAX(0.1,Skills!E15-IF(TRUE=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342765144130358.19</v>
      </c>
      <c r="U2285">
        <f>IF(C2285,(H2285*N2285*IF(AND(Inputs!$B$38&lt;&gt;"pvp",Inputs!$B$43&gt;0),((Skills!G15*((R2285-1)*IF(Skills!H15&gt;0,Skills!I15/Skills!H15,1)+IF(Skills!H15&gt;0,MIN(Skills!I15,MAX(0,MAX(0,Inputs!$B$43-B2308)-((R2285-1)*(IF(Inputs!$B$38="pvp",15,MAX(0.1,Skills!E15-IF(TRUE=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3254646952152612.5</v>
      </c>
    </row>
    <row r="2286" spans="1:26" x14ac:dyDescent="0.2">
      <c r="A2286" t="str">
        <f>Skills!A16</f>
        <v>FLAME_HAZE_DOT</v>
      </c>
      <c r="B2286" t="str">
        <f>Skills!B16</f>
        <v>Flame Haze (burn DoT)</v>
      </c>
      <c r="C2286" t="b">
        <f>Inputs!$B$3&gt;=107</f>
        <v>1</v>
      </c>
      <c r="D2286">
        <f>IF(Skills!C16=1,60+Inputs!$B$25+Inputs!$B$29,IF(Skills!C16=2,90+Inputs!$B$26+Inputs!$B$29,IF(Skills!C16=3,120+Inputs!$B$27+Inputs!$B$29,MAX(0,(Inputs!$B$3-100)*3)+Inputs!$B$28+Inputs!$B$29)))</f>
        <v>185</v>
      </c>
      <c r="E2286">
        <f>INDEX(FactorTable!$B$2:$Y$301, MATCH(ROUND(MIN(300,MAX(1,D2286)),0), FactorTable!$A$2:$A$301,0), Skills!M16+1)</f>
        <v>1925</v>
      </c>
      <c r="F2286">
        <f>IF(Skills!N16=TRUE,(Skills!L16/10)*(E2286/1000),Skills!L16/10)+Skills!O16</f>
        <v>288.75</v>
      </c>
      <c r="G2286">
        <f>Calc!G16</f>
        <v>30</v>
      </c>
      <c r="H2286">
        <f>Calc!H16</f>
        <v>1</v>
      </c>
      <c r="I2286">
        <f>IF(Skills!X16&lt;&gt;"",1+(Skills!X16/10)*(Z2273/1000)/100,1)</f>
        <v>1</v>
      </c>
      <c r="J2286">
        <f>((Inputs!$B$6*(1+Inputs!$B$7/100))+(((Inputs!$B$12*(1+Inputs!$B$13/100))-(Inputs!$B$12*(1+Inputs!$B$13/100)))+0.25*(Inputs!$B$14-Inputs!$B$14))*(1+Inputs!$B$7/100))*(F2286/100)</f>
        <v>1042775930.5165126</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5742678678012.8926</v>
      </c>
      <c r="L2286">
        <f>K2286*(MIN(Inputs!$B$22+(F2292-Calc!F22),(Inputs!$B$23+(IF(ArtifactsInput!$M$15,CHOOSE(ArtifactsInput!$N$15+1,25,30,35,40,45,50)/100*(Inputs!$B$11-Inputs!$B$11),0))))/100+(Inputs!$B$23+(IF(ArtifactsInput!$M$15,CHOOSE(ArtifactsInput!$N$15+1,25,30,35,40,45,50)/100*(Inputs!$B$11-Inputs!$B$11),0)))/100)/2</f>
        <v>19094406604392.867</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90106504766129.922</v>
      </c>
      <c r="N2286">
        <f>L2286*(1-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90106504766129.922</v>
      </c>
      <c r="O2286">
        <f>(1-Summary!$B$11)*S2286+Summary!$B$11*U2286</f>
        <v>2071861880965459.8</v>
      </c>
      <c r="P2286">
        <f>IF(B2311=0,0,O2286/B2311)</f>
        <v>5.7134032867313167E-2</v>
      </c>
      <c r="Q2286">
        <f>IFERROR(1/(IF(Inputs!$B$38="pvp",15,MAX(0.1,Skills!E16-IF(TRUE=TRUE,Inputs!$B$32,0)))*(1-IF(AND(ArtifactsInput!$M$27,Inputs!$B$4="Chapter Hunt"),CHOOSE(ArtifactsInput!$N$27+1,20,24,28,32,36,40),0)/100)),0)</f>
        <v>0.04</v>
      </c>
      <c r="R2286">
        <f>IF(AND(Inputs!$B$38&lt;&gt;"pvp",Inputs!$B$43&gt;0),IF(MAX(0,Inputs!$B$43-B2308)&lt;=0,0,(INT(MAX(0,Inputs!$B$43-B2308)/(IF(Inputs!$B$38="pvp",15,MAX(0.1,Skills!E16-IF(TRUE=TRUE,Inputs!$B$32,0)))*(1-IF(AND(ArtifactsInput!$M$27,Inputs!$B$4="Chapter Hunt"),CHOOSE(ArtifactsInput!$N$27+1,20,24,28,32,36,40),0)/100)))+1)),0)</f>
        <v>2</v>
      </c>
      <c r="S2286">
        <f>IF(C2286,(H2286*N2286*IF(AND(Inputs!$B$38&lt;&gt;"pvp",Inputs!$B$43&gt;0),((Skills!G16*((R2286-1)*IF(Skills!H16&gt;0,Skills!I16/Skills!H16,1)+IF(Skills!H16&gt;0,MIN(Skills!I16,MAX(0,MAX(0,Inputs!$B$43-B2308)-((R2286-1)*(IF(Inputs!$B$38="pvp",15,MAX(0.1,Skills!E16-IF(TRUE=TRUE,Inputs!$B$32,0)))*(1-IF(AND(ArtifactsInput!$M$27,Inputs!$B$4="Chapter Hunt"),CHOOSE(ArtifactsInput!$N$27+1,20,24,28,32,36,40),0)/100)))))/Skills!H16,1)))/Inputs!$B$43),G2286*Q2286)*(1+IF(Inputs!$B$3&gt;=126,0.05*(B2306+Q2283+(H2284*B2307)/(1+Skills!H14*H2284*B2307)+Q2294),0)*(1/Q2285)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394818284500180.81</v>
      </c>
      <c r="U2286">
        <f>IF(C2286,(H2286*N2286*IF(AND(Inputs!$B$38&lt;&gt;"pvp",Inputs!$B$43&gt;0),((Skills!G16*((R2286-1)*IF(Skills!H16&gt;0,Skills!I16/Skills!H16,1)+IF(Skills!H16&gt;0,MIN(Skills!I16,MAX(0,MAX(0,Inputs!$B$43-B2308)-((R2286-1)*(IF(Inputs!$B$38="pvp",15,MAX(0.1,Skills!E16-IF(TRUE=TRUE,Inputs!$B$32,0)))*(1-IF(AND(ArtifactsInput!$M$27,Inputs!$B$4="Chapter Hunt"),CHOOSE(ArtifactsInput!$N$27+1,20,24,28,32,36,40),0)/100)))))/Skills!H16,1)))/Inputs!$B$43),G2286*Q2286)*(1+IF(Inputs!$B$3&gt;=126,0.05*(B2306+Q2283+(H2284*B2307)/(1+Skills!H14*H2284*B2307)+Q2294),0)*(1/Q2285)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3748905477430738.5</v>
      </c>
    </row>
    <row r="2287" spans="1:26" x14ac:dyDescent="0.2">
      <c r="A2287" t="str">
        <f>Skills!A17</f>
        <v>MAGIC_GUARD</v>
      </c>
      <c r="B2287" t="str">
        <f>Skills!B17</f>
        <v>Magic Guard</v>
      </c>
      <c r="C2287" t="b">
        <f>TRUE</f>
        <v>1</v>
      </c>
      <c r="D2287">
        <f>IF(Skills!C17=1,60+Inputs!$B$25+Inputs!$B$29,IF(Skills!C17=2,90+Inputs!$B$26+Inputs!$B$29,IF(Skills!C17=3,120+Inputs!$B$27+Inputs!$B$29,MAX(0,(Inputs!$B$3-100)*3)+Inputs!$B$28+Inputs!$B$29)))</f>
        <v>127</v>
      </c>
      <c r="E2287">
        <f>INDEX(FactorTable!$B$2:$Y$301, MATCH(ROUND(MIN(300,MAX(1,D2287)),0), FactorTable!$A$2:$A$301,0), Skills!M17+1)</f>
        <v>1508</v>
      </c>
      <c r="F2287">
        <f>IF(Skills!N17=TRUE,(Skills!L17/10)*(E2287/1000),Skills!L17/10)+Skills!O17</f>
        <v>18.096</v>
      </c>
      <c r="G2287">
        <f>Calc!G17</f>
        <v>1</v>
      </c>
      <c r="H2287">
        <f>Calc!H17</f>
        <v>1</v>
      </c>
      <c r="I2287">
        <f>IF(Skills!X17&lt;&gt;"",1+(Skills!X17/10)*(Z2273/1000)/100,1)</f>
        <v>1</v>
      </c>
      <c r="O2287">
        <f>(1-Summary!$B$11)*S2287+Summary!$B$11*U2287</f>
        <v>0</v>
      </c>
      <c r="P2287">
        <f>IF(B2311=0,0,O2287/B2311)</f>
        <v>0</v>
      </c>
      <c r="Q2287">
        <f>IFERROR(1/(IF(Inputs!$B$38="pvp",15,MAX(0.1,Skills!E17-IF(TRUE=TRUE,Inputs!$B$32,0)))*(1-IF(AND(ArtifactsInput!$M$27,Inputs!$B$4="Chapter Hunt"),CHOOSE(ArtifactsInput!$N$27+1,20,24,28,32,36,40),0)/100)),0)</f>
        <v>4.7619047619047616E-2</v>
      </c>
      <c r="R2287">
        <f>IF(AND(Inputs!$B$38&lt;&gt;"pvp",Inputs!$B$43&gt;0),IF(Inputs!$B$43&lt;=0,0,(INT(Inputs!$B$43/(IF(Inputs!$B$38="pvp",15,MAX(0.1,Skills!E17-IF(TRUE=TRUE,Inputs!$B$32,0)))*(1-IF(AND(ArtifactsInput!$M$27,Inputs!$B$4="Chapter Hunt"),CHOOSE(ArtifactsInput!$N$27+1,20,24,28,32,36,40),0)/100)))+1)),0)</f>
        <v>2</v>
      </c>
      <c r="S2287">
        <v>0</v>
      </c>
      <c r="U2287">
        <v>0</v>
      </c>
    </row>
    <row r="2288" spans="1:26" x14ac:dyDescent="0.2">
      <c r="A2288" t="str">
        <f>Skills!A18</f>
        <v>NIMBLE_FEET</v>
      </c>
      <c r="B2288" t="str">
        <f>Skills!B18</f>
        <v>Nimble Feet</v>
      </c>
      <c r="C2288" t="b">
        <f>TRUE</f>
        <v>1</v>
      </c>
      <c r="D2288">
        <f>IF(Skills!C18=1,60+Inputs!$B$25+Inputs!$B$29,IF(Skills!C18=2,90+Inputs!$B$26+Inputs!$B$29,IF(Skills!C18=3,120+Inputs!$B$27+Inputs!$B$29,MAX(0,(Inputs!$B$3-100)*3)+Inputs!$B$28+Inputs!$B$29)))</f>
        <v>127</v>
      </c>
      <c r="E2288">
        <f>INDEX(FactorTable!$B$2:$Y$301, MATCH(ROUND(MIN(300,MAX(1,D2288)),0), FactorTable!$A$2:$A$301,0), Skills!M18+1)</f>
        <v>0</v>
      </c>
      <c r="F2288">
        <f>IF(Skills!N18=TRUE,(Skills!L18/10)*(E2288/1000),Skills!L18/10)+Skills!O18</f>
        <v>15</v>
      </c>
      <c r="G2288">
        <f>Calc!G18</f>
        <v>1</v>
      </c>
      <c r="H2288">
        <f>Calc!H18</f>
        <v>1</v>
      </c>
      <c r="I2288">
        <f>IF(Skills!X18&lt;&gt;"",1+(Skills!X18/10)*(Z2273/1000)/100,1)</f>
        <v>1</v>
      </c>
      <c r="O2288">
        <f>(1-Summary!$B$11)*S2288+Summary!$B$11*U2288</f>
        <v>0</v>
      </c>
      <c r="P2288">
        <f>IF(B2311=0,0,O2288/B2311)</f>
        <v>0</v>
      </c>
      <c r="Q2288">
        <f>IFERROR(1/(IF(Inputs!$B$38="pvp",15,MAX(0.1,Skills!E18-IF(TRUE=TRUE,Inputs!$B$32,0)))*(1-IF(AND(ArtifactsInput!$M$27,Inputs!$B$4="Chapter Hunt"),CHOOSE(ArtifactsInput!$N$27+1,20,24,28,32,36,40),0)/100)),0)</f>
        <v>1.6666666666666666E-2</v>
      </c>
      <c r="R2288">
        <f>IF(AND(Inputs!$B$38&lt;&gt;"pvp",Inputs!$B$43&gt;0),IF(Inputs!$B$43&lt;=0,0,(INT(Inputs!$B$43/(IF(Inputs!$B$38="pvp",15,MAX(0.1,Skills!E18-IF(TRUE=TRUE,Inputs!$B$32,0)))*(1-IF(AND(ArtifactsInput!$M$27,Inputs!$B$4="Chapter Hunt"),CHOOSE(ArtifactsInput!$N$27+1,20,24,28,32,36,40),0)/100)))+1)),0)</f>
        <v>1</v>
      </c>
      <c r="S2288">
        <v>0</v>
      </c>
      <c r="U2288">
        <v>0</v>
      </c>
    </row>
    <row r="2289" spans="1:21" x14ac:dyDescent="0.2">
      <c r="A2289" t="str">
        <f>Skills!A19</f>
        <v>INFINITY</v>
      </c>
      <c r="B2289" t="str">
        <f>Skills!B19</f>
        <v>Infinity</v>
      </c>
      <c r="C2289" t="b">
        <f>Inputs!$B$3&gt;=110</f>
        <v>1</v>
      </c>
      <c r="D2289">
        <f>IF(Skills!C19=1,60+Inputs!$B$25+Inputs!$B$29,IF(Skills!C19=2,90+Inputs!$B$26+Inputs!$B$29,IF(Skills!C19=3,120+Inputs!$B$27+Inputs!$B$29,MAX(0,(Inputs!$B$3-100)*3)+Inputs!$B$28+Inputs!$B$29)))</f>
        <v>185</v>
      </c>
      <c r="E2289">
        <f>INDEX(FactorTable!$B$2:$Y$301, MATCH(ROUND(MIN(300,MAX(1,D2289)),0), FactorTable!$A$2:$A$301,0), Skills!M19+1)</f>
        <v>1740</v>
      </c>
      <c r="F2289">
        <f>IF(Skills!N19=TRUE,(Skills!L19/10)*(E2289/1000),Skills!L19/10)+Skills!O19</f>
        <v>37.700579999999995</v>
      </c>
      <c r="G2289">
        <f>Calc!G19</f>
        <v>1</v>
      </c>
      <c r="H2289">
        <f>Calc!H19</f>
        <v>1</v>
      </c>
      <c r="I2289">
        <f>IF(Skills!X19&lt;&gt;"",1+(Skills!X19/10)*(Z2273/1000)/100,1)</f>
        <v>1</v>
      </c>
      <c r="O2289">
        <f>(1-Summary!$B$11)*S2289+Summary!$B$11*U2289</f>
        <v>0</v>
      </c>
      <c r="P2289">
        <f>IF(B2311=0,0,O2289/B2311)</f>
        <v>0</v>
      </c>
      <c r="Q2289">
        <f>IFERROR(1/(IF(Inputs!$B$38="pvp",15,MAX(0.1,Skills!E19-IF(TRUE=TRUE,Inputs!$B$32,0)))*(1-IF(AND(ArtifactsInput!$M$27,Inputs!$B$4="Chapter Hunt"),CHOOSE(ArtifactsInput!$N$27+1,20,24,28,32,36,40),0)/100)),0)</f>
        <v>3.3333333333333333E-2</v>
      </c>
      <c r="R2289">
        <f>IF(AND(Inputs!$B$38&lt;&gt;"pvp",Inputs!$B$43&gt;0),IF(Inputs!$B$43&lt;=0,0,(INT(Inputs!$B$43/(IF(Inputs!$B$38="pvp",15,MAX(0.1,Skills!E19-IF(TRUE=TRUE,Inputs!$B$32,0)))*(1-IF(AND(ArtifactsInput!$M$27,Inputs!$B$4="Chapter Hunt"),CHOOSE(ArtifactsInput!$N$27+1,20,24,28,32,36,40),0)/100)))+1)),0)</f>
        <v>2</v>
      </c>
      <c r="S2289">
        <v>0</v>
      </c>
      <c r="U2289">
        <v>0</v>
      </c>
    </row>
    <row r="2290" spans="1:21" x14ac:dyDescent="0.2">
      <c r="A2290" t="str">
        <f>Skills!A20</f>
        <v>MAGIC_CRITICAL_RATE</v>
      </c>
      <c r="B2290" t="str">
        <f>Skills!B20</f>
        <v>Magic Critical (Crit Rate)</v>
      </c>
      <c r="C2290" t="b">
        <f>TRUE</f>
        <v>1</v>
      </c>
      <c r="D2290">
        <f>IF(Skills!C20=1,60+Inputs!$B$25+Inputs!$B$29,IF(Skills!C20=2,90+Inputs!$B$26+Inputs!$B$29,IF(Skills!C20=3,120+Inputs!$B$27+Inputs!$B$29,MAX(0,(Inputs!$B$3-100)*3)+Inputs!$B$28+Inputs!$B$29)))</f>
        <v>184</v>
      </c>
      <c r="E2290">
        <f>INDEX(FactorTable!$B$2:$Y$301, MATCH(ROUND(MIN(300,MAX(1,D2290)),0), FactorTable!$A$2:$A$301,0), Skills!M20+1)</f>
        <v>1552</v>
      </c>
      <c r="F2290">
        <f>IF(Skills!N20=TRUE,(Skills!L20/10)*(E2290/1000),Skills!L20/10)+Skills!O20</f>
        <v>12.416</v>
      </c>
      <c r="G2290">
        <f>Calc!G20</f>
        <v>1</v>
      </c>
      <c r="H2290">
        <f>Calc!H20</f>
        <v>1</v>
      </c>
      <c r="I2290">
        <f>IF(Skills!X20&lt;&gt;"",1+(Skills!X20/10)*(Z2273/1000)/100,1)</f>
        <v>1</v>
      </c>
      <c r="O2290">
        <f>(1-Summary!$B$11)*S2290+Summary!$B$11*U2290</f>
        <v>0</v>
      </c>
      <c r="P2290">
        <f>IF(B2311=0,0,O2290/B2311)</f>
        <v>0</v>
      </c>
      <c r="Q2290">
        <f>IFERROR(1/(IF(Inputs!$B$38="pvp",15,MAX(0.1,Skills!E20-IF(TRUE=TRUE,Inputs!$B$32,0)))*(1-IF(AND(ArtifactsInput!$M$27,Inputs!$B$4="Chapter Hunt"),CHOOSE(ArtifactsInput!$N$27+1,20,24,28,32,36,40),0)/100)),0)</f>
        <v>10</v>
      </c>
      <c r="R2290">
        <v>0</v>
      </c>
      <c r="S2290">
        <v>0</v>
      </c>
      <c r="U2290">
        <v>0</v>
      </c>
    </row>
    <row r="2291" spans="1:21" x14ac:dyDescent="0.2">
      <c r="A2291" t="str">
        <f>Skills!A21</f>
        <v>MAGIC_CRITICAL_DAMAGE</v>
      </c>
      <c r="B2291" t="str">
        <f>Skills!B21</f>
        <v>Magic Critical (Crit Damage)</v>
      </c>
      <c r="C2291" t="b">
        <f>TRUE</f>
        <v>1</v>
      </c>
      <c r="D2291">
        <f>IF(Skills!C21=1,60+Inputs!$B$25+Inputs!$B$29,IF(Skills!C21=2,90+Inputs!$B$26+Inputs!$B$29,IF(Skills!C21=3,120+Inputs!$B$27+Inputs!$B$29,MAX(0,(Inputs!$B$3-100)*3)+Inputs!$B$28+Inputs!$B$29)))</f>
        <v>184</v>
      </c>
      <c r="E2291">
        <f>INDEX(FactorTable!$B$2:$Y$301, MATCH(ROUND(MIN(300,MAX(1,D2291)),0), FactorTable!$A$2:$A$301,0), Skills!M21+1)</f>
        <v>1552</v>
      </c>
      <c r="F2291">
        <f>IF(Skills!N21=TRUE,(Skills!L21/10)*(E2291/1000),Skills!L21/10)+Skills!O21</f>
        <v>18.624000000000002</v>
      </c>
      <c r="G2291">
        <f>Calc!G21</f>
        <v>1</v>
      </c>
      <c r="H2291">
        <f>Calc!H21</f>
        <v>1</v>
      </c>
      <c r="I2291">
        <f>IF(Skills!X21&lt;&gt;"",1+(Skills!X21/10)*(Z2273/1000)/100,1)</f>
        <v>1</v>
      </c>
      <c r="O2291">
        <f>(1-Summary!$B$11)*S2291+Summary!$B$11*U2291</f>
        <v>0</v>
      </c>
      <c r="P2291">
        <f>IF(B2311=0,0,O2291/B2311)</f>
        <v>0</v>
      </c>
      <c r="Q2291">
        <f>IFERROR(1/(IF(Inputs!$B$38="pvp",15,MAX(0.1,Skills!E21-IF(TRUE=TRUE,Inputs!$B$32,0)))*(1-IF(AND(ArtifactsInput!$M$27,Inputs!$B$4="Chapter Hunt"),CHOOSE(ArtifactsInput!$N$27+1,20,24,28,32,36,40),0)/100)),0)</f>
        <v>10</v>
      </c>
      <c r="R2291">
        <v>0</v>
      </c>
      <c r="S2291">
        <v>0</v>
      </c>
      <c r="U2291">
        <v>0</v>
      </c>
    </row>
    <row r="2292" spans="1:21" x14ac:dyDescent="0.2">
      <c r="A2292" t="str">
        <f>Skills!A22</f>
        <v>SPELL_MASTERY</v>
      </c>
      <c r="B2292" t="str">
        <f>Skills!B22</f>
        <v>Spell Mastery</v>
      </c>
      <c r="C2292" t="b">
        <f>TRUE</f>
        <v>1</v>
      </c>
      <c r="D2292">
        <f>IF(Skills!C22=1,60+Inputs!$B$25+Inputs!$B$29,IF(Skills!C22=2,90+Inputs!$B$26+Inputs!$B$29,IF(Skills!C22=3,120+Inputs!$B$27+Inputs!$B$29,MAX(0,(Inputs!$B$3-100)*3)+Inputs!$B$28+Inputs!$B$29)))</f>
        <v>168</v>
      </c>
      <c r="E2292">
        <f>INDEX(FactorTable!$B$2:$Y$301, MATCH(ROUND(MIN(300,MAX(1,D2292)),0), FactorTable!$A$2:$A$301,0), Skills!M22+1)</f>
        <v>1504</v>
      </c>
      <c r="F2292">
        <f>IF(Skills!N22=TRUE,(Skills!L22/10)*(E2292/1000),Skills!L22/10)+Skills!O22</f>
        <v>22.56</v>
      </c>
      <c r="G2292">
        <f>Calc!G22</f>
        <v>1</v>
      </c>
      <c r="H2292">
        <f>Calc!H22</f>
        <v>1</v>
      </c>
      <c r="I2292">
        <f>IF(Skills!X22&lt;&gt;"",1+(Skills!X22/10)*(Z2273/1000)/100,1)</f>
        <v>1</v>
      </c>
      <c r="O2292">
        <f>(1-Summary!$B$11)*S2292+Summary!$B$11*U2292</f>
        <v>0</v>
      </c>
      <c r="P2292">
        <f>IF(B2311=0,0,O2292/B2311)</f>
        <v>0</v>
      </c>
      <c r="Q2292">
        <f>IFERROR(1/(IF(Inputs!$B$38="pvp",15,MAX(0.1,Skills!E22-IF(TRUE=TRUE,Inputs!$B$32,0)))*(1-IF(AND(ArtifactsInput!$M$27,Inputs!$B$4="Chapter Hunt"),CHOOSE(ArtifactsInput!$N$27+1,20,24,28,32,36,40),0)/100)),0)</f>
        <v>10</v>
      </c>
      <c r="R2292">
        <v>0</v>
      </c>
      <c r="S2292">
        <v>0</v>
      </c>
      <c r="U2292">
        <v>0</v>
      </c>
    </row>
    <row r="2293" spans="1:21" x14ac:dyDescent="0.2">
      <c r="A2293" t="str">
        <f>Skills!A23</f>
        <v>ELEMENT_AMPLIFICATION</v>
      </c>
      <c r="B2293" t="str">
        <f>Skills!B23</f>
        <v>Element Amplification</v>
      </c>
      <c r="C2293" t="b">
        <f>TRUE</f>
        <v>1</v>
      </c>
      <c r="D2293">
        <f>IF(Skills!C23=1,60+Inputs!$B$25+Inputs!$B$29,IF(Skills!C23=2,90+Inputs!$B$26+Inputs!$B$29,IF(Skills!C23=3,120+Inputs!$B$27+Inputs!$B$29,MAX(0,(Inputs!$B$3-100)*3)+Inputs!$B$28+Inputs!$B$29)))</f>
        <v>185</v>
      </c>
      <c r="E2293">
        <f>INDEX(FactorTable!$B$2:$Y$301, MATCH(ROUND(MIN(300,MAX(1,D2293)),0), FactorTable!$A$2:$A$301,0), Skills!M23+1)</f>
        <v>1555</v>
      </c>
      <c r="F2293">
        <f>IF(Skills!N23=TRUE,(Skills!L23/10)*(E2293/1000),Skills!L23/10)+Skills!O23</f>
        <v>23.324999999999999</v>
      </c>
      <c r="G2293">
        <f>Calc!G23</f>
        <v>1</v>
      </c>
      <c r="H2293">
        <f>Calc!H23</f>
        <v>1</v>
      </c>
      <c r="I2293">
        <f>IF(Skills!X23&lt;&gt;"",1+(Skills!X23/10)*(Z2273/1000)/100,1)</f>
        <v>1</v>
      </c>
      <c r="O2293">
        <f>(1-Summary!$B$11)*S2293+Summary!$B$11*U2293</f>
        <v>0</v>
      </c>
      <c r="P2293">
        <f>IF(B2311=0,0,O2293/B2311)</f>
        <v>0</v>
      </c>
      <c r="Q2293">
        <f>IFERROR(1/(IF(Inputs!$B$38="pvp",15,MAX(0.1,Skills!E23-IF(TRUE=TRUE,Inputs!$B$32,0)))*(1-IF(AND(ArtifactsInput!$M$27,Inputs!$B$4="Chapter Hunt"),CHOOSE(ArtifactsInput!$N$27+1,20,24,28,32,36,40),0)/100)),0)</f>
        <v>10</v>
      </c>
      <c r="R2293">
        <v>0</v>
      </c>
      <c r="S2293">
        <v>0</v>
      </c>
      <c r="U2293">
        <v>0</v>
      </c>
    </row>
    <row r="2294" spans="1:21" x14ac:dyDescent="0.2">
      <c r="A2294" t="str">
        <f>Skills!A24</f>
        <v>IFRIT</v>
      </c>
      <c r="B2294" t="str">
        <f>Skills!B24</f>
        <v>Ifrit</v>
      </c>
      <c r="C2294" t="b">
        <f>Inputs!$B$3&gt;=115</f>
        <v>1</v>
      </c>
      <c r="D2294">
        <f>IF(Skills!C24=1,60+Inputs!$B$25+Inputs!$B$29,IF(Skills!C24=2,90+Inputs!$B$26+Inputs!$B$29,IF(Skills!C24=3,120+Inputs!$B$27+Inputs!$B$29,MAX(0,(Inputs!$B$3-100)*3)+Inputs!$B$28+Inputs!$B$29)))</f>
        <v>185</v>
      </c>
      <c r="E2294">
        <f>INDEX(FactorTable!$B$2:$Y$301, MATCH(ROUND(MIN(300,MAX(1,D2294)),0), FactorTable!$A$2:$A$301,0), Skills!M24+1)</f>
        <v>1925</v>
      </c>
      <c r="F2294">
        <f>IF(Skills!N24=TRUE,(Skills!L24/10)*(E2294/1000),Skills!L24/10)+Skills!O24</f>
        <v>6737.5</v>
      </c>
      <c r="G2294">
        <f>Calc!G24</f>
        <v>7.5</v>
      </c>
      <c r="H2294">
        <f>Calc!H24</f>
        <v>1</v>
      </c>
      <c r="I2294">
        <f>IF(Skills!X24&lt;&gt;"",1+(Skills!X24/10)*(Z2273/1000)/100,1)</f>
        <v>1</v>
      </c>
      <c r="J2294">
        <f>((Inputs!$B$6*(1+Inputs!$B$7/100))+(((Inputs!$B$12*(1+Inputs!$B$13/100))-(Inputs!$B$12*(1+Inputs!$B$13/100)))+0.25*(Inputs!$B$14-Inputs!$B$14))*(1+Inputs!$B$7/100))*(F2294/100)</f>
        <v>24331438378.718628</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133995835820300.78</v>
      </c>
      <c r="L2294">
        <f>K2294*(MIN(Inputs!$B$22+(F2292-Calc!F22),(Inputs!$B$23+(IF(ArtifactsInput!$M$15,CHOOSE(ArtifactsInput!$N$15+1,25,30,35,40,45,50)/100*(Inputs!$B$11-Inputs!$B$11),0))))/100+(Inputs!$B$23+(IF(ArtifactsInput!$M$15,CHOOSE(ArtifactsInput!$N$15+1,25,30,35,40,45,50)/100*(Inputs!$B$11-Inputs!$B$11),0)))/100)/2</f>
        <v>445536154102500.12</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2102485111209697.8</v>
      </c>
      <c r="N2294">
        <f>L2294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2102485111209697.8</v>
      </c>
      <c r="O2294">
        <f>(1-Summary!$B$11)*S2294+Summary!$B$11*U2294</f>
        <v>2404717345946091.5</v>
      </c>
      <c r="P2294">
        <f>IF(B2311=0,0,O2294/B2311)</f>
        <v>6.6312914553869604E-2</v>
      </c>
      <c r="Q2294">
        <f>IFERROR(1/(IF(Inputs!$B$38="pvp",15,MAX(0.1,Skills!E24-IF(TRUE=TRUE,Inputs!$B$32,0)))*(1-IF(AND(ArtifactsInput!$M$27,Inputs!$B$4="Chapter Hunt"),CHOOSE(ArtifactsInput!$N$27+1,20,24,28,32,36,40),0)/100)),0)</f>
        <v>1.2500000000000001E-2</v>
      </c>
      <c r="R2294">
        <f>IF(AND(Inputs!$B$38&lt;&gt;"pvp",Inputs!$B$43&gt;0),IF(MAX(0,Inputs!$B$43-B2308)&lt;=0,0,(INT(MAX(0,Inputs!$B$43-B2308)/(IF(Inputs!$B$38="pvp",15,MAX(0.1,Skills!E24-IF(TRUE=TRUE,Inputs!$B$32,0)))*(1-IF(AND(ArtifactsInput!$M$27,Inputs!$B$4="Chapter Hunt"),CHOOSE(ArtifactsInput!$N$27+1,20,24,28,32,36,40),0)/100)))+1)),0)</f>
        <v>1</v>
      </c>
      <c r="S2294">
        <f>IF(C2294,(H2294*N2294*IF(AND(Inputs!$B$38&lt;&gt;"pvp",Inputs!$B$43&gt;0),((Skills!G24*((R2294-1)*IF(Skills!H24&gt;0,Skills!I24/Skills!H24,1)+IF(Skills!H24&gt;0,MIN(Skills!I24,MAX(0,MAX(0,Inputs!$B$43-B2308)-((R2294-1)*(IF(Inputs!$B$38="pvp",15,MAX(0.1,Skills!E24-IF(TRUE=TRUE,Inputs!$B$32,0)))*(1-IF(AND(ArtifactsInput!$M$27,Inputs!$B$4="Chapter Hunt"),CHOOSE(ArtifactsInput!$N$27+1,20,24,28,32,36,40),0)/100)))))/Skills!H24,1)))/Inputs!$B$43),G2294*Q2294)*(1+IF(Inputs!$B$3&gt;=130,0.2*(Skills!I16/(1/Q2285)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1249664587975264</v>
      </c>
      <c r="U2294">
        <f>IF(C2294,(H2294*N2294*IF(AND(Inputs!$B$38&lt;&gt;"pvp",Inputs!$B$43&gt;0),((Skills!G24*((R2294-1)*IF(Skills!H24&gt;0,Skills!I24/Skills!H24,1)+IF(Skills!H24&gt;0,MIN(Skills!I24,MAX(0,MAX(0,Inputs!$B$43-B2308)-((R2294-1)*(IF(Inputs!$B$38="pvp",15,MAX(0.1,Skills!E24-IF(TRUE=TRUE,Inputs!$B$32,0)))*(1-IF(AND(ArtifactsInput!$M$27,Inputs!$B$4="Chapter Hunt"),CHOOSE(ArtifactsInput!$N$27+1,20,24,28,32,36,40),0)/100)))))/Skills!H24,1)))/Inputs!$B$43),G2294*Q2294)*(1+IF(Inputs!$B$3&gt;=130,0.2*(Skills!I16/(1/Q2285)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3559770103916919</v>
      </c>
    </row>
    <row r="2295" spans="1:21" x14ac:dyDescent="0.2">
      <c r="A2295" t="str">
        <f>Skills!A25</f>
        <v>BUFF_MASTERY</v>
      </c>
      <c r="B2295" t="str">
        <f>Skills!B25</f>
        <v>Buff Mastery</v>
      </c>
      <c r="C2295" t="b">
        <f>Inputs!$B$3&gt;=117</f>
        <v>1</v>
      </c>
      <c r="D2295">
        <f>IF(Skills!C25=1,60+Inputs!$B$25+Inputs!$B$29,IF(Skills!C25=2,90+Inputs!$B$26+Inputs!$B$29,IF(Skills!C25=3,120+Inputs!$B$27+Inputs!$B$29,MAX(0,(Inputs!$B$3-100)*3)+Inputs!$B$28+Inputs!$B$29)))</f>
        <v>185</v>
      </c>
      <c r="E2295">
        <f>INDEX(FactorTable!$B$2:$Y$301, MATCH(ROUND(MIN(300,MAX(1,D2295)),0), FactorTable!$A$2:$A$301,0), Skills!M25+1)</f>
        <v>1555</v>
      </c>
      <c r="F2295">
        <f>IF(Skills!N25=TRUE,(Skills!L25/10)*(E2295/1000),Skills!L25/10)+Skills!O25</f>
        <v>15.549999999999999</v>
      </c>
      <c r="G2295">
        <f>Calc!G25</f>
        <v>1</v>
      </c>
      <c r="H2295">
        <f>Calc!H25</f>
        <v>1</v>
      </c>
      <c r="I2295">
        <f>IF(Skills!X25&lt;&gt;"",1+(Skills!X25/10)*(Z2273/1000)/100,1)</f>
        <v>1</v>
      </c>
      <c r="O2295">
        <f>(1-Summary!$B$11)*S2295+Summary!$B$11*U2295</f>
        <v>0</v>
      </c>
      <c r="P2295">
        <f>IF(B2311=0,0,O2295/B2311)</f>
        <v>0</v>
      </c>
      <c r="Q2295">
        <f>IFERROR(1/(IF(Inputs!$B$38="pvp",15,MAX(0.1,Skills!E25-IF(TRUE=TRUE,Inputs!$B$32,0)))*(1-IF(AND(ArtifactsInput!$M$27,Inputs!$B$4="Chapter Hunt"),CHOOSE(ArtifactsInput!$N$27+1,20,24,28,32,36,40),0)/100)),0)</f>
        <v>10</v>
      </c>
      <c r="R2295">
        <v>0</v>
      </c>
      <c r="S2295">
        <v>0</v>
      </c>
      <c r="U2295">
        <v>0</v>
      </c>
    </row>
    <row r="2296" spans="1:21" x14ac:dyDescent="0.2">
      <c r="A2296" t="str">
        <f>Skills!A26</f>
        <v>ARCANE_AIM</v>
      </c>
      <c r="B2296" t="str">
        <f>Skills!B26</f>
        <v>Arcane Aim</v>
      </c>
      <c r="C2296" t="b">
        <f>Inputs!$B$3&gt;=120</f>
        <v>0</v>
      </c>
      <c r="D2296">
        <f>IF(Skills!C26=1,60+Inputs!$B$25+Inputs!$B$29,IF(Skills!C26=2,90+Inputs!$B$26+Inputs!$B$29,IF(Skills!C26=3,120+Inputs!$B$27+Inputs!$B$29,MAX(0,(Inputs!$B$3-100)*3)+Inputs!$B$28+Inputs!$B$29)))</f>
        <v>185</v>
      </c>
      <c r="E2296">
        <f>INDEX(FactorTable!$B$2:$Y$301, MATCH(ROUND(MIN(300,MAX(1,D2296)),0), FactorTable!$A$2:$A$301,0), Skills!M26+1)</f>
        <v>1555</v>
      </c>
      <c r="F2296">
        <f>IF(Skills!N26=TRUE,(Skills!L26/10)*(E2296/1000),Skills!L26/10)+Skills!O26</f>
        <v>4.665</v>
      </c>
      <c r="G2296">
        <f>Calc!G26</f>
        <v>1</v>
      </c>
      <c r="H2296">
        <f>Calc!H26</f>
        <v>1</v>
      </c>
      <c r="I2296">
        <f>IF(Skills!X26&lt;&gt;"",1+(Skills!X26/10)*(Z2273/1000)/100,1)</f>
        <v>1</v>
      </c>
      <c r="O2296">
        <f>(1-Summary!$B$11)*S2296+Summary!$B$11*U2296</f>
        <v>0</v>
      </c>
      <c r="P2296">
        <f>IF(B2311=0,0,O2296/B2311)</f>
        <v>0</v>
      </c>
      <c r="Q2296">
        <f>IFERROR(1/(IF(Inputs!$B$38="pvp",15,MAX(0.1,Skills!E26-IF(TRUE=TRUE,Inputs!$B$32,0)))*(1-IF(AND(ArtifactsInput!$M$27,Inputs!$B$4="Chapter Hunt"),CHOOSE(ArtifactsInput!$N$27+1,20,24,28,32,36,40),0)/100)),0)</f>
        <v>10</v>
      </c>
      <c r="R2296">
        <v>0</v>
      </c>
      <c r="S2296">
        <v>0</v>
      </c>
      <c r="U2296">
        <v>0</v>
      </c>
    </row>
    <row r="2297" spans="1:21" x14ac:dyDescent="0.2">
      <c r="A2297" t="str">
        <f>Skills!A27</f>
        <v>FERVENT_DRAIN</v>
      </c>
      <c r="B2297" t="str">
        <f>Skills!B27</f>
        <v>Fervent Drain</v>
      </c>
      <c r="C2297" t="b">
        <f>Inputs!$B$3&gt;=125</f>
        <v>0</v>
      </c>
      <c r="D2297">
        <f>IF(Skills!C27=1,60+Inputs!$B$25+Inputs!$B$29,IF(Skills!C27=2,90+Inputs!$B$26+Inputs!$B$29,IF(Skills!C27=3,120+Inputs!$B$27+Inputs!$B$29,MAX(0,(Inputs!$B$3-100)*3)+Inputs!$B$28+Inputs!$B$29)))</f>
        <v>185</v>
      </c>
      <c r="E2297">
        <f>INDEX(FactorTable!$B$2:$Y$301, MATCH(ROUND(MIN(300,MAX(1,D2297)),0), FactorTable!$A$2:$A$301,0), Skills!M27+1)</f>
        <v>1555</v>
      </c>
      <c r="F2297">
        <f>IF(Skills!N27=TRUE,(Skills!L27/10)*(E2297/1000),Skills!L27/10)+Skills!O27</f>
        <v>6.22</v>
      </c>
      <c r="G2297">
        <f>Calc!G27</f>
        <v>1</v>
      </c>
      <c r="H2297">
        <f>Calc!H27</f>
        <v>1</v>
      </c>
      <c r="I2297">
        <f>IF(Skills!X27&lt;&gt;"",1+(Skills!X27/10)*(Z2273/1000)/100,1)</f>
        <v>1</v>
      </c>
      <c r="O2297">
        <f>(1-Summary!$B$11)*S2297+Summary!$B$11*U2297</f>
        <v>0</v>
      </c>
      <c r="P2297">
        <f>IF(B2311=0,0,O2297/B2311)</f>
        <v>0</v>
      </c>
      <c r="Q2297">
        <f>IFERROR(1/(IF(Inputs!$B$38="pvp",15,MAX(0.1,Skills!E27-IF(TRUE=TRUE,Inputs!$B$32,0)))*(1-IF(AND(ArtifactsInput!$M$27,Inputs!$B$4="Chapter Hunt"),CHOOSE(ArtifactsInput!$N$27+1,20,24,28,32,36,40),0)/100)),0)</f>
        <v>10</v>
      </c>
      <c r="R2297">
        <v>0</v>
      </c>
      <c r="S2297">
        <v>0</v>
      </c>
      <c r="U2297">
        <v>0</v>
      </c>
    </row>
    <row r="2298" spans="1:21" x14ac:dyDescent="0.2">
      <c r="A2298" t="str">
        <f>Skills!A28</f>
        <v>FLAME_HAZE_FOG</v>
      </c>
      <c r="B2298" t="str">
        <f>Skills!B28</f>
        <v>Flame Haze (poison fog DoT)</v>
      </c>
      <c r="C2298" t="b">
        <f>Inputs!$B$3&gt;=118</f>
        <v>0</v>
      </c>
      <c r="D2298">
        <f>IF(Skills!C28=1,60+Inputs!$B$25+Inputs!$B$29,IF(Skills!C28=2,90+Inputs!$B$26+Inputs!$B$29,IF(Skills!C28=3,120+Inputs!$B$27+Inputs!$B$29,MAX(0,(Inputs!$B$3-100)*3)+Inputs!$B$28+Inputs!$B$29)))</f>
        <v>185</v>
      </c>
      <c r="E2298">
        <f>INDEX(FactorTable!$B$2:$Y$301, MATCH(ROUND(MIN(300,MAX(1,D2298)),0), FactorTable!$A$2:$A$301,0), Skills!M28+1)</f>
        <v>1925</v>
      </c>
      <c r="F2298">
        <f>IF(Skills!N28=TRUE,(Skills!L28/10)*(E2298/1000),Skills!L28/10)+Skills!O28</f>
        <v>134.75</v>
      </c>
      <c r="G2298">
        <f>Calc!G28</f>
        <v>50</v>
      </c>
      <c r="H2298">
        <f>Calc!H28</f>
        <v>1</v>
      </c>
      <c r="I2298">
        <f>IF(Skills!X28&lt;&gt;"",1+(Skills!X28/10)*(Z2273/1000)/100,1)</f>
        <v>1</v>
      </c>
      <c r="J2298">
        <f>((Inputs!$B$6*(1+Inputs!$B$7/100))+(((Inputs!$B$12*(1+Inputs!$B$13/100))-(Inputs!$B$12*(1+Inputs!$B$13/100)))+0.25*(Inputs!$B$14-Inputs!$B$14))*(1+Inputs!$B$7/100))*(F2298/100)</f>
        <v>486628767.57437253</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2679916716406.0146</v>
      </c>
      <c r="L2298">
        <f>K2298*(MIN(Inputs!$B$22+(F2292-Calc!F22),(Inputs!$B$23+(IF(ArtifactsInput!$M$15,CHOOSE(ArtifactsInput!$N$15+1,25,30,35,40,45,50)/100*(Inputs!$B$11-Inputs!$B$11),0))))/100+(Inputs!$B$23+(IF(ArtifactsInput!$M$15,CHOOSE(ArtifactsInput!$N$15+1,25,30,35,40,45,50)/100*(Inputs!$B$11-Inputs!$B$11),0)))/100)/2</f>
        <v>8910723082050</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42049702224193.945</v>
      </c>
      <c r="N2298">
        <f>L2298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42049702224193.945</v>
      </c>
      <c r="O2298">
        <f>(1-Summary!$B$11)*S2298+Summary!$B$11*U2298</f>
        <v>0</v>
      </c>
      <c r="P2298">
        <f>IF(B2311=0,0,O2298/B2311)</f>
        <v>0</v>
      </c>
      <c r="Q2298">
        <f>IFERROR(1/(IF(Inputs!$B$38="pvp",15,MAX(0.1,Skills!E28-IF(TRUE=TRUE,Inputs!$B$32,0)))*(1-IF(AND(ArtifactsInput!$M$27,Inputs!$B$4="Chapter Hunt"),CHOOSE(ArtifactsInput!$N$27+1,20,24,28,32,36,40),0)/100)),0)</f>
        <v>0.04</v>
      </c>
      <c r="R2298">
        <f>IF(AND(Inputs!$B$38&lt;&gt;"pvp",Inputs!$B$43&gt;0),IF(MAX(0,Inputs!$B$43-B2308)&lt;=0,0,(INT(MAX(0,Inputs!$B$43-B2308)/(IF(Inputs!$B$38="pvp",15,MAX(0.1,Skills!E28-IF(TRUE=TRUE,Inputs!$B$32,0)))*(1-IF(AND(ArtifactsInput!$M$27,Inputs!$B$4="Chapter Hunt"),CHOOSE(ArtifactsInput!$N$27+1,20,24,28,32,36,40),0)/100)))+1)),0)</f>
        <v>2</v>
      </c>
      <c r="S2298">
        <f>IF(C2298,(H2298*N2298*IF(AND(Inputs!$B$38&lt;&gt;"pvp",Inputs!$B$43&gt;0),((Skills!G28*((R2298-1)*IF(Skills!H28&gt;0,Skills!I28/Skills!H28,1)+IF(Skills!H28&gt;0,MIN(Skills!I28,MAX(0,MAX(0,Inputs!$B$43-B2308)-((R2298-1)*(IF(Inputs!$B$38="pvp",15,MAX(0.1,Skills!E28-IF(TRUE=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98">
        <f>IF(C2298,(H2298*N2298*IF(AND(Inputs!$B$38&lt;&gt;"pvp",Inputs!$B$43&gt;0),((Skills!G28*((R2298-1)*IF(Skills!H28&gt;0,Skills!I28/Skills!H28,1)+IF(Skills!H28&gt;0,MIN(Skills!I28,MAX(0,MAX(0,Inputs!$B$43-B2308)-((R2298-1)*(IF(Inputs!$B$38="pvp",15,MAX(0.1,Skills!E28-IF(TRUE=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00" spans="1:21" x14ac:dyDescent="0.2">
      <c r="A2300" t="s">
        <v>356</v>
      </c>
      <c r="B2300">
        <f>1+(F2281*Skills!Z11)/100</f>
        <v>1.25</v>
      </c>
    </row>
    <row r="2301" spans="1:21" x14ac:dyDescent="0.2">
      <c r="A2301" t="s">
        <v>435</v>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1.18624</v>
      </c>
    </row>
    <row r="2302" spans="1:21" x14ac:dyDescent="0.2">
      <c r="A2302" t="s">
        <v>358</v>
      </c>
      <c r="B2302">
        <f>(1+(F2276*IF(AND(Inputs!$B$38&lt;&gt;"pvp",Inputs!$B$43&gt;0),(((R2276-1)*MIN((Skills!T6*(1+((Inputs!$B$34+(ArtifactsInput!$M$7-ArtifactsInput!$M$7)*CHOOSE(ArtifactsInput!$N$7+1,6,7.2,8.4,9.6,10.8,12)))/100)),(1/Q2276))+MIN((Skills!T6*(1+((Inputs!$B$34+(ArtifactsInput!$M$7-ArtifactsInput!$M$7)*CHOOSE(ArtifactsInput!$N$7+1,6,7.2,8.4,9.6,10.8,12)))/100)),MAX(0,Inputs!$B$43-((R2276-1)*(1/Q2276)))))/Inputs!$B$43),IF(Inputs!$B$38="pvp",MIN((Skills!T6*(1+((Inputs!$B$34+(ArtifactsInput!$M$7-ArtifactsInput!$M$7)*CHOOSE(ArtifactsInput!$N$7+1,6,7.2,8.4,9.6,10.8,12)))/100)),15)/15,MIN(1,(Skills!T6*(1+((Inputs!$B$34+(ArtifactsInput!$M$7-ArtifactsInput!$M$7)*CHOOSE(ArtifactsInput!$N$7+1,6,7.2,8.4,9.6,10.8,12)))/100))/(1/Q2276))))+F2287*IF(AND(Inputs!$B$38&lt;&gt;"pvp",Inputs!$B$43&gt;0),(((R2287-1)*MIN((Skills!T17*(1+((Inputs!$B$34+(ArtifactsInput!$M$7-ArtifactsInput!$M$7)*CHOOSE(ArtifactsInput!$N$7+1,6,7.2,8.4,9.6,10.8,12)))/100)),(1/Q2287))+MIN((Skills!T17*(1+((Inputs!$B$34+(ArtifactsInput!$M$7-ArtifactsInput!$M$7)*CHOOSE(ArtifactsInput!$N$7+1,6,7.2,8.4,9.6,10.8,12)))/100)),MAX(0,Inputs!$B$43-((R2287-1)*(1/Q2287)))))/Inputs!$B$43),IF(Inputs!$B$38="pvp",MIN((Skills!T17*(1+((Inputs!$B$34+(ArtifactsInput!$M$7-ArtifactsInput!$M$7)*CHOOSE(ArtifactsInput!$N$7+1,6,7.2,8.4,9.6,10.8,12)))/100)),15)/15,MIN(1,(Skills!T17*(1+((Inputs!$B$34+(ArtifactsInput!$M$7-ArtifactsInput!$M$7)*CHOOSE(ArtifactsInput!$N$7+1,6,7.2,8.4,9.6,10.8,12)))/100))/(1/Q2287)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MIN((Skills!T19*(1+((Inputs!$B$34+(ArtifactsInput!$M$7-ArtifactsInput!$M$7)*CHOOSE(ArtifactsInput!$N$7+1,6,7.2,8.4,9.6,10.8,12)))/100)),(1/Q2289))+MIN((Skills!T19*(1+((Inputs!$B$34+(ArtifactsInput!$M$7-ArtifactsInput!$M$7)*CHOOSE(ArtifactsInput!$N$7+1,6,7.2,8.4,9.6,10.8,12)))/100)),MAX(0,Inputs!$B$43-((R2289-1)*(1/Q2289)))))/Inputs!$B$43),IF(Inputs!$B$38="pvp",MIN((Skills!T19*(1+((Inputs!$B$34+(ArtifactsInput!$M$7-ArtifactsInput!$M$7)*CHOOSE(ArtifactsInput!$N$7+1,6,7.2,8.4,9.6,10.8,12)))/100)),15)/15,MIN(1,(Skills!T19*(1+((Inputs!$B$34+(ArtifactsInput!$M$7-ArtifactsInput!$M$7)*CHOOSE(ArtifactsInput!$N$7+1,6,7.2,8.4,9.6,10.8,12)))/100))/(1/Q2289))))/100),1)</f>
        <v>1.7965808377980694</v>
      </c>
    </row>
    <row r="2303" spans="1:21" x14ac:dyDescent="0.2">
      <c r="A2303" t="s">
        <v>359</v>
      </c>
      <c r="B2303">
        <f>F2288*IF(AND(Inputs!$B$38&lt;&gt;"pvp",Inputs!$B$43&gt;0),(((R2288-1)*MIN((Skills!T18*(1+((Inputs!$B$34+(ArtifactsInput!$M$7-ArtifactsInput!$M$7)*CHOOSE(ArtifactsInput!$N$7+1,6,7.2,8.4,9.6,10.8,12)))/100)),(1/Q2288))+MIN((Skills!T18*(1+((Inputs!$B$34+(ArtifactsInput!$M$7-ArtifactsInput!$M$7)*CHOOSE(ArtifactsInput!$N$7+1,6,7.2,8.4,9.6,10.8,12)))/100)),MAX(0,Inputs!$B$43-((R2288-1)*(1/Q2288)))))/Inputs!$B$43),IF(Inputs!$B$38="pvp",MIN((Skills!T18*(1+((Inputs!$B$34+(ArtifactsInput!$M$7-ArtifactsInput!$M$7)*CHOOSE(ArtifactsInput!$N$7+1,6,7.2,8.4,9.6,10.8,12)))/100)),15)/15,MIN(1,(Skills!T18*(1+((Inputs!$B$34+(ArtifactsInput!$M$7-ArtifactsInput!$M$7)*CHOOSE(ArtifactsInput!$N$7+1,6,7.2,8.4,9.6,10.8,12)))/100))/(1/Q2288))))</f>
        <v>6.4968749999999993</v>
      </c>
    </row>
    <row r="2304" spans="1:21" x14ac:dyDescent="0.2">
      <c r="A2304" t="s">
        <v>436</v>
      </c>
      <c r="B2304">
        <f>1+MIN(150,150*(1-(1-(Inputs!$B$11+(ArtifactsInput!$M$15-ArtifactsInput!$M$15)*CHOOSE(ArtifactsInput!$N$15+1,8,9.6,11.2,12.8,14.4,16))/150)*(1-B2303/150)))/100</f>
        <v>1.6982958749999999</v>
      </c>
    </row>
    <row r="2305" spans="1:26" x14ac:dyDescent="0.2">
      <c r="A2305" t="s">
        <v>437</v>
      </c>
      <c r="B2305">
        <f>IF(AND(Inputs!$B$38&lt;&gt;"pvp",Inputs!$B$43&gt;0),SUMPRODUCT((Skills!F2:F28=TRUE)*(C2272:C2298=TRUE)*R2272:R2298)/Inputs!$B$43,SUMPRODUCT((Skills!F2:F28=TRUE)*(C2272:C2298=TRUE)*Q2272:Q2298))</f>
        <v>0.47499999999999998</v>
      </c>
    </row>
    <row r="2306" spans="1:26" x14ac:dyDescent="0.2">
      <c r="A2306" t="s">
        <v>362</v>
      </c>
      <c r="B2306">
        <f>MAX(0,B2304-B2305)</f>
        <v>1.2232958749999998</v>
      </c>
    </row>
    <row r="2307" spans="1:26" x14ac:dyDescent="0.2">
      <c r="A2307" t="s">
        <v>438</v>
      </c>
      <c r="B2307">
        <f>IF(AND(Inputs!$B$38&lt;&gt;"pvp",Inputs!$B$43&gt;0),SUMPRODUCT((Skills!V2:V28=TRUE)*(C2272:C2298=TRUE)*R2272:R2298*Skills!W2:W28)/Inputs!$B$43,SUMPRODUCT((Skills!V2:V28=TRUE)*(C2272:C2298=TRUE)*Q2272:Q2298*Skills!W2:W28))+B2306</f>
        <v>1.5482958749999998</v>
      </c>
    </row>
    <row r="2308" spans="1:26" x14ac:dyDescent="0.2">
      <c r="A2308" t="s">
        <v>439</v>
      </c>
      <c r="B2308">
        <f>IF(AND(Inputs!$B$38&lt;&gt;"pvp",Inputs!$B$43&gt;0),SUMPRODUCT((Skills!T2:T28&gt;0)*(Skills!F2:F28=TRUE)*(C2272:C2298=TRUE))/B2304,0)</f>
        <v>2.3553021937358238</v>
      </c>
    </row>
    <row r="2309" spans="1:26" x14ac:dyDescent="0.2">
      <c r="A2309" t="s">
        <v>440</v>
      </c>
      <c r="B2309">
        <f>SUM(S2272:S2298)</f>
        <v>1.0430920334510888E+16</v>
      </c>
    </row>
    <row r="2310" spans="1:26" x14ac:dyDescent="0.2">
      <c r="A2310" t="s">
        <v>441</v>
      </c>
      <c r="B2310">
        <f>SUM(U2272:U2298)</f>
        <v>6.209544537039592E+16</v>
      </c>
    </row>
    <row r="2311" spans="1:26" x14ac:dyDescent="0.2">
      <c r="A2311" s="6" t="s">
        <v>348</v>
      </c>
      <c r="B2311" s="6">
        <f>SUM(O2272:O2298)</f>
        <v>3.62631828524534E+16</v>
      </c>
    </row>
    <row r="2314" spans="1:26" x14ac:dyDescent="0.2">
      <c r="A2314" s="6" t="s">
        <v>492</v>
      </c>
    </row>
    <row r="2315" spans="1:26" x14ac:dyDescent="0.2">
      <c r="A2315" s="5" t="s">
        <v>136</v>
      </c>
      <c r="B2315" s="5" t="s">
        <v>137</v>
      </c>
      <c r="C2315" s="5" t="s">
        <v>328</v>
      </c>
      <c r="D2315" s="5" t="s">
        <v>329</v>
      </c>
      <c r="E2315" s="5" t="s">
        <v>330</v>
      </c>
      <c r="F2315" s="5" t="s">
        <v>331</v>
      </c>
      <c r="G2315" s="5" t="s">
        <v>332</v>
      </c>
      <c r="H2315" s="5" t="s">
        <v>333</v>
      </c>
      <c r="I2315" s="5" t="s">
        <v>334</v>
      </c>
      <c r="J2315" s="5" t="s">
        <v>335</v>
      </c>
      <c r="K2315" s="5" t="s">
        <v>336</v>
      </c>
      <c r="L2315" s="5" t="s">
        <v>337</v>
      </c>
      <c r="M2315" s="5" t="s">
        <v>338</v>
      </c>
      <c r="N2315" s="5" t="s">
        <v>339</v>
      </c>
      <c r="O2315" s="5" t="s">
        <v>340</v>
      </c>
      <c r="P2315" s="5" t="s">
        <v>341</v>
      </c>
      <c r="R2315" t="s">
        <v>434</v>
      </c>
    </row>
    <row r="2316" spans="1:26" x14ac:dyDescent="0.2">
      <c r="A2316" t="str">
        <f>Skills!A2</f>
        <v>BASIC_ATTACK</v>
      </c>
      <c r="B2316" t="str">
        <f>Skills!B2</f>
        <v>Basic Attack</v>
      </c>
      <c r="C2316" t="b">
        <f>TRUE</f>
        <v>1</v>
      </c>
      <c r="F2316">
        <f>T2318+Skills!O2</f>
        <v>537.6</v>
      </c>
      <c r="G2316">
        <f>Calc!G2</f>
        <v>5</v>
      </c>
      <c r="H2316">
        <f>Calc!H2</f>
        <v>1</v>
      </c>
      <c r="I2316">
        <f>IF(Skills!X2&lt;&gt;"",1+(Skills!X2/10)*(Z2317/1000)/100,1)</f>
        <v>1</v>
      </c>
      <c r="J2316">
        <f>((Inputs!$B$6*(1+Inputs!$B$7/100))+(((Inputs!$B$12*(1+Inputs!$B$13/100))-(Inputs!$B$12*(1+Inputs!$B$13/100)))+0.25*(Inputs!$B$14-Inputs!$B$14))*(1+Inputs!$B$7/100))*(F2316/100)</f>
        <v>1941459186.9980164</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6620290711466.1074</v>
      </c>
      <c r="L2316">
        <f>K2316*(MIN(Inputs!$B$22+(F2336-Calc!F22),(Inputs!$B$23+(IF(ArtifactsInput!$M$15,CHOOSE(ArtifactsInput!$N$15+1,25,30,35,40,45,50)/100*(Inputs!$B$11-Inputs!$B$11),0))))/100+(Inputs!$B$23+(IF(ArtifactsInput!$M$15,CHOOSE(ArtifactsInput!$N$15+1,25,30,35,40,45,50)/100*(Inputs!$B$11-Inputs!$B$11),0)))/100)/2</f>
        <v>22012466615624.809</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103876829959133.45</v>
      </c>
      <c r="N2316">
        <f>L2316*(1-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103876829959133.45</v>
      </c>
      <c r="O2316">
        <f>(1-Summary!$B$11)*S2316+Summary!$B$11*U2316</f>
        <v>1.3688841713645912E+16</v>
      </c>
      <c r="P2316">
        <f>IF(B2355=0,0,O2316/B2355)</f>
        <v>0.37966696860123389</v>
      </c>
      <c r="Q2316">
        <f>IFERROR(1/(IF(Inputs!$B$38="pvp",15,MAX(0.1,Skills!E2-IF(TRUE=TRUE,Inputs!$B$32,0)))*(1-IF(AND(ArtifactsInput!$M$27,Inputs!$B$4="Chapter Hunt"),CHOOSE(ArtifactsInput!$N$27+1,20,24,28,32,36,40),0)/100)),0)</f>
        <v>10</v>
      </c>
      <c r="R2316">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2141164844510871.2</v>
      </c>
      <c r="T2316">
        <f>MAX(0,(Inputs!$B$3-100)*3)+Inputs!$B$28+Inputs!$B$29</f>
        <v>185</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2.5236518582780952E+16</v>
      </c>
      <c r="Z2316">
        <f>MAX(0,(Inputs!$B$3-100)*3)+Inputs!$B$28+Inputs!$B$29</f>
        <v>185</v>
      </c>
    </row>
    <row r="2317" spans="1:26" x14ac:dyDescent="0.2">
      <c r="A2317" t="str">
        <f>Skills!A3</f>
        <v>IGNITE</v>
      </c>
      <c r="B2317" t="str">
        <f>Skills!B3</f>
        <v>Ignite</v>
      </c>
      <c r="C2317" t="b">
        <f>TRUE</f>
        <v>1</v>
      </c>
      <c r="D2317">
        <f>IF(Skills!C3=1,60+Inputs!$B$25+Inputs!$B$29,IF(Skills!C3=2,90+Inputs!$B$26+Inputs!$B$29,IF(Skills!C3=3,120+Inputs!$B$27+Inputs!$B$29,MAX(0,(Inputs!$B$3-100)*3)+Inputs!$B$28+Inputs!$B$29)))</f>
        <v>168</v>
      </c>
      <c r="E2317">
        <f>INDEX(FactorTable!$B$2:$Y$301, MATCH(ROUND(MIN(300,MAX(1,D2317)),0), FactorTable!$A$2:$A$301,0), Skills!M3+1)</f>
        <v>1672</v>
      </c>
      <c r="F2317">
        <f>IF(Skills!N3=TRUE,(Skills!L3/10)*(E2317/1000),Skills!L3/10)+Skills!O3</f>
        <v>121.736</v>
      </c>
      <c r="G2317">
        <f>Calc!G3</f>
        <v>3</v>
      </c>
      <c r="H2317">
        <f>Calc!H3</f>
        <v>1</v>
      </c>
      <c r="I2317">
        <f>IF(Skills!X3&lt;&gt;"",1+(Skills!X3/10)*(Z2317/1000)/100,1)</f>
        <v>4.8250000000000002</v>
      </c>
      <c r="J2317">
        <f>((Inputs!$B$6*(1+Inputs!$B$7/100))+(((Inputs!$B$12*(1+Inputs!$B$13/100))-(Inputs!$B$12*(1+Inputs!$B$13/100)))+0.25*(Inputs!$B$14-Inputs!$B$14))*(1+Inputs!$B$7/100))*(F2317/100)</f>
        <v>439630720.9605478</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10658554617221.965</v>
      </c>
      <c r="L2317">
        <f>K2317*(MIN(Inputs!$B$22+(F2336-Calc!F22),(Inputs!$B$23+(IF(ArtifactsInput!$M$15,CHOOSE(ArtifactsInput!$N$15+1,25,30,35,40,45,50)/100*(Inputs!$B$11-Inputs!$B$11),0))))/100+(Inputs!$B$23+(IF(ArtifactsInput!$M$15,CHOOSE(ArtifactsInput!$N$15+1,25,30,35,40,45,50)/100*(Inputs!$B$11-Inputs!$B$11),0)))/100)/2</f>
        <v>35439694102263.031</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167239916468579.22</v>
      </c>
      <c r="N2317">
        <f>L2317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167239916468579.22</v>
      </c>
      <c r="O2317">
        <f>(1-Summary!$B$11)*S2317+Summary!$B$11*U2317</f>
        <v>3145782828773975</v>
      </c>
      <c r="P2317">
        <f>IF(B2355=0,0,O2317/B2355)</f>
        <v>8.7249882456294697E-2</v>
      </c>
      <c r="Q2317">
        <f>IFERROR(1/(IF(Inputs!$B$38="pvp",15,MAX(0.1,Skills!E3-IF(FALSE=TRUE,Inputs!$B$32,0)))*(1-IF(AND(ArtifactsInput!$M$27,Inputs!$B$4="Chapter Hunt"),CHOOSE(ArtifactsInput!$N$27+1,20,24,28,32,36,40),0)/100)),0)</f>
        <v>1</v>
      </c>
      <c r="R2317">
        <f>IF(AND(Inputs!$B$38&lt;&gt;"pvp",Inputs!$B$43&gt;0),IF(MAX(0,Inputs!$B$43-B2352)&lt;=0,0,(INT(MAX(0,Inputs!$B$43-B2352)/(IF(Inputs!$B$38="pvp",15,MAX(0.1,Skills!E3-IF(FALSE=TRUE,Inputs!$B$32,0)))*(1-IF(AND(ArtifactsInput!$M$27,Inputs!$B$4="Chapter Hunt"),CHOOSE(ArtifactsInput!$N$27+1,20,24,28,32,36,40),0)/100)))+1)),0)</f>
        <v>38</v>
      </c>
      <c r="S2317">
        <f>IF(C2317,(H2317*N2317*IF(AND(Inputs!$B$38&lt;&gt;"pvp",Inputs!$B$43&gt;0),((Skills!G3*((R2317-1)*IF(Skills!H3&gt;0,Skills!I3/Skills!H3,1)+IF(Skills!H3&gt;0,MIN(Skills!I3,MAX(0,MAX(0,Inputs!$B$43-B2352)-((R2317-1)*(IF(Inputs!$B$38="pvp",15,MAX(0.1,Skills!E3-IF(FALSE=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1558592401528924.2</v>
      </c>
      <c r="T2317">
        <f>INDEX(FactorTable!$B$2:$Y$301, MATCH(ROUND(MIN(300,MAX(1,T2316)),0), FactorTable!$A$2:$A$301,0), 22)</f>
        <v>1740</v>
      </c>
      <c r="U2317">
        <f>IF(C2317,(H2317*N2317*IF(AND(Inputs!$B$38&lt;&gt;"pvp",Inputs!$B$43&gt;0),((Skills!G3*((R2317-1)*IF(Skills!H3&gt;0,Skills!I3/Skills!H3,1)+IF(Skills!H3&gt;0,MIN(Skills!I3,MAX(0,MAX(0,Inputs!$B$43-B2352)-((R2317-1)*(IF(Inputs!$B$38="pvp",15,MAX(0.1,Skills!E3-IF(FALSE=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4732973256019026</v>
      </c>
      <c r="Z2317">
        <f>INDEX(FactorTable!$B$2:$Y$301, MATCH(ROUND(MIN(300,MAX(1,Z2316)),0), FactorTable!$A$2:$A$301,0), 24)</f>
        <v>7650</v>
      </c>
    </row>
    <row r="2318" spans="1:26" x14ac:dyDescent="0.2">
      <c r="A2318" t="str">
        <f>Skills!A4</f>
        <v>POISON_BREATH</v>
      </c>
      <c r="B2318" t="str">
        <f>Skills!B4</f>
        <v>Poison Breath</v>
      </c>
      <c r="C2318" t="b">
        <f>TRUE</f>
        <v>1</v>
      </c>
      <c r="D2318">
        <f>IF(Skills!C4=1,60+Inputs!$B$25+Inputs!$B$29,IF(Skills!C4=2,90+Inputs!$B$26+Inputs!$B$29,IF(Skills!C4=3,120+Inputs!$B$27+Inputs!$B$29,MAX(0,(Inputs!$B$3-100)*3)+Inputs!$B$28+Inputs!$B$29)))</f>
        <v>168</v>
      </c>
      <c r="E2318">
        <f>INDEX(FactorTable!$B$2:$Y$301, MATCH(ROUND(MIN(300,MAX(1,D2318)),0), FactorTable!$A$2:$A$301,0), Skills!M4+1)</f>
        <v>1840</v>
      </c>
      <c r="F2318">
        <f>IF(Skills!N4=TRUE,(Skills!L4/10)*(E2318/1000),Skills!L4/10)+Skills!O4</f>
        <v>438</v>
      </c>
      <c r="G2318">
        <f>Calc!G4</f>
        <v>3</v>
      </c>
      <c r="H2318">
        <f>Calc!H4</f>
        <v>1</v>
      </c>
      <c r="I2318">
        <f>IF(Skills!X4&lt;&gt;"",1+(Skills!X4/10)*(Z2317/1000)/100,1)</f>
        <v>7.12</v>
      </c>
      <c r="J2318">
        <f>((Inputs!$B$6*(1+Inputs!$B$7/100))+(((Inputs!$B$12*(1+Inputs!$B$13/100))-(Inputs!$B$12*(1+Inputs!$B$13/100)))+0.25*(Inputs!$B$14-Inputs!$B$14))*(1+Inputs!$B$7/100))*(F2318/100)</f>
        <v>1581769203.69258</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56589528290529.523</v>
      </c>
      <c r="L2318">
        <f>K2318*(MIN(Inputs!$B$22+(F2336-Calc!F22),(Inputs!$B$23+(IF(ArtifactsInput!$M$15,CHOOSE(ArtifactsInput!$N$15+1,25,30,35,40,45,50)/100*(Inputs!$B$11-Inputs!$B$11),0))))/100+(Inputs!$B$23+(IF(ArtifactsInput!$M$15,CHOOSE(ArtifactsInput!$N$15+1,25,30,35,40,45,50)/100*(Inputs!$B$11-Inputs!$B$11),0)))/100)/2</f>
        <v>188160181566010.69</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887927896810004.38</v>
      </c>
      <c r="N2318">
        <f>L2318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887927896810004.38</v>
      </c>
      <c r="O2318">
        <f>(1-Summary!$B$11)*S2318+Summary!$B$11*U2318</f>
        <v>2310499378486732.5</v>
      </c>
      <c r="P2318">
        <f>IF(B2355=0,0,O2318/B2355)</f>
        <v>6.4082872264541083E-2</v>
      </c>
      <c r="Q2318">
        <f>IFERROR(1/(IF(Inputs!$B$38="pvp",15,MAX(0.1,Skills!E4-IF(TRUE=TRUE,Inputs!$B$32,0)))*(1-IF(AND(ArtifactsInput!$M$27,Inputs!$B$4="Chapter Hunt"),CHOOSE(ArtifactsInput!$N$27+1,20,24,28,32,36,40),0)/100)),0)</f>
        <v>5.5555555555555552E-2</v>
      </c>
      <c r="R2318">
        <f>IF(AND(Inputs!$B$38&lt;&gt;"pvp",Inputs!$B$43&gt;0),IF(MAX(0,Inputs!$B$43-B2352)&lt;=0,0,(INT(MAX(0,Inputs!$B$43-B2352)/(IF(Inputs!$B$38="pvp",15,MAX(0.1,Skills!E4-IF(TRUE=TRUE,Inputs!$B$32,0)))*(1-IF(AND(ArtifactsInput!$M$27,Inputs!$B$4="Chapter Hunt"),CHOOSE(ArtifactsInput!$N$27+1,20,24,28,32,36,40),0)/100)))+1)),0)</f>
        <v>3</v>
      </c>
      <c r="S2318">
        <f>IF(C2318,(H2318*N2318*IF(AND(Inputs!$B$38&lt;&gt;"pvp",Inputs!$B$43&gt;0),((Skills!G4*((R2318-1)*IF(Skills!H4&gt;0,Skills!I4/Skills!H4,1)+IF(Skills!H4&gt;0,MIN(Skills!I4,MAX(0,MAX(0,Inputs!$B$43-B2352)-((R2318-1)*(IF(Inputs!$B$38="pvp",15,MAX(0.1,Skills!E4-IF(TRUE=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653292950077960.75</v>
      </c>
      <c r="T2318">
        <f>290*T2317/1000</f>
        <v>504.6</v>
      </c>
      <c r="U2318">
        <f>IF(C2318,(H2318*N2318*IF(AND(Inputs!$B$38&lt;&gt;"pvp",Inputs!$B$43&gt;0),((Skills!G4*((R2318-1)*IF(Skills!H4&gt;0,Skills!I4/Skills!H4,1)+IF(Skills!H4&gt;0,MIN(Skills!I4,MAX(0,MAX(0,Inputs!$B$43-B2352)-((R2318-1)*(IF(Inputs!$B$38="pvp",15,MAX(0.1,Skills!E4-IF(TRUE=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3967705806895504.5</v>
      </c>
    </row>
    <row r="2319" spans="1:26" x14ac:dyDescent="0.2">
      <c r="A2319" t="str">
        <f>Skills!A5</f>
        <v>ELEMENTAL_DRAIN</v>
      </c>
      <c r="B2319" t="str">
        <f>Skills!B5</f>
        <v>Elemental Drain</v>
      </c>
      <c r="C2319" t="b">
        <f>TRUE</f>
        <v>1</v>
      </c>
      <c r="D2319">
        <f>IF(Skills!C5=1,60+Inputs!$B$25+Inputs!$B$29,IF(Skills!C5=2,90+Inputs!$B$26+Inputs!$B$29,IF(Skills!C5=3,120+Inputs!$B$27+Inputs!$B$29,MAX(0,(Inputs!$B$3-100)*3)+Inputs!$B$28+Inputs!$B$29)))</f>
        <v>168</v>
      </c>
      <c r="E2319">
        <f>INDEX(FactorTable!$B$2:$Y$301, MATCH(ROUND(MIN(300,MAX(1,D2319)),0), FactorTable!$A$2:$A$301,0), Skills!M5+1)</f>
        <v>1672</v>
      </c>
      <c r="F2319">
        <f>IF(Skills!N5=TRUE,(Skills!L5/10)*(E2319/1000),Skills!L5/10)+Skills!O5</f>
        <v>20.064</v>
      </c>
      <c r="G2319">
        <f>Calc!G5</f>
        <v>5</v>
      </c>
      <c r="H2319">
        <f>Calc!H5</f>
        <v>1</v>
      </c>
      <c r="I2319">
        <f>IF(Skills!X5&lt;&gt;"",1+(Skills!X5/10)*(Z2317/1000)/100,1)</f>
        <v>12.475</v>
      </c>
      <c r="J2319">
        <f>((Inputs!$B$6*(1+Inputs!$B$7/100))+(((Inputs!$B$12*(1+Inputs!$B$13/100))-(Inputs!$B$12*(1+Inputs!$B$13/100)))+0.25*(Inputs!$B$14-Inputs!$B$14))*(1+Inputs!$B$7/100))*(F2319/100)</f>
        <v>72458030.371890247</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4541925884983.542</v>
      </c>
      <c r="L2319">
        <f>K2319*(MIN(Inputs!$B$22+(F2336-Calc!F22),(Inputs!$B$23+(IF(ArtifactsInput!$M$15,CHOOSE(ArtifactsInput!$N$15+1,25,30,35,40,45,50)/100*(Inputs!$B$11-Inputs!$B$11),0))))/100+(Inputs!$B$23+(IF(ArtifactsInput!$M$15,CHOOSE(ArtifactsInput!$N$15+1,25,30,35,40,45,50)/100*(Inputs!$B$11-Inputs!$B$11),0)))/100)/2</f>
        <v>15101903567570.277</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71265882935364.125</v>
      </c>
      <c r="N2319">
        <f>L2319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71265882935364.125</v>
      </c>
      <c r="O2319">
        <f>(1-Summary!$B$11)*S2319+Summary!$B$11*U2319</f>
        <v>1113707585572403</v>
      </c>
      <c r="P2319">
        <f>IF(B2355=0,0,O2319/B2355)</f>
        <v>3.0889244814699086E-2</v>
      </c>
      <c r="Q2319">
        <f>IFERROR(1/(IF(Inputs!$B$38="pvp",15,MAX(0.1,Skills!E5-IF(FALSE=TRUE,Inputs!$B$32,0)))*(1-IF(AND(ArtifactsInput!$M$27,Inputs!$B$4="Chapter Hunt"),CHOOSE(ArtifactsInput!$N$27+1,20,24,28,32,36,40),0)/100)),0)</f>
        <v>1</v>
      </c>
      <c r="R2319">
        <f>IF(AND(Inputs!$B$38&lt;&gt;"pvp",Inputs!$B$43&gt;0),IF(MAX(0,Inputs!$B$43-B2352)&lt;=0,0,(INT(MAX(0,Inputs!$B$43-B2352)/(IF(Inputs!$B$38="pvp",15,MAX(0.1,Skills!E5-IF(FALSE=TRUE,Inputs!$B$32,0)))*(1-IF(AND(ArtifactsInput!$M$27,Inputs!$B$4="Chapter Hunt"),CHOOSE(ArtifactsInput!$N$27+1,20,24,28,32,36,40),0)/100)))+1)),0)</f>
        <v>38</v>
      </c>
      <c r="S2319">
        <f>IF(C2319,(H2319*N2319*IF(AND(Inputs!$B$38&lt;&gt;"pvp",Inputs!$B$43&gt;0),((Skills!G5*((R2319-1)*IF(Skills!H5&gt;0,Skills!I5/Skills!H5,1)+IF(Skills!H5&gt;0,MIN(Skills!I5,MAX(0,MAX(0,Inputs!$B$43-B2352)-((R2319-1)*(IF(Inputs!$B$38="pvp",15,MAX(0.1,Skills!E5-IF(FALSE=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1106937326693543.4</v>
      </c>
      <c r="U2319">
        <f>IF(C2319,(H2319*N2319*IF(AND(Inputs!$B$38&lt;&gt;"pvp",Inputs!$B$43&gt;0),((Skills!G5*((R2319-1)*IF(Skills!H5&gt;0,Skills!I5/Skills!H5,1)+IF(Skills!H5&gt;0,MIN(Skills!I5,MAX(0,MAX(0,Inputs!$B$43-B2352)-((R2319-1)*(IF(Inputs!$B$38="pvp",15,MAX(0.1,Skills!E5-IF(FALSE=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1120477844451262.6</v>
      </c>
    </row>
    <row r="2320" spans="1:26" x14ac:dyDescent="0.2">
      <c r="A2320" t="str">
        <f>Skills!A6</f>
        <v>MEDITATION</v>
      </c>
      <c r="B2320" t="str">
        <f>Skills!B6</f>
        <v>Meditation</v>
      </c>
      <c r="C2320" t="b">
        <f>TRUE</f>
        <v>1</v>
      </c>
      <c r="D2320">
        <f>IF(Skills!C6=1,60+Inputs!$B$25+Inputs!$B$29,IF(Skills!C6=2,90+Inputs!$B$26+Inputs!$B$29,IF(Skills!C6=3,120+Inputs!$B$27+Inputs!$B$29,MAX(0,(Inputs!$B$3-100)*3)+Inputs!$B$28+Inputs!$B$29)))</f>
        <v>168</v>
      </c>
      <c r="E2320">
        <f>INDEX(FactorTable!$B$2:$Y$301, MATCH(ROUND(MIN(300,MAX(1,D2320)),0), FactorTable!$A$2:$A$301,0), Skills!M6+1)</f>
        <v>1672</v>
      </c>
      <c r="F2320">
        <f>IF(Skills!N6=TRUE,(Skills!L6/10)*(E2320/1000),Skills!L6/10)+Skills!O6</f>
        <v>33.44</v>
      </c>
      <c r="G2320">
        <f>Calc!G6</f>
        <v>1</v>
      </c>
      <c r="H2320">
        <f>Calc!H6</f>
        <v>1</v>
      </c>
      <c r="I2320">
        <f>IF(Skills!X6&lt;&gt;"",1+(Skills!X6/10)*(Z2317/1000)/100,1)</f>
        <v>1</v>
      </c>
      <c r="O2320">
        <f>(1-Summary!$B$11)*S2320+Summary!$B$11*U2320</f>
        <v>0</v>
      </c>
      <c r="P2320">
        <f>IF(B2355=0,0,O2320/B2355)</f>
        <v>0</v>
      </c>
      <c r="Q2320">
        <f>IFERROR(1/(IF(Inputs!$B$38="pvp",15,MAX(0.1,Skills!E6-IF(TRUE=TRUE,Inputs!$B$32,0)))*(1-IF(AND(ArtifactsInput!$M$27,Inputs!$B$4="Chapter Hunt"),CHOOSE(ArtifactsInput!$N$27+1,20,24,28,32,36,40),0)/100)),0)</f>
        <v>3.3333333333333333E-2</v>
      </c>
      <c r="R2320">
        <f>IF(AND(Inputs!$B$38&lt;&gt;"pvp",Inputs!$B$43&gt;0),IF(Inputs!$B$43&lt;=0,0,(INT(Inputs!$B$43/(IF(Inputs!$B$38="pvp",15,MAX(0.1,Skills!E6-IF(TRUE=TRUE,Inputs!$B$32,0)))*(1-IF(AND(ArtifactsInput!$M$27,Inputs!$B$4="Chapter Hunt"),CHOOSE(ArtifactsInput!$N$27+1,20,24,28,32,36,40),0)/100)))+1)),0)</f>
        <v>2</v>
      </c>
      <c r="S2320">
        <v>0</v>
      </c>
      <c r="U2320">
        <v>0</v>
      </c>
    </row>
    <row r="2321" spans="1:21" x14ac:dyDescent="0.2">
      <c r="A2321" t="str">
        <f>Skills!A7</f>
        <v>POISON_MIST_BURST</v>
      </c>
      <c r="B2321" t="str">
        <f>Skills!B7</f>
        <v>Poison Mist (burst)</v>
      </c>
      <c r="C2321" t="b">
        <f>TRUE</f>
        <v>1</v>
      </c>
      <c r="D2321">
        <f>IF(Skills!C7=1,60+Inputs!$B$25+Inputs!$B$29,IF(Skills!C7=2,90+Inputs!$B$26+Inputs!$B$29,IF(Skills!C7=3,120+Inputs!$B$27+Inputs!$B$29,MAX(0,(Inputs!$B$3-100)*3)+Inputs!$B$28+Inputs!$B$29)))</f>
        <v>184</v>
      </c>
      <c r="E2321">
        <f>INDEX(FactorTable!$B$2:$Y$301, MATCH(ROUND(MIN(300,MAX(1,D2321)),0), FactorTable!$A$2:$A$301,0), Skills!M7+1)</f>
        <v>1920</v>
      </c>
      <c r="F2321">
        <f>IF(Skills!N7=TRUE,(Skills!L7/10)*(E2321/1000),Skills!L7/10)+Skills!O7</f>
        <v>357.2</v>
      </c>
      <c r="G2321">
        <f>Calc!G7</f>
        <v>3</v>
      </c>
      <c r="H2321">
        <f>Calc!H7</f>
        <v>1</v>
      </c>
      <c r="I2321">
        <f>IF(Skills!X7&lt;&gt;"",1+(Skills!X7/10)*(Z2317/1000)/100,1)</f>
        <v>1.7650000000000001</v>
      </c>
      <c r="J2321">
        <f>((Inputs!$B$6*(1+Inputs!$B$7/100))+(((Inputs!$B$12*(1+Inputs!$B$13/100))-(Inputs!$B$12*(1+Inputs!$B$13/100)))+0.25*(Inputs!$B$14-Inputs!$B$14))*(1+Inputs!$B$7/100))*(F2321/100)</f>
        <v>1289972510.4086521</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11440318873772.086</v>
      </c>
      <c r="L2321">
        <f>K2321*(MIN(Inputs!$B$22+(F2336-Calc!F22),(Inputs!$B$23+(IF(ArtifactsInput!$M$15,CHOOSE(ArtifactsInput!$N$15+1,25,30,35,40,45,50)/100*(Inputs!$B$11-Inputs!$B$11),0))))/100+(Inputs!$B$23+(IF(ArtifactsInput!$M$15,CHOOSE(ArtifactsInput!$N$15+1,25,30,35,40,45,50)/100*(Inputs!$B$11-Inputs!$B$11),0)))/100)/2</f>
        <v>38039060255292.188</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179506325344723.81</v>
      </c>
      <c r="N2321">
        <f>L2321*(1-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179506325344723.81</v>
      </c>
      <c r="O2321">
        <f>(1-Summary!$B$11)*S2321+Summary!$B$11*U2321</f>
        <v>489648378959070.38</v>
      </c>
      <c r="P2321">
        <f>IF(B2355=0,0,O2321/B2355)</f>
        <v>1.3580646164867123E-2</v>
      </c>
      <c r="Q2321">
        <f>IFERROR(1/(IF(Inputs!$B$38="pvp",15,MAX(0.1,Skills!E7-IF(TRUE=TRUE,Inputs!$B$32,0)))*(1-IF(AND(ArtifactsInput!$M$27,Inputs!$B$4="Chapter Hunt"),CHOOSE(ArtifactsInput!$N$27+1,20,24,28,32,36,40),0)/100)),0)</f>
        <v>4.0816326530612242E-2</v>
      </c>
      <c r="R2321">
        <f>IF(AND(Inputs!$B$38&lt;&gt;"pvp",Inputs!$B$43&gt;0),IF(MAX(0,Inputs!$B$43-B2352)&lt;=0,0,(INT(MAX(0,Inputs!$B$43-B2352)/(IF(Inputs!$B$38="pvp",15,MAX(0.1,Skills!E7-IF(TRUE=TRUE,Inputs!$B$32,0)))*(1-IF(AND(ArtifactsInput!$M$27,Inputs!$B$4="Chapter Hunt"),CHOOSE(ArtifactsInput!$N$27+1,20,24,28,32,36,40),0)/100)))+1)),0)</f>
        <v>2</v>
      </c>
      <c r="S2321">
        <f>IF(C2321,(H2321*N2321*IF(AND(Inputs!$B$38&lt;&gt;"pvp",Inputs!$B$43&gt;0),((Skills!G7*((R2321-1)*IF(Skills!H7&gt;0,Skills!I7/Skills!H7,1)+IF(Skills!H7&gt;0,MIN(Skills!I7,MAX(0,MAX(0,Inputs!$B$43-B2352)-((R2321-1)*(IF(Inputs!$B$38="pvp",15,MAX(0.1,Skills!E7-IF(TRUE=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88047852581587.031</v>
      </c>
      <c r="U2321">
        <f>IF(C2321,(H2321*N2321*IF(AND(Inputs!$B$38&lt;&gt;"pvp",Inputs!$B$43&gt;0),((Skills!G7*((R2321-1)*IF(Skills!H7&gt;0,Skills!I7/Skills!H7,1)+IF(Skills!H7&gt;0,MIN(Skills!I7,MAX(0,MAX(0,Inputs!$B$43-B2352)-((R2321-1)*(IF(Inputs!$B$38="pvp",15,MAX(0.1,Skills!E7-IF(TRUE=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891248905336553.75</v>
      </c>
    </row>
    <row r="2322" spans="1:21" x14ac:dyDescent="0.2">
      <c r="A2322" t="str">
        <f>Skills!A8</f>
        <v>POISON_MIST_DOT</v>
      </c>
      <c r="B2322" t="str">
        <f>Skills!B8</f>
        <v>Poison Mist (fog DoT)</v>
      </c>
      <c r="C2322" t="b">
        <f>TRUE</f>
        <v>1</v>
      </c>
      <c r="D2322">
        <f>IF(Skills!C8=1,60+Inputs!$B$25+Inputs!$B$29,IF(Skills!C8=2,90+Inputs!$B$26+Inputs!$B$29,IF(Skills!C8=3,120+Inputs!$B$27+Inputs!$B$29,MAX(0,(Inputs!$B$3-100)*3)+Inputs!$B$28+Inputs!$B$29)))</f>
        <v>184</v>
      </c>
      <c r="E2322">
        <f>INDEX(FactorTable!$B$2:$Y$301, MATCH(ROUND(MIN(300,MAX(1,D2322)),0), FactorTable!$A$2:$A$301,0), Skills!M8+1)</f>
        <v>1920</v>
      </c>
      <c r="F2322">
        <f>IF(Skills!N8=TRUE,(Skills!L8/10)*(E2322/1000),Skills!L8/10)+Skills!O8</f>
        <v>134.4</v>
      </c>
      <c r="G2322">
        <f>Calc!G8</f>
        <v>50</v>
      </c>
      <c r="H2322">
        <f>Calc!H8</f>
        <v>1</v>
      </c>
      <c r="I2322">
        <f>IF(Skills!X8&lt;&gt;"",1+(Skills!X8/10)*(Z2317/1000)/100,1)</f>
        <v>1.7650000000000001</v>
      </c>
      <c r="J2322">
        <f>((Inputs!$B$6*(1+Inputs!$B$7/100))+(((Inputs!$B$12*(1+Inputs!$B$13/100))-(Inputs!$B$12*(1+Inputs!$B$13/100)))+0.25*(Inputs!$B$14-Inputs!$B$14))*(1+Inputs!$B$7/100))*(F2322/100)</f>
        <v>485364796.74950409</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4304532073446.1597</v>
      </c>
      <c r="L2322">
        <f>K2322*(MIN(Inputs!$B$22+(F2336-Calc!F22),(Inputs!$B$23+(IF(ArtifactsInput!$M$15,CHOOSE(ArtifactsInput!$N$15+1,25,30,35,40,45,50)/100*(Inputs!$B$11-Inputs!$B$11),0))))/100+(Inputs!$B$23+(IF(ArtifactsInput!$M$15,CHOOSE(ArtifactsInput!$N$15+1,25,30,35,40,45,50)/100*(Inputs!$B$11-Inputs!$B$11),0)))/100)/2</f>
        <v>14312569144208.482</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67541013791519.82</v>
      </c>
      <c r="N2322">
        <f>L2322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67541013791519.82</v>
      </c>
      <c r="O2322">
        <f>(1-Summary!$B$11)*S2322+Summary!$B$11*U2322</f>
        <v>2544338921914414</v>
      </c>
      <c r="P2322">
        <f>IF(B2355=0,0,O2322/B2355)</f>
        <v>7.0568530616758107E-2</v>
      </c>
      <c r="Q2322">
        <f>IFERROR(1/(IF(Inputs!$B$38="pvp",15,MAX(0.1,Skills!E8-IF(TRUE=TRUE,Inputs!$B$32,0)))*(1-IF(AND(ArtifactsInput!$M$27,Inputs!$B$4="Chapter Hunt"),CHOOSE(ArtifactsInput!$N$27+1,20,24,28,32,36,40),0)/100)),0)</f>
        <v>4.0816326530612242E-2</v>
      </c>
      <c r="R2322">
        <f>IF(AND(Inputs!$B$38&lt;&gt;"pvp",Inputs!$B$43&gt;0),IF(MAX(0,Inputs!$B$43-B2352)&lt;=0,0,(INT(MAX(0,Inputs!$B$43-B2352)/(IF(Inputs!$B$38="pvp",15,MAX(0.1,Skills!E8-IF(TRUE=TRUE,Inputs!$B$32,0)))*(1-IF(AND(ArtifactsInput!$M$27,Inputs!$B$4="Chapter Hunt"),CHOOSE(ArtifactsInput!$N$27+1,20,24,28,32,36,40),0)/100)))+1)),0)</f>
        <v>2</v>
      </c>
      <c r="S2322">
        <f>IF(C2322,(H2322*N2322*IF(AND(Inputs!$B$38&lt;&gt;"pvp",Inputs!$B$43&gt;0),((Skills!G8*((R2322-1)*IF(Skills!H8&gt;0,Skills!I8/Skills!H8,1)+IF(Skills!H8&gt;0,MIN(Skills!I8,MAX(0,MAX(0,Inputs!$B$43-B2352)-((R2322-1)*(IF(Inputs!$B$38="pvp",15,MAX(0.1,Skills!E8-IF(TRUE=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457519289230691.94</v>
      </c>
      <c r="U2322">
        <f>IF(C2322,(H2322*N2322*IF(AND(Inputs!$B$38&lt;&gt;"pvp",Inputs!$B$43&gt;0),((Skills!G8*((R2322-1)*IF(Skills!H8&gt;0,Skills!I8/Skills!H8,1)+IF(Skills!H8&gt;0,MIN(Skills!I8,MAX(0,MAX(0,Inputs!$B$43-B2352)-((R2322-1)*(IF(Inputs!$B$38="pvp",15,MAX(0.1,Skills!E8-IF(TRUE=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4631158554598136</v>
      </c>
    </row>
    <row r="2323" spans="1:21" x14ac:dyDescent="0.2">
      <c r="A2323" t="str">
        <f>Skills!A9</f>
        <v>MIST_ERUPTION</v>
      </c>
      <c r="B2323" t="str">
        <f>Skills!B9</f>
        <v>Mist Eruption</v>
      </c>
      <c r="C2323" t="b">
        <f>Inputs!$B$3&gt;=103</f>
        <v>1</v>
      </c>
      <c r="D2323">
        <f>IF(Skills!C9=1,60+Inputs!$B$25+Inputs!$B$29,IF(Skills!C9=2,90+Inputs!$B$26+Inputs!$B$29,IF(Skills!C9=3,120+Inputs!$B$27+Inputs!$B$29,MAX(0,(Inputs!$B$3-100)*3)+Inputs!$B$28+Inputs!$B$29)))</f>
        <v>185</v>
      </c>
      <c r="E2323">
        <f>INDEX(FactorTable!$B$2:$Y$301, MATCH(ROUND(MIN(300,MAX(1,D2323)),0), FactorTable!$A$2:$A$301,0), Skills!M9+1)</f>
        <v>1925</v>
      </c>
      <c r="F2323">
        <f>IF(Skills!N9=TRUE,(Skills!L9/10)*(E2323/1000),Skills!L9/10)+Skills!O9</f>
        <v>5775</v>
      </c>
      <c r="G2323">
        <f>Calc!G9</f>
        <v>2.5</v>
      </c>
      <c r="H2323">
        <f>Calc!H9</f>
        <v>1</v>
      </c>
      <c r="I2323">
        <f>IF(Skills!X9&lt;&gt;"",1+(Skills!X9/10)*(Z2317/1000)/100,1)</f>
        <v>1</v>
      </c>
      <c r="J2323">
        <f>((Inputs!$B$6*(1+Inputs!$B$7/100))+(((Inputs!$B$12*(1+Inputs!$B$13/100))-(Inputs!$B$12*(1+Inputs!$B$13/100)))+0.25*(Inputs!$B$14-Inputs!$B$14))*(1+Inputs!$B$7/100))*(F2323/100)</f>
        <v>20855518610.330254</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104793406533081.95</v>
      </c>
      <c r="L2323">
        <f>K2323*(MIN(Inputs!$B$22+(F2336-Calc!F22),(Inputs!$B$23+(IF(ArtifactsInput!$M$15,CHOOSE(ArtifactsInput!$N$15+1,25,30,35,40,45,50)/100*(Inputs!$B$11-Inputs!$B$11),0))))/100+(Inputs!$B$23+(IF(ArtifactsInput!$M$15,CHOOSE(ArtifactsInput!$N$15+1,25,30,35,40,45,50)/100*(Inputs!$B$11-Inputs!$B$11),0)))/100)/2</f>
        <v>348438076722497.5</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1644279284053465.5</v>
      </c>
      <c r="N2323">
        <f>L2323*(1-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1644279284053465.5</v>
      </c>
      <c r="O2323">
        <f>(1-Summary!$B$11)*S2323+Summary!$B$11*U2323</f>
        <v>3737652347564034</v>
      </c>
      <c r="P2323">
        <f>IF(B2355=0,0,O2323/B2355)</f>
        <v>0.10366568378610949</v>
      </c>
      <c r="Q2323">
        <f>IFERROR(1/(IF(Inputs!$B$38="pvp",15,MAX(0.1,Skills!E9-IF(TRUE=TRUE,Inputs!$B$32,0)))*(1-IF(AND(ArtifactsInput!$M$27,Inputs!$B$4="Chapter Hunt"),CHOOSE(ArtifactsInput!$N$27+1,20,24,28,32,36,40),0)/100)),0)</f>
        <v>4.0816326530612242E-2</v>
      </c>
      <c r="R2323">
        <f>IF(AND(Inputs!$B$38&lt;&gt;"pvp",Inputs!$B$43&gt;0),IF(MAX(0,Inputs!$B$43-B2352)&lt;=0,0,(INT(MAX(0,Inputs!$B$43-B2352)/(IF(Inputs!$B$38="pvp",15,MAX(0.1,Skills!E9-IF(TRUE=TRUE,Inputs!$B$32,0)))*(1-IF(AND(ArtifactsInput!$M$27,Inputs!$B$4="Chapter Hunt"),CHOOSE(ArtifactsInput!$N$27+1,20,24,28,32,36,40),0)/100)))+1)),0)</f>
        <v>2</v>
      </c>
      <c r="S2323">
        <f>IF(C2323,(H2323*N2323*IF(AND(Inputs!$B$38&lt;&gt;"pvp",Inputs!$B$43&gt;0),((Skills!G9*((R2323-1)*IF(Skills!H9&gt;0,Skills!I9/Skills!H9,1)+IF(Skills!H9&gt;0,MIN(Skills!I9,MAX(0,MAX(0,Inputs!$B$43-B2352)-((R2323-1)*(IF(Inputs!$B$38="pvp",15,MAX(0.1,Skills!E9-IF(TRUE=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672099157356854</v>
      </c>
      <c r="U2323">
        <f>IF(C2323,(H2323*N2323*IF(AND(Inputs!$B$38&lt;&gt;"pvp",Inputs!$B$43&gt;0),((Skills!G9*((R2323-1)*IF(Skills!H9&gt;0,Skills!I9/Skills!H9,1)+IF(Skills!H9&gt;0,MIN(Skills!I9,MAX(0,MAX(0,Inputs!$B$43-B2352)-((R2323-1)*(IF(Inputs!$B$38="pvp",15,MAX(0.1,Skills!E9-IF(TRUE=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6803205537771214</v>
      </c>
    </row>
    <row r="2324" spans="1:21" x14ac:dyDescent="0.2">
      <c r="A2324" t="str">
        <f>Skills!A10</f>
        <v>CREEPING_TOXIN</v>
      </c>
      <c r="B2324" t="str">
        <f>Skills!B10</f>
        <v>Creeping Toxin</v>
      </c>
      <c r="C2324" t="b">
        <f>TRUE</f>
        <v>1</v>
      </c>
      <c r="D2324">
        <f>IF(Skills!C10=1,60+Inputs!$B$25+Inputs!$B$29,IF(Skills!C10=2,90+Inputs!$B$26+Inputs!$B$29,IF(Skills!C10=3,120+Inputs!$B$27+Inputs!$B$29,MAX(0,(Inputs!$B$3-100)*3)+Inputs!$B$28+Inputs!$B$29)))</f>
        <v>184</v>
      </c>
      <c r="E2324">
        <f>INDEX(FactorTable!$B$2:$Y$301, MATCH(ROUND(MIN(300,MAX(1,D2324)),0), FactorTable!$A$2:$A$301,0), Skills!M10+1)</f>
        <v>1920</v>
      </c>
      <c r="F2324">
        <f>IF(Skills!N10=TRUE,(Skills!L10/10)*(E2324/1000),Skills!L10/10)+Skills!O10</f>
        <v>280.39999999999998</v>
      </c>
      <c r="G2324">
        <f>Calc!G10</f>
        <v>15</v>
      </c>
      <c r="H2324">
        <f>Calc!H10</f>
        <v>1</v>
      </c>
      <c r="I2324">
        <f>IF(Skills!X10&lt;&gt;"",1+(Skills!X10/10)*(Z2317/1000)/100,1)</f>
        <v>1.7650000000000001</v>
      </c>
      <c r="J2324">
        <f>((Inputs!$B$6*(1+Inputs!$B$7/100))+(((Inputs!$B$12*(1+Inputs!$B$13/100))-(Inputs!$B$12*(1+Inputs!$B$13/100)))+0.25*(Inputs!$B$14-Inputs!$B$14))*(1+Inputs!$B$7/100))*(F2324/100)</f>
        <v>1012621197.9803641</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8980586260374.2793</v>
      </c>
      <c r="L2324">
        <f>K2324*(MIN(Inputs!$B$22+(F2336-Calc!F22),(Inputs!$B$23+(IF(ArtifactsInput!$M$15,CHOOSE(ArtifactsInput!$N$15+1,25,30,35,40,45,50)/100*(Inputs!$B$11-Inputs!$B$11),0))))/100+(Inputs!$B$23+(IF(ArtifactsInput!$M$15,CHOOSE(ArtifactsInput!$N$15+1,25,30,35,40,45,50)/100*(Inputs!$B$11-Inputs!$B$11),0)))/100)/2</f>
        <v>29860449315744.48</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140911460320998.19</v>
      </c>
      <c r="N2324">
        <f>L2324*(1-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140911460320998.19</v>
      </c>
      <c r="O2324">
        <f>(1-Summary!$B$11)*S2324+Summary!$B$11*U2324</f>
        <v>342391614695938.62</v>
      </c>
      <c r="P2324">
        <f>IF(B2355=0,0,O2324/B2355)</f>
        <v>9.496405111946148E-3</v>
      </c>
      <c r="Q2324">
        <f>IFERROR(1/(IF(Inputs!$B$38="pvp",15,MAX(0.1,Skills!E10-IF(TRUE=TRUE,Inputs!$B$32,0)))*(1-IF(AND(ArtifactsInput!$M$27,Inputs!$B$4="Chapter Hunt"),CHOOSE(ArtifactsInput!$N$27+1,20,24,28,32,36,40),0)/100)),0)</f>
        <v>3.7037037037037035E-2</v>
      </c>
      <c r="R2324">
        <f>IF(AND(Inputs!$B$38&lt;&gt;"pvp",Inputs!$B$43&gt;0),IF(MAX(0,Inputs!$B$43-B2352)&lt;=0,0,(INT(MAX(0,Inputs!$B$43-B2352)/(IF(Inputs!$B$38="pvp",15,MAX(0.1,Skills!E10-IF(TRUE=TRUE,Inputs!$B$32,0)))*(1-IF(AND(ArtifactsInput!$M$27,Inputs!$B$4="Chapter Hunt"),CHOOSE(ArtifactsInput!$N$27+1,20,24,28,32,36,40),0)/100)))+1)),0)</f>
        <v>2</v>
      </c>
      <c r="S2324">
        <f>IF(C2324,(H2324*N2324*IF(AND(Inputs!$B$38&lt;&gt;"pvp",Inputs!$B$43&gt;0),((Skills!G10*((R2324-1)*IF(Skills!H10&gt;0,Skills!I10/Skills!H10,1)+IF(Skills!H10&gt;0,MIN(Skills!I10,MAX(0,MAX(0,Inputs!$B$43-B2352)-((R2324-1)*(IF(Inputs!$B$38="pvp",15,MAX(0.1,Skills!E10-IF(TRUE=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295414401070110.62</v>
      </c>
      <c r="U2324">
        <f>IF(C2324,(H2324*N2324*IF(AND(Inputs!$B$38&lt;&gt;"pvp",Inputs!$B$43&gt;0),((Skills!G10*((R2324-1)*IF(Skills!H10&gt;0,Skills!I10/Skills!H10,1)+IF(Skills!H10&gt;0,MIN(Skills!I10,MAX(0,MAX(0,Inputs!$B$43-B2352)-((R2324-1)*(IF(Inputs!$B$38="pvp",15,MAX(0.1,Skills!E10-IF(TRUE=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389368828321766.62</v>
      </c>
    </row>
    <row r="2325" spans="1:21" x14ac:dyDescent="0.2">
      <c r="A2325" t="str">
        <f>Skills!A11</f>
        <v>BURNING_MAGIC</v>
      </c>
      <c r="B2325" t="str">
        <f>Skills!B11</f>
        <v>Burning Magic</v>
      </c>
      <c r="C2325" t="b">
        <f>TRUE</f>
        <v>1</v>
      </c>
      <c r="D2325">
        <f>IF(Skills!C11=1,60+Inputs!$B$25+Inputs!$B$29,IF(Skills!C11=2,90+Inputs!$B$26+Inputs!$B$29,IF(Skills!C11=3,120+Inputs!$B$27+Inputs!$B$29,MAX(0,(Inputs!$B$3-100)*3)+Inputs!$B$28+Inputs!$B$29)))</f>
        <v>184</v>
      </c>
      <c r="E2325">
        <f>INDEX(FactorTable!$B$2:$Y$301, MATCH(ROUND(MIN(300,MAX(1,D2325)),0), FactorTable!$A$2:$A$301,0), Skills!M11+1)</f>
        <v>0</v>
      </c>
      <c r="F2325">
        <f>IF(Skills!N11=TRUE,(Skills!L11/10)*(E2325/1000),Skills!L11/10)+Skills!O11</f>
        <v>5</v>
      </c>
      <c r="G2325">
        <f>Calc!G11</f>
        <v>1</v>
      </c>
      <c r="H2325">
        <f>Calc!H11</f>
        <v>1</v>
      </c>
      <c r="I2325">
        <f>IF(Skills!X11&lt;&gt;"",1+(Skills!X11/10)*(Z2317/1000)/100,1)</f>
        <v>1</v>
      </c>
      <c r="O2325">
        <f>(1-Summary!$B$11)*S2325+Summary!$B$11*U2325</f>
        <v>0</v>
      </c>
      <c r="P2325">
        <f>IF(B2355=0,0,O2325/B2355)</f>
        <v>0</v>
      </c>
      <c r="Q2325">
        <f>IFERROR(1/(IF(Inputs!$B$38="pvp",15,MAX(0.1,Skills!E11-IF(TRUE=TRUE,Inputs!$B$32,0)))*(1-IF(AND(ArtifactsInput!$M$27,Inputs!$B$4="Chapter Hunt"),CHOOSE(ArtifactsInput!$N$27+1,20,24,28,32,36,40),0)/100)),0)</f>
        <v>10</v>
      </c>
      <c r="R2325">
        <v>0</v>
      </c>
      <c r="S2325">
        <v>0</v>
      </c>
      <c r="U2325">
        <v>0</v>
      </c>
    </row>
    <row r="2326" spans="1:21" x14ac:dyDescent="0.2">
      <c r="A2326" t="str">
        <f>Skills!A12</f>
        <v>ELEMENTAL_DECREASE</v>
      </c>
      <c r="B2326" t="str">
        <f>Skills!B12</f>
        <v>Elemental Decrease</v>
      </c>
      <c r="C2326" t="b">
        <f>TRUE</f>
        <v>1</v>
      </c>
      <c r="D2326">
        <f>IF(Skills!C12=1,60+Inputs!$B$25+Inputs!$B$29,IF(Skills!C12=2,90+Inputs!$B$26+Inputs!$B$29,IF(Skills!C12=3,120+Inputs!$B$27+Inputs!$B$29,MAX(0,(Inputs!$B$3-100)*3)+Inputs!$B$28+Inputs!$B$29)))</f>
        <v>184</v>
      </c>
      <c r="E2326">
        <f>INDEX(FactorTable!$B$2:$Y$301, MATCH(ROUND(MIN(300,MAX(1,D2326)),0), FactorTable!$A$2:$A$301,0), Skills!M12+1)</f>
        <v>1552</v>
      </c>
      <c r="F2326">
        <f>IF(Skills!N12=TRUE,(Skills!L12/10)*(E2326/1000),Skills!L12/10)+Skills!O12</f>
        <v>18.624000000000002</v>
      </c>
      <c r="G2326">
        <f>Calc!G12</f>
        <v>1</v>
      </c>
      <c r="H2326">
        <f>Calc!H12</f>
        <v>0.5</v>
      </c>
      <c r="I2326">
        <f>IF(Skills!X12&lt;&gt;"",1+(Skills!X12/10)*(Z2317/1000)/100,1)</f>
        <v>1</v>
      </c>
      <c r="O2326">
        <f>(1-Summary!$B$11)*S2326+Summary!$B$11*U2326</f>
        <v>0</v>
      </c>
      <c r="P2326">
        <f>IF(B2355=0,0,O2326/B2355)</f>
        <v>0</v>
      </c>
      <c r="Q2326">
        <f>IFERROR(1/(IF(Inputs!$B$38="pvp",15,MAX(0.1,Skills!E12-IF(TRUE=TRUE,Inputs!$B$32,0)))*(1-IF(AND(ArtifactsInput!$M$27,Inputs!$B$4="Chapter Hunt"),CHOOSE(ArtifactsInput!$N$27+1,20,24,28,32,36,40),0)/100)),0)</f>
        <v>10</v>
      </c>
      <c r="R2326">
        <v>0</v>
      </c>
      <c r="S2326">
        <v>0</v>
      </c>
      <c r="U2326">
        <v>0</v>
      </c>
    </row>
    <row r="2327" spans="1:21" x14ac:dyDescent="0.2">
      <c r="A2327" t="str">
        <f>Skills!A13</f>
        <v>METEOR_SHOWER_BURST</v>
      </c>
      <c r="B2327" t="str">
        <f>Skills!B13</f>
        <v>Meteor Shower (burst)</v>
      </c>
      <c r="C2327" t="b">
        <f>Inputs!$B$3&gt;=105</f>
        <v>1</v>
      </c>
      <c r="D2327">
        <f>IF(Skills!C13=1,60+Inputs!$B$25+Inputs!$B$29,IF(Skills!C13=2,90+Inputs!$B$26+Inputs!$B$29,IF(Skills!C13=3,120+Inputs!$B$27+Inputs!$B$29,MAX(0,(Inputs!$B$3-100)*3)+Inputs!$B$28+Inputs!$B$29)))</f>
        <v>185</v>
      </c>
      <c r="E2327">
        <f>INDEX(FactorTable!$B$2:$Y$301, MATCH(ROUND(MIN(300,MAX(1,D2327)),0), FactorTable!$A$2:$A$301,0), Skills!M13+1)</f>
        <v>1925</v>
      </c>
      <c r="F2327">
        <f>IF(Skills!N13=TRUE,(Skills!L13/10)*(E2327/1000),Skills!L13/10)+Skills!O13</f>
        <v>1155</v>
      </c>
      <c r="G2327">
        <f>Calc!G13</f>
        <v>9</v>
      </c>
      <c r="H2327">
        <f>Calc!H13</f>
        <v>1</v>
      </c>
      <c r="I2327">
        <f>IF(Skills!X13&lt;&gt;"",1+(Skills!X13/10)*(Z2317/1000)/100,1)</f>
        <v>1</v>
      </c>
      <c r="J2327">
        <f>((Inputs!$B$6*(1+Inputs!$B$7/100))+(((Inputs!$B$12*(1+Inputs!$B$13/100))-(Inputs!$B$12*(1+Inputs!$B$13/100)))+0.25*(Inputs!$B$14-Inputs!$B$14))*(1+Inputs!$B$7/100))*(F2327/100)</f>
        <v>4171103722.0660505</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20958681306616.391</v>
      </c>
      <c r="L2327">
        <f>K2327*(MIN(Inputs!$B$22+(F2336-Calc!F22),(Inputs!$B$23+(IF(ArtifactsInput!$M$15,CHOOSE(ArtifactsInput!$N$15+1,25,30,35,40,45,50)/100*(Inputs!$B$11-Inputs!$B$11),0))))/100+(Inputs!$B$23+(IF(ArtifactsInput!$M$15,CHOOSE(ArtifactsInput!$N$15+1,25,30,35,40,45,50)/100*(Inputs!$B$11-Inputs!$B$11),0)))/100)/2</f>
        <v>69687615344499.5</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328855856810693.12</v>
      </c>
      <c r="N2327">
        <f>L2327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328855856810693.12</v>
      </c>
      <c r="O2327">
        <f>(1-Summary!$B$11)*S2327+Summary!$B$11*U2327</f>
        <v>1956363492166813.5</v>
      </c>
      <c r="P2327">
        <f>IF(B2355=0,0,O2327/B2355)</f>
        <v>5.4260733821814941E-2</v>
      </c>
      <c r="Q2327">
        <f>IFERROR(1/(IF(Inputs!$B$38="pvp",15,MAX(0.1,Skills!E13-IF(TRUE=TRUE,Inputs!$B$32,0)))*(1-IF(AND(ArtifactsInput!$M$27,Inputs!$B$4="Chapter Hunt"),CHOOSE(ArtifactsInput!$N$27+1,20,24,28,32,36,40),0)/100)),0)</f>
        <v>3.0303030303030304E-2</v>
      </c>
      <c r="R2327">
        <f>IF(AND(Inputs!$B$38&lt;&gt;"pvp",Inputs!$B$43&gt;0),IF(MAX(0,Inputs!$B$43-B2352)&lt;=0,0,(INT(MAX(0,Inputs!$B$43-B2352)/(IF(Inputs!$B$38="pvp",15,MAX(0.1,Skills!E13-IF(TRUE=TRUE,Inputs!$B$32,0)))*(1-IF(AND(ArtifactsInput!$M$27,Inputs!$B$4="Chapter Hunt"),CHOOSE(ArtifactsInput!$N$27+1,20,24,28,32,36,40),0)/100)))+1)),0)</f>
        <v>2</v>
      </c>
      <c r="S2327">
        <f>IF(C2327,(H2327*N2327*IF(AND(Inputs!$B$38&lt;&gt;"pvp",Inputs!$B$43&gt;0),((Skills!G13*((R2327-1)*IF(Skills!H13&gt;0,Skills!I13/Skills!H13,1)+IF(Skills!H13&gt;0,MIN(Skills!I13,MAX(0,MAX(0,Inputs!$B$43-B2352)-((R2327-1)*(IF(Inputs!$B$38="pvp",15,MAX(0.1,Skills!E13-IF(TRUE=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483911393296934.94</v>
      </c>
      <c r="U2327">
        <f>IF(C2327,(H2327*N2327*IF(AND(Inputs!$B$38&lt;&gt;"pvp",Inputs!$B$43&gt;0),((Skills!G13*((R2327-1)*IF(Skills!H13&gt;0,Skills!I13/Skills!H13,1)+IF(Skills!H13&gt;0,MIN(Skills!I13,MAX(0,MAX(0,Inputs!$B$43-B2352)-((R2327-1)*(IF(Inputs!$B$38="pvp",15,MAX(0.1,Skills!E13-IF(TRUE=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3428815591036692</v>
      </c>
    </row>
    <row r="2328" spans="1:21" x14ac:dyDescent="0.2">
      <c r="A2328" t="str">
        <f>Skills!A14</f>
        <v>METEOR_PROC</v>
      </c>
      <c r="B2328" t="str">
        <f>Skills!B14</f>
        <v>Meteor Proc (30% on-hit, 1s ICD)</v>
      </c>
      <c r="C2328" t="b">
        <f>Inputs!$B$3&gt;=113</f>
        <v>1</v>
      </c>
      <c r="D2328">
        <f>IF(Skills!C14=1,60+Inputs!$B$25+Inputs!$B$29,IF(Skills!C14=2,90+Inputs!$B$26+Inputs!$B$29,IF(Skills!C14=3,120+Inputs!$B$27+Inputs!$B$29,MAX(0,(Inputs!$B$3-100)*3)+Inputs!$B$28+Inputs!$B$29)))</f>
        <v>185</v>
      </c>
      <c r="E2328">
        <f>INDEX(FactorTable!$B$2:$Y$301, MATCH(ROUND(MIN(300,MAX(1,D2328)),0), FactorTable!$A$2:$A$301,0), Skills!M14+1)</f>
        <v>1740</v>
      </c>
      <c r="F2328">
        <f>IF(Skills!N14=TRUE,(Skills!L14/10)*(E2328/1000),Skills!L14/10)+Skills!O14</f>
        <v>1653</v>
      </c>
      <c r="G2328">
        <f>Calc!G14</f>
        <v>0</v>
      </c>
      <c r="H2328">
        <f>Calc!H14</f>
        <v>0.30000000000000004</v>
      </c>
      <c r="I2328">
        <f>IF(Skills!X14&lt;&gt;"",1+(Skills!X14/10)*(Z2317/1000)/100,1)</f>
        <v>1</v>
      </c>
      <c r="J2328">
        <f>((Inputs!$B$6*(1+Inputs!$B$7/100))+(((Inputs!$B$12*(1+Inputs!$B$13/100))-(Inputs!$B$12*(1+Inputs!$B$13/100)))+0.25*(Inputs!$B$14-Inputs!$B$14))*(1+Inputs!$B$7/100))*(F2328/100)</f>
        <v>5969553638.5932312</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29995411428430.203</v>
      </c>
      <c r="L2328">
        <f>K2328*(MIN(Inputs!$B$22+(F2336-Calc!F22),(Inputs!$B$23+(IF(ArtifactsInput!$M$15,CHOOSE(ArtifactsInput!$N$15+1,25,30,35,40,45,50)/100*(Inputs!$B$11-Inputs!$B$11),0))))/100+(Inputs!$B$23+(IF(ArtifactsInput!$M$15,CHOOSE(ArtifactsInput!$N$15+1,25,30,35,40,45,50)/100*(Inputs!$B$11-Inputs!$B$11),0)))/100)/2</f>
        <v>99734742999530.438</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470648252214784.06</v>
      </c>
      <c r="N2328">
        <f>L2328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470648252214784.06</v>
      </c>
      <c r="O2328">
        <f>(1-Summary!$B$11)*S2328+Summary!$B$11*U2328</f>
        <v>491113097061315.5</v>
      </c>
      <c r="P2328">
        <f>IF(B2355=0,0,O2328/B2355)</f>
        <v>1.3621270864412038E-2</v>
      </c>
      <c r="Q2328">
        <f>IFERROR(1/(IF(Inputs!$B$38="pvp",15,MAX(0.1,Skills!E14-IF(TRUE=TRUE,Inputs!$B$32,0)))*(1-IF(AND(ArtifactsInput!$M$27,Inputs!$B$4="Chapter Hunt"),CHOOSE(ArtifactsInput!$N$27+1,20,24,28,32,36,40),0)/100)),0)</f>
        <v>10</v>
      </c>
      <c r="R2328">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488127607109575</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494098587013056.06</v>
      </c>
    </row>
    <row r="2329" spans="1:21" x14ac:dyDescent="0.2">
      <c r="A2329" t="str">
        <f>Skills!A15</f>
        <v>FLAME_HAZE_BURST</v>
      </c>
      <c r="B2329" t="str">
        <f>Skills!B15</f>
        <v>Flame Haze (burst)</v>
      </c>
      <c r="C2329" t="b">
        <f>Inputs!$B$3&gt;=107</f>
        <v>1</v>
      </c>
      <c r="D2329">
        <f>IF(Skills!C15=1,60+Inputs!$B$25+Inputs!$B$29,IF(Skills!C15=2,90+Inputs!$B$26+Inputs!$B$29,IF(Skills!C15=3,120+Inputs!$B$27+Inputs!$B$29,MAX(0,(Inputs!$B$3-100)*3)+Inputs!$B$28+Inputs!$B$29)))</f>
        <v>185</v>
      </c>
      <c r="E2329">
        <f>INDEX(FactorTable!$B$2:$Y$301, MATCH(ROUND(MIN(300,MAX(1,D2329)),0), FactorTable!$A$2:$A$301,0), Skills!M15+1)</f>
        <v>1925</v>
      </c>
      <c r="F2329">
        <f>IF(Skills!N15=TRUE,(Skills!L15/10)*(E2329/1000),Skills!L15/10)+Skills!O15</f>
        <v>2310</v>
      </c>
      <c r="G2329">
        <f>Calc!G15</f>
        <v>3</v>
      </c>
      <c r="H2329">
        <f>Calc!H15</f>
        <v>1</v>
      </c>
      <c r="I2329">
        <f>IF(Skills!X15&lt;&gt;"",1+(Skills!X15/10)*(Z2317/1000)/100,1)</f>
        <v>1</v>
      </c>
      <c r="J2329">
        <f>((Inputs!$B$6*(1+Inputs!$B$7/100))+(((Inputs!$B$12*(1+Inputs!$B$13/100))-(Inputs!$B$12*(1+Inputs!$B$13/100)))+0.25*(Inputs!$B$14-Inputs!$B$14))*(1+Inputs!$B$7/100))*(F2329/100)</f>
        <v>8342207444.1321011</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41917362613232.781</v>
      </c>
      <c r="L2329">
        <f>K2329*(MIN(Inputs!$B$22+(F2336-Calc!F22),(Inputs!$B$23+(IF(ArtifactsInput!$M$15,CHOOSE(ArtifactsInput!$N$15+1,25,30,35,40,45,50)/100*(Inputs!$B$11-Inputs!$B$11),0))))/100+(Inputs!$B$23+(IF(ArtifactsInput!$M$15,CHOOSE(ArtifactsInput!$N$15+1,25,30,35,40,45,50)/100*(Inputs!$B$11-Inputs!$B$11),0)))/100)/2</f>
        <v>139375230688999</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657711713621386.25</v>
      </c>
      <c r="N2329">
        <f>L2329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657711713621386.25</v>
      </c>
      <c r="O2329">
        <f>(1-Summary!$B$11)*S2329+Summary!$B$11*U2329</f>
        <v>1794073126830736.5</v>
      </c>
      <c r="P2329">
        <f>IF(B2355=0,0,O2329/B2355)</f>
        <v>4.9759528217332559E-2</v>
      </c>
      <c r="Q2329">
        <f>IFERROR(1/(IF(Inputs!$B$38="pvp",15,MAX(0.1,Skills!E15-IF(TRUE=TRUE,Inputs!$B$32,0)))*(1-IF(AND(ArtifactsInput!$M$27,Inputs!$B$4="Chapter Hunt"),CHOOSE(ArtifactsInput!$N$27+1,20,24,28,32,36,40),0)/100)),0)</f>
        <v>0.04</v>
      </c>
      <c r="R2329">
        <f>IF(AND(Inputs!$B$38&lt;&gt;"pvp",Inputs!$B$43&gt;0),IF(MAX(0,Inputs!$B$43-B2352)&lt;=0,0,(INT(MAX(0,Inputs!$B$43-B2352)/(IF(Inputs!$B$38="pvp",15,MAX(0.1,Skills!E15-IF(TRUE=TRUE,Inputs!$B$32,0)))*(1-IF(AND(ArtifactsInput!$M$27,Inputs!$B$4="Chapter Hunt"),CHOOSE(ArtifactsInput!$N$27+1,20,24,28,32,36,40),0)/100)))+1)),0)</f>
        <v>2</v>
      </c>
      <c r="S2329">
        <f>IF(C2329,(H2329*N2329*IF(AND(Inputs!$B$38&lt;&gt;"pvp",Inputs!$B$43&gt;0),((Skills!G15*((R2329-1)*IF(Skills!H15&gt;0,Skills!I15/Skills!H15,1)+IF(Skills!H15&gt;0,MIN(Skills!I15,MAX(0,MAX(0,Inputs!$B$43-B2352)-((R2329-1)*(IF(Inputs!$B$38="pvp",15,MAX(0.1,Skills!E15-IF(TRUE=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322607595531289.94</v>
      </c>
      <c r="U2329">
        <f>IF(C2329,(H2329*N2329*IF(AND(Inputs!$B$38&lt;&gt;"pvp",Inputs!$B$43&gt;0),((Skills!G15*((R2329-1)*IF(Skills!H15&gt;0,Skills!I15/Skills!H15,1)+IF(Skills!H15&gt;0,MIN(Skills!I15,MAX(0,MAX(0,Inputs!$B$43-B2352)-((R2329-1)*(IF(Inputs!$B$38="pvp",15,MAX(0.1,Skills!E15-IF(TRUE=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3265538658130183</v>
      </c>
    </row>
    <row r="2330" spans="1:21" x14ac:dyDescent="0.2">
      <c r="A2330" t="str">
        <f>Skills!A16</f>
        <v>FLAME_HAZE_DOT</v>
      </c>
      <c r="B2330" t="str">
        <f>Skills!B16</f>
        <v>Flame Haze (burn DoT)</v>
      </c>
      <c r="C2330" t="b">
        <f>Inputs!$B$3&gt;=107</f>
        <v>1</v>
      </c>
      <c r="D2330">
        <f>IF(Skills!C16=1,60+Inputs!$B$25+Inputs!$B$29,IF(Skills!C16=2,90+Inputs!$B$26+Inputs!$B$29,IF(Skills!C16=3,120+Inputs!$B$27+Inputs!$B$29,MAX(0,(Inputs!$B$3-100)*3)+Inputs!$B$28+Inputs!$B$29)))</f>
        <v>185</v>
      </c>
      <c r="E2330">
        <f>INDEX(FactorTable!$B$2:$Y$301, MATCH(ROUND(MIN(300,MAX(1,D2330)),0), FactorTable!$A$2:$A$301,0), Skills!M16+1)</f>
        <v>1925</v>
      </c>
      <c r="F2330">
        <f>IF(Skills!N16=TRUE,(Skills!L16/10)*(E2330/1000),Skills!L16/10)+Skills!O16</f>
        <v>288.75</v>
      </c>
      <c r="G2330">
        <f>Calc!G16</f>
        <v>30</v>
      </c>
      <c r="H2330">
        <f>Calc!H16</f>
        <v>1</v>
      </c>
      <c r="I2330">
        <f>IF(Skills!X16&lt;&gt;"",1+(Skills!X16/10)*(Z2317/1000)/100,1)</f>
        <v>1</v>
      </c>
      <c r="J2330">
        <f>((Inputs!$B$6*(1+Inputs!$B$7/100))+(((Inputs!$B$12*(1+Inputs!$B$13/100))-(Inputs!$B$12*(1+Inputs!$B$13/100)))+0.25*(Inputs!$B$14-Inputs!$B$14))*(1+Inputs!$B$7/100))*(F2330/100)</f>
        <v>1042775930.5165126</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5239670326654.0977</v>
      </c>
      <c r="L2330">
        <f>K2330*(MIN(Inputs!$B$22+(F2336-Calc!F22),(Inputs!$B$23+(IF(ArtifactsInput!$M$15,CHOOSE(ArtifactsInput!$N$15+1,25,30,35,40,45,50)/100*(Inputs!$B$11-Inputs!$B$11),0))))/100+(Inputs!$B$23+(IF(ArtifactsInput!$M$15,CHOOSE(ArtifactsInput!$N$15+1,25,30,35,40,45,50)/100*(Inputs!$B$11-Inputs!$B$11),0)))/100)/2</f>
        <v>17421903836124.875</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82213964202673.281</v>
      </c>
      <c r="N2330">
        <f>L2330*(1-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82213964202673.281</v>
      </c>
      <c r="O2330">
        <f>(1-Summary!$B$11)*S2330+Summary!$B$11*U2330</f>
        <v>2066525393065632.2</v>
      </c>
      <c r="P2330">
        <f>IF(B2355=0,0,O2330/B2355)</f>
        <v>5.7316130022934744E-2</v>
      </c>
      <c r="Q2330">
        <f>IFERROR(1/(IF(Inputs!$B$38="pvp",15,MAX(0.1,Skills!E16-IF(TRUE=TRUE,Inputs!$B$32,0)))*(1-IF(AND(ArtifactsInput!$M$27,Inputs!$B$4="Chapter Hunt"),CHOOSE(ArtifactsInput!$N$27+1,20,24,28,32,36,40),0)/100)),0)</f>
        <v>0.04</v>
      </c>
      <c r="R2330">
        <f>IF(AND(Inputs!$B$38&lt;&gt;"pvp",Inputs!$B$43&gt;0),IF(MAX(0,Inputs!$B$43-B2352)&lt;=0,0,(INT(MAX(0,Inputs!$B$43-B2352)/(IF(Inputs!$B$38="pvp",15,MAX(0.1,Skills!E16-IF(TRUE=TRUE,Inputs!$B$32,0)))*(1-IF(AND(ArtifactsInput!$M$27,Inputs!$B$4="Chapter Hunt"),CHOOSE(ArtifactsInput!$N$27+1,20,24,28,32,36,40),0)/100)))+1)),0)</f>
        <v>2</v>
      </c>
      <c r="S2330">
        <f>IF(C2330,(H2330*N2330*IF(AND(Inputs!$B$38&lt;&gt;"pvp",Inputs!$B$43&gt;0),((Skills!G16*((R2330-1)*IF(Skills!H16&gt;0,Skills!I16/Skills!H16,1)+IF(Skills!H16&gt;0,MIN(Skills!I16,MAX(0,MAX(0,Inputs!$B$43-B2352)-((R2330-1)*(IF(Inputs!$B$38="pvp",15,MAX(0.1,Skills!E16-IF(TRUE=TRUE,Inputs!$B$32,0)))*(1-IF(AND(ArtifactsInput!$M$27,Inputs!$B$4="Chapter Hunt"),CHOOSE(ArtifactsInput!$N$27+1,20,24,28,32,36,40),0)/100)))))/Skills!H16,1)))/Inputs!$B$43),G2330*Q2330)*(1+IF(Inputs!$B$3&gt;=126,0.05*(B2350+Q2327+(H2328*B2351)/(1+Skills!H14*H2328*B2351)+Q2338),0)*(1/Q2329)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371599562019500.56</v>
      </c>
      <c r="U2330">
        <f>IF(C2330,(H2330*N2330*IF(AND(Inputs!$B$38&lt;&gt;"pvp",Inputs!$B$43&gt;0),((Skills!G16*((R2330-1)*IF(Skills!H16&gt;0,Skills!I16/Skills!H16,1)+IF(Skills!H16&gt;0,MIN(Skills!I16,MAX(0,MAX(0,Inputs!$B$43-B2352)-((R2330-1)*(IF(Inputs!$B$38="pvp",15,MAX(0.1,Skills!E16-IF(TRUE=TRUE,Inputs!$B$32,0)))*(1-IF(AND(ArtifactsInput!$M$27,Inputs!$B$4="Chapter Hunt"),CHOOSE(ArtifactsInput!$N$27+1,20,24,28,32,36,40),0)/100)))))/Skills!H16,1)))/Inputs!$B$43),G2330*Q2330)*(1+IF(Inputs!$B$3&gt;=126,0.05*(B2350+Q2327+(H2328*B2351)/(1+Skills!H14*H2328*B2351)+Q2338),0)*(1/Q2329)))*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3761451224111764</v>
      </c>
    </row>
    <row r="2331" spans="1:21" x14ac:dyDescent="0.2">
      <c r="A2331" t="str">
        <f>Skills!A17</f>
        <v>MAGIC_GUARD</v>
      </c>
      <c r="B2331" t="str">
        <f>Skills!B17</f>
        <v>Magic Guard</v>
      </c>
      <c r="C2331" t="b">
        <f>TRUE</f>
        <v>1</v>
      </c>
      <c r="D2331">
        <f>IF(Skills!C17=1,60+Inputs!$B$25+Inputs!$B$29,IF(Skills!C17=2,90+Inputs!$B$26+Inputs!$B$29,IF(Skills!C17=3,120+Inputs!$B$27+Inputs!$B$29,MAX(0,(Inputs!$B$3-100)*3)+Inputs!$B$28+Inputs!$B$29)))</f>
        <v>127</v>
      </c>
      <c r="E2331">
        <f>INDEX(FactorTable!$B$2:$Y$301, MATCH(ROUND(MIN(300,MAX(1,D2331)),0), FactorTable!$A$2:$A$301,0), Skills!M17+1)</f>
        <v>1508</v>
      </c>
      <c r="F2331">
        <f>IF(Skills!N17=TRUE,(Skills!L17/10)*(E2331/1000),Skills!L17/10)+Skills!O17</f>
        <v>18.096</v>
      </c>
      <c r="G2331">
        <f>Calc!G17</f>
        <v>1</v>
      </c>
      <c r="H2331">
        <f>Calc!H17</f>
        <v>1</v>
      </c>
      <c r="I2331">
        <f>IF(Skills!X17&lt;&gt;"",1+(Skills!X17/10)*(Z2317/1000)/100,1)</f>
        <v>1</v>
      </c>
      <c r="O2331">
        <f>(1-Summary!$B$11)*S2331+Summary!$B$11*U2331</f>
        <v>0</v>
      </c>
      <c r="P2331">
        <f>IF(B2355=0,0,O2331/B2355)</f>
        <v>0</v>
      </c>
      <c r="Q2331">
        <f>IFERROR(1/(IF(Inputs!$B$38="pvp",15,MAX(0.1,Skills!E17-IF(TRUE=TRUE,Inputs!$B$32,0)))*(1-IF(AND(ArtifactsInput!$M$27,Inputs!$B$4="Chapter Hunt"),CHOOSE(ArtifactsInput!$N$27+1,20,24,28,32,36,40),0)/100)),0)</f>
        <v>4.7619047619047616E-2</v>
      </c>
      <c r="R2331">
        <f>IF(AND(Inputs!$B$38&lt;&gt;"pvp",Inputs!$B$43&gt;0),IF(Inputs!$B$43&lt;=0,0,(INT(Inputs!$B$43/(IF(Inputs!$B$38="pvp",15,MAX(0.1,Skills!E17-IF(TRUE=TRUE,Inputs!$B$32,0)))*(1-IF(AND(ArtifactsInput!$M$27,Inputs!$B$4="Chapter Hunt"),CHOOSE(ArtifactsInput!$N$27+1,20,24,28,32,36,40),0)/100)))+1)),0)</f>
        <v>2</v>
      </c>
      <c r="S2331">
        <v>0</v>
      </c>
      <c r="U2331">
        <v>0</v>
      </c>
    </row>
    <row r="2332" spans="1:21" x14ac:dyDescent="0.2">
      <c r="A2332" t="str">
        <f>Skills!A18</f>
        <v>NIMBLE_FEET</v>
      </c>
      <c r="B2332" t="str">
        <f>Skills!B18</f>
        <v>Nimble Feet</v>
      </c>
      <c r="C2332" t="b">
        <f>TRUE</f>
        <v>1</v>
      </c>
      <c r="D2332">
        <f>IF(Skills!C18=1,60+Inputs!$B$25+Inputs!$B$29,IF(Skills!C18=2,90+Inputs!$B$26+Inputs!$B$29,IF(Skills!C18=3,120+Inputs!$B$27+Inputs!$B$29,MAX(0,(Inputs!$B$3-100)*3)+Inputs!$B$28+Inputs!$B$29)))</f>
        <v>127</v>
      </c>
      <c r="E2332">
        <f>INDEX(FactorTable!$B$2:$Y$301, MATCH(ROUND(MIN(300,MAX(1,D2332)),0), FactorTable!$A$2:$A$301,0), Skills!M18+1)</f>
        <v>0</v>
      </c>
      <c r="F2332">
        <f>IF(Skills!N18=TRUE,(Skills!L18/10)*(E2332/1000),Skills!L18/10)+Skills!O18</f>
        <v>15</v>
      </c>
      <c r="G2332">
        <f>Calc!G18</f>
        <v>1</v>
      </c>
      <c r="H2332">
        <f>Calc!H18</f>
        <v>1</v>
      </c>
      <c r="I2332">
        <f>IF(Skills!X18&lt;&gt;"",1+(Skills!X18/10)*(Z2317/1000)/100,1)</f>
        <v>1</v>
      </c>
      <c r="O2332">
        <f>(1-Summary!$B$11)*S2332+Summary!$B$11*U2332</f>
        <v>0</v>
      </c>
      <c r="P2332">
        <f>IF(B2355=0,0,O2332/B2355)</f>
        <v>0</v>
      </c>
      <c r="Q2332">
        <f>IFERROR(1/(IF(Inputs!$B$38="pvp",15,MAX(0.1,Skills!E18-IF(TRUE=TRUE,Inputs!$B$32,0)))*(1-IF(AND(ArtifactsInput!$M$27,Inputs!$B$4="Chapter Hunt"),CHOOSE(ArtifactsInput!$N$27+1,20,24,28,32,36,40),0)/100)),0)</f>
        <v>1.6666666666666666E-2</v>
      </c>
      <c r="R2332">
        <f>IF(AND(Inputs!$B$38&lt;&gt;"pvp",Inputs!$B$43&gt;0),IF(Inputs!$B$43&lt;=0,0,(INT(Inputs!$B$43/(IF(Inputs!$B$38="pvp",15,MAX(0.1,Skills!E18-IF(TRUE=TRUE,Inputs!$B$32,0)))*(1-IF(AND(ArtifactsInput!$M$27,Inputs!$B$4="Chapter Hunt"),CHOOSE(ArtifactsInput!$N$27+1,20,24,28,32,36,40),0)/100)))+1)),0)</f>
        <v>1</v>
      </c>
      <c r="S2332">
        <v>0</v>
      </c>
      <c r="U2332">
        <v>0</v>
      </c>
    </row>
    <row r="2333" spans="1:21" x14ac:dyDescent="0.2">
      <c r="A2333" t="str">
        <f>Skills!A19</f>
        <v>INFINITY</v>
      </c>
      <c r="B2333" t="str">
        <f>Skills!B19</f>
        <v>Infinity</v>
      </c>
      <c r="C2333" t="b">
        <f>Inputs!$B$3&gt;=110</f>
        <v>1</v>
      </c>
      <c r="D2333">
        <f>IF(Skills!C19=1,60+Inputs!$B$25+Inputs!$B$29,IF(Skills!C19=2,90+Inputs!$B$26+Inputs!$B$29,IF(Skills!C19=3,120+Inputs!$B$27+Inputs!$B$29,MAX(0,(Inputs!$B$3-100)*3)+Inputs!$B$28+Inputs!$B$29)))</f>
        <v>185</v>
      </c>
      <c r="E2333">
        <f>INDEX(FactorTable!$B$2:$Y$301, MATCH(ROUND(MIN(300,MAX(1,D2333)),0), FactorTable!$A$2:$A$301,0), Skills!M19+1)</f>
        <v>1740</v>
      </c>
      <c r="F2333">
        <f>IF(Skills!N19=TRUE,(Skills!L19/10)*(E2333/1000),Skills!L19/10)+Skills!O19</f>
        <v>37.700579999999995</v>
      </c>
      <c r="G2333">
        <f>Calc!G19</f>
        <v>1</v>
      </c>
      <c r="H2333">
        <f>Calc!H19</f>
        <v>1</v>
      </c>
      <c r="I2333">
        <f>IF(Skills!X19&lt;&gt;"",1+(Skills!X19/10)*(Z2317/1000)/100,1)</f>
        <v>1</v>
      </c>
      <c r="O2333">
        <f>(1-Summary!$B$11)*S2333+Summary!$B$11*U2333</f>
        <v>0</v>
      </c>
      <c r="P2333">
        <f>IF(B2355=0,0,O2333/B2355)</f>
        <v>0</v>
      </c>
      <c r="Q2333">
        <f>IFERROR(1/(IF(Inputs!$B$38="pvp",15,MAX(0.1,Skills!E19-IF(TRUE=TRUE,Inputs!$B$32,0)))*(1-IF(AND(ArtifactsInput!$M$27,Inputs!$B$4="Chapter Hunt"),CHOOSE(ArtifactsInput!$N$27+1,20,24,28,32,36,40),0)/100)),0)</f>
        <v>3.3333333333333333E-2</v>
      </c>
      <c r="R2333">
        <f>IF(AND(Inputs!$B$38&lt;&gt;"pvp",Inputs!$B$43&gt;0),IF(Inputs!$B$43&lt;=0,0,(INT(Inputs!$B$43/(IF(Inputs!$B$38="pvp",15,MAX(0.1,Skills!E19-IF(TRUE=TRUE,Inputs!$B$32,0)))*(1-IF(AND(ArtifactsInput!$M$27,Inputs!$B$4="Chapter Hunt"),CHOOSE(ArtifactsInput!$N$27+1,20,24,28,32,36,40),0)/100)))+1)),0)</f>
        <v>2</v>
      </c>
      <c r="S2333">
        <v>0</v>
      </c>
      <c r="U2333">
        <v>0</v>
      </c>
    </row>
    <row r="2334" spans="1:21" x14ac:dyDescent="0.2">
      <c r="A2334" t="str">
        <f>Skills!A20</f>
        <v>MAGIC_CRITICAL_RATE</v>
      </c>
      <c r="B2334" t="str">
        <f>Skills!B20</f>
        <v>Magic Critical (Crit Rate)</v>
      </c>
      <c r="C2334" t="b">
        <f>TRUE</f>
        <v>1</v>
      </c>
      <c r="D2334">
        <f>IF(Skills!C20=1,60+Inputs!$B$25+Inputs!$B$29,IF(Skills!C20=2,90+Inputs!$B$26+Inputs!$B$29,IF(Skills!C20=3,120+Inputs!$B$27+Inputs!$B$29,MAX(0,(Inputs!$B$3-100)*3)+Inputs!$B$28+Inputs!$B$29)))</f>
        <v>184</v>
      </c>
      <c r="E2334">
        <f>INDEX(FactorTable!$B$2:$Y$301, MATCH(ROUND(MIN(300,MAX(1,D2334)),0), FactorTable!$A$2:$A$301,0), Skills!M20+1)</f>
        <v>1552</v>
      </c>
      <c r="F2334">
        <f>IF(Skills!N20=TRUE,(Skills!L20/10)*(E2334/1000),Skills!L20/10)+Skills!O20</f>
        <v>12.416</v>
      </c>
      <c r="G2334">
        <f>Calc!G20</f>
        <v>1</v>
      </c>
      <c r="H2334">
        <f>Calc!H20</f>
        <v>1</v>
      </c>
      <c r="I2334">
        <f>IF(Skills!X20&lt;&gt;"",1+(Skills!X20/10)*(Z2317/1000)/100,1)</f>
        <v>1</v>
      </c>
      <c r="O2334">
        <f>(1-Summary!$B$11)*S2334+Summary!$B$11*U2334</f>
        <v>0</v>
      </c>
      <c r="P2334">
        <f>IF(B2355=0,0,O2334/B2355)</f>
        <v>0</v>
      </c>
      <c r="Q2334">
        <f>IFERROR(1/(IF(Inputs!$B$38="pvp",15,MAX(0.1,Skills!E20-IF(TRUE=TRUE,Inputs!$B$32,0)))*(1-IF(AND(ArtifactsInput!$M$27,Inputs!$B$4="Chapter Hunt"),CHOOSE(ArtifactsInput!$N$27+1,20,24,28,32,36,40),0)/100)),0)</f>
        <v>10</v>
      </c>
      <c r="R2334">
        <v>0</v>
      </c>
      <c r="S2334">
        <v>0</v>
      </c>
      <c r="U2334">
        <v>0</v>
      </c>
    </row>
    <row r="2335" spans="1:21" x14ac:dyDescent="0.2">
      <c r="A2335" t="str">
        <f>Skills!A21</f>
        <v>MAGIC_CRITICAL_DAMAGE</v>
      </c>
      <c r="B2335" t="str">
        <f>Skills!B21</f>
        <v>Magic Critical (Crit Damage)</v>
      </c>
      <c r="C2335" t="b">
        <f>TRUE</f>
        <v>1</v>
      </c>
      <c r="D2335">
        <f>IF(Skills!C21=1,60+Inputs!$B$25+Inputs!$B$29,IF(Skills!C21=2,90+Inputs!$B$26+Inputs!$B$29,IF(Skills!C21=3,120+Inputs!$B$27+Inputs!$B$29,MAX(0,(Inputs!$B$3-100)*3)+Inputs!$B$28+Inputs!$B$29)))</f>
        <v>184</v>
      </c>
      <c r="E2335">
        <f>INDEX(FactorTable!$B$2:$Y$301, MATCH(ROUND(MIN(300,MAX(1,D2335)),0), FactorTable!$A$2:$A$301,0), Skills!M21+1)</f>
        <v>1552</v>
      </c>
      <c r="F2335">
        <f>IF(Skills!N21=TRUE,(Skills!L21/10)*(E2335/1000),Skills!L21/10)+Skills!O21</f>
        <v>18.624000000000002</v>
      </c>
      <c r="G2335">
        <f>Calc!G21</f>
        <v>1</v>
      </c>
      <c r="H2335">
        <f>Calc!H21</f>
        <v>1</v>
      </c>
      <c r="I2335">
        <f>IF(Skills!X21&lt;&gt;"",1+(Skills!X21/10)*(Z2317/1000)/100,1)</f>
        <v>1</v>
      </c>
      <c r="O2335">
        <f>(1-Summary!$B$11)*S2335+Summary!$B$11*U2335</f>
        <v>0</v>
      </c>
      <c r="P2335">
        <f>IF(B2355=0,0,O2335/B2355)</f>
        <v>0</v>
      </c>
      <c r="Q2335">
        <f>IFERROR(1/(IF(Inputs!$B$38="pvp",15,MAX(0.1,Skills!E21-IF(TRUE=TRUE,Inputs!$B$32,0)))*(1-IF(AND(ArtifactsInput!$M$27,Inputs!$B$4="Chapter Hunt"),CHOOSE(ArtifactsInput!$N$27+1,20,24,28,32,36,40),0)/100)),0)</f>
        <v>10</v>
      </c>
      <c r="R2335">
        <v>0</v>
      </c>
      <c r="S2335">
        <v>0</v>
      </c>
      <c r="U2335">
        <v>0</v>
      </c>
    </row>
    <row r="2336" spans="1:21" x14ac:dyDescent="0.2">
      <c r="A2336" t="str">
        <f>Skills!A22</f>
        <v>SPELL_MASTERY</v>
      </c>
      <c r="B2336" t="str">
        <f>Skills!B22</f>
        <v>Spell Mastery</v>
      </c>
      <c r="C2336" t="b">
        <f>TRUE</f>
        <v>1</v>
      </c>
      <c r="D2336">
        <f>IF(Skills!C22=1,60+Inputs!$B$25+Inputs!$B$29,IF(Skills!C22=2,90+Inputs!$B$26+Inputs!$B$29,IF(Skills!C22=3,120+Inputs!$B$27+Inputs!$B$29,MAX(0,(Inputs!$B$3-100)*3)+Inputs!$B$28+Inputs!$B$29)))</f>
        <v>168</v>
      </c>
      <c r="E2336">
        <f>INDEX(FactorTable!$B$2:$Y$301, MATCH(ROUND(MIN(300,MAX(1,D2336)),0), FactorTable!$A$2:$A$301,0), Skills!M22+1)</f>
        <v>1504</v>
      </c>
      <c r="F2336">
        <f>IF(Skills!N22=TRUE,(Skills!L22/10)*(E2336/1000),Skills!L22/10)+Skills!O22</f>
        <v>22.56</v>
      </c>
      <c r="G2336">
        <f>Calc!G22</f>
        <v>1</v>
      </c>
      <c r="H2336">
        <f>Calc!H22</f>
        <v>1</v>
      </c>
      <c r="I2336">
        <f>IF(Skills!X22&lt;&gt;"",1+(Skills!X22/10)*(Z2317/1000)/100,1)</f>
        <v>1</v>
      </c>
      <c r="O2336">
        <f>(1-Summary!$B$11)*S2336+Summary!$B$11*U2336</f>
        <v>0</v>
      </c>
      <c r="P2336">
        <f>IF(B2355=0,0,O2336/B2355)</f>
        <v>0</v>
      </c>
      <c r="Q2336">
        <f>IFERROR(1/(IF(Inputs!$B$38="pvp",15,MAX(0.1,Skills!E22-IF(TRUE=TRUE,Inputs!$B$32,0)))*(1-IF(AND(ArtifactsInput!$M$27,Inputs!$B$4="Chapter Hunt"),CHOOSE(ArtifactsInput!$N$27+1,20,24,28,32,36,40),0)/100)),0)</f>
        <v>10</v>
      </c>
      <c r="R2336">
        <v>0</v>
      </c>
      <c r="S2336">
        <v>0</v>
      </c>
      <c r="U2336">
        <v>0</v>
      </c>
    </row>
    <row r="2337" spans="1:21" x14ac:dyDescent="0.2">
      <c r="A2337" t="str">
        <f>Skills!A23</f>
        <v>ELEMENT_AMPLIFICATION</v>
      </c>
      <c r="B2337" t="str">
        <f>Skills!B23</f>
        <v>Element Amplification</v>
      </c>
      <c r="C2337" t="b">
        <f>TRUE</f>
        <v>1</v>
      </c>
      <c r="D2337">
        <f>IF(Skills!C23=1,60+Inputs!$B$25+Inputs!$B$29,IF(Skills!C23=2,90+Inputs!$B$26+Inputs!$B$29,IF(Skills!C23=3,120+Inputs!$B$27+Inputs!$B$29,MAX(0,(Inputs!$B$3-100)*3)+Inputs!$B$28+Inputs!$B$29)))</f>
        <v>185</v>
      </c>
      <c r="E2337">
        <f>INDEX(FactorTable!$B$2:$Y$301, MATCH(ROUND(MIN(300,MAX(1,D2337)),0), FactorTable!$A$2:$A$301,0), Skills!M23+1)</f>
        <v>1555</v>
      </c>
      <c r="F2337">
        <f>IF(Skills!N23=TRUE,(Skills!L23/10)*(E2337/1000),Skills!L23/10)+Skills!O23</f>
        <v>23.324999999999999</v>
      </c>
      <c r="G2337">
        <f>Calc!G23</f>
        <v>1</v>
      </c>
      <c r="H2337">
        <f>Calc!H23</f>
        <v>1</v>
      </c>
      <c r="I2337">
        <f>IF(Skills!X23&lt;&gt;"",1+(Skills!X23/10)*(Z2317/1000)/100,1)</f>
        <v>1</v>
      </c>
      <c r="O2337">
        <f>(1-Summary!$B$11)*S2337+Summary!$B$11*U2337</f>
        <v>0</v>
      </c>
      <c r="P2337">
        <f>IF(B2355=0,0,O2337/B2355)</f>
        <v>0</v>
      </c>
      <c r="Q2337">
        <f>IFERROR(1/(IF(Inputs!$B$38="pvp",15,MAX(0.1,Skills!E23-IF(TRUE=TRUE,Inputs!$B$32,0)))*(1-IF(AND(ArtifactsInput!$M$27,Inputs!$B$4="Chapter Hunt"),CHOOSE(ArtifactsInput!$N$27+1,20,24,28,32,36,40),0)/100)),0)</f>
        <v>10</v>
      </c>
      <c r="R2337">
        <v>0</v>
      </c>
      <c r="S2337">
        <v>0</v>
      </c>
      <c r="U2337">
        <v>0</v>
      </c>
    </row>
    <row r="2338" spans="1:21" x14ac:dyDescent="0.2">
      <c r="A2338" t="str">
        <f>Skills!A24</f>
        <v>IFRIT</v>
      </c>
      <c r="B2338" t="str">
        <f>Skills!B24</f>
        <v>Ifrit</v>
      </c>
      <c r="C2338" t="b">
        <f>Inputs!$B$3&gt;=115</f>
        <v>1</v>
      </c>
      <c r="D2338">
        <f>IF(Skills!C24=1,60+Inputs!$B$25+Inputs!$B$29,IF(Skills!C24=2,90+Inputs!$B$26+Inputs!$B$29,IF(Skills!C24=3,120+Inputs!$B$27+Inputs!$B$29,MAX(0,(Inputs!$B$3-100)*3)+Inputs!$B$28+Inputs!$B$29)))</f>
        <v>185</v>
      </c>
      <c r="E2338">
        <f>INDEX(FactorTable!$B$2:$Y$301, MATCH(ROUND(MIN(300,MAX(1,D2338)),0), FactorTable!$A$2:$A$301,0), Skills!M24+1)</f>
        <v>1925</v>
      </c>
      <c r="F2338">
        <f>IF(Skills!N24=TRUE,(Skills!L24/10)*(E2338/1000),Skills!L24/10)+Skills!O24</f>
        <v>6737.5</v>
      </c>
      <c r="G2338">
        <f>Calc!G24</f>
        <v>7.5</v>
      </c>
      <c r="H2338">
        <f>Calc!H24</f>
        <v>1</v>
      </c>
      <c r="I2338">
        <f>IF(Skills!X24&lt;&gt;"",1+(Skills!X24/10)*(Z2317/1000)/100,1)</f>
        <v>1</v>
      </c>
      <c r="J2338">
        <f>((Inputs!$B$6*(1+Inputs!$B$7/100))+(((Inputs!$B$12*(1+Inputs!$B$13/100))-(Inputs!$B$12*(1+Inputs!$B$13/100)))+0.25*(Inputs!$B$14-Inputs!$B$14))*(1+Inputs!$B$7/100))*(F2338/100)</f>
        <v>24331438378.718628</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122258974288595.61</v>
      </c>
      <c r="L2338">
        <f>K2338*(MIN(Inputs!$B$22+(F2336-Calc!F22),(Inputs!$B$23+(IF(ArtifactsInput!$M$15,CHOOSE(ArtifactsInput!$N$15+1,25,30,35,40,45,50)/100*(Inputs!$B$11-Inputs!$B$11),0))))/100+(Inputs!$B$23+(IF(ArtifactsInput!$M$15,CHOOSE(ArtifactsInput!$N$15+1,25,30,35,40,45,50)/100*(Inputs!$B$11-Inputs!$B$11),0)))/100)/2</f>
        <v>406511089509580.44</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1918325831395709.8</v>
      </c>
      <c r="N2338">
        <f>L2338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1918325831395709.8</v>
      </c>
      <c r="O2338">
        <f>(1-Summary!$B$11)*S2338+Summary!$B$11*U2338</f>
        <v>2373928216352191</v>
      </c>
      <c r="P2338">
        <f>IF(B2355=0,0,O2338/B2355)</f>
        <v>6.584210325705607E-2</v>
      </c>
      <c r="Q2338">
        <f>IFERROR(1/(IF(Inputs!$B$38="pvp",15,MAX(0.1,Skills!E24-IF(TRUE=TRUE,Inputs!$B$32,0)))*(1-IF(AND(ArtifactsInput!$M$27,Inputs!$B$4="Chapter Hunt"),CHOOSE(ArtifactsInput!$N$27+1,20,24,28,32,36,40),0)/100)),0)</f>
        <v>1.2500000000000001E-2</v>
      </c>
      <c r="R2338">
        <f>IF(AND(Inputs!$B$38&lt;&gt;"pvp",Inputs!$B$43&gt;0),IF(MAX(0,Inputs!$B$43-B2352)&lt;=0,0,(INT(MAX(0,Inputs!$B$43-B2352)/(IF(Inputs!$B$38="pvp",15,MAX(0.1,Skills!E24-IF(TRUE=TRUE,Inputs!$B$32,0)))*(1-IF(AND(ArtifactsInput!$M$27,Inputs!$B$4="Chapter Hunt"),CHOOSE(ArtifactsInput!$N$27+1,20,24,28,32,36,40),0)/100)))+1)),0)</f>
        <v>1</v>
      </c>
      <c r="S2338">
        <f>IF(C2338,(H2338*N2338*IF(AND(Inputs!$B$38&lt;&gt;"pvp",Inputs!$B$43&gt;0),((Skills!G24*((R2338-1)*IF(Skills!H24&gt;0,Skills!I24/Skills!H24,1)+IF(Skills!H24&gt;0,MIN(Skills!I24,MAX(0,MAX(0,Inputs!$B$43-B2352)-((R2338-1)*(IF(Inputs!$B$38="pvp",15,MAX(0.1,Skills!E24-IF(TRUE=TRUE,Inputs!$B$32,0)))*(1-IF(AND(ArtifactsInput!$M$27,Inputs!$B$4="Chapter Hunt"),CHOOSE(ArtifactsInput!$N$27+1,20,24,28,32,36,40),0)/100)))))/Skills!H24,1)))/Inputs!$B$43),G2338*Q2338)*(1+IF(Inputs!$B$3&gt;=130,0.2*(Skills!I16/(1/Q2329)+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1176173525374494.5</v>
      </c>
      <c r="U2338">
        <f>IF(C2338,(H2338*N2338*IF(AND(Inputs!$B$38&lt;&gt;"pvp",Inputs!$B$43&gt;0),((Skills!G24*((R2338-1)*IF(Skills!H24&gt;0,Skills!I24/Skills!H24,1)+IF(Skills!H24&gt;0,MIN(Skills!I24,MAX(0,MAX(0,Inputs!$B$43-B2352)-((R2338-1)*(IF(Inputs!$B$38="pvp",15,MAX(0.1,Skills!E24-IF(TRUE=TRUE,Inputs!$B$32,0)))*(1-IF(AND(ArtifactsInput!$M$27,Inputs!$B$4="Chapter Hunt"),CHOOSE(ArtifactsInput!$N$27+1,20,24,28,32,36,40),0)/100)))))/Skills!H24,1)))/Inputs!$B$43),G2338*Q2338)*(1+IF(Inputs!$B$3&gt;=130,0.2*(Skills!I16/(1/Q2329)+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3571682907329887</v>
      </c>
    </row>
    <row r="2339" spans="1:21" x14ac:dyDescent="0.2">
      <c r="A2339" t="str">
        <f>Skills!A25</f>
        <v>BUFF_MASTERY</v>
      </c>
      <c r="B2339" t="str">
        <f>Skills!B25</f>
        <v>Buff Mastery</v>
      </c>
      <c r="C2339" t="b">
        <f>Inputs!$B$3&gt;=117</f>
        <v>1</v>
      </c>
      <c r="D2339">
        <f>IF(Skills!C25=1,60+Inputs!$B$25+Inputs!$B$29,IF(Skills!C25=2,90+Inputs!$B$26+Inputs!$B$29,IF(Skills!C25=3,120+Inputs!$B$27+Inputs!$B$29,MAX(0,(Inputs!$B$3-100)*3)+Inputs!$B$28+Inputs!$B$29)))</f>
        <v>185</v>
      </c>
      <c r="E2339">
        <f>INDEX(FactorTable!$B$2:$Y$301, MATCH(ROUND(MIN(300,MAX(1,D2339)),0), FactorTable!$A$2:$A$301,0), Skills!M25+1)</f>
        <v>1555</v>
      </c>
      <c r="F2339">
        <f>IF(Skills!N25=TRUE,(Skills!L25/10)*(E2339/1000),Skills!L25/10)+Skills!O25</f>
        <v>15.549999999999999</v>
      </c>
      <c r="G2339">
        <f>Calc!G25</f>
        <v>1</v>
      </c>
      <c r="H2339">
        <f>Calc!H25</f>
        <v>1</v>
      </c>
      <c r="I2339">
        <f>IF(Skills!X25&lt;&gt;"",1+(Skills!X25/10)*(Z2317/1000)/100,1)</f>
        <v>1</v>
      </c>
      <c r="O2339">
        <f>(1-Summary!$B$11)*S2339+Summary!$B$11*U2339</f>
        <v>0</v>
      </c>
      <c r="P2339">
        <f>IF(B2355=0,0,O2339/B2355)</f>
        <v>0</v>
      </c>
      <c r="Q2339">
        <f>IFERROR(1/(IF(Inputs!$B$38="pvp",15,MAX(0.1,Skills!E25-IF(TRUE=TRUE,Inputs!$B$32,0)))*(1-IF(AND(ArtifactsInput!$M$27,Inputs!$B$4="Chapter Hunt"),CHOOSE(ArtifactsInput!$N$27+1,20,24,28,32,36,40),0)/100)),0)</f>
        <v>10</v>
      </c>
      <c r="R2339">
        <v>0</v>
      </c>
      <c r="S2339">
        <v>0</v>
      </c>
      <c r="U2339">
        <v>0</v>
      </c>
    </row>
    <row r="2340" spans="1:21" x14ac:dyDescent="0.2">
      <c r="A2340" t="str">
        <f>Skills!A26</f>
        <v>ARCANE_AIM</v>
      </c>
      <c r="B2340" t="str">
        <f>Skills!B26</f>
        <v>Arcane Aim</v>
      </c>
      <c r="C2340" t="b">
        <f>Inputs!$B$3&gt;=120</f>
        <v>0</v>
      </c>
      <c r="D2340">
        <f>IF(Skills!C26=1,60+Inputs!$B$25+Inputs!$B$29,IF(Skills!C26=2,90+Inputs!$B$26+Inputs!$B$29,IF(Skills!C26=3,120+Inputs!$B$27+Inputs!$B$29,MAX(0,(Inputs!$B$3-100)*3)+Inputs!$B$28+Inputs!$B$29)))</f>
        <v>185</v>
      </c>
      <c r="E2340">
        <f>INDEX(FactorTable!$B$2:$Y$301, MATCH(ROUND(MIN(300,MAX(1,D2340)),0), FactorTable!$A$2:$A$301,0), Skills!M26+1)</f>
        <v>1555</v>
      </c>
      <c r="F2340">
        <f>IF(Skills!N26=TRUE,(Skills!L26/10)*(E2340/1000),Skills!L26/10)+Skills!O26</f>
        <v>4.665</v>
      </c>
      <c r="G2340">
        <f>Calc!G26</f>
        <v>1</v>
      </c>
      <c r="H2340">
        <f>Calc!H26</f>
        <v>1</v>
      </c>
      <c r="I2340">
        <f>IF(Skills!X26&lt;&gt;"",1+(Skills!X26/10)*(Z2317/1000)/100,1)</f>
        <v>1</v>
      </c>
      <c r="O2340">
        <f>(1-Summary!$B$11)*S2340+Summary!$B$11*U2340</f>
        <v>0</v>
      </c>
      <c r="P2340">
        <f>IF(B2355=0,0,O2340/B2355)</f>
        <v>0</v>
      </c>
      <c r="Q2340">
        <f>IFERROR(1/(IF(Inputs!$B$38="pvp",15,MAX(0.1,Skills!E26-IF(TRUE=TRUE,Inputs!$B$32,0)))*(1-IF(AND(ArtifactsInput!$M$27,Inputs!$B$4="Chapter Hunt"),CHOOSE(ArtifactsInput!$N$27+1,20,24,28,32,36,40),0)/100)),0)</f>
        <v>10</v>
      </c>
      <c r="R2340">
        <v>0</v>
      </c>
      <c r="S2340">
        <v>0</v>
      </c>
      <c r="U2340">
        <v>0</v>
      </c>
    </row>
    <row r="2341" spans="1:21" x14ac:dyDescent="0.2">
      <c r="A2341" t="str">
        <f>Skills!A27</f>
        <v>FERVENT_DRAIN</v>
      </c>
      <c r="B2341" t="str">
        <f>Skills!B27</f>
        <v>Fervent Drain</v>
      </c>
      <c r="C2341" t="b">
        <f>Inputs!$B$3&gt;=125</f>
        <v>0</v>
      </c>
      <c r="D2341">
        <f>IF(Skills!C27=1,60+Inputs!$B$25+Inputs!$B$29,IF(Skills!C27=2,90+Inputs!$B$26+Inputs!$B$29,IF(Skills!C27=3,120+Inputs!$B$27+Inputs!$B$29,MAX(0,(Inputs!$B$3-100)*3)+Inputs!$B$28+Inputs!$B$29)))</f>
        <v>185</v>
      </c>
      <c r="E2341">
        <f>INDEX(FactorTable!$B$2:$Y$301, MATCH(ROUND(MIN(300,MAX(1,D2341)),0), FactorTable!$A$2:$A$301,0), Skills!M27+1)</f>
        <v>1555</v>
      </c>
      <c r="F2341">
        <f>IF(Skills!N27=TRUE,(Skills!L27/10)*(E2341/1000),Skills!L27/10)+Skills!O27</f>
        <v>6.22</v>
      </c>
      <c r="G2341">
        <f>Calc!G27</f>
        <v>1</v>
      </c>
      <c r="H2341">
        <f>Calc!H27</f>
        <v>1</v>
      </c>
      <c r="I2341">
        <f>IF(Skills!X27&lt;&gt;"",1+(Skills!X27/10)*(Z2317/1000)/100,1)</f>
        <v>1</v>
      </c>
      <c r="O2341">
        <f>(1-Summary!$B$11)*S2341+Summary!$B$11*U2341</f>
        <v>0</v>
      </c>
      <c r="P2341">
        <f>IF(B2355=0,0,O2341/B2355)</f>
        <v>0</v>
      </c>
      <c r="Q2341">
        <f>IFERROR(1/(IF(Inputs!$B$38="pvp",15,MAX(0.1,Skills!E27-IF(TRUE=TRUE,Inputs!$B$32,0)))*(1-IF(AND(ArtifactsInput!$M$27,Inputs!$B$4="Chapter Hunt"),CHOOSE(ArtifactsInput!$N$27+1,20,24,28,32,36,40),0)/100)),0)</f>
        <v>10</v>
      </c>
      <c r="R2341">
        <v>0</v>
      </c>
      <c r="S2341">
        <v>0</v>
      </c>
      <c r="U2341">
        <v>0</v>
      </c>
    </row>
    <row r="2342" spans="1:21" x14ac:dyDescent="0.2">
      <c r="A2342" t="str">
        <f>Skills!A28</f>
        <v>FLAME_HAZE_FOG</v>
      </c>
      <c r="B2342" t="str">
        <f>Skills!B28</f>
        <v>Flame Haze (poison fog DoT)</v>
      </c>
      <c r="C2342" t="b">
        <f>Inputs!$B$3&gt;=118</f>
        <v>0</v>
      </c>
      <c r="D2342">
        <f>IF(Skills!C28=1,60+Inputs!$B$25+Inputs!$B$29,IF(Skills!C28=2,90+Inputs!$B$26+Inputs!$B$29,IF(Skills!C28=3,120+Inputs!$B$27+Inputs!$B$29,MAX(0,(Inputs!$B$3-100)*3)+Inputs!$B$28+Inputs!$B$29)))</f>
        <v>185</v>
      </c>
      <c r="E2342">
        <f>INDEX(FactorTable!$B$2:$Y$301, MATCH(ROUND(MIN(300,MAX(1,D2342)),0), FactorTable!$A$2:$A$301,0), Skills!M28+1)</f>
        <v>1925</v>
      </c>
      <c r="F2342">
        <f>IF(Skills!N28=TRUE,(Skills!L28/10)*(E2342/1000),Skills!L28/10)+Skills!O28</f>
        <v>134.75</v>
      </c>
      <c r="G2342">
        <f>Calc!G28</f>
        <v>50</v>
      </c>
      <c r="H2342">
        <f>Calc!H28</f>
        <v>1</v>
      </c>
      <c r="I2342">
        <f>IF(Skills!X28&lt;&gt;"",1+(Skills!X28/10)*(Z2317/1000)/100,1)</f>
        <v>1</v>
      </c>
      <c r="J2342">
        <f>((Inputs!$B$6*(1+Inputs!$B$7/100))+(((Inputs!$B$12*(1+Inputs!$B$13/100))-(Inputs!$B$12*(1+Inputs!$B$13/100)))+0.25*(Inputs!$B$14-Inputs!$B$14))*(1+Inputs!$B$7/100))*(F2342/100)</f>
        <v>486628767.57437253</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2445179485771.9116</v>
      </c>
      <c r="L2342">
        <f>K2342*(MIN(Inputs!$B$22+(F2336-Calc!F22),(Inputs!$B$23+(IF(ArtifactsInput!$M$15,CHOOSE(ArtifactsInput!$N$15+1,25,30,35,40,45,50)/100*(Inputs!$B$11-Inputs!$B$11),0))))/100+(Inputs!$B$23+(IF(ArtifactsInput!$M$15,CHOOSE(ArtifactsInput!$N$15+1,25,30,35,40,45,50)/100*(Inputs!$B$11-Inputs!$B$11),0)))/100)/2</f>
        <v>8130221790191.6064</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38366516627914.188</v>
      </c>
      <c r="N2342">
        <f>L2342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38366516627914.188</v>
      </c>
      <c r="O2342">
        <f>(1-Summary!$B$11)*S2342+Summary!$B$11*U2342</f>
        <v>0</v>
      </c>
      <c r="P2342">
        <f>IF(B2355=0,0,O2342/B2355)</f>
        <v>0</v>
      </c>
      <c r="Q2342">
        <f>IFERROR(1/(IF(Inputs!$B$38="pvp",15,MAX(0.1,Skills!E28-IF(TRUE=TRUE,Inputs!$B$32,0)))*(1-IF(AND(ArtifactsInput!$M$27,Inputs!$B$4="Chapter Hunt"),CHOOSE(ArtifactsInput!$N$27+1,20,24,28,32,36,40),0)/100)),0)</f>
        <v>0.04</v>
      </c>
      <c r="R2342">
        <f>IF(AND(Inputs!$B$38&lt;&gt;"pvp",Inputs!$B$43&gt;0),IF(MAX(0,Inputs!$B$43-B2352)&lt;=0,0,(INT(MAX(0,Inputs!$B$43-B2352)/(IF(Inputs!$B$38="pvp",15,MAX(0.1,Skills!E28-IF(TRUE=TRUE,Inputs!$B$32,0)))*(1-IF(AND(ArtifactsInput!$M$27,Inputs!$B$4="Chapter Hunt"),CHOOSE(ArtifactsInput!$N$27+1,20,24,28,32,36,40),0)/100)))+1)),0)</f>
        <v>2</v>
      </c>
      <c r="S2342">
        <f>IF(C2342,(H2342*N2342*IF(AND(Inputs!$B$38&lt;&gt;"pvp",Inputs!$B$43&gt;0),((Skills!G28*((R2342-1)*IF(Skills!H28&gt;0,Skills!I28/Skills!H28,1)+IF(Skills!H28&gt;0,MIN(Skills!I28,MAX(0,MAX(0,Inputs!$B$43-B2352)-((R2342-1)*(IF(Inputs!$B$38="pvp",15,MAX(0.1,Skills!E28-IF(TRUE=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42">
        <f>IF(C2342,(H2342*N2342*IF(AND(Inputs!$B$38&lt;&gt;"pvp",Inputs!$B$43&gt;0),((Skills!G28*((R2342-1)*IF(Skills!H28&gt;0,Skills!I28/Skills!H28,1)+IF(Skills!H28&gt;0,MIN(Skills!I28,MAX(0,MAX(0,Inputs!$B$43-B2352)-((R2342-1)*(IF(Inputs!$B$38="pvp",15,MAX(0.1,Skills!E28-IF(TRUE=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44" spans="1:21" x14ac:dyDescent="0.2">
      <c r="A2344" t="s">
        <v>356</v>
      </c>
      <c r="B2344">
        <f>1+(F2325*Skills!Z11)/100</f>
        <v>1.25</v>
      </c>
    </row>
    <row r="2345" spans="1:21" x14ac:dyDescent="0.2">
      <c r="A2345" t="s">
        <v>435</v>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1.18624</v>
      </c>
    </row>
    <row r="2346" spans="1:21" x14ac:dyDescent="0.2">
      <c r="A2346" t="s">
        <v>358</v>
      </c>
      <c r="B2346">
        <f>(1+(F2320*IF(AND(Inputs!$B$38&lt;&gt;"pvp",Inputs!$B$43&gt;0),(((R2320-1)*MIN((Skills!T6*(1+((Inputs!$B$34+(ArtifactsInput!$M$7-ArtifactsInput!$M$7)*CHOOSE(ArtifactsInput!$N$7+1,6,7.2,8.4,9.6,10.8,12)))/100)),(1/Q2320))+MIN((Skills!T6*(1+((Inputs!$B$34+(ArtifactsInput!$M$7-ArtifactsInput!$M$7)*CHOOSE(ArtifactsInput!$N$7+1,6,7.2,8.4,9.6,10.8,12)))/100)),MAX(0,Inputs!$B$43-((R2320-1)*(1/Q2320)))))/Inputs!$B$43),IF(Inputs!$B$38="pvp",MIN((Skills!T6*(1+((Inputs!$B$34+(ArtifactsInput!$M$7-ArtifactsInput!$M$7)*CHOOSE(ArtifactsInput!$N$7+1,6,7.2,8.4,9.6,10.8,12)))/100)),15)/15,MIN(1,(Skills!T6*(1+((Inputs!$B$34+(ArtifactsInput!$M$7-ArtifactsInput!$M$7)*CHOOSE(ArtifactsInput!$N$7+1,6,7.2,8.4,9.6,10.8,12)))/100))/(1/Q2320))))+F2331*IF(AND(Inputs!$B$38&lt;&gt;"pvp",Inputs!$B$43&gt;0),(((R2331-1)*MIN((Skills!T17*(1+((Inputs!$B$34+(ArtifactsInput!$M$7-ArtifactsInput!$M$7)*CHOOSE(ArtifactsInput!$N$7+1,6,7.2,8.4,9.6,10.8,12)))/100)),(1/Q2331))+MIN((Skills!T17*(1+((Inputs!$B$34+(ArtifactsInput!$M$7-ArtifactsInput!$M$7)*CHOOSE(ArtifactsInput!$N$7+1,6,7.2,8.4,9.6,10.8,12)))/100)),MAX(0,Inputs!$B$43-((R2331-1)*(1/Q2331)))))/Inputs!$B$43),IF(Inputs!$B$38="pvp",MIN((Skills!T17*(1+((Inputs!$B$34+(ArtifactsInput!$M$7-ArtifactsInput!$M$7)*CHOOSE(ArtifactsInput!$N$7+1,6,7.2,8.4,9.6,10.8,12)))/100)),15)/15,MIN(1,(Skills!T17*(1+((Inputs!$B$34+(ArtifactsInput!$M$7-ArtifactsInput!$M$7)*CHOOSE(ArtifactsInput!$N$7+1,6,7.2,8.4,9.6,10.8,12)))/100))/(1/Q2331)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MIN((Skills!T19*(1+((Inputs!$B$34+(ArtifactsInput!$M$7-ArtifactsInput!$M$7)*CHOOSE(ArtifactsInput!$N$7+1,6,7.2,8.4,9.6,10.8,12)))/100)),(1/Q2333))+MIN((Skills!T19*(1+((Inputs!$B$34+(ArtifactsInput!$M$7-ArtifactsInput!$M$7)*CHOOSE(ArtifactsInput!$N$7+1,6,7.2,8.4,9.6,10.8,12)))/100)),MAX(0,Inputs!$B$43-((R2333-1)*(1/Q2333)))))/Inputs!$B$43),IF(Inputs!$B$38="pvp",MIN((Skills!T19*(1+((Inputs!$B$34+(ArtifactsInput!$M$7-ArtifactsInput!$M$7)*CHOOSE(ArtifactsInput!$N$7+1,6,7.2,8.4,9.6,10.8,12)))/100)),15)/15,MIN(1,(Skills!T19*(1+((Inputs!$B$34+(ArtifactsInput!$M$7-ArtifactsInput!$M$7)*CHOOSE(ArtifactsInput!$N$7+1,6,7.2,8.4,9.6,10.8,12)))/100))/(1/Q2333))))/100),1)</f>
        <v>1.7965808377980694</v>
      </c>
    </row>
    <row r="2347" spans="1:21" x14ac:dyDescent="0.2">
      <c r="A2347" t="s">
        <v>359</v>
      </c>
      <c r="B2347">
        <f>F2332*IF(AND(Inputs!$B$38&lt;&gt;"pvp",Inputs!$B$43&gt;0),(((R2332-1)*MIN((Skills!T18*(1+((Inputs!$B$34+(ArtifactsInput!$M$7-ArtifactsInput!$M$7)*CHOOSE(ArtifactsInput!$N$7+1,6,7.2,8.4,9.6,10.8,12)))/100)),(1/Q2332))+MIN((Skills!T18*(1+((Inputs!$B$34+(ArtifactsInput!$M$7-ArtifactsInput!$M$7)*CHOOSE(ArtifactsInput!$N$7+1,6,7.2,8.4,9.6,10.8,12)))/100)),MAX(0,Inputs!$B$43-((R2332-1)*(1/Q2332)))))/Inputs!$B$43),IF(Inputs!$B$38="pvp",MIN((Skills!T18*(1+((Inputs!$B$34+(ArtifactsInput!$M$7-ArtifactsInput!$M$7)*CHOOSE(ArtifactsInput!$N$7+1,6,7.2,8.4,9.6,10.8,12)))/100)),15)/15,MIN(1,(Skills!T18*(1+((Inputs!$B$34+(ArtifactsInput!$M$7-ArtifactsInput!$M$7)*CHOOSE(ArtifactsInput!$N$7+1,6,7.2,8.4,9.6,10.8,12)))/100))/(1/Q2332))))</f>
        <v>6.4968749999999993</v>
      </c>
    </row>
    <row r="2348" spans="1:21" x14ac:dyDescent="0.2">
      <c r="A2348" t="s">
        <v>436</v>
      </c>
      <c r="B2348">
        <f>1+MIN(150,150*(1-(1-(Inputs!$B$11+(ArtifactsInput!$M$15-ArtifactsInput!$M$15)*CHOOSE(ArtifactsInput!$N$15+1,8,9.6,11.2,12.8,14.4,16))/150)*(1-B2347/150)))/100</f>
        <v>1.6982958749999999</v>
      </c>
    </row>
    <row r="2349" spans="1:21" x14ac:dyDescent="0.2">
      <c r="A2349" t="s">
        <v>437</v>
      </c>
      <c r="B2349">
        <f>IF(AND(Inputs!$B$38&lt;&gt;"pvp",Inputs!$B$43&gt;0),SUMPRODUCT((Skills!F2:F28=TRUE)*(C2316:C2342=TRUE)*R2316:R2342)/Inputs!$B$43,SUMPRODUCT((Skills!F2:F28=TRUE)*(C2316:C2342=TRUE)*Q2316:Q2342))</f>
        <v>0.47499999999999998</v>
      </c>
    </row>
    <row r="2350" spans="1:21" x14ac:dyDescent="0.2">
      <c r="A2350" t="s">
        <v>362</v>
      </c>
      <c r="B2350">
        <f>MAX(0,B2348-B2349)</f>
        <v>1.2232958749999998</v>
      </c>
    </row>
    <row r="2351" spans="1:21" x14ac:dyDescent="0.2">
      <c r="A2351" t="s">
        <v>438</v>
      </c>
      <c r="B2351">
        <f>IF(AND(Inputs!$B$38&lt;&gt;"pvp",Inputs!$B$43&gt;0),SUMPRODUCT((Skills!V2:V28=TRUE)*(C2316:C2342=TRUE)*R2316:R2342*Skills!W2:W28)/Inputs!$B$43,SUMPRODUCT((Skills!V2:V28=TRUE)*(C2316:C2342=TRUE)*Q2316:Q2342*Skills!W2:W28))+B2350</f>
        <v>1.5482958749999998</v>
      </c>
    </row>
    <row r="2352" spans="1:21" x14ac:dyDescent="0.2">
      <c r="A2352" t="s">
        <v>439</v>
      </c>
      <c r="B2352">
        <f>IF(AND(Inputs!$B$38&lt;&gt;"pvp",Inputs!$B$43&gt;0),SUMPRODUCT((Skills!T2:T28&gt;0)*(Skills!F2:F28=TRUE)*(C2316:C2342=TRUE))/B2348,0)</f>
        <v>2.3553021937358238</v>
      </c>
    </row>
    <row r="2353" spans="1:26" x14ac:dyDescent="0.2">
      <c r="A2353" t="s">
        <v>440</v>
      </c>
      <c r="B2353">
        <f>SUM(S2316:S2342)</f>
        <v>9815487906382338</v>
      </c>
    </row>
    <row r="2354" spans="1:26" x14ac:dyDescent="0.2">
      <c r="A2354" t="s">
        <v>441</v>
      </c>
      <c r="B2354">
        <f>SUM(U2316:U2342)</f>
        <v>6.2294244283796E+16</v>
      </c>
    </row>
    <row r="2355" spans="1:26" x14ac:dyDescent="0.2">
      <c r="A2355" s="6" t="s">
        <v>348</v>
      </c>
      <c r="B2355" s="6">
        <f>SUM(O2316:O2342)</f>
        <v>3.6054866095089168E+16</v>
      </c>
    </row>
    <row r="2358" spans="1:26" x14ac:dyDescent="0.2">
      <c r="A2358" s="6" t="s">
        <v>493</v>
      </c>
    </row>
    <row r="2359" spans="1:26" x14ac:dyDescent="0.2">
      <c r="A2359" s="5" t="s">
        <v>136</v>
      </c>
      <c r="B2359" s="5" t="s">
        <v>137</v>
      </c>
      <c r="C2359" s="5" t="s">
        <v>328</v>
      </c>
      <c r="D2359" s="5" t="s">
        <v>329</v>
      </c>
      <c r="E2359" s="5" t="s">
        <v>330</v>
      </c>
      <c r="F2359" s="5" t="s">
        <v>331</v>
      </c>
      <c r="G2359" s="5" t="s">
        <v>332</v>
      </c>
      <c r="H2359" s="5" t="s">
        <v>333</v>
      </c>
      <c r="I2359" s="5" t="s">
        <v>334</v>
      </c>
      <c r="J2359" s="5" t="s">
        <v>335</v>
      </c>
      <c r="K2359" s="5" t="s">
        <v>336</v>
      </c>
      <c r="L2359" s="5" t="s">
        <v>337</v>
      </c>
      <c r="M2359" s="5" t="s">
        <v>338</v>
      </c>
      <c r="N2359" s="5" t="s">
        <v>339</v>
      </c>
      <c r="O2359" s="5" t="s">
        <v>340</v>
      </c>
      <c r="P2359" s="5" t="s">
        <v>341</v>
      </c>
      <c r="R2359" t="s">
        <v>434</v>
      </c>
    </row>
    <row r="2360" spans="1:26" x14ac:dyDescent="0.2">
      <c r="A2360" t="str">
        <f>Skills!A2</f>
        <v>BASIC_ATTACK</v>
      </c>
      <c r="B2360" t="str">
        <f>Skills!B2</f>
        <v>Basic Attack</v>
      </c>
      <c r="C2360" t="b">
        <f>TRUE</f>
        <v>1</v>
      </c>
      <c r="F2360">
        <f>T2362+Skills!O2</f>
        <v>537.6</v>
      </c>
      <c r="G2360">
        <f>Calc!G2</f>
        <v>5</v>
      </c>
      <c r="H2360">
        <f>Calc!H2</f>
        <v>1</v>
      </c>
      <c r="I2360">
        <f>IF(Skills!X2&lt;&gt;"",1+(Skills!X2/10)*(Z2361/1000)/100,1)</f>
        <v>1</v>
      </c>
      <c r="J2360">
        <f>((Inputs!$B$6*(1+Inputs!$B$7/100))+(((Inputs!$B$12*(1+Inputs!$B$13/100))-(Inputs!$B$12*(1+Inputs!$B$13/100)))+0.25*(Inputs!$B$14-Inputs!$B$14))*(1+Inputs!$B$7/100))*(F2360/100)</f>
        <v>1941459186.9980164</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7390977902463.1221</v>
      </c>
      <c r="L2360">
        <f>K2360*(MIN(Inputs!$B$22+(F2380-Calc!F22),(Inputs!$B$23+(IF(ArtifactsInput!$M$15,CHOOSE(ArtifactsInput!$N$15+1,25,30,35,40,45,50)/100*(Inputs!$B$11-Inputs!$B$11),0))))/100+(Inputs!$B$23+(IF(ArtifactsInput!$M$15,CHOOSE(ArtifactsInput!$N$15+1,25,30,35,40,45,50)/100*(Inputs!$B$11-Inputs!$B$11),0)))/100)/2</f>
        <v>24575001525689.883</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115969432199730.55</v>
      </c>
      <c r="N2360">
        <f>L2360*(1-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115969432199730.55</v>
      </c>
      <c r="O2360">
        <f>(1-Summary!$B$11)*S2360+Summary!$B$11*U2360</f>
        <v>1.3970148788347318E+16</v>
      </c>
      <c r="P2360">
        <f>IF(B2399=0,0,O2360/B2399)</f>
        <v>0.37819938885449506</v>
      </c>
      <c r="Q2360">
        <f>IFERROR(1/(IF(Inputs!$B$38="pvp",15,MAX(0.1,Skills!E2-IF(TRUE=TRUE,Inputs!$B$32,0)))*(1-IF(AND(ArtifactsInput!$M$27,Inputs!$B$4="Chapter Hunt"),CHOOSE(ArtifactsInput!$N$27+1,20,24,28,32,36,40),0)/100)),0)</f>
        <v>10</v>
      </c>
      <c r="R2360">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2319491573388968.5</v>
      </c>
      <c r="T2360">
        <f>MAX(0,(Inputs!$B$3-100)*3)+Inputs!$B$28+Inputs!$B$29</f>
        <v>185</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2.5620806003305668E+16</v>
      </c>
      <c r="Z2360">
        <f>MAX(0,(Inputs!$B$3-100)*3)+Inputs!$B$28+Inputs!$B$29</f>
        <v>185</v>
      </c>
    </row>
    <row r="2361" spans="1:26" x14ac:dyDescent="0.2">
      <c r="A2361" t="str">
        <f>Skills!A3</f>
        <v>IGNITE</v>
      </c>
      <c r="B2361" t="str">
        <f>Skills!B3</f>
        <v>Ignite</v>
      </c>
      <c r="C2361" t="b">
        <f>TRUE</f>
        <v>1</v>
      </c>
      <c r="D2361">
        <f>IF(Skills!C3=1,60+Inputs!$B$25+Inputs!$B$29,IF(Skills!C3=2,90+Inputs!$B$26+Inputs!$B$29,IF(Skills!C3=3,120+Inputs!$B$27+Inputs!$B$29,MAX(0,(Inputs!$B$3-100)*3)+Inputs!$B$28+Inputs!$B$29)))</f>
        <v>168</v>
      </c>
      <c r="E2361">
        <f>INDEX(FactorTable!$B$2:$Y$301, MATCH(ROUND(MIN(300,MAX(1,D2361)),0), FactorTable!$A$2:$A$301,0), Skills!M3+1)</f>
        <v>1672</v>
      </c>
      <c r="F2361">
        <f>IF(Skills!N3=TRUE,(Skills!L3/10)*(E2361/1000),Skills!L3/10)+Skills!O3</f>
        <v>121.736</v>
      </c>
      <c r="G2361">
        <f>Calc!G3</f>
        <v>3</v>
      </c>
      <c r="H2361">
        <f>Calc!H3</f>
        <v>1</v>
      </c>
      <c r="I2361">
        <f>IF(Skills!X3&lt;&gt;"",1+(Skills!X3/10)*(Z2361/1000)/100,1)</f>
        <v>4.8250000000000002</v>
      </c>
      <c r="J2361">
        <f>((Inputs!$B$6*(1+Inputs!$B$7/100))+(((Inputs!$B$12*(1+Inputs!$B$13/100))-(Inputs!$B$12*(1+Inputs!$B$13/100)))+0.25*(Inputs!$B$14-Inputs!$B$14))*(1+Inputs!$B$7/100))*(F2361/100)</f>
        <v>439630720.9605478</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11899347790217.826</v>
      </c>
      <c r="L2361">
        <f>K2361*(MIN(Inputs!$B$22+(F2380-Calc!F22),(Inputs!$B$23+(IF(ArtifactsInput!$M$15,CHOOSE(ArtifactsInput!$N$15+1,25,30,35,40,45,50)/100*(Inputs!$B$11-Inputs!$B$11),0))))/100+(Inputs!$B$23+(IF(ArtifactsInput!$M$15,CHOOSE(ArtifactsInput!$N$15+1,25,30,35,40,45,50)/100*(Inputs!$B$11-Inputs!$B$11),0)))/100)/2</f>
        <v>39565331402474.273</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186708798888276.06</v>
      </c>
      <c r="N2361">
        <f>L2361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186708798888276.06</v>
      </c>
      <c r="O2361">
        <f>(1-Summary!$B$11)*S2361+Summary!$B$11*U2361</f>
        <v>3245932468672679.5</v>
      </c>
      <c r="P2361">
        <f>IF(B2399=0,0,O2361/B2399)</f>
        <v>8.7873772463965091E-2</v>
      </c>
      <c r="Q2361">
        <f>IFERROR(1/(IF(Inputs!$B$38="pvp",15,MAX(0.1,Skills!E3-IF(FALSE=TRUE,Inputs!$B$32,0)))*(1-IF(AND(ArtifactsInput!$M$27,Inputs!$B$4="Chapter Hunt"),CHOOSE(ArtifactsInput!$N$27+1,20,24,28,32,36,40),0)/100)),0)</f>
        <v>1</v>
      </c>
      <c r="R2361">
        <f>IF(AND(Inputs!$B$38&lt;&gt;"pvp",Inputs!$B$43&gt;0),IF(MAX(0,Inputs!$B$43-B2396)&lt;=0,0,(INT(MAX(0,Inputs!$B$43-B2396)/(IF(Inputs!$B$38="pvp",15,MAX(0.1,Skills!E3-IF(FALSE=TRUE,Inputs!$B$32,0)))*(1-IF(AND(ArtifactsInput!$M$27,Inputs!$B$4="Chapter Hunt"),CHOOSE(ArtifactsInput!$N$27+1,20,24,28,32,36,40),0)/100)))+1)),0)</f>
        <v>38</v>
      </c>
      <c r="S2361">
        <f>IF(C2361,(H2361*N2361*IF(AND(Inputs!$B$38&lt;&gt;"pvp",Inputs!$B$43&gt;0),((Skills!G3*((R2361-1)*IF(Skills!H3&gt;0,Skills!I3/Skills!H3,1)+IF(Skills!H3&gt;0,MIN(Skills!I3,MAX(0,MAX(0,Inputs!$B$43-B2396)-((R2361-1)*(IF(Inputs!$B$38="pvp",15,MAX(0.1,Skills!E3-IF(FALSE=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1686820643556130.2</v>
      </c>
      <c r="T2361">
        <f>INDEX(FactorTable!$B$2:$Y$301, MATCH(ROUND(MIN(300,MAX(1,T2360)),0), FactorTable!$A$2:$A$301,0), 22)</f>
        <v>1740</v>
      </c>
      <c r="U2361">
        <f>IF(C2361,(H2361*N2361*IF(AND(Inputs!$B$38&lt;&gt;"pvp",Inputs!$B$43&gt;0),((Skills!G3*((R2361-1)*IF(Skills!H3&gt;0,Skills!I3/Skills!H3,1)+IF(Skills!H3&gt;0,MIN(Skills!I3,MAX(0,MAX(0,Inputs!$B$43-B2396)-((R2361-1)*(IF(Inputs!$B$38="pvp",15,MAX(0.1,Skills!E3-IF(FALSE=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4805044293789229</v>
      </c>
      <c r="Z2361">
        <f>INDEX(FactorTable!$B$2:$Y$301, MATCH(ROUND(MIN(300,MAX(1,Z2360)),0), FactorTable!$A$2:$A$301,0), 24)</f>
        <v>7650</v>
      </c>
    </row>
    <row r="2362" spans="1:26" x14ac:dyDescent="0.2">
      <c r="A2362" t="str">
        <f>Skills!A4</f>
        <v>POISON_BREATH</v>
      </c>
      <c r="B2362" t="str">
        <f>Skills!B4</f>
        <v>Poison Breath</v>
      </c>
      <c r="C2362" t="b">
        <f>TRUE</f>
        <v>1</v>
      </c>
      <c r="D2362">
        <f>IF(Skills!C4=1,60+Inputs!$B$25+Inputs!$B$29,IF(Skills!C4=2,90+Inputs!$B$26+Inputs!$B$29,IF(Skills!C4=3,120+Inputs!$B$27+Inputs!$B$29,MAX(0,(Inputs!$B$3-100)*3)+Inputs!$B$28+Inputs!$B$29)))</f>
        <v>168</v>
      </c>
      <c r="E2362">
        <f>INDEX(FactorTable!$B$2:$Y$301, MATCH(ROUND(MIN(300,MAX(1,D2362)),0), FactorTable!$A$2:$A$301,0), Skills!M4+1)</f>
        <v>1840</v>
      </c>
      <c r="F2362">
        <f>IF(Skills!N4=TRUE,(Skills!L4/10)*(E2362/1000),Skills!L4/10)+Skills!O4</f>
        <v>438</v>
      </c>
      <c r="G2362">
        <f>Calc!G4</f>
        <v>3</v>
      </c>
      <c r="H2362">
        <f>Calc!H4</f>
        <v>1</v>
      </c>
      <c r="I2362">
        <f>IF(Skills!X4&lt;&gt;"",1+(Skills!X4/10)*(Z2361/1000)/100,1)</f>
        <v>7.12</v>
      </c>
      <c r="J2362">
        <f>((Inputs!$B$6*(1+Inputs!$B$7/100))+(((Inputs!$B$12*(1+Inputs!$B$13/100))-(Inputs!$B$12*(1+Inputs!$B$13/100)))+0.25*(Inputs!$B$14-Inputs!$B$14))*(1+Inputs!$B$7/100))*(F2362/100)</f>
        <v>1581769203.69258</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63177278964761.758</v>
      </c>
      <c r="L2362">
        <f>K2362*(MIN(Inputs!$B$22+(F2380-Calc!F22),(Inputs!$B$23+(IF(ArtifactsInput!$M$15,CHOOSE(ArtifactsInput!$N$15+1,25,30,35,40,45,50)/100*(Inputs!$B$11-Inputs!$B$11),0))))/100+(Inputs!$B$23+(IF(ArtifactsInput!$M$15,CHOOSE(ArtifactsInput!$N$15+1,25,30,35,40,45,50)/100*(Inputs!$B$11-Inputs!$B$11),0)))/100)/2</f>
        <v>210064452557832.84</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991294151620413.12</v>
      </c>
      <c r="N2362">
        <f>L2362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991294151620413.12</v>
      </c>
      <c r="O2362">
        <f>(1-Summary!$B$11)*S2362+Summary!$B$11*U2362</f>
        <v>2367582169376404</v>
      </c>
      <c r="P2362">
        <f>IF(B2399=0,0,O2362/B2399)</f>
        <v>6.4095103286790717E-2</v>
      </c>
      <c r="Q2362">
        <f>IFERROR(1/(IF(Inputs!$B$38="pvp",15,MAX(0.1,Skills!E4-IF(TRUE=TRUE,Inputs!$B$32,0)))*(1-IF(AND(ArtifactsInput!$M$27,Inputs!$B$4="Chapter Hunt"),CHOOSE(ArtifactsInput!$N$27+1,20,24,28,32,36,40),0)/100)),0)</f>
        <v>5.5555555555555552E-2</v>
      </c>
      <c r="R2362">
        <f>IF(AND(Inputs!$B$38&lt;&gt;"pvp",Inputs!$B$43&gt;0),IF(MAX(0,Inputs!$B$43-B2396)&lt;=0,0,(INT(MAX(0,Inputs!$B$43-B2396)/(IF(Inputs!$B$38="pvp",15,MAX(0.1,Skills!E4-IF(TRUE=TRUE,Inputs!$B$32,0)))*(1-IF(AND(ArtifactsInput!$M$27,Inputs!$B$4="Chapter Hunt"),CHOOSE(ArtifactsInput!$N$27+1,20,24,28,32,36,40),0)/100)))+1)),0)</f>
        <v>3</v>
      </c>
      <c r="S2362">
        <f>IF(C2362,(H2362*N2362*IF(AND(Inputs!$B$38&lt;&gt;"pvp",Inputs!$B$43&gt;0),((Skills!G4*((R2362-1)*IF(Skills!H4&gt;0,Skills!I4/Skills!H4,1)+IF(Skills!H4&gt;0,MIN(Skills!I4,MAX(0,MAX(0,Inputs!$B$43-B2396)-((R2362-1)*(IF(Inputs!$B$38="pvp",15,MAX(0.1,Skills!E4-IF(TRUE=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707040553643259.75</v>
      </c>
      <c r="T2362">
        <f>290*T2361/1000</f>
        <v>504.6</v>
      </c>
      <c r="U2362">
        <f>IF(C2362,(H2362*N2362*IF(AND(Inputs!$B$38&lt;&gt;"pvp",Inputs!$B$43&gt;0),((Skills!G4*((R2362-1)*IF(Skills!H4&gt;0,Skills!I4/Skills!H4,1)+IF(Skills!H4&gt;0,MIN(Skills!I4,MAX(0,MAX(0,Inputs!$B$43-B2396)-((R2362-1)*(IF(Inputs!$B$38="pvp",15,MAX(0.1,Skills!E4-IF(TRUE=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4028123785109548.5</v>
      </c>
    </row>
    <row r="2363" spans="1:26" x14ac:dyDescent="0.2">
      <c r="A2363" t="str">
        <f>Skills!A5</f>
        <v>ELEMENTAL_DRAIN</v>
      </c>
      <c r="B2363" t="str">
        <f>Skills!B5</f>
        <v>Elemental Drain</v>
      </c>
      <c r="C2363" t="b">
        <f>TRUE</f>
        <v>1</v>
      </c>
      <c r="D2363">
        <f>IF(Skills!C5=1,60+Inputs!$B$25+Inputs!$B$29,IF(Skills!C5=2,90+Inputs!$B$26+Inputs!$B$29,IF(Skills!C5=3,120+Inputs!$B$27+Inputs!$B$29,MAX(0,(Inputs!$B$3-100)*3)+Inputs!$B$28+Inputs!$B$29)))</f>
        <v>168</v>
      </c>
      <c r="E2363">
        <f>INDEX(FactorTable!$B$2:$Y$301, MATCH(ROUND(MIN(300,MAX(1,D2363)),0), FactorTable!$A$2:$A$301,0), Skills!M5+1)</f>
        <v>1672</v>
      </c>
      <c r="F2363">
        <f>IF(Skills!N5=TRUE,(Skills!L5/10)*(E2363/1000),Skills!L5/10)+Skills!O5</f>
        <v>20.064</v>
      </c>
      <c r="G2363">
        <f>Calc!G5</f>
        <v>5</v>
      </c>
      <c r="H2363">
        <f>Calc!H5</f>
        <v>1</v>
      </c>
      <c r="I2363">
        <f>IF(Skills!X5&lt;&gt;"",1+(Skills!X5/10)*(Z2361/1000)/100,1)</f>
        <v>12.475</v>
      </c>
      <c r="J2363">
        <f>((Inputs!$B$6*(1+Inputs!$B$7/100))+(((Inputs!$B$12*(1+Inputs!$B$13/100))-(Inputs!$B$12*(1+Inputs!$B$13/100)))+0.25*(Inputs!$B$14-Inputs!$B$14))*(1+Inputs!$B$7/100))*(F2363/100)</f>
        <v>72458030.371890247</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5070664614832.9775</v>
      </c>
      <c r="L2363">
        <f>K2363*(MIN(Inputs!$B$22+(F2380-Calc!F22),(Inputs!$B$23+(IF(ArtifactsInput!$M$15,CHOOSE(ArtifactsInput!$N$15+1,25,30,35,40,45,50)/100*(Inputs!$B$11-Inputs!$B$11),0))))/100+(Inputs!$B$23+(IF(ArtifactsInput!$M$15,CHOOSE(ArtifactsInput!$N$15+1,25,30,35,40,45,50)/100*(Inputs!$B$11-Inputs!$B$11),0)))/100)/2</f>
        <v>16859959844319.65</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79562150505344.422</v>
      </c>
      <c r="N2363">
        <f>L2363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79562150505344.422</v>
      </c>
      <c r="O2363">
        <f>(1-Summary!$B$11)*S2363+Summary!$B$11*U2363</f>
        <v>1167773464042192.5</v>
      </c>
      <c r="P2363">
        <f>IF(B2399=0,0,O2363/B2399)</f>
        <v>3.1613923166633764E-2</v>
      </c>
      <c r="Q2363">
        <f>IFERROR(1/(IF(Inputs!$B$38="pvp",15,MAX(0.1,Skills!E5-IF(FALSE=TRUE,Inputs!$B$32,0)))*(1-IF(AND(ArtifactsInput!$M$27,Inputs!$B$4="Chapter Hunt"),CHOOSE(ArtifactsInput!$N$27+1,20,24,28,32,36,40),0)/100)),0)</f>
        <v>1</v>
      </c>
      <c r="R2363">
        <f>IF(AND(Inputs!$B$38&lt;&gt;"pvp",Inputs!$B$43&gt;0),IF(MAX(0,Inputs!$B$43-B2396)&lt;=0,0,(INT(MAX(0,Inputs!$B$43-B2396)/(IF(Inputs!$B$38="pvp",15,MAX(0.1,Skills!E5-IF(FALSE=TRUE,Inputs!$B$32,0)))*(1-IF(AND(ArtifactsInput!$M$27,Inputs!$B$4="Chapter Hunt"),CHOOSE(ArtifactsInput!$N$27+1,20,24,28,32,36,40),0)/100)))+1)),0)</f>
        <v>38</v>
      </c>
      <c r="S2363">
        <f>IF(C2363,(H2363*N2363*IF(AND(Inputs!$B$38&lt;&gt;"pvp",Inputs!$B$43&gt;0),((Skills!G5*((R2363-1)*IF(Skills!H5&gt;0,Skills!I5/Skills!H5,1)+IF(Skills!H5&gt;0,MIN(Skills!I5,MAX(0,MAX(0,Inputs!$B$43-B2396)-((R2363-1)*(IF(Inputs!$B$38="pvp",15,MAX(0.1,Skills!E5-IF(FALSE=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1198007081234223.5</v>
      </c>
      <c r="U2363">
        <f>IF(C2363,(H2363*N2363*IF(AND(Inputs!$B$38&lt;&gt;"pvp",Inputs!$B$43&gt;0),((Skills!G5*((R2363-1)*IF(Skills!H5&gt;0,Skills!I5/Skills!H5,1)+IF(Skills!H5&gt;0,MIN(Skills!I5,MAX(0,MAX(0,Inputs!$B$43-B2396)-((R2363-1)*(IF(Inputs!$B$38="pvp",15,MAX(0.1,Skills!E5-IF(FALSE=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1137539846850161.8</v>
      </c>
    </row>
    <row r="2364" spans="1:26" x14ac:dyDescent="0.2">
      <c r="A2364" t="str">
        <f>Skills!A6</f>
        <v>MEDITATION</v>
      </c>
      <c r="B2364" t="str">
        <f>Skills!B6</f>
        <v>Meditation</v>
      </c>
      <c r="C2364" t="b">
        <f>TRUE</f>
        <v>1</v>
      </c>
      <c r="D2364">
        <f>IF(Skills!C6=1,60+Inputs!$B$25+Inputs!$B$29,IF(Skills!C6=2,90+Inputs!$B$26+Inputs!$B$29,IF(Skills!C6=3,120+Inputs!$B$27+Inputs!$B$29,MAX(0,(Inputs!$B$3-100)*3)+Inputs!$B$28+Inputs!$B$29)))</f>
        <v>168</v>
      </c>
      <c r="E2364">
        <f>INDEX(FactorTable!$B$2:$Y$301, MATCH(ROUND(MIN(300,MAX(1,D2364)),0), FactorTable!$A$2:$A$301,0), Skills!M6+1)</f>
        <v>1672</v>
      </c>
      <c r="F2364">
        <f>IF(Skills!N6=TRUE,(Skills!L6/10)*(E2364/1000),Skills!L6/10)+Skills!O6</f>
        <v>33.44</v>
      </c>
      <c r="G2364">
        <f>Calc!G6</f>
        <v>1</v>
      </c>
      <c r="H2364">
        <f>Calc!H6</f>
        <v>1</v>
      </c>
      <c r="I2364">
        <f>IF(Skills!X6&lt;&gt;"",1+(Skills!X6/10)*(Z2361/1000)/100,1)</f>
        <v>1</v>
      </c>
      <c r="O2364">
        <f>(1-Summary!$B$11)*S2364+Summary!$B$11*U2364</f>
        <v>0</v>
      </c>
      <c r="P2364">
        <f>IF(B2399=0,0,O2364/B2399)</f>
        <v>0</v>
      </c>
      <c r="Q2364">
        <f>IFERROR(1/(IF(Inputs!$B$38="pvp",15,MAX(0.1,Skills!E6-IF(TRUE=TRUE,Inputs!$B$32,0)))*(1-IF(AND(ArtifactsInput!$M$27,Inputs!$B$4="Chapter Hunt"),CHOOSE(ArtifactsInput!$N$27+1,20,24,28,32,36,40),0)/100)),0)</f>
        <v>3.3333333333333333E-2</v>
      </c>
      <c r="R2364">
        <f>IF(AND(Inputs!$B$38&lt;&gt;"pvp",Inputs!$B$43&gt;0),IF(Inputs!$B$43&lt;=0,0,(INT(Inputs!$B$43/(IF(Inputs!$B$38="pvp",15,MAX(0.1,Skills!E6-IF(TRUE=TRUE,Inputs!$B$32,0)))*(1-IF(AND(ArtifactsInput!$M$27,Inputs!$B$4="Chapter Hunt"),CHOOSE(ArtifactsInput!$N$27+1,20,24,28,32,36,40),0)/100)))+1)),0)</f>
        <v>2</v>
      </c>
      <c r="S2364">
        <v>0</v>
      </c>
      <c r="U2364">
        <v>0</v>
      </c>
    </row>
    <row r="2365" spans="1:26" x14ac:dyDescent="0.2">
      <c r="A2365" t="str">
        <f>Skills!A7</f>
        <v>POISON_MIST_BURST</v>
      </c>
      <c r="B2365" t="str">
        <f>Skills!B7</f>
        <v>Poison Mist (burst)</v>
      </c>
      <c r="C2365" t="b">
        <f>TRUE</f>
        <v>1</v>
      </c>
      <c r="D2365">
        <f>IF(Skills!C7=1,60+Inputs!$B$25+Inputs!$B$29,IF(Skills!C7=2,90+Inputs!$B$26+Inputs!$B$29,IF(Skills!C7=3,120+Inputs!$B$27+Inputs!$B$29,MAX(0,(Inputs!$B$3-100)*3)+Inputs!$B$28+Inputs!$B$29)))</f>
        <v>184</v>
      </c>
      <c r="E2365">
        <f>INDEX(FactorTable!$B$2:$Y$301, MATCH(ROUND(MIN(300,MAX(1,D2365)),0), FactorTable!$A$2:$A$301,0), Skills!M7+1)</f>
        <v>1920</v>
      </c>
      <c r="F2365">
        <f>IF(Skills!N7=TRUE,(Skills!L7/10)*(E2365/1000),Skills!L7/10)+Skills!O7</f>
        <v>357.2</v>
      </c>
      <c r="G2365">
        <f>Calc!G7</f>
        <v>3</v>
      </c>
      <c r="H2365">
        <f>Calc!H7</f>
        <v>1</v>
      </c>
      <c r="I2365">
        <f>IF(Skills!X7&lt;&gt;"",1+(Skills!X7/10)*(Z2361/1000)/100,1)</f>
        <v>1.7650000000000001</v>
      </c>
      <c r="J2365">
        <f>((Inputs!$B$6*(1+Inputs!$B$7/100))+(((Inputs!$B$12*(1+Inputs!$B$13/100))-(Inputs!$B$12*(1+Inputs!$B$13/100)))+0.25*(Inputs!$B$14-Inputs!$B$14))*(1+Inputs!$B$7/100))*(F2365/100)</f>
        <v>1289972510.4086521</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12772119485136.02</v>
      </c>
      <c r="L2365">
        <f>K2365*(MIN(Inputs!$B$22+(F2380-Calc!F22),(Inputs!$B$23+(IF(ArtifactsInput!$M$15,CHOOSE(ArtifactsInput!$N$15+1,25,30,35,40,45,50)/100*(Inputs!$B$11-Inputs!$B$11),0))))/100+(Inputs!$B$23+(IF(ArtifactsInput!$M$15,CHOOSE(ArtifactsInput!$N$15+1,25,30,35,40,45,50)/100*(Inputs!$B$11-Inputs!$B$11),0)))/100)/2</f>
        <v>42467297288077.266</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200403175902436.59</v>
      </c>
      <c r="N2365">
        <f>L2365*(1-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200403175902436.59</v>
      </c>
      <c r="O2365">
        <f>(1-Summary!$B$11)*S2365+Summary!$B$11*U2365</f>
        <v>500056024670554.88</v>
      </c>
      <c r="P2365">
        <f>IF(B2399=0,0,O2365/B2399)</f>
        <v>1.3537499549121505E-2</v>
      </c>
      <c r="Q2365">
        <f>IFERROR(1/(IF(Inputs!$B$38="pvp",15,MAX(0.1,Skills!E7-IF(TRUE=TRUE,Inputs!$B$32,0)))*(1-IF(AND(ArtifactsInput!$M$27,Inputs!$B$4="Chapter Hunt"),CHOOSE(ArtifactsInput!$N$27+1,20,24,28,32,36,40),0)/100)),0)</f>
        <v>4.0816326530612242E-2</v>
      </c>
      <c r="R2365">
        <f>IF(AND(Inputs!$B$38&lt;&gt;"pvp",Inputs!$B$43&gt;0),IF(MAX(0,Inputs!$B$43-B2396)&lt;=0,0,(INT(MAX(0,Inputs!$B$43-B2396)/(IF(Inputs!$B$38="pvp",15,MAX(0.1,Skills!E7-IF(TRUE=TRUE,Inputs!$B$32,0)))*(1-IF(AND(ArtifactsInput!$M$27,Inputs!$B$4="Chapter Hunt"),CHOOSE(ArtifactsInput!$N$27+1,20,24,28,32,36,40),0)/100)))+1)),0)</f>
        <v>2</v>
      </c>
      <c r="S2365">
        <f>IF(C2365,(H2365*N2365*IF(AND(Inputs!$B$38&lt;&gt;"pvp",Inputs!$B$43&gt;0),((Skills!G7*((R2365-1)*IF(Skills!H7&gt;0,Skills!I7/Skills!H7,1)+IF(Skills!H7&gt;0,MIN(Skills!I7,MAX(0,MAX(0,Inputs!$B$43-B2396)-((R2365-1)*(IF(Inputs!$B$38="pvp",15,MAX(0.1,Skills!E7-IF(TRUE=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95291710141608.594</v>
      </c>
      <c r="U2365">
        <f>IF(C2365,(H2365*N2365*IF(AND(Inputs!$B$38&lt;&gt;"pvp",Inputs!$B$43&gt;0),((Skills!G7*((R2365-1)*IF(Skills!H7&gt;0,Skills!I7/Skills!H7,1)+IF(Skills!H7&gt;0,MIN(Skills!I7,MAX(0,MAX(0,Inputs!$B$43-B2396)-((R2365-1)*(IF(Inputs!$B$38="pvp",15,MAX(0.1,Skills!E7-IF(TRUE=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904820339199501.12</v>
      </c>
    </row>
    <row r="2366" spans="1:26" x14ac:dyDescent="0.2">
      <c r="A2366" t="str">
        <f>Skills!A8</f>
        <v>POISON_MIST_DOT</v>
      </c>
      <c r="B2366" t="str">
        <f>Skills!B8</f>
        <v>Poison Mist (fog DoT)</v>
      </c>
      <c r="C2366" t="b">
        <f>TRUE</f>
        <v>1</v>
      </c>
      <c r="D2366">
        <f>IF(Skills!C8=1,60+Inputs!$B$25+Inputs!$B$29,IF(Skills!C8=2,90+Inputs!$B$26+Inputs!$B$29,IF(Skills!C8=3,120+Inputs!$B$27+Inputs!$B$29,MAX(0,(Inputs!$B$3-100)*3)+Inputs!$B$28+Inputs!$B$29)))</f>
        <v>184</v>
      </c>
      <c r="E2366">
        <f>INDEX(FactorTable!$B$2:$Y$301, MATCH(ROUND(MIN(300,MAX(1,D2366)),0), FactorTable!$A$2:$A$301,0), Skills!M8+1)</f>
        <v>1920</v>
      </c>
      <c r="F2366">
        <f>IF(Skills!N8=TRUE,(Skills!L8/10)*(E2366/1000),Skills!L8/10)+Skills!O8</f>
        <v>134.4</v>
      </c>
      <c r="G2366">
        <f>Calc!G8</f>
        <v>50</v>
      </c>
      <c r="H2366">
        <f>Calc!H8</f>
        <v>1</v>
      </c>
      <c r="I2366">
        <f>IF(Skills!X8&lt;&gt;"",1+(Skills!X8/10)*(Z2361/1000)/100,1)</f>
        <v>1.7650000000000001</v>
      </c>
      <c r="J2366">
        <f>((Inputs!$B$6*(1+Inputs!$B$7/100))+(((Inputs!$B$12*(1+Inputs!$B$13/100))-(Inputs!$B$12*(1+Inputs!$B$13/100)))+0.25*(Inputs!$B$14-Inputs!$B$14))*(1+Inputs!$B$7/100))*(F2366/100)</f>
        <v>485364796.74950409</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4805635103029.9004</v>
      </c>
      <c r="L2366">
        <f>K2366*(MIN(Inputs!$B$22+(F2380-Calc!F22),(Inputs!$B$23+(IF(ArtifactsInput!$M$15,CHOOSE(ArtifactsInput!$N$15+1,25,30,35,40,45,50)/100*(Inputs!$B$11-Inputs!$B$11),0))))/100+(Inputs!$B$23+(IF(ArtifactsInput!$M$15,CHOOSE(ArtifactsInput!$N$15+1,25,30,35,40,45,50)/100*(Inputs!$B$11-Inputs!$B$11),0)))/100)/2</f>
        <v>15978736717574.42</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75403658570233.672</v>
      </c>
      <c r="N2366">
        <f>L2366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75403658570233.672</v>
      </c>
      <c r="O2366">
        <f>(1-Summary!$B$11)*S2366+Summary!$B$11*U2366</f>
        <v>2598419726032502.5</v>
      </c>
      <c r="P2366">
        <f>IF(B2399=0,0,O2366/B2399)</f>
        <v>7.0344329703392786E-2</v>
      </c>
      <c r="Q2366">
        <f>IFERROR(1/(IF(Inputs!$B$38="pvp",15,MAX(0.1,Skills!E8-IF(TRUE=TRUE,Inputs!$B$32,0)))*(1-IF(AND(ArtifactsInput!$M$27,Inputs!$B$4="Chapter Hunt"),CHOOSE(ArtifactsInput!$N$27+1,20,24,28,32,36,40),0)/100)),0)</f>
        <v>4.0816326530612242E-2</v>
      </c>
      <c r="R2366">
        <f>IF(AND(Inputs!$B$38&lt;&gt;"pvp",Inputs!$B$43&gt;0),IF(MAX(0,Inputs!$B$43-B2396)&lt;=0,0,(INT(MAX(0,Inputs!$B$43-B2396)/(IF(Inputs!$B$38="pvp",15,MAX(0.1,Skills!E8-IF(TRUE=TRUE,Inputs!$B$32,0)))*(1-IF(AND(ArtifactsInput!$M$27,Inputs!$B$4="Chapter Hunt"),CHOOSE(ArtifactsInput!$N$27+1,20,24,28,32,36,40),0)/100)))+1)),0)</f>
        <v>2</v>
      </c>
      <c r="S2366">
        <f>IF(C2366,(H2366*N2366*IF(AND(Inputs!$B$38&lt;&gt;"pvp",Inputs!$B$43&gt;0),((Skills!G8*((R2366-1)*IF(Skills!H8&gt;0,Skills!I8/Skills!H8,1)+IF(Skills!H8&gt;0,MIN(Skills!I8,MAX(0,MAX(0,Inputs!$B$43-B2396)-((R2366-1)*(IF(Inputs!$B$38="pvp",15,MAX(0.1,Skills!E8-IF(TRUE=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495160236340428.81</v>
      </c>
      <c r="U2366">
        <f>IF(C2366,(H2366*N2366*IF(AND(Inputs!$B$38&lt;&gt;"pvp",Inputs!$B$43&gt;0),((Skills!G8*((R2366-1)*IF(Skills!H8&gt;0,Skills!I8/Skills!H8,1)+IF(Skills!H8&gt;0,MIN(Skills!I8,MAX(0,MAX(0,Inputs!$B$43-B2396)-((R2366-1)*(IF(Inputs!$B$38="pvp",15,MAX(0.1,Skills!E8-IF(TRUE=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4701679215724576</v>
      </c>
    </row>
    <row r="2367" spans="1:26" x14ac:dyDescent="0.2">
      <c r="A2367" t="str">
        <f>Skills!A9</f>
        <v>MIST_ERUPTION</v>
      </c>
      <c r="B2367" t="str">
        <f>Skills!B9</f>
        <v>Mist Eruption</v>
      </c>
      <c r="C2367" t="b">
        <f>Inputs!$B$3&gt;=103</f>
        <v>1</v>
      </c>
      <c r="D2367">
        <f>IF(Skills!C9=1,60+Inputs!$B$25+Inputs!$B$29,IF(Skills!C9=2,90+Inputs!$B$26+Inputs!$B$29,IF(Skills!C9=3,120+Inputs!$B$27+Inputs!$B$29,MAX(0,(Inputs!$B$3-100)*3)+Inputs!$B$28+Inputs!$B$29)))</f>
        <v>185</v>
      </c>
      <c r="E2367">
        <f>INDEX(FactorTable!$B$2:$Y$301, MATCH(ROUND(MIN(300,MAX(1,D2367)),0), FactorTable!$A$2:$A$301,0), Skills!M9+1)</f>
        <v>1925</v>
      </c>
      <c r="F2367">
        <f>IF(Skills!N9=TRUE,(Skills!L9/10)*(E2367/1000),Skills!L9/10)+Skills!O9</f>
        <v>5775</v>
      </c>
      <c r="G2367">
        <f>Calc!G9</f>
        <v>2.5</v>
      </c>
      <c r="H2367">
        <f>Calc!H9</f>
        <v>1</v>
      </c>
      <c r="I2367">
        <f>IF(Skills!X9&lt;&gt;"",1+(Skills!X9/10)*(Z2361/1000)/100,1)</f>
        <v>1</v>
      </c>
      <c r="J2367">
        <f>((Inputs!$B$6*(1+Inputs!$B$7/100))+(((Inputs!$B$12*(1+Inputs!$B$13/100))-(Inputs!$B$12*(1+Inputs!$B$13/100)))+0.25*(Inputs!$B$14-Inputs!$B$14))*(1+Inputs!$B$7/100))*(F2367/100)</f>
        <v>20855518610.330254</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116992710103861.81</v>
      </c>
      <c r="L2367">
        <f>K2367*(MIN(Inputs!$B$22+(F2380-Calc!F22),(Inputs!$B$23+(IF(ArtifactsInput!$M$15,CHOOSE(ArtifactsInput!$N$15+1,25,30,35,40,45,50)/100*(Inputs!$B$11-Inputs!$B$11),0))))/100+(Inputs!$B$23+(IF(ArtifactsInput!$M$15,CHOOSE(ArtifactsInput!$N$15+1,25,30,35,40,45,50)/100*(Inputs!$B$11-Inputs!$B$11),0)))/100)/2</f>
        <v>389000761095340.56</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1835694591608912</v>
      </c>
      <c r="N2367">
        <f>L2367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1835694591608912</v>
      </c>
      <c r="O2367">
        <f>(1-Summary!$B$11)*S2367+Summary!$B$11*U2367</f>
        <v>3817097441426781</v>
      </c>
      <c r="P2367">
        <f>IF(B2399=0,0,O2367/B2399)</f>
        <v>0.10333633101673267</v>
      </c>
      <c r="Q2367">
        <f>IFERROR(1/(IF(Inputs!$B$38="pvp",15,MAX(0.1,Skills!E9-IF(TRUE=TRUE,Inputs!$B$32,0)))*(1-IF(AND(ArtifactsInput!$M$27,Inputs!$B$4="Chapter Hunt"),CHOOSE(ArtifactsInput!$N$27+1,20,24,28,32,36,40),0)/100)),0)</f>
        <v>4.0816326530612242E-2</v>
      </c>
      <c r="R2367">
        <f>IF(AND(Inputs!$B$38&lt;&gt;"pvp",Inputs!$B$43&gt;0),IF(MAX(0,Inputs!$B$43-B2396)&lt;=0,0,(INT(MAX(0,Inputs!$B$43-B2396)/(IF(Inputs!$B$38="pvp",15,MAX(0.1,Skills!E9-IF(TRUE=TRUE,Inputs!$B$32,0)))*(1-IF(AND(ArtifactsInput!$M$27,Inputs!$B$4="Chapter Hunt"),CHOOSE(ArtifactsInput!$N$27+1,20,24,28,32,36,40),0)/100)))+1)),0)</f>
        <v>2</v>
      </c>
      <c r="S2367">
        <f>IF(C2367,(H2367*N2367*IF(AND(Inputs!$B$38&lt;&gt;"pvp",Inputs!$B$43&gt;0),((Skills!G9*((R2367-1)*IF(Skills!H9&gt;0,Skills!I9/Skills!H9,1)+IF(Skills!H9&gt;0,MIN(Skills!I9,MAX(0,MAX(0,Inputs!$B$43-B2396)-((R2367-1)*(IF(Inputs!$B$38="pvp",15,MAX(0.1,Skills!E9-IF(TRUE=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727393981925031.38</v>
      </c>
      <c r="U2367">
        <f>IF(C2367,(H2367*N2367*IF(AND(Inputs!$B$38&lt;&gt;"pvp",Inputs!$B$43&gt;0),((Skills!G9*((R2367-1)*IF(Skills!H9&gt;0,Skills!I9/Skills!H9,1)+IF(Skills!H9&gt;0,MIN(Skills!I9,MAX(0,MAX(0,Inputs!$B$43-B2396)-((R2367-1)*(IF(Inputs!$B$38="pvp",15,MAX(0.1,Skills!E9-IF(TRUE=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6906800900928531</v>
      </c>
    </row>
    <row r="2368" spans="1:26" x14ac:dyDescent="0.2">
      <c r="A2368" t="str">
        <f>Skills!A10</f>
        <v>CREEPING_TOXIN</v>
      </c>
      <c r="B2368" t="str">
        <f>Skills!B10</f>
        <v>Creeping Toxin</v>
      </c>
      <c r="C2368" t="b">
        <f>TRUE</f>
        <v>1</v>
      </c>
      <c r="D2368">
        <f>IF(Skills!C10=1,60+Inputs!$B$25+Inputs!$B$29,IF(Skills!C10=2,90+Inputs!$B$26+Inputs!$B$29,IF(Skills!C10=3,120+Inputs!$B$27+Inputs!$B$29,MAX(0,(Inputs!$B$3-100)*3)+Inputs!$B$28+Inputs!$B$29)))</f>
        <v>184</v>
      </c>
      <c r="E2368">
        <f>INDEX(FactorTable!$B$2:$Y$301, MATCH(ROUND(MIN(300,MAX(1,D2368)),0), FactorTable!$A$2:$A$301,0), Skills!M10+1)</f>
        <v>1920</v>
      </c>
      <c r="F2368">
        <f>IF(Skills!N10=TRUE,(Skills!L10/10)*(E2368/1000),Skills!L10/10)+Skills!O10</f>
        <v>280.39999999999998</v>
      </c>
      <c r="G2368">
        <f>Calc!G10</f>
        <v>15</v>
      </c>
      <c r="H2368">
        <f>Calc!H10</f>
        <v>1</v>
      </c>
      <c r="I2368">
        <f>IF(Skills!X10&lt;&gt;"",1+(Skills!X10/10)*(Z2361/1000)/100,1)</f>
        <v>1.7650000000000001</v>
      </c>
      <c r="J2368">
        <f>((Inputs!$B$6*(1+Inputs!$B$7/100))+(((Inputs!$B$12*(1+Inputs!$B$13/100))-(Inputs!$B$12*(1+Inputs!$B$13/100)))+0.25*(Inputs!$B$14-Inputs!$B$14))*(1+Inputs!$B$7/100))*(F2368/100)</f>
        <v>1012621197.9803641</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10026042283404.645</v>
      </c>
      <c r="L2368">
        <f>K2368*(MIN(Inputs!$B$22+(F2380-Calc!F22),(Inputs!$B$23+(IF(ArtifactsInput!$M$15,CHOOSE(ArtifactsInput!$N$15+1,25,30,35,40,45,50)/100*(Inputs!$B$11-Inputs!$B$11),0))))/100+(Inputs!$B$23+(IF(ArtifactsInput!$M$15,CHOOSE(ArtifactsInput!$N$15+1,25,30,35,40,45,50)/100*(Inputs!$B$11-Inputs!$B$11),0)))/100)/2</f>
        <v>33336590592320.445</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157315371005160.16</v>
      </c>
      <c r="N2368">
        <f>L2368*(1-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157315371005160.16</v>
      </c>
      <c r="O2368">
        <f>(1-Summary!$B$11)*S2368+Summary!$B$11*U2368</f>
        <v>362078887186263</v>
      </c>
      <c r="P2368">
        <f>IF(B2399=0,0,O2368/B2399)</f>
        <v>9.8021872154419789E-3</v>
      </c>
      <c r="Q2368">
        <f>IFERROR(1/(IF(Inputs!$B$38="pvp",15,MAX(0.1,Skills!E10-IF(TRUE=TRUE,Inputs!$B$32,0)))*(1-IF(AND(ArtifactsInput!$M$27,Inputs!$B$4="Chapter Hunt"),CHOOSE(ArtifactsInput!$N$27+1,20,24,28,32,36,40),0)/100)),0)</f>
        <v>3.7037037037037035E-2</v>
      </c>
      <c r="R2368">
        <f>IF(AND(Inputs!$B$38&lt;&gt;"pvp",Inputs!$B$43&gt;0),IF(MAX(0,Inputs!$B$43-B2396)&lt;=0,0,(INT(MAX(0,Inputs!$B$43-B2396)/(IF(Inputs!$B$38="pvp",15,MAX(0.1,Skills!E10-IF(TRUE=TRUE,Inputs!$B$32,0)))*(1-IF(AND(ArtifactsInput!$M$27,Inputs!$B$4="Chapter Hunt"),CHOOSE(ArtifactsInput!$N$27+1,20,24,28,32,36,40),0)/100)))+1)),0)</f>
        <v>2</v>
      </c>
      <c r="S2368">
        <f>IF(C2368,(H2368*N2368*IF(AND(Inputs!$B$38&lt;&gt;"pvp",Inputs!$B$43&gt;0),((Skills!G10*((R2368-1)*IF(Skills!H10&gt;0,Skills!I10/Skills!H10,1)+IF(Skills!H10&gt;0,MIN(Skills!I10,MAX(0,MAX(0,Inputs!$B$43-B2396)-((R2368-1)*(IF(Inputs!$B$38="pvp",15,MAX(0.1,Skills!E10-IF(TRUE=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319718683114332.5</v>
      </c>
      <c r="U2368">
        <f>IF(C2368,(H2368*N2368*IF(AND(Inputs!$B$38&lt;&gt;"pvp",Inputs!$B$43&gt;0),((Skills!G10*((R2368-1)*IF(Skills!H10&gt;0,Skills!I10/Skills!H10,1)+IF(Skills!H10&gt;0,MIN(Skills!I10,MAX(0,MAX(0,Inputs!$B$43-B2396)-((R2368-1)*(IF(Inputs!$B$38="pvp",15,MAX(0.1,Skills!E10-IF(TRUE=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404439091258193.44</v>
      </c>
    </row>
    <row r="2369" spans="1:21" x14ac:dyDescent="0.2">
      <c r="A2369" t="str">
        <f>Skills!A11</f>
        <v>BURNING_MAGIC</v>
      </c>
      <c r="B2369" t="str">
        <f>Skills!B11</f>
        <v>Burning Magic</v>
      </c>
      <c r="C2369" t="b">
        <f>TRUE</f>
        <v>1</v>
      </c>
      <c r="D2369">
        <f>IF(Skills!C11=1,60+Inputs!$B$25+Inputs!$B$29,IF(Skills!C11=2,90+Inputs!$B$26+Inputs!$B$29,IF(Skills!C11=3,120+Inputs!$B$27+Inputs!$B$29,MAX(0,(Inputs!$B$3-100)*3)+Inputs!$B$28+Inputs!$B$29)))</f>
        <v>184</v>
      </c>
      <c r="E2369">
        <f>INDEX(FactorTable!$B$2:$Y$301, MATCH(ROUND(MIN(300,MAX(1,D2369)),0), FactorTable!$A$2:$A$301,0), Skills!M11+1)</f>
        <v>0</v>
      </c>
      <c r="F2369">
        <f>IF(Skills!N11=TRUE,(Skills!L11/10)*(E2369/1000),Skills!L11/10)+Skills!O11</f>
        <v>5</v>
      </c>
      <c r="G2369">
        <f>Calc!G11</f>
        <v>1</v>
      </c>
      <c r="H2369">
        <f>Calc!H11</f>
        <v>1</v>
      </c>
      <c r="I2369">
        <f>IF(Skills!X11&lt;&gt;"",1+(Skills!X11/10)*(Z2361/1000)/100,1)</f>
        <v>1</v>
      </c>
      <c r="O2369">
        <f>(1-Summary!$B$11)*S2369+Summary!$B$11*U2369</f>
        <v>0</v>
      </c>
      <c r="P2369">
        <f>IF(B2399=0,0,O2369/B2399)</f>
        <v>0</v>
      </c>
      <c r="Q2369">
        <f>IFERROR(1/(IF(Inputs!$B$38="pvp",15,MAX(0.1,Skills!E11-IF(TRUE=TRUE,Inputs!$B$32,0)))*(1-IF(AND(ArtifactsInput!$M$27,Inputs!$B$4="Chapter Hunt"),CHOOSE(ArtifactsInput!$N$27+1,20,24,28,32,36,40),0)/100)),0)</f>
        <v>10</v>
      </c>
      <c r="R2369">
        <v>0</v>
      </c>
      <c r="S2369">
        <v>0</v>
      </c>
      <c r="U2369">
        <v>0</v>
      </c>
    </row>
    <row r="2370" spans="1:21" x14ac:dyDescent="0.2">
      <c r="A2370" t="str">
        <f>Skills!A12</f>
        <v>ELEMENTAL_DECREASE</v>
      </c>
      <c r="B2370" t="str">
        <f>Skills!B12</f>
        <v>Elemental Decrease</v>
      </c>
      <c r="C2370" t="b">
        <f>TRUE</f>
        <v>1</v>
      </c>
      <c r="D2370">
        <f>IF(Skills!C12=1,60+Inputs!$B$25+Inputs!$B$29,IF(Skills!C12=2,90+Inputs!$B$26+Inputs!$B$29,IF(Skills!C12=3,120+Inputs!$B$27+Inputs!$B$29,MAX(0,(Inputs!$B$3-100)*3)+Inputs!$B$28+Inputs!$B$29)))</f>
        <v>184</v>
      </c>
      <c r="E2370">
        <f>INDEX(FactorTable!$B$2:$Y$301, MATCH(ROUND(MIN(300,MAX(1,D2370)),0), FactorTable!$A$2:$A$301,0), Skills!M12+1)</f>
        <v>1552</v>
      </c>
      <c r="F2370">
        <f>IF(Skills!N12=TRUE,(Skills!L12/10)*(E2370/1000),Skills!L12/10)+Skills!O12</f>
        <v>18.624000000000002</v>
      </c>
      <c r="G2370">
        <f>Calc!G12</f>
        <v>1</v>
      </c>
      <c r="H2370">
        <f>Calc!H12</f>
        <v>0.5</v>
      </c>
      <c r="I2370">
        <f>IF(Skills!X12&lt;&gt;"",1+(Skills!X12/10)*(Z2361/1000)/100,1)</f>
        <v>1</v>
      </c>
      <c r="O2370">
        <f>(1-Summary!$B$11)*S2370+Summary!$B$11*U2370</f>
        <v>0</v>
      </c>
      <c r="P2370">
        <f>IF(B2399=0,0,O2370/B2399)</f>
        <v>0</v>
      </c>
      <c r="Q2370">
        <f>IFERROR(1/(IF(Inputs!$B$38="pvp",15,MAX(0.1,Skills!E12-IF(TRUE=TRUE,Inputs!$B$32,0)))*(1-IF(AND(ArtifactsInput!$M$27,Inputs!$B$4="Chapter Hunt"),CHOOSE(ArtifactsInput!$N$27+1,20,24,28,32,36,40),0)/100)),0)</f>
        <v>10</v>
      </c>
      <c r="R2370">
        <v>0</v>
      </c>
      <c r="S2370">
        <v>0</v>
      </c>
      <c r="U2370">
        <v>0</v>
      </c>
    </row>
    <row r="2371" spans="1:21" x14ac:dyDescent="0.2">
      <c r="A2371" t="str">
        <f>Skills!A13</f>
        <v>METEOR_SHOWER_BURST</v>
      </c>
      <c r="B2371" t="str">
        <f>Skills!B13</f>
        <v>Meteor Shower (burst)</v>
      </c>
      <c r="C2371" t="b">
        <f>Inputs!$B$3&gt;=105</f>
        <v>1</v>
      </c>
      <c r="D2371">
        <f>IF(Skills!C13=1,60+Inputs!$B$25+Inputs!$B$29,IF(Skills!C13=2,90+Inputs!$B$26+Inputs!$B$29,IF(Skills!C13=3,120+Inputs!$B$27+Inputs!$B$29,MAX(0,(Inputs!$B$3-100)*3)+Inputs!$B$28+Inputs!$B$29)))</f>
        <v>185</v>
      </c>
      <c r="E2371">
        <f>INDEX(FactorTable!$B$2:$Y$301, MATCH(ROUND(MIN(300,MAX(1,D2371)),0), FactorTable!$A$2:$A$301,0), Skills!M13+1)</f>
        <v>1925</v>
      </c>
      <c r="F2371">
        <f>IF(Skills!N13=TRUE,(Skills!L13/10)*(E2371/1000),Skills!L13/10)+Skills!O13</f>
        <v>1155</v>
      </c>
      <c r="G2371">
        <f>Calc!G13</f>
        <v>9</v>
      </c>
      <c r="H2371">
        <f>Calc!H13</f>
        <v>1</v>
      </c>
      <c r="I2371">
        <f>IF(Skills!X13&lt;&gt;"",1+(Skills!X13/10)*(Z2361/1000)/100,1)</f>
        <v>1</v>
      </c>
      <c r="J2371">
        <f>((Inputs!$B$6*(1+Inputs!$B$7/100))+(((Inputs!$B$12*(1+Inputs!$B$13/100))-(Inputs!$B$12*(1+Inputs!$B$13/100)))+0.25*(Inputs!$B$14-Inputs!$B$14))*(1+Inputs!$B$7/100))*(F2371/100)</f>
        <v>4171103722.0660505</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23398542020772.363</v>
      </c>
      <c r="L2371">
        <f>K2371*(MIN(Inputs!$B$22+(F2380-Calc!F22),(Inputs!$B$23+(IF(ArtifactsInput!$M$15,CHOOSE(ArtifactsInput!$N$15+1,25,30,35,40,45,50)/100*(Inputs!$B$11-Inputs!$B$11),0))))/100+(Inputs!$B$23+(IF(ArtifactsInput!$M$15,CHOOSE(ArtifactsInput!$N$15+1,25,30,35,40,45,50)/100*(Inputs!$B$11-Inputs!$B$11),0)))/100)/2</f>
        <v>77800152219068.109</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367138918321782.38</v>
      </c>
      <c r="N2371">
        <f>L2371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367138918321782.38</v>
      </c>
      <c r="O2371">
        <f>(1-Summary!$B$11)*S2371+Summary!$B$11*U2371</f>
        <v>2002375660527001</v>
      </c>
      <c r="P2371">
        <f>IF(B2399=0,0,O2371/B2399)</f>
        <v>5.4208245204954368E-2</v>
      </c>
      <c r="Q2371">
        <f>IFERROR(1/(IF(Inputs!$B$38="pvp",15,MAX(0.1,Skills!E13-IF(TRUE=TRUE,Inputs!$B$32,0)))*(1-IF(AND(ArtifactsInput!$M$27,Inputs!$B$4="Chapter Hunt"),CHOOSE(ArtifactsInput!$N$27+1,20,24,28,32,36,40),0)/100)),0)</f>
        <v>3.0303030303030304E-2</v>
      </c>
      <c r="R2371">
        <f>IF(AND(Inputs!$B$38&lt;&gt;"pvp",Inputs!$B$43&gt;0),IF(MAX(0,Inputs!$B$43-B2396)&lt;=0,0,(INT(MAX(0,Inputs!$B$43-B2396)/(IF(Inputs!$B$38="pvp",15,MAX(0.1,Skills!E13-IF(TRUE=TRUE,Inputs!$B$32,0)))*(1-IF(AND(ArtifactsInput!$M$27,Inputs!$B$4="Chapter Hunt"),CHOOSE(ArtifactsInput!$N$27+1,20,24,28,32,36,40),0)/100)))+1)),0)</f>
        <v>2</v>
      </c>
      <c r="S2371">
        <f>IF(C2371,(H2371*N2371*IF(AND(Inputs!$B$38&lt;&gt;"pvp",Inputs!$B$43&gt;0),((Skills!G13*((R2371-1)*IF(Skills!H13&gt;0,Skills!I13/Skills!H13,1)+IF(Skills!H13&gt;0,MIN(Skills!I13,MAX(0,MAX(0,Inputs!$B$43-B2396)-((R2371-1)*(IF(Inputs!$B$38="pvp",15,MAX(0.1,Skills!E13-IF(TRUE=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523723666986022.5</v>
      </c>
      <c r="U2371">
        <f>IF(C2371,(H2371*N2371*IF(AND(Inputs!$B$38&lt;&gt;"pvp",Inputs!$B$43&gt;0),((Skills!G13*((R2371-1)*IF(Skills!H13&gt;0,Skills!I13/Skills!H13,1)+IF(Skills!H13&gt;0,MIN(Skills!I13,MAX(0,MAX(0,Inputs!$B$43-B2396)-((R2371-1)*(IF(Inputs!$B$38="pvp",15,MAX(0.1,Skills!E13-IF(TRUE=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3481027654067979.5</v>
      </c>
    </row>
    <row r="2372" spans="1:21" x14ac:dyDescent="0.2">
      <c r="A2372" t="str">
        <f>Skills!A14</f>
        <v>METEOR_PROC</v>
      </c>
      <c r="B2372" t="str">
        <f>Skills!B14</f>
        <v>Meteor Proc (30% on-hit, 1s ICD)</v>
      </c>
      <c r="C2372" t="b">
        <f>Inputs!$B$3&gt;=113</f>
        <v>1</v>
      </c>
      <c r="D2372">
        <f>IF(Skills!C14=1,60+Inputs!$B$25+Inputs!$B$29,IF(Skills!C14=2,90+Inputs!$B$26+Inputs!$B$29,IF(Skills!C14=3,120+Inputs!$B$27+Inputs!$B$29,MAX(0,(Inputs!$B$3-100)*3)+Inputs!$B$28+Inputs!$B$29)))</f>
        <v>185</v>
      </c>
      <c r="E2372">
        <f>INDEX(FactorTable!$B$2:$Y$301, MATCH(ROUND(MIN(300,MAX(1,D2372)),0), FactorTable!$A$2:$A$301,0), Skills!M14+1)</f>
        <v>1740</v>
      </c>
      <c r="F2372">
        <f>IF(Skills!N14=TRUE,(Skills!L14/10)*(E2372/1000),Skills!L14/10)+Skills!O14</f>
        <v>1653</v>
      </c>
      <c r="G2372">
        <f>Calc!G14</f>
        <v>0</v>
      </c>
      <c r="H2372">
        <f>Calc!H14</f>
        <v>0.30000000000000004</v>
      </c>
      <c r="I2372">
        <f>IF(Skills!X14&lt;&gt;"",1+(Skills!X14/10)*(Z2361/1000)/100,1)</f>
        <v>1</v>
      </c>
      <c r="J2372">
        <f>((Inputs!$B$6*(1+Inputs!$B$7/100))+(((Inputs!$B$12*(1+Inputs!$B$13/100))-(Inputs!$B$12*(1+Inputs!$B$13/100)))+0.25*(Inputs!$B$14-Inputs!$B$14))*(1+Inputs!$B$7/100))*(F2372/100)</f>
        <v>5969553638.5932312</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33487264034923.555</v>
      </c>
      <c r="L2372">
        <f>K2372*(MIN(Inputs!$B$22+(F2380-Calc!F22),(Inputs!$B$23+(IF(ArtifactsInput!$M$15,CHOOSE(ArtifactsInput!$N$15+1,25,30,35,40,45,50)/100*(Inputs!$B$11-Inputs!$B$11),0))))/100+(Inputs!$B$23+(IF(ArtifactsInput!$M$15,CHOOSE(ArtifactsInput!$N$15+1,25,30,35,40,45,50)/100*(Inputs!$B$11-Inputs!$B$11),0)))/100)/2</f>
        <v>111345152916120.83</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525437776611174.12</v>
      </c>
      <c r="N2372">
        <f>L2372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525437776611174.12</v>
      </c>
      <c r="O2372">
        <f>(1-Summary!$B$11)*S2372+Summary!$B$11*U2372</f>
        <v>514954598515211.12</v>
      </c>
      <c r="P2372">
        <f>IF(B2399=0,0,O2372/B2399)</f>
        <v>1.3940833229257573E-2</v>
      </c>
      <c r="Q2372">
        <f>IFERROR(1/(IF(Inputs!$B$38="pvp",15,MAX(0.1,Skills!E14-IF(TRUE=TRUE,Inputs!$B$32,0)))*(1-IF(AND(ArtifactsInput!$M$27,Inputs!$B$4="Chapter Hunt"),CHOOSE(ArtifactsInput!$N$27+1,20,24,28,32,36,40),0)/100)),0)</f>
        <v>10</v>
      </c>
      <c r="R2372">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528286756405572.62</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501622440624849.69</v>
      </c>
    </row>
    <row r="2373" spans="1:21" x14ac:dyDescent="0.2">
      <c r="A2373" t="str">
        <f>Skills!A15</f>
        <v>FLAME_HAZE_BURST</v>
      </c>
      <c r="B2373" t="str">
        <f>Skills!B15</f>
        <v>Flame Haze (burst)</v>
      </c>
      <c r="C2373" t="b">
        <f>Inputs!$B$3&gt;=107</f>
        <v>1</v>
      </c>
      <c r="D2373">
        <f>IF(Skills!C15=1,60+Inputs!$B$25+Inputs!$B$29,IF(Skills!C15=2,90+Inputs!$B$26+Inputs!$B$29,IF(Skills!C15=3,120+Inputs!$B$27+Inputs!$B$29,MAX(0,(Inputs!$B$3-100)*3)+Inputs!$B$28+Inputs!$B$29)))</f>
        <v>185</v>
      </c>
      <c r="E2373">
        <f>INDEX(FactorTable!$B$2:$Y$301, MATCH(ROUND(MIN(300,MAX(1,D2373)),0), FactorTable!$A$2:$A$301,0), Skills!M15+1)</f>
        <v>1925</v>
      </c>
      <c r="F2373">
        <f>IF(Skills!N15=TRUE,(Skills!L15/10)*(E2373/1000),Skills!L15/10)+Skills!O15</f>
        <v>2310</v>
      </c>
      <c r="G2373">
        <f>Calc!G15</f>
        <v>3</v>
      </c>
      <c r="H2373">
        <f>Calc!H15</f>
        <v>1</v>
      </c>
      <c r="I2373">
        <f>IF(Skills!X15&lt;&gt;"",1+(Skills!X15/10)*(Z2361/1000)/100,1)</f>
        <v>1</v>
      </c>
      <c r="J2373">
        <f>((Inputs!$B$6*(1+Inputs!$B$7/100))+(((Inputs!$B$12*(1+Inputs!$B$13/100))-(Inputs!$B$12*(1+Inputs!$B$13/100)))+0.25*(Inputs!$B$14-Inputs!$B$14))*(1+Inputs!$B$7/100))*(F2373/100)</f>
        <v>8342207444.1321011</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46797084041544.727</v>
      </c>
      <c r="L2373">
        <f>K2373*(MIN(Inputs!$B$22+(F2380-Calc!F22),(Inputs!$B$23+(IF(ArtifactsInput!$M$15,CHOOSE(ArtifactsInput!$N$15+1,25,30,35,40,45,50)/100*(Inputs!$B$11-Inputs!$B$11),0))))/100+(Inputs!$B$23+(IF(ArtifactsInput!$M$15,CHOOSE(ArtifactsInput!$N$15+1,25,30,35,40,45,50)/100*(Inputs!$B$11-Inputs!$B$11),0)))/100)/2</f>
        <v>155600304438136.22</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734277836643564.75</v>
      </c>
      <c r="N2373">
        <f>L2373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734277836643564.75</v>
      </c>
      <c r="O2373">
        <f>(1-Summary!$B$11)*S2373+Summary!$B$11*U2373</f>
        <v>1832206771884854.8</v>
      </c>
      <c r="P2373">
        <f>IF(B2399=0,0,O2373/B2399)</f>
        <v>4.9601438888031681E-2</v>
      </c>
      <c r="Q2373">
        <f>IFERROR(1/(IF(Inputs!$B$38="pvp",15,MAX(0.1,Skills!E15-IF(TRUE=TRUE,Inputs!$B$32,0)))*(1-IF(AND(ArtifactsInput!$M$27,Inputs!$B$4="Chapter Hunt"),CHOOSE(ArtifactsInput!$N$27+1,20,24,28,32,36,40),0)/100)),0)</f>
        <v>0.04</v>
      </c>
      <c r="R2373">
        <f>IF(AND(Inputs!$B$38&lt;&gt;"pvp",Inputs!$B$43&gt;0),IF(MAX(0,Inputs!$B$43-B2396)&lt;=0,0,(INT(MAX(0,Inputs!$B$43-B2396)/(IF(Inputs!$B$38="pvp",15,MAX(0.1,Skills!E15-IF(TRUE=TRUE,Inputs!$B$32,0)))*(1-IF(AND(ArtifactsInput!$M$27,Inputs!$B$4="Chapter Hunt"),CHOOSE(ArtifactsInput!$N$27+1,20,24,28,32,36,40),0)/100)))+1)),0)</f>
        <v>2</v>
      </c>
      <c r="S2373">
        <f>IF(C2373,(H2373*N2373*IF(AND(Inputs!$B$38&lt;&gt;"pvp",Inputs!$B$43&gt;0),((Skills!G15*((R2373-1)*IF(Skills!H15&gt;0,Skills!I15/Skills!H15,1)+IF(Skills!H15&gt;0,MIN(Skills!I15,MAX(0,MAX(0,Inputs!$B$43-B2396)-((R2373-1)*(IF(Inputs!$B$38="pvp",15,MAX(0.1,Skills!E15-IF(TRUE=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349149111324015</v>
      </c>
      <c r="U2373">
        <f>IF(C2373,(H2373*N2373*IF(AND(Inputs!$B$38&lt;&gt;"pvp",Inputs!$B$43&gt;0),((Skills!G15*((R2373-1)*IF(Skills!H15&gt;0,Skills!I15/Skills!H15,1)+IF(Skills!H15&gt;0,MIN(Skills!I15,MAX(0,MAX(0,Inputs!$B$43-B2396)-((R2373-1)*(IF(Inputs!$B$38="pvp",15,MAX(0.1,Skills!E15-IF(TRUE=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3315264432445694.5</v>
      </c>
    </row>
    <row r="2374" spans="1:21" x14ac:dyDescent="0.2">
      <c r="A2374" t="str">
        <f>Skills!A16</f>
        <v>FLAME_HAZE_DOT</v>
      </c>
      <c r="B2374" t="str">
        <f>Skills!B16</f>
        <v>Flame Haze (burn DoT)</v>
      </c>
      <c r="C2374" t="b">
        <f>Inputs!$B$3&gt;=107</f>
        <v>1</v>
      </c>
      <c r="D2374">
        <f>IF(Skills!C16=1,60+Inputs!$B$25+Inputs!$B$29,IF(Skills!C16=2,90+Inputs!$B$26+Inputs!$B$29,IF(Skills!C16=3,120+Inputs!$B$27+Inputs!$B$29,MAX(0,(Inputs!$B$3-100)*3)+Inputs!$B$28+Inputs!$B$29)))</f>
        <v>185</v>
      </c>
      <c r="E2374">
        <f>INDEX(FactorTable!$B$2:$Y$301, MATCH(ROUND(MIN(300,MAX(1,D2374)),0), FactorTable!$A$2:$A$301,0), Skills!M16+1)</f>
        <v>1925</v>
      </c>
      <c r="F2374">
        <f>IF(Skills!N16=TRUE,(Skills!L16/10)*(E2374/1000),Skills!L16/10)+Skills!O16</f>
        <v>288.75</v>
      </c>
      <c r="G2374">
        <f>Calc!G16</f>
        <v>30</v>
      </c>
      <c r="H2374">
        <f>Calc!H16</f>
        <v>1</v>
      </c>
      <c r="I2374">
        <f>IF(Skills!X16&lt;&gt;"",1+(Skills!X16/10)*(Z2361/1000)/100,1)</f>
        <v>1</v>
      </c>
      <c r="J2374">
        <f>((Inputs!$B$6*(1+Inputs!$B$7/100))+(((Inputs!$B$12*(1+Inputs!$B$13/100))-(Inputs!$B$12*(1+Inputs!$B$13/100)))+0.25*(Inputs!$B$14-Inputs!$B$14))*(1+Inputs!$B$7/100))*(F2374/100)</f>
        <v>1042775930.5165126</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5849635505193.0908</v>
      </c>
      <c r="L2374">
        <f>K2374*(MIN(Inputs!$B$22+(F2380-Calc!F22),(Inputs!$B$23+(IF(ArtifactsInput!$M$15,CHOOSE(ArtifactsInput!$N$15+1,25,30,35,40,45,50)/100*(Inputs!$B$11-Inputs!$B$11),0))))/100+(Inputs!$B$23+(IF(ArtifactsInput!$M$15,CHOOSE(ArtifactsInput!$N$15+1,25,30,35,40,45,50)/100*(Inputs!$B$11-Inputs!$B$11),0)))/100)/2</f>
        <v>19450038054767.027</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91784729580445.594</v>
      </c>
      <c r="N2374">
        <f>L2374*(1-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91784729580445.594</v>
      </c>
      <c r="O2374">
        <f>(1-Summary!$B$11)*S2374+Summary!$B$11*U2374</f>
        <v>2110450105306150.5</v>
      </c>
      <c r="P2374">
        <f>IF(B2399=0,0,O2374/B2399)</f>
        <v>5.713403286731316E-2</v>
      </c>
      <c r="Q2374">
        <f>IFERROR(1/(IF(Inputs!$B$38="pvp",15,MAX(0.1,Skills!E16-IF(TRUE=TRUE,Inputs!$B$32,0)))*(1-IF(AND(ArtifactsInput!$M$27,Inputs!$B$4="Chapter Hunt"),CHOOSE(ArtifactsInput!$N$27+1,20,24,28,32,36,40),0)/100)),0)</f>
        <v>0.04</v>
      </c>
      <c r="R2374">
        <f>IF(AND(Inputs!$B$38&lt;&gt;"pvp",Inputs!$B$43&gt;0),IF(MAX(0,Inputs!$B$43-B2396)&lt;=0,0,(INT(MAX(0,Inputs!$B$43-B2396)/(IF(Inputs!$B$38="pvp",15,MAX(0.1,Skills!E16-IF(TRUE=TRUE,Inputs!$B$32,0)))*(1-IF(AND(ArtifactsInput!$M$27,Inputs!$B$4="Chapter Hunt"),CHOOSE(ArtifactsInput!$N$27+1,20,24,28,32,36,40),0)/100)))+1)),0)</f>
        <v>2</v>
      </c>
      <c r="S2374">
        <f>IF(C2374,(H2374*N2374*IF(AND(Inputs!$B$38&lt;&gt;"pvp",Inputs!$B$43&gt;0),((Skills!G16*((R2374-1)*IF(Skills!H16&gt;0,Skills!I16/Skills!H16,1)+IF(Skills!H16&gt;0,MIN(Skills!I16,MAX(0,MAX(0,Inputs!$B$43-B2396)-((R2374-1)*(IF(Inputs!$B$38="pvp",15,MAX(0.1,Skills!E16-IF(TRUE=TRUE,Inputs!$B$32,0)))*(1-IF(AND(ArtifactsInput!$M$27,Inputs!$B$4="Chapter Hunt"),CHOOSE(ArtifactsInput!$N$27+1,20,24,28,32,36,40),0)/100)))))/Skills!H16,1)))/Inputs!$B$43),G2374*Q2374)*(1+IF(Inputs!$B$3&gt;=126,0.05*(B2394+Q2371+(H2372*B2395)/(1+Skills!H14*H2372*B2395)+Q2382),0)*(1/Q2373)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402171736328253.56</v>
      </c>
      <c r="U2374">
        <f>IF(C2374,(H2374*N2374*IF(AND(Inputs!$B$38&lt;&gt;"pvp",Inputs!$B$43&gt;0),((Skills!G16*((R2374-1)*IF(Skills!H16&gt;0,Skills!I16/Skills!H16,1)+IF(Skills!H16&gt;0,MIN(Skills!I16,MAX(0,MAX(0,Inputs!$B$43-B2396)-((R2374-1)*(IF(Inputs!$B$38="pvp",15,MAX(0.1,Skills!E16-IF(TRUE=TRUE,Inputs!$B$32,0)))*(1-IF(AND(ArtifactsInput!$M$27,Inputs!$B$4="Chapter Hunt"),CHOOSE(ArtifactsInput!$N$27+1,20,24,28,32,36,40),0)/100)))))/Skills!H16,1)))/Inputs!$B$43),G2374*Q2374)*(1+IF(Inputs!$B$3&gt;=126,0.05*(B2394+Q2371+(H2372*B2395)/(1+Skills!H14*H2372*B2395)+Q2382),0)*(1/Q2373)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3818728474284047.5</v>
      </c>
    </row>
    <row r="2375" spans="1:21" x14ac:dyDescent="0.2">
      <c r="A2375" t="str">
        <f>Skills!A17</f>
        <v>MAGIC_GUARD</v>
      </c>
      <c r="B2375" t="str">
        <f>Skills!B17</f>
        <v>Magic Guard</v>
      </c>
      <c r="C2375" t="b">
        <f>TRUE</f>
        <v>1</v>
      </c>
      <c r="D2375">
        <f>IF(Skills!C17=1,60+Inputs!$B$25+Inputs!$B$29,IF(Skills!C17=2,90+Inputs!$B$26+Inputs!$B$29,IF(Skills!C17=3,120+Inputs!$B$27+Inputs!$B$29,MAX(0,(Inputs!$B$3-100)*3)+Inputs!$B$28+Inputs!$B$29)))</f>
        <v>127</v>
      </c>
      <c r="E2375">
        <f>INDEX(FactorTable!$B$2:$Y$301, MATCH(ROUND(MIN(300,MAX(1,D2375)),0), FactorTable!$A$2:$A$301,0), Skills!M17+1)</f>
        <v>1508</v>
      </c>
      <c r="F2375">
        <f>IF(Skills!N17=TRUE,(Skills!L17/10)*(E2375/1000),Skills!L17/10)+Skills!O17</f>
        <v>18.096</v>
      </c>
      <c r="G2375">
        <f>Calc!G17</f>
        <v>1</v>
      </c>
      <c r="H2375">
        <f>Calc!H17</f>
        <v>1</v>
      </c>
      <c r="I2375">
        <f>IF(Skills!X17&lt;&gt;"",1+(Skills!X17/10)*(Z2361/1000)/100,1)</f>
        <v>1</v>
      </c>
      <c r="O2375">
        <f>(1-Summary!$B$11)*S2375+Summary!$B$11*U2375</f>
        <v>0</v>
      </c>
      <c r="P2375">
        <f>IF(B2399=0,0,O2375/B2399)</f>
        <v>0</v>
      </c>
      <c r="Q2375">
        <f>IFERROR(1/(IF(Inputs!$B$38="pvp",15,MAX(0.1,Skills!E17-IF(TRUE=TRUE,Inputs!$B$32,0)))*(1-IF(AND(ArtifactsInput!$M$27,Inputs!$B$4="Chapter Hunt"),CHOOSE(ArtifactsInput!$N$27+1,20,24,28,32,36,40),0)/100)),0)</f>
        <v>4.7619047619047616E-2</v>
      </c>
      <c r="R2375">
        <f>IF(AND(Inputs!$B$38&lt;&gt;"pvp",Inputs!$B$43&gt;0),IF(Inputs!$B$43&lt;=0,0,(INT(Inputs!$B$43/(IF(Inputs!$B$38="pvp",15,MAX(0.1,Skills!E17-IF(TRUE=TRUE,Inputs!$B$32,0)))*(1-IF(AND(ArtifactsInput!$M$27,Inputs!$B$4="Chapter Hunt"),CHOOSE(ArtifactsInput!$N$27+1,20,24,28,32,36,40),0)/100)))+1)),0)</f>
        <v>2</v>
      </c>
      <c r="S2375">
        <v>0</v>
      </c>
      <c r="U2375">
        <v>0</v>
      </c>
    </row>
    <row r="2376" spans="1:21" x14ac:dyDescent="0.2">
      <c r="A2376" t="str">
        <f>Skills!A18</f>
        <v>NIMBLE_FEET</v>
      </c>
      <c r="B2376" t="str">
        <f>Skills!B18</f>
        <v>Nimble Feet</v>
      </c>
      <c r="C2376" t="b">
        <f>TRUE</f>
        <v>1</v>
      </c>
      <c r="D2376">
        <f>IF(Skills!C18=1,60+Inputs!$B$25+Inputs!$B$29,IF(Skills!C18=2,90+Inputs!$B$26+Inputs!$B$29,IF(Skills!C18=3,120+Inputs!$B$27+Inputs!$B$29,MAX(0,(Inputs!$B$3-100)*3)+Inputs!$B$28+Inputs!$B$29)))</f>
        <v>127</v>
      </c>
      <c r="E2376">
        <f>INDEX(FactorTable!$B$2:$Y$301, MATCH(ROUND(MIN(300,MAX(1,D2376)),0), FactorTable!$A$2:$A$301,0), Skills!M18+1)</f>
        <v>0</v>
      </c>
      <c r="F2376">
        <f>IF(Skills!N18=TRUE,(Skills!L18/10)*(E2376/1000),Skills!L18/10)+Skills!O18</f>
        <v>15</v>
      </c>
      <c r="G2376">
        <f>Calc!G18</f>
        <v>1</v>
      </c>
      <c r="H2376">
        <f>Calc!H18</f>
        <v>1</v>
      </c>
      <c r="I2376">
        <f>IF(Skills!X18&lt;&gt;"",1+(Skills!X18/10)*(Z2361/1000)/100,1)</f>
        <v>1</v>
      </c>
      <c r="O2376">
        <f>(1-Summary!$B$11)*S2376+Summary!$B$11*U2376</f>
        <v>0</v>
      </c>
      <c r="P2376">
        <f>IF(B2399=0,0,O2376/B2399)</f>
        <v>0</v>
      </c>
      <c r="Q2376">
        <f>IFERROR(1/(IF(Inputs!$B$38="pvp",15,MAX(0.1,Skills!E18-IF(TRUE=TRUE,Inputs!$B$32,0)))*(1-IF(AND(ArtifactsInput!$M$27,Inputs!$B$4="Chapter Hunt"),CHOOSE(ArtifactsInput!$N$27+1,20,24,28,32,36,40),0)/100)),0)</f>
        <v>1.6666666666666666E-2</v>
      </c>
      <c r="R2376">
        <f>IF(AND(Inputs!$B$38&lt;&gt;"pvp",Inputs!$B$43&gt;0),IF(Inputs!$B$43&lt;=0,0,(INT(Inputs!$B$43/(IF(Inputs!$B$38="pvp",15,MAX(0.1,Skills!E18-IF(TRUE=TRUE,Inputs!$B$32,0)))*(1-IF(AND(ArtifactsInput!$M$27,Inputs!$B$4="Chapter Hunt"),CHOOSE(ArtifactsInput!$N$27+1,20,24,28,32,36,40),0)/100)))+1)),0)</f>
        <v>1</v>
      </c>
      <c r="S2376">
        <v>0</v>
      </c>
      <c r="U2376">
        <v>0</v>
      </c>
    </row>
    <row r="2377" spans="1:21" x14ac:dyDescent="0.2">
      <c r="A2377" t="str">
        <f>Skills!A19</f>
        <v>INFINITY</v>
      </c>
      <c r="B2377" t="str">
        <f>Skills!B19</f>
        <v>Infinity</v>
      </c>
      <c r="C2377" t="b">
        <f>Inputs!$B$3&gt;=110</f>
        <v>1</v>
      </c>
      <c r="D2377">
        <f>IF(Skills!C19=1,60+Inputs!$B$25+Inputs!$B$29,IF(Skills!C19=2,90+Inputs!$B$26+Inputs!$B$29,IF(Skills!C19=3,120+Inputs!$B$27+Inputs!$B$29,MAX(0,(Inputs!$B$3-100)*3)+Inputs!$B$28+Inputs!$B$29)))</f>
        <v>185</v>
      </c>
      <c r="E2377">
        <f>INDEX(FactorTable!$B$2:$Y$301, MATCH(ROUND(MIN(300,MAX(1,D2377)),0), FactorTable!$A$2:$A$301,0), Skills!M19+1)</f>
        <v>1740</v>
      </c>
      <c r="F2377">
        <f>IF(Skills!N19=TRUE,(Skills!L19/10)*(E2377/1000),Skills!L19/10)+Skills!O19</f>
        <v>37.700579999999995</v>
      </c>
      <c r="G2377">
        <f>Calc!G19</f>
        <v>1</v>
      </c>
      <c r="H2377">
        <f>Calc!H19</f>
        <v>1</v>
      </c>
      <c r="I2377">
        <f>IF(Skills!X19&lt;&gt;"",1+(Skills!X19/10)*(Z2361/1000)/100,1)</f>
        <v>1</v>
      </c>
      <c r="O2377">
        <f>(1-Summary!$B$11)*S2377+Summary!$B$11*U2377</f>
        <v>0</v>
      </c>
      <c r="P2377">
        <f>IF(B2399=0,0,O2377/B2399)</f>
        <v>0</v>
      </c>
      <c r="Q2377">
        <f>IFERROR(1/(IF(Inputs!$B$38="pvp",15,MAX(0.1,Skills!E19-IF(TRUE=TRUE,Inputs!$B$32,0)))*(1-IF(AND(ArtifactsInput!$M$27,Inputs!$B$4="Chapter Hunt"),CHOOSE(ArtifactsInput!$N$27+1,20,24,28,32,36,40),0)/100)),0)</f>
        <v>3.3333333333333333E-2</v>
      </c>
      <c r="R2377">
        <f>IF(AND(Inputs!$B$38&lt;&gt;"pvp",Inputs!$B$43&gt;0),IF(Inputs!$B$43&lt;=0,0,(INT(Inputs!$B$43/(IF(Inputs!$B$38="pvp",15,MAX(0.1,Skills!E19-IF(TRUE=TRUE,Inputs!$B$32,0)))*(1-IF(AND(ArtifactsInput!$M$27,Inputs!$B$4="Chapter Hunt"),CHOOSE(ArtifactsInput!$N$27+1,20,24,28,32,36,40),0)/100)))+1)),0)</f>
        <v>2</v>
      </c>
      <c r="S2377">
        <v>0</v>
      </c>
      <c r="U2377">
        <v>0</v>
      </c>
    </row>
    <row r="2378" spans="1:21" x14ac:dyDescent="0.2">
      <c r="A2378" t="str">
        <f>Skills!A20</f>
        <v>MAGIC_CRITICAL_RATE</v>
      </c>
      <c r="B2378" t="str">
        <f>Skills!B20</f>
        <v>Magic Critical (Crit Rate)</v>
      </c>
      <c r="C2378" t="b">
        <f>TRUE</f>
        <v>1</v>
      </c>
      <c r="D2378">
        <f>IF(Skills!C20=1,60+Inputs!$B$25+Inputs!$B$29,IF(Skills!C20=2,90+Inputs!$B$26+Inputs!$B$29,IF(Skills!C20=3,120+Inputs!$B$27+Inputs!$B$29,MAX(0,(Inputs!$B$3-100)*3)+Inputs!$B$28+Inputs!$B$29)))</f>
        <v>184</v>
      </c>
      <c r="E2378">
        <f>INDEX(FactorTable!$B$2:$Y$301, MATCH(ROUND(MIN(300,MAX(1,D2378)),0), FactorTable!$A$2:$A$301,0), Skills!M20+1)</f>
        <v>1552</v>
      </c>
      <c r="F2378">
        <f>IF(Skills!N20=TRUE,(Skills!L20/10)*(E2378/1000),Skills!L20/10)+Skills!O20</f>
        <v>12.416</v>
      </c>
      <c r="G2378">
        <f>Calc!G20</f>
        <v>1</v>
      </c>
      <c r="H2378">
        <f>Calc!H20</f>
        <v>1</v>
      </c>
      <c r="I2378">
        <f>IF(Skills!X20&lt;&gt;"",1+(Skills!X20/10)*(Z2361/1000)/100,1)</f>
        <v>1</v>
      </c>
      <c r="O2378">
        <f>(1-Summary!$B$11)*S2378+Summary!$B$11*U2378</f>
        <v>0</v>
      </c>
      <c r="P2378">
        <f>IF(B2399=0,0,O2378/B2399)</f>
        <v>0</v>
      </c>
      <c r="Q2378">
        <f>IFERROR(1/(IF(Inputs!$B$38="pvp",15,MAX(0.1,Skills!E20-IF(TRUE=TRUE,Inputs!$B$32,0)))*(1-IF(AND(ArtifactsInput!$M$27,Inputs!$B$4="Chapter Hunt"),CHOOSE(ArtifactsInput!$N$27+1,20,24,28,32,36,40),0)/100)),0)</f>
        <v>10</v>
      </c>
      <c r="R2378">
        <v>0</v>
      </c>
      <c r="S2378">
        <v>0</v>
      </c>
      <c r="U2378">
        <v>0</v>
      </c>
    </row>
    <row r="2379" spans="1:21" x14ac:dyDescent="0.2">
      <c r="A2379" t="str">
        <f>Skills!A21</f>
        <v>MAGIC_CRITICAL_DAMAGE</v>
      </c>
      <c r="B2379" t="str">
        <f>Skills!B21</f>
        <v>Magic Critical (Crit Damage)</v>
      </c>
      <c r="C2379" t="b">
        <f>TRUE</f>
        <v>1</v>
      </c>
      <c r="D2379">
        <f>IF(Skills!C21=1,60+Inputs!$B$25+Inputs!$B$29,IF(Skills!C21=2,90+Inputs!$B$26+Inputs!$B$29,IF(Skills!C21=3,120+Inputs!$B$27+Inputs!$B$29,MAX(0,(Inputs!$B$3-100)*3)+Inputs!$B$28+Inputs!$B$29)))</f>
        <v>184</v>
      </c>
      <c r="E2379">
        <f>INDEX(FactorTable!$B$2:$Y$301, MATCH(ROUND(MIN(300,MAX(1,D2379)),0), FactorTable!$A$2:$A$301,0), Skills!M21+1)</f>
        <v>1552</v>
      </c>
      <c r="F2379">
        <f>IF(Skills!N21=TRUE,(Skills!L21/10)*(E2379/1000),Skills!L21/10)+Skills!O21</f>
        <v>18.624000000000002</v>
      </c>
      <c r="G2379">
        <f>Calc!G21</f>
        <v>1</v>
      </c>
      <c r="H2379">
        <f>Calc!H21</f>
        <v>1</v>
      </c>
      <c r="I2379">
        <f>IF(Skills!X21&lt;&gt;"",1+(Skills!X21/10)*(Z2361/1000)/100,1)</f>
        <v>1</v>
      </c>
      <c r="O2379">
        <f>(1-Summary!$B$11)*S2379+Summary!$B$11*U2379</f>
        <v>0</v>
      </c>
      <c r="P2379">
        <f>IF(B2399=0,0,O2379/B2399)</f>
        <v>0</v>
      </c>
      <c r="Q2379">
        <f>IFERROR(1/(IF(Inputs!$B$38="pvp",15,MAX(0.1,Skills!E21-IF(TRUE=TRUE,Inputs!$B$32,0)))*(1-IF(AND(ArtifactsInput!$M$27,Inputs!$B$4="Chapter Hunt"),CHOOSE(ArtifactsInput!$N$27+1,20,24,28,32,36,40),0)/100)),0)</f>
        <v>10</v>
      </c>
      <c r="R2379">
        <v>0</v>
      </c>
      <c r="S2379">
        <v>0</v>
      </c>
      <c r="U2379">
        <v>0</v>
      </c>
    </row>
    <row r="2380" spans="1:21" x14ac:dyDescent="0.2">
      <c r="A2380" t="str">
        <f>Skills!A22</f>
        <v>SPELL_MASTERY</v>
      </c>
      <c r="B2380" t="str">
        <f>Skills!B22</f>
        <v>Spell Mastery</v>
      </c>
      <c r="C2380" t="b">
        <f>TRUE</f>
        <v>1</v>
      </c>
      <c r="D2380">
        <f>IF(Skills!C22=1,60+Inputs!$B$25+Inputs!$B$29,IF(Skills!C22=2,90+Inputs!$B$26+Inputs!$B$29,IF(Skills!C22=3,120+Inputs!$B$27+Inputs!$B$29,MAX(0,(Inputs!$B$3-100)*3)+Inputs!$B$28+Inputs!$B$29)))</f>
        <v>168</v>
      </c>
      <c r="E2380">
        <f>INDEX(FactorTable!$B$2:$Y$301, MATCH(ROUND(MIN(300,MAX(1,D2380)),0), FactorTable!$A$2:$A$301,0), Skills!M22+1)</f>
        <v>1504</v>
      </c>
      <c r="F2380">
        <f>IF(Skills!N22=TRUE,(Skills!L22/10)*(E2380/1000),Skills!L22/10)+Skills!O22</f>
        <v>22.56</v>
      </c>
      <c r="G2380">
        <f>Calc!G22</f>
        <v>1</v>
      </c>
      <c r="H2380">
        <f>Calc!H22</f>
        <v>1</v>
      </c>
      <c r="I2380">
        <f>IF(Skills!X22&lt;&gt;"",1+(Skills!X22/10)*(Z2361/1000)/100,1)</f>
        <v>1</v>
      </c>
      <c r="O2380">
        <f>(1-Summary!$B$11)*S2380+Summary!$B$11*U2380</f>
        <v>0</v>
      </c>
      <c r="P2380">
        <f>IF(B2399=0,0,O2380/B2399)</f>
        <v>0</v>
      </c>
      <c r="Q2380">
        <f>IFERROR(1/(IF(Inputs!$B$38="pvp",15,MAX(0.1,Skills!E22-IF(TRUE=TRUE,Inputs!$B$32,0)))*(1-IF(AND(ArtifactsInput!$M$27,Inputs!$B$4="Chapter Hunt"),CHOOSE(ArtifactsInput!$N$27+1,20,24,28,32,36,40),0)/100)),0)</f>
        <v>10</v>
      </c>
      <c r="R2380">
        <v>0</v>
      </c>
      <c r="S2380">
        <v>0</v>
      </c>
      <c r="U2380">
        <v>0</v>
      </c>
    </row>
    <row r="2381" spans="1:21" x14ac:dyDescent="0.2">
      <c r="A2381" t="str">
        <f>Skills!A23</f>
        <v>ELEMENT_AMPLIFICATION</v>
      </c>
      <c r="B2381" t="str">
        <f>Skills!B23</f>
        <v>Element Amplification</v>
      </c>
      <c r="C2381" t="b">
        <f>TRUE</f>
        <v>1</v>
      </c>
      <c r="D2381">
        <f>IF(Skills!C23=1,60+Inputs!$B$25+Inputs!$B$29,IF(Skills!C23=2,90+Inputs!$B$26+Inputs!$B$29,IF(Skills!C23=3,120+Inputs!$B$27+Inputs!$B$29,MAX(0,(Inputs!$B$3-100)*3)+Inputs!$B$28+Inputs!$B$29)))</f>
        <v>185</v>
      </c>
      <c r="E2381">
        <f>INDEX(FactorTable!$B$2:$Y$301, MATCH(ROUND(MIN(300,MAX(1,D2381)),0), FactorTable!$A$2:$A$301,0), Skills!M23+1)</f>
        <v>1555</v>
      </c>
      <c r="F2381">
        <f>IF(Skills!N23=TRUE,(Skills!L23/10)*(E2381/1000),Skills!L23/10)+Skills!O23</f>
        <v>23.324999999999999</v>
      </c>
      <c r="G2381">
        <f>Calc!G23</f>
        <v>1</v>
      </c>
      <c r="H2381">
        <f>Calc!H23</f>
        <v>1</v>
      </c>
      <c r="I2381">
        <f>IF(Skills!X23&lt;&gt;"",1+(Skills!X23/10)*(Z2361/1000)/100,1)</f>
        <v>1</v>
      </c>
      <c r="O2381">
        <f>(1-Summary!$B$11)*S2381+Summary!$B$11*U2381</f>
        <v>0</v>
      </c>
      <c r="P2381">
        <f>IF(B2399=0,0,O2381/B2399)</f>
        <v>0</v>
      </c>
      <c r="Q2381">
        <f>IFERROR(1/(IF(Inputs!$B$38="pvp",15,MAX(0.1,Skills!E23-IF(TRUE=TRUE,Inputs!$B$32,0)))*(1-IF(AND(ArtifactsInput!$M$27,Inputs!$B$4="Chapter Hunt"),CHOOSE(ArtifactsInput!$N$27+1,20,24,28,32,36,40),0)/100)),0)</f>
        <v>10</v>
      </c>
      <c r="R2381">
        <v>0</v>
      </c>
      <c r="S2381">
        <v>0</v>
      </c>
      <c r="U2381">
        <v>0</v>
      </c>
    </row>
    <row r="2382" spans="1:21" x14ac:dyDescent="0.2">
      <c r="A2382" t="str">
        <f>Skills!A24</f>
        <v>IFRIT</v>
      </c>
      <c r="B2382" t="str">
        <f>Skills!B24</f>
        <v>Ifrit</v>
      </c>
      <c r="C2382" t="b">
        <f>Inputs!$B$3&gt;=115</f>
        <v>1</v>
      </c>
      <c r="D2382">
        <f>IF(Skills!C24=1,60+Inputs!$B$25+Inputs!$B$29,IF(Skills!C24=2,90+Inputs!$B$26+Inputs!$B$29,IF(Skills!C24=3,120+Inputs!$B$27+Inputs!$B$29,MAX(0,(Inputs!$B$3-100)*3)+Inputs!$B$28+Inputs!$B$29)))</f>
        <v>185</v>
      </c>
      <c r="E2382">
        <f>INDEX(FactorTable!$B$2:$Y$301, MATCH(ROUND(MIN(300,MAX(1,D2382)),0), FactorTable!$A$2:$A$301,0), Skills!M24+1)</f>
        <v>1925</v>
      </c>
      <c r="F2382">
        <f>IF(Skills!N24=TRUE,(Skills!L24/10)*(E2382/1000),Skills!L24/10)+Skills!O24</f>
        <v>6737.5</v>
      </c>
      <c r="G2382">
        <f>Calc!G24</f>
        <v>7.5</v>
      </c>
      <c r="H2382">
        <f>Calc!H24</f>
        <v>1</v>
      </c>
      <c r="I2382">
        <f>IF(Skills!X24&lt;&gt;"",1+(Skills!X24/10)*(Z2361/1000)/100,1)</f>
        <v>1</v>
      </c>
      <c r="J2382">
        <f>((Inputs!$B$6*(1+Inputs!$B$7/100))+(((Inputs!$B$12*(1+Inputs!$B$13/100))-(Inputs!$B$12*(1+Inputs!$B$13/100)))+0.25*(Inputs!$B$14-Inputs!$B$14))*(1+Inputs!$B$7/100))*(F2382/100)</f>
        <v>24331438378.718628</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136491495121172.09</v>
      </c>
      <c r="L2382">
        <f>K2382*(MIN(Inputs!$B$22+(F2380-Calc!F22),(Inputs!$B$23+(IF(ArtifactsInput!$M$15,CHOOSE(ArtifactsInput!$N$15+1,25,30,35,40,45,50)/100*(Inputs!$B$11-Inputs!$B$11),0))))/100+(Inputs!$B$23+(IF(ArtifactsInput!$M$15,CHOOSE(ArtifactsInput!$N$15+1,25,30,35,40,45,50)/100*(Inputs!$B$11-Inputs!$B$11),0)))/100)/2</f>
        <v>453834221277897.25</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2141643690210396.8</v>
      </c>
      <c r="N2382">
        <f>L2382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2141643690210396.8</v>
      </c>
      <c r="O2382">
        <f>(1-Summary!$B$11)*S2382+Summary!$B$11*U2382</f>
        <v>2449504970678141</v>
      </c>
      <c r="P2382">
        <f>IF(B2399=0,0,O2382/B2399)</f>
        <v>6.6312914553869604E-2</v>
      </c>
      <c r="Q2382">
        <f>IFERROR(1/(IF(Inputs!$B$38="pvp",15,MAX(0.1,Skills!E24-IF(TRUE=TRUE,Inputs!$B$32,0)))*(1-IF(AND(ArtifactsInput!$M$27,Inputs!$B$4="Chapter Hunt"),CHOOSE(ArtifactsInput!$N$27+1,20,24,28,32,36,40),0)/100)),0)</f>
        <v>1.2500000000000001E-2</v>
      </c>
      <c r="R2382">
        <f>IF(AND(Inputs!$B$38&lt;&gt;"pvp",Inputs!$B$43&gt;0),IF(MAX(0,Inputs!$B$43-B2396)&lt;=0,0,(INT(MAX(0,Inputs!$B$43-B2396)/(IF(Inputs!$B$38="pvp",15,MAX(0.1,Skills!E24-IF(TRUE=TRUE,Inputs!$B$32,0)))*(1-IF(AND(ArtifactsInput!$M$27,Inputs!$B$4="Chapter Hunt"),CHOOSE(ArtifactsInput!$N$27+1,20,24,28,32,36,40),0)/100)))+1)),0)</f>
        <v>1</v>
      </c>
      <c r="S2382">
        <f>IF(C2382,(H2382*N2382*IF(AND(Inputs!$B$38&lt;&gt;"pvp",Inputs!$B$43&gt;0),((Skills!G24*((R2382-1)*IF(Skills!H24&gt;0,Skills!I24/Skills!H24,1)+IF(Skills!H24&gt;0,MIN(Skills!I24,MAX(0,MAX(0,Inputs!$B$43-B2396)-((R2382-1)*(IF(Inputs!$B$38="pvp",15,MAX(0.1,Skills!E24-IF(TRUE=TRUE,Inputs!$B$32,0)))*(1-IF(AND(ArtifactsInput!$M$27,Inputs!$B$4="Chapter Hunt"),CHOOSE(ArtifactsInput!$N$27+1,20,24,28,32,36,40),0)/100)))))/Skills!H24,1)))/Inputs!$B$43),G2382*Q2382)*(1+IF(Inputs!$B$3&gt;=130,0.2*(Skills!I16/(1/Q2373)+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1272939468368804.5</v>
      </c>
      <c r="U2382">
        <f>IF(C2382,(H2382*N2382*IF(AND(Inputs!$B$38&lt;&gt;"pvp",Inputs!$B$43&gt;0),((Skills!G24*((R2382-1)*IF(Skills!H24&gt;0,Skills!I24/Skills!H24,1)+IF(Skills!H24&gt;0,MIN(Skills!I24,MAX(0,MAX(0,Inputs!$B$43-B2396)-((R2382-1)*(IF(Inputs!$B$38="pvp",15,MAX(0.1,Skills!E24-IF(TRUE=TRUE,Inputs!$B$32,0)))*(1-IF(AND(ArtifactsInput!$M$27,Inputs!$B$4="Chapter Hunt"),CHOOSE(ArtifactsInput!$N$27+1,20,24,28,32,36,40),0)/100)))))/Skills!H24,1)))/Inputs!$B$43),G2382*Q2382)*(1+IF(Inputs!$B$3&gt;=130,0.2*(Skills!I16/(1/Q2373)+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3626070472987477.5</v>
      </c>
    </row>
    <row r="2383" spans="1:21" x14ac:dyDescent="0.2">
      <c r="A2383" t="str">
        <f>Skills!A25</f>
        <v>BUFF_MASTERY</v>
      </c>
      <c r="B2383" t="str">
        <f>Skills!B25</f>
        <v>Buff Mastery</v>
      </c>
      <c r="C2383" t="b">
        <f>Inputs!$B$3&gt;=117</f>
        <v>1</v>
      </c>
      <c r="D2383">
        <f>IF(Skills!C25=1,60+Inputs!$B$25+Inputs!$B$29,IF(Skills!C25=2,90+Inputs!$B$26+Inputs!$B$29,IF(Skills!C25=3,120+Inputs!$B$27+Inputs!$B$29,MAX(0,(Inputs!$B$3-100)*3)+Inputs!$B$28+Inputs!$B$29)))</f>
        <v>185</v>
      </c>
      <c r="E2383">
        <f>INDEX(FactorTable!$B$2:$Y$301, MATCH(ROUND(MIN(300,MAX(1,D2383)),0), FactorTable!$A$2:$A$301,0), Skills!M25+1)</f>
        <v>1555</v>
      </c>
      <c r="F2383">
        <f>IF(Skills!N25=TRUE,(Skills!L25/10)*(E2383/1000),Skills!L25/10)+Skills!O25</f>
        <v>15.549999999999999</v>
      </c>
      <c r="G2383">
        <f>Calc!G25</f>
        <v>1</v>
      </c>
      <c r="H2383">
        <f>Calc!H25</f>
        <v>1</v>
      </c>
      <c r="I2383">
        <f>IF(Skills!X25&lt;&gt;"",1+(Skills!X25/10)*(Z2361/1000)/100,1)</f>
        <v>1</v>
      </c>
      <c r="O2383">
        <f>(1-Summary!$B$11)*S2383+Summary!$B$11*U2383</f>
        <v>0</v>
      </c>
      <c r="P2383">
        <f>IF(B2399=0,0,O2383/B2399)</f>
        <v>0</v>
      </c>
      <c r="Q2383">
        <f>IFERROR(1/(IF(Inputs!$B$38="pvp",15,MAX(0.1,Skills!E25-IF(TRUE=TRUE,Inputs!$B$32,0)))*(1-IF(AND(ArtifactsInput!$M$27,Inputs!$B$4="Chapter Hunt"),CHOOSE(ArtifactsInput!$N$27+1,20,24,28,32,36,40),0)/100)),0)</f>
        <v>10</v>
      </c>
      <c r="R2383">
        <v>0</v>
      </c>
      <c r="S2383">
        <v>0</v>
      </c>
      <c r="U2383">
        <v>0</v>
      </c>
    </row>
    <row r="2384" spans="1:21" x14ac:dyDescent="0.2">
      <c r="A2384" t="str">
        <f>Skills!A26</f>
        <v>ARCANE_AIM</v>
      </c>
      <c r="B2384" t="str">
        <f>Skills!B26</f>
        <v>Arcane Aim</v>
      </c>
      <c r="C2384" t="b">
        <f>Inputs!$B$3&gt;=120</f>
        <v>0</v>
      </c>
      <c r="D2384">
        <f>IF(Skills!C26=1,60+Inputs!$B$25+Inputs!$B$29,IF(Skills!C26=2,90+Inputs!$B$26+Inputs!$B$29,IF(Skills!C26=3,120+Inputs!$B$27+Inputs!$B$29,MAX(0,(Inputs!$B$3-100)*3)+Inputs!$B$28+Inputs!$B$29)))</f>
        <v>185</v>
      </c>
      <c r="E2384">
        <f>INDEX(FactorTable!$B$2:$Y$301, MATCH(ROUND(MIN(300,MAX(1,D2384)),0), FactorTable!$A$2:$A$301,0), Skills!M26+1)</f>
        <v>1555</v>
      </c>
      <c r="F2384">
        <f>IF(Skills!N26=TRUE,(Skills!L26/10)*(E2384/1000),Skills!L26/10)+Skills!O26</f>
        <v>4.665</v>
      </c>
      <c r="G2384">
        <f>Calc!G26</f>
        <v>1</v>
      </c>
      <c r="H2384">
        <f>Calc!H26</f>
        <v>1</v>
      </c>
      <c r="I2384">
        <f>IF(Skills!X26&lt;&gt;"",1+(Skills!X26/10)*(Z2361/1000)/100,1)</f>
        <v>1</v>
      </c>
      <c r="O2384">
        <f>(1-Summary!$B$11)*S2384+Summary!$B$11*U2384</f>
        <v>0</v>
      </c>
      <c r="P2384">
        <f>IF(B2399=0,0,O2384/B2399)</f>
        <v>0</v>
      </c>
      <c r="Q2384">
        <f>IFERROR(1/(IF(Inputs!$B$38="pvp",15,MAX(0.1,Skills!E26-IF(TRUE=TRUE,Inputs!$B$32,0)))*(1-IF(AND(ArtifactsInput!$M$27,Inputs!$B$4="Chapter Hunt"),CHOOSE(ArtifactsInput!$N$27+1,20,24,28,32,36,40),0)/100)),0)</f>
        <v>10</v>
      </c>
      <c r="R2384">
        <v>0</v>
      </c>
      <c r="S2384">
        <v>0</v>
      </c>
      <c r="U2384">
        <v>0</v>
      </c>
    </row>
    <row r="2385" spans="1:21" x14ac:dyDescent="0.2">
      <c r="A2385" t="str">
        <f>Skills!A27</f>
        <v>FERVENT_DRAIN</v>
      </c>
      <c r="B2385" t="str">
        <f>Skills!B27</f>
        <v>Fervent Drain</v>
      </c>
      <c r="C2385" t="b">
        <f>Inputs!$B$3&gt;=125</f>
        <v>0</v>
      </c>
      <c r="D2385">
        <f>IF(Skills!C27=1,60+Inputs!$B$25+Inputs!$B$29,IF(Skills!C27=2,90+Inputs!$B$26+Inputs!$B$29,IF(Skills!C27=3,120+Inputs!$B$27+Inputs!$B$29,MAX(0,(Inputs!$B$3-100)*3)+Inputs!$B$28+Inputs!$B$29)))</f>
        <v>185</v>
      </c>
      <c r="E2385">
        <f>INDEX(FactorTable!$B$2:$Y$301, MATCH(ROUND(MIN(300,MAX(1,D2385)),0), FactorTable!$A$2:$A$301,0), Skills!M27+1)</f>
        <v>1555</v>
      </c>
      <c r="F2385">
        <f>IF(Skills!N27=TRUE,(Skills!L27/10)*(E2385/1000),Skills!L27/10)+Skills!O27</f>
        <v>6.22</v>
      </c>
      <c r="G2385">
        <f>Calc!G27</f>
        <v>1</v>
      </c>
      <c r="H2385">
        <f>Calc!H27</f>
        <v>1</v>
      </c>
      <c r="I2385">
        <f>IF(Skills!X27&lt;&gt;"",1+(Skills!X27/10)*(Z2361/1000)/100,1)</f>
        <v>1</v>
      </c>
      <c r="O2385">
        <f>(1-Summary!$B$11)*S2385+Summary!$B$11*U2385</f>
        <v>0</v>
      </c>
      <c r="P2385">
        <f>IF(B2399=0,0,O2385/B2399)</f>
        <v>0</v>
      </c>
      <c r="Q2385">
        <f>IFERROR(1/(IF(Inputs!$B$38="pvp",15,MAX(0.1,Skills!E27-IF(TRUE=TRUE,Inputs!$B$32,0)))*(1-IF(AND(ArtifactsInput!$M$27,Inputs!$B$4="Chapter Hunt"),CHOOSE(ArtifactsInput!$N$27+1,20,24,28,32,36,40),0)/100)),0)</f>
        <v>10</v>
      </c>
      <c r="R2385">
        <v>0</v>
      </c>
      <c r="S2385">
        <v>0</v>
      </c>
      <c r="U2385">
        <v>0</v>
      </c>
    </row>
    <row r="2386" spans="1:21" x14ac:dyDescent="0.2">
      <c r="A2386" t="str">
        <f>Skills!A28</f>
        <v>FLAME_HAZE_FOG</v>
      </c>
      <c r="B2386" t="str">
        <f>Skills!B28</f>
        <v>Flame Haze (poison fog DoT)</v>
      </c>
      <c r="C2386" t="b">
        <f>Inputs!$B$3&gt;=118</f>
        <v>0</v>
      </c>
      <c r="D2386">
        <f>IF(Skills!C28=1,60+Inputs!$B$25+Inputs!$B$29,IF(Skills!C28=2,90+Inputs!$B$26+Inputs!$B$29,IF(Skills!C28=3,120+Inputs!$B$27+Inputs!$B$29,MAX(0,(Inputs!$B$3-100)*3)+Inputs!$B$28+Inputs!$B$29)))</f>
        <v>185</v>
      </c>
      <c r="E2386">
        <f>INDEX(FactorTable!$B$2:$Y$301, MATCH(ROUND(MIN(300,MAX(1,D2386)),0), FactorTable!$A$2:$A$301,0), Skills!M28+1)</f>
        <v>1925</v>
      </c>
      <c r="F2386">
        <f>IF(Skills!N28=TRUE,(Skills!L28/10)*(E2386/1000),Skills!L28/10)+Skills!O28</f>
        <v>134.75</v>
      </c>
      <c r="G2386">
        <f>Calc!G28</f>
        <v>50</v>
      </c>
      <c r="H2386">
        <f>Calc!H28</f>
        <v>1</v>
      </c>
      <c r="I2386">
        <f>IF(Skills!X28&lt;&gt;"",1+(Skills!X28/10)*(Z2361/1000)/100,1)</f>
        <v>1</v>
      </c>
      <c r="J2386">
        <f>((Inputs!$B$6*(1+Inputs!$B$7/100))+(((Inputs!$B$12*(1+Inputs!$B$13/100))-(Inputs!$B$12*(1+Inputs!$B$13/100)))+0.25*(Inputs!$B$14-Inputs!$B$14))*(1+Inputs!$B$7/100))*(F2386/100)</f>
        <v>486628767.57437253</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2729829902423.4414</v>
      </c>
      <c r="L2386">
        <f>K2386*(MIN(Inputs!$B$22+(F2380-Calc!F22),(Inputs!$B$23+(IF(ArtifactsInput!$M$15,CHOOSE(ArtifactsInput!$N$15+1,25,30,35,40,45,50)/100*(Inputs!$B$11-Inputs!$B$11),0))))/100+(Inputs!$B$23+(IF(ArtifactsInput!$M$15,CHOOSE(ArtifactsInput!$N$15+1,25,30,35,40,45,50)/100*(Inputs!$B$11-Inputs!$B$11),0)))/100)/2</f>
        <v>9076684425557.9434</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42832873804207.93</v>
      </c>
      <c r="N2386">
        <f>L2386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42832873804207.93</v>
      </c>
      <c r="O2386">
        <f>(1-Summary!$B$11)*S2386+Summary!$B$11*U2386</f>
        <v>0</v>
      </c>
      <c r="P2386">
        <f>IF(B2399=0,0,O2386/B2399)</f>
        <v>0</v>
      </c>
      <c r="Q2386">
        <f>IFERROR(1/(IF(Inputs!$B$38="pvp",15,MAX(0.1,Skills!E28-IF(TRUE=TRUE,Inputs!$B$32,0)))*(1-IF(AND(ArtifactsInput!$M$27,Inputs!$B$4="Chapter Hunt"),CHOOSE(ArtifactsInput!$N$27+1,20,24,28,32,36,40),0)/100)),0)</f>
        <v>0.04</v>
      </c>
      <c r="R2386">
        <f>IF(AND(Inputs!$B$38&lt;&gt;"pvp",Inputs!$B$43&gt;0),IF(MAX(0,Inputs!$B$43-B2396)&lt;=0,0,(INT(MAX(0,Inputs!$B$43-B2396)/(IF(Inputs!$B$38="pvp",15,MAX(0.1,Skills!E28-IF(TRUE=TRUE,Inputs!$B$32,0)))*(1-IF(AND(ArtifactsInput!$M$27,Inputs!$B$4="Chapter Hunt"),CHOOSE(ArtifactsInput!$N$27+1,20,24,28,32,36,40),0)/100)))+1)),0)</f>
        <v>2</v>
      </c>
      <c r="S2386">
        <f>IF(C2386,(H2386*N2386*IF(AND(Inputs!$B$38&lt;&gt;"pvp",Inputs!$B$43&gt;0),((Skills!G28*((R2386-1)*IF(Skills!H28&gt;0,Skills!I28/Skills!H28,1)+IF(Skills!H28&gt;0,MIN(Skills!I28,MAX(0,MAX(0,Inputs!$B$43-B2396)-((R2386-1)*(IF(Inputs!$B$38="pvp",15,MAX(0.1,Skills!E28-IF(TRUE=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86">
        <f>IF(C2386,(H2386*N2386*IF(AND(Inputs!$B$38&lt;&gt;"pvp",Inputs!$B$43&gt;0),((Skills!G28*((R2386-1)*IF(Skills!H28&gt;0,Skills!I28/Skills!H28,1)+IF(Skills!H28&gt;0,MIN(Skills!I28,MAX(0,MAX(0,Inputs!$B$43-B2396)-((R2386-1)*(IF(Inputs!$B$38="pvp",15,MAX(0.1,Skills!E28-IF(TRUE=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88" spans="1:21" x14ac:dyDescent="0.2">
      <c r="A2388" t="s">
        <v>356</v>
      </c>
      <c r="B2388">
        <f>1+(F2369*Skills!Z11)/100</f>
        <v>1.25</v>
      </c>
    </row>
    <row r="2389" spans="1:21" x14ac:dyDescent="0.2">
      <c r="A2389" t="s">
        <v>435</v>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1.18624</v>
      </c>
    </row>
    <row r="2390" spans="1:21" x14ac:dyDescent="0.2">
      <c r="A2390" t="s">
        <v>358</v>
      </c>
      <c r="B2390">
        <f>(1+(F2364*IF(AND(Inputs!$B$38&lt;&gt;"pvp",Inputs!$B$43&gt;0),(((R2364-1)*MIN((Skills!T6*(1+((Inputs!$B$34+(ArtifactsInput!$M$7-ArtifactsInput!$M$7)*CHOOSE(ArtifactsInput!$N$7+1,6,7.2,8.4,9.6,10.8,12)))/100)),(1/Q2364))+MIN((Skills!T6*(1+((Inputs!$B$34+(ArtifactsInput!$M$7-ArtifactsInput!$M$7)*CHOOSE(ArtifactsInput!$N$7+1,6,7.2,8.4,9.6,10.8,12)))/100)),MAX(0,Inputs!$B$43-((R2364-1)*(1/Q2364)))))/Inputs!$B$43),IF(Inputs!$B$38="pvp",MIN((Skills!T6*(1+((Inputs!$B$34+(ArtifactsInput!$M$7-ArtifactsInput!$M$7)*CHOOSE(ArtifactsInput!$N$7+1,6,7.2,8.4,9.6,10.8,12)))/100)),15)/15,MIN(1,(Skills!T6*(1+((Inputs!$B$34+(ArtifactsInput!$M$7-ArtifactsInput!$M$7)*CHOOSE(ArtifactsInput!$N$7+1,6,7.2,8.4,9.6,10.8,12)))/100))/(1/Q2364))))+F2375*IF(AND(Inputs!$B$38&lt;&gt;"pvp",Inputs!$B$43&gt;0),(((R2375-1)*MIN((Skills!T17*(1+((Inputs!$B$34+(ArtifactsInput!$M$7-ArtifactsInput!$M$7)*CHOOSE(ArtifactsInput!$N$7+1,6,7.2,8.4,9.6,10.8,12)))/100)),(1/Q2375))+MIN((Skills!T17*(1+((Inputs!$B$34+(ArtifactsInput!$M$7-ArtifactsInput!$M$7)*CHOOSE(ArtifactsInput!$N$7+1,6,7.2,8.4,9.6,10.8,12)))/100)),MAX(0,Inputs!$B$43-((R2375-1)*(1/Q2375)))))/Inputs!$B$43),IF(Inputs!$B$38="pvp",MIN((Skills!T17*(1+((Inputs!$B$34+(ArtifactsInput!$M$7-ArtifactsInput!$M$7)*CHOOSE(ArtifactsInput!$N$7+1,6,7.2,8.4,9.6,10.8,12)))/100)),15)/15,MIN(1,(Skills!T17*(1+((Inputs!$B$34+(ArtifactsInput!$M$7-ArtifactsInput!$M$7)*CHOOSE(ArtifactsInput!$N$7+1,6,7.2,8.4,9.6,10.8,12)))/100))/(1/Q2375)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MIN((Skills!T19*(1+((Inputs!$B$34+(ArtifactsInput!$M$7-ArtifactsInput!$M$7)*CHOOSE(ArtifactsInput!$N$7+1,6,7.2,8.4,9.6,10.8,12)))/100)),(1/Q2377))+MIN((Skills!T19*(1+((Inputs!$B$34+(ArtifactsInput!$M$7-ArtifactsInput!$M$7)*CHOOSE(ArtifactsInput!$N$7+1,6,7.2,8.4,9.6,10.8,12)))/100)),MAX(0,Inputs!$B$43-((R2377-1)*(1/Q2377)))))/Inputs!$B$43),IF(Inputs!$B$38="pvp",MIN((Skills!T19*(1+((Inputs!$B$34+(ArtifactsInput!$M$7-ArtifactsInput!$M$7)*CHOOSE(ArtifactsInput!$N$7+1,6,7.2,8.4,9.6,10.8,12)))/100)),15)/15,MIN(1,(Skills!T19*(1+((Inputs!$B$34+(ArtifactsInput!$M$7-ArtifactsInput!$M$7)*CHOOSE(ArtifactsInput!$N$7+1,6,7.2,8.4,9.6,10.8,12)))/100))/(1/Q2377))))/100),1)</f>
        <v>1.9852121508668195</v>
      </c>
    </row>
    <row r="2391" spans="1:21" x14ac:dyDescent="0.2">
      <c r="A2391" t="s">
        <v>359</v>
      </c>
      <c r="B2391">
        <f>F2376*IF(AND(Inputs!$B$38&lt;&gt;"pvp",Inputs!$B$43&gt;0),(((R2376-1)*MIN((Skills!T18*(1+((Inputs!$B$34+(ArtifactsInput!$M$7-ArtifactsInput!$M$7)*CHOOSE(ArtifactsInput!$N$7+1,6,7.2,8.4,9.6,10.8,12)))/100)),(1/Q2376))+MIN((Skills!T18*(1+((Inputs!$B$34+(ArtifactsInput!$M$7-ArtifactsInput!$M$7)*CHOOSE(ArtifactsInput!$N$7+1,6,7.2,8.4,9.6,10.8,12)))/100)),MAX(0,Inputs!$B$43-((R2376-1)*(1/Q2376)))))/Inputs!$B$43),IF(Inputs!$B$38="pvp",MIN((Skills!T18*(1+((Inputs!$B$34+(ArtifactsInput!$M$7-ArtifactsInput!$M$7)*CHOOSE(ArtifactsInput!$N$7+1,6,7.2,8.4,9.6,10.8,12)))/100)),15)/15,MIN(1,(Skills!T18*(1+((Inputs!$B$34+(ArtifactsInput!$M$7-ArtifactsInput!$M$7)*CHOOSE(ArtifactsInput!$N$7+1,6,7.2,8.4,9.6,10.8,12)))/100))/(1/Q2376))))</f>
        <v>6.4968749999999993</v>
      </c>
    </row>
    <row r="2392" spans="1:21" x14ac:dyDescent="0.2">
      <c r="A2392" t="s">
        <v>436</v>
      </c>
      <c r="B2392">
        <f>1+MIN(150,150*(1-(1-(Inputs!$B$11+(ArtifactsInput!$M$15-ArtifactsInput!$M$15)*CHOOSE(ArtifactsInput!$N$15+1,8,9.6,11.2,12.8,14.4,16))/150)*(1-B2391/150)))/100</f>
        <v>1.6982958749999999</v>
      </c>
    </row>
    <row r="2393" spans="1:21" x14ac:dyDescent="0.2">
      <c r="A2393" t="s">
        <v>437</v>
      </c>
      <c r="B2393">
        <f>IF(AND(Inputs!$B$38&lt;&gt;"pvp",Inputs!$B$43&gt;0),SUMPRODUCT((Skills!F2:F28=TRUE)*(C2360:C2386=TRUE)*R2360:R2386)/Inputs!$B$43,SUMPRODUCT((Skills!F2:F28=TRUE)*(C2360:C2386=TRUE)*Q2360:Q2386))</f>
        <v>0.47499999999999998</v>
      </c>
    </row>
    <row r="2394" spans="1:21" x14ac:dyDescent="0.2">
      <c r="A2394" t="s">
        <v>362</v>
      </c>
      <c r="B2394">
        <f>MAX(0,B2392-B2393)</f>
        <v>1.2232958749999998</v>
      </c>
    </row>
    <row r="2395" spans="1:21" x14ac:dyDescent="0.2">
      <c r="A2395" t="s">
        <v>438</v>
      </c>
      <c r="B2395">
        <f>IF(AND(Inputs!$B$38&lt;&gt;"pvp",Inputs!$B$43&gt;0),SUMPRODUCT((Skills!V2:V28=TRUE)*(C2360:C2386=TRUE)*R2360:R2386*Skills!W2:W28)/Inputs!$B$43,SUMPRODUCT((Skills!V2:V28=TRUE)*(C2360:C2386=TRUE)*Q2360:Q2386*Skills!W2:W28))+B2394</f>
        <v>1.5482958749999998</v>
      </c>
    </row>
    <row r="2396" spans="1:21" x14ac:dyDescent="0.2">
      <c r="A2396" t="s">
        <v>439</v>
      </c>
      <c r="B2396">
        <f>IF(AND(Inputs!$B$38&lt;&gt;"pvp",Inputs!$B$43&gt;0),SUMPRODUCT((Skills!T2:T28&gt;0)*(Skills!F2:F28=TRUE)*(C2360:C2386=TRUE))/B2392,0)</f>
        <v>2.3553021937358238</v>
      </c>
    </row>
    <row r="2397" spans="1:21" x14ac:dyDescent="0.2">
      <c r="A2397" t="s">
        <v>440</v>
      </c>
      <c r="B2397">
        <f>SUM(S2360:S2386)</f>
        <v>1.0625195202756652E+16</v>
      </c>
    </row>
    <row r="2398" spans="1:21" x14ac:dyDescent="0.2">
      <c r="A2398" t="s">
        <v>441</v>
      </c>
      <c r="B2398">
        <f>SUM(U2360:U2386)</f>
        <v>6.3251966950575448E+16</v>
      </c>
    </row>
    <row r="2399" spans="1:21" x14ac:dyDescent="0.2">
      <c r="A2399" s="6" t="s">
        <v>348</v>
      </c>
      <c r="B2399" s="6">
        <f>SUM(O2360:O2386)</f>
        <v>3.6938581076666056E+16</v>
      </c>
    </row>
    <row r="2402" spans="1:26" x14ac:dyDescent="0.2">
      <c r="A2402" s="6" t="s">
        <v>494</v>
      </c>
    </row>
    <row r="2403" spans="1:26" x14ac:dyDescent="0.2">
      <c r="A2403" s="5" t="s">
        <v>136</v>
      </c>
      <c r="B2403" s="5" t="s">
        <v>137</v>
      </c>
      <c r="C2403" s="5" t="s">
        <v>328</v>
      </c>
      <c r="D2403" s="5" t="s">
        <v>329</v>
      </c>
      <c r="E2403" s="5" t="s">
        <v>330</v>
      </c>
      <c r="F2403" s="5" t="s">
        <v>331</v>
      </c>
      <c r="G2403" s="5" t="s">
        <v>332</v>
      </c>
      <c r="H2403" s="5" t="s">
        <v>333</v>
      </c>
      <c r="I2403" s="5" t="s">
        <v>334</v>
      </c>
      <c r="J2403" s="5" t="s">
        <v>335</v>
      </c>
      <c r="K2403" s="5" t="s">
        <v>336</v>
      </c>
      <c r="L2403" s="5" t="s">
        <v>337</v>
      </c>
      <c r="M2403" s="5" t="s">
        <v>338</v>
      </c>
      <c r="N2403" s="5" t="s">
        <v>339</v>
      </c>
      <c r="O2403" s="5" t="s">
        <v>340</v>
      </c>
      <c r="P2403" s="5" t="s">
        <v>341</v>
      </c>
      <c r="R2403" t="s">
        <v>434</v>
      </c>
    </row>
    <row r="2404" spans="1:26" x14ac:dyDescent="0.2">
      <c r="A2404" t="str">
        <f>Skills!A2</f>
        <v>BASIC_ATTACK</v>
      </c>
      <c r="B2404" t="str">
        <f>Skills!B2</f>
        <v>Basic Attack</v>
      </c>
      <c r="C2404" t="b">
        <f>TRUE</f>
        <v>1</v>
      </c>
      <c r="F2404">
        <f>T2406+Skills!O2</f>
        <v>537.6</v>
      </c>
      <c r="G2404">
        <f>Calc!G2</f>
        <v>5</v>
      </c>
      <c r="H2404">
        <f>Calc!H2</f>
        <v>1</v>
      </c>
      <c r="I2404">
        <f>IF(Skills!X2&lt;&gt;"",1+(Skills!X2/10)*(Z2405/1000)/100,1)</f>
        <v>1</v>
      </c>
      <c r="J2404">
        <f>((Inputs!$B$6*(1+Inputs!$B$7/100))+(((Inputs!$B$12*(1+Inputs!$B$13/100))-(Inputs!$B$12*(1+Inputs!$B$13/100)))+0.25*(Inputs!$B$14-Inputs!$B$14))*(1+Inputs!$B$7/100))*(F2404/100)</f>
        <v>1941459186.9980164</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7441023265702.5947</v>
      </c>
      <c r="L2404">
        <f>K2404*(MIN(Inputs!$B$22+(F2424-Calc!F22),(Inputs!$B$23+(IF(ArtifactsInput!$M$15,CHOOSE(ArtifactsInput!$N$15+1,25,30,35,40,45,50)/100*(Inputs!$B$11-Inputs!$B$11),0))))/100+(Inputs!$B$23+(IF(ArtifactsInput!$M$15,CHOOSE(ArtifactsInput!$N$15+1,25,30,35,40,45,50)/100*(Inputs!$B$11-Inputs!$B$11),0)))/100)/2</f>
        <v>24741402358461.129</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116754677729578.05</v>
      </c>
      <c r="N2404">
        <f>L2404*(1-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116754677729578.05</v>
      </c>
      <c r="O2404">
        <f>(1-Summary!$B$11)*S2404+Summary!$B$11*U2404</f>
        <v>1.4064742653983056E+16</v>
      </c>
      <c r="P2404">
        <f>IF(B2443=0,0,O2404/B2443)</f>
        <v>0.37819938885449506</v>
      </c>
      <c r="Q2404">
        <f>IFERROR(1/(IF(Inputs!$B$38="pvp",15,MAX(0.1,Skills!E2-IF(TRUE=TRUE,Inputs!$B$32,0)))*(1-IF(AND(ArtifactsInput!$M$27,Inputs!$B$4="Chapter Hunt"),CHOOSE(ArtifactsInput!$N$27+1,20,24,28,32,36,40),0)/100)),0)</f>
        <v>10</v>
      </c>
      <c r="R2404">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2335197180935496.5</v>
      </c>
      <c r="T2404">
        <f>MAX(0,(Inputs!$B$3-100)*3)+Inputs!$B$28+Inputs!$B$29</f>
        <v>185</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2.5794288127030616E+16</v>
      </c>
      <c r="Z2404">
        <f>MAX(0,(Inputs!$B$3-100)*3)+Inputs!$B$28+Inputs!$B$29</f>
        <v>185</v>
      </c>
    </row>
    <row r="2405" spans="1:26" x14ac:dyDescent="0.2">
      <c r="A2405" t="str">
        <f>Skills!A3</f>
        <v>IGNITE</v>
      </c>
      <c r="B2405" t="str">
        <f>Skills!B3</f>
        <v>Ignite</v>
      </c>
      <c r="C2405" t="b">
        <f>TRUE</f>
        <v>1</v>
      </c>
      <c r="D2405">
        <f>IF(Skills!C3=1,60+Inputs!$B$25+Inputs!$B$29,IF(Skills!C3=2,90+Inputs!$B$26+Inputs!$B$29,IF(Skills!C3=3,120+Inputs!$B$27+Inputs!$B$29,MAX(0,(Inputs!$B$3-100)*3)+Inputs!$B$28+Inputs!$B$29)))</f>
        <v>168</v>
      </c>
      <c r="E2405">
        <f>INDEX(FactorTable!$B$2:$Y$301, MATCH(ROUND(MIN(300,MAX(1,D2405)),0), FactorTable!$A$2:$A$301,0), Skills!M3+1)</f>
        <v>1672</v>
      </c>
      <c r="F2405">
        <f>IF(Skills!N3=TRUE,(Skills!L3/10)*(E2405/1000),Skills!L3/10)+Skills!O3</f>
        <v>121.736</v>
      </c>
      <c r="G2405">
        <f>Calc!G3</f>
        <v>3</v>
      </c>
      <c r="H2405">
        <f>Calc!H3</f>
        <v>1</v>
      </c>
      <c r="I2405">
        <f>IF(Skills!X3&lt;&gt;"",1+(Skills!X3/10)*(Z2405/1000)/100,1)</f>
        <v>4.8250000000000002</v>
      </c>
      <c r="J2405">
        <f>((Inputs!$B$6*(1+Inputs!$B$7/100))+(((Inputs!$B$12*(1+Inputs!$B$13/100))-(Inputs!$B$12*(1+Inputs!$B$13/100)))+0.25*(Inputs!$B$14-Inputs!$B$14))*(1+Inputs!$B$7/100))*(F2405/100)</f>
        <v>439630720.9605478</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11979919967585.02</v>
      </c>
      <c r="L2405">
        <f>K2405*(MIN(Inputs!$B$22+(F2424-Calc!F22),(Inputs!$B$23+(IF(ArtifactsInput!$M$15,CHOOSE(ArtifactsInput!$N$15+1,25,30,35,40,45,50)/100*(Inputs!$B$11-Inputs!$B$11),0))))/100+(Inputs!$B$23+(IF(ArtifactsInput!$M$15,CHOOSE(ArtifactsInput!$N$15+1,25,30,35,40,45,50)/100*(Inputs!$B$11-Inputs!$B$11),0)))/100)/2</f>
        <v>39833233892220.195</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187973030737387.09</v>
      </c>
      <c r="N2405">
        <f>L2405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187973030737387.09</v>
      </c>
      <c r="O2405">
        <f>(1-Summary!$B$11)*S2405+Summary!$B$11*U2405</f>
        <v>3267911139369475</v>
      </c>
      <c r="P2405">
        <f>IF(B2443=0,0,O2405/B2443)</f>
        <v>8.7873772463965119E-2</v>
      </c>
      <c r="Q2405">
        <f>IFERROR(1/(IF(Inputs!$B$38="pvp",15,MAX(0.1,Skills!E3-IF(FALSE=TRUE,Inputs!$B$32,0)))*(1-IF(AND(ArtifactsInput!$M$27,Inputs!$B$4="Chapter Hunt"),CHOOSE(ArtifactsInput!$N$27+1,20,24,28,32,36,40),0)/100)),0)</f>
        <v>1</v>
      </c>
      <c r="R2405">
        <f>IF(AND(Inputs!$B$38&lt;&gt;"pvp",Inputs!$B$43&gt;0),IF(MAX(0,Inputs!$B$43-B2440)&lt;=0,0,(INT(MAX(0,Inputs!$B$43-B2440)/(IF(Inputs!$B$38="pvp",15,MAX(0.1,Skills!E3-IF(FALSE=TRUE,Inputs!$B$32,0)))*(1-IF(AND(ArtifactsInput!$M$27,Inputs!$B$4="Chapter Hunt"),CHOOSE(ArtifactsInput!$N$27+1,20,24,28,32,36,40),0)/100)))+1)),0)</f>
        <v>38</v>
      </c>
      <c r="S2405">
        <f>IF(C2405,(H2405*N2405*IF(AND(Inputs!$B$38&lt;&gt;"pvp",Inputs!$B$43&gt;0),((Skills!G3*((R2405-1)*IF(Skills!H3&gt;0,Skills!I3/Skills!H3,1)+IF(Skills!H3&gt;0,MIN(Skills!I3,MAX(0,MAX(0,Inputs!$B$43-B2440)-((R2405-1)*(IF(Inputs!$B$38="pvp",15,MAX(0.1,Skills!E3-IF(FALSE=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1698242346196923.8</v>
      </c>
      <c r="T2405">
        <f>INDEX(FactorTable!$B$2:$Y$301, MATCH(ROUND(MIN(300,MAX(1,T2404)),0), FactorTable!$A$2:$A$301,0), 22)</f>
        <v>1740</v>
      </c>
      <c r="U2405">
        <f>IF(C2405,(H2405*N2405*IF(AND(Inputs!$B$38&lt;&gt;"pvp",Inputs!$B$43&gt;0),((Skills!G3*((R2405-1)*IF(Skills!H3&gt;0,Skills!I3/Skills!H3,1)+IF(Skills!H3&gt;0,MIN(Skills!I3,MAX(0,MAX(0,Inputs!$B$43-B2440)-((R2405-1)*(IF(Inputs!$B$38="pvp",15,MAX(0.1,Skills!E3-IF(FALSE=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4837579932542026</v>
      </c>
      <c r="Z2405">
        <f>INDEX(FactorTable!$B$2:$Y$301, MATCH(ROUND(MIN(300,MAX(1,Z2404)),0), FactorTable!$A$2:$A$301,0), 24)</f>
        <v>7650</v>
      </c>
    </row>
    <row r="2406" spans="1:26" x14ac:dyDescent="0.2">
      <c r="A2406" t="str">
        <f>Skills!A4</f>
        <v>POISON_BREATH</v>
      </c>
      <c r="B2406" t="str">
        <f>Skills!B4</f>
        <v>Poison Breath</v>
      </c>
      <c r="C2406" t="b">
        <f>TRUE</f>
        <v>1</v>
      </c>
      <c r="D2406">
        <f>IF(Skills!C4=1,60+Inputs!$B$25+Inputs!$B$29,IF(Skills!C4=2,90+Inputs!$B$26+Inputs!$B$29,IF(Skills!C4=3,120+Inputs!$B$27+Inputs!$B$29,MAX(0,(Inputs!$B$3-100)*3)+Inputs!$B$28+Inputs!$B$29)))</f>
        <v>168</v>
      </c>
      <c r="E2406">
        <f>INDEX(FactorTable!$B$2:$Y$301, MATCH(ROUND(MIN(300,MAX(1,D2406)),0), FactorTable!$A$2:$A$301,0), Skills!M4+1)</f>
        <v>1840</v>
      </c>
      <c r="F2406">
        <f>IF(Skills!N4=TRUE,(Skills!L4/10)*(E2406/1000),Skills!L4/10)+Skills!O4</f>
        <v>438</v>
      </c>
      <c r="G2406">
        <f>Calc!G4</f>
        <v>3</v>
      </c>
      <c r="H2406">
        <f>Calc!H4</f>
        <v>1</v>
      </c>
      <c r="I2406">
        <f>IF(Skills!X4&lt;&gt;"",1+(Skills!X4/10)*(Z2405/1000)/100,1)</f>
        <v>7.12</v>
      </c>
      <c r="J2406">
        <f>((Inputs!$B$6*(1+Inputs!$B$7/100))+(((Inputs!$B$12*(1+Inputs!$B$13/100))-(Inputs!$B$12*(1+Inputs!$B$13/100)))+0.25*(Inputs!$B$14-Inputs!$B$14))*(1+Inputs!$B$7/100))*(F2406/100)</f>
        <v>1581769203.69258</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63605061311833.766</v>
      </c>
      <c r="L2406">
        <f>K2406*(MIN(Inputs!$B$22+(F2424-Calc!F22),(Inputs!$B$23+(IF(ArtifactsInput!$M$15,CHOOSE(ArtifactsInput!$N$15+1,25,30,35,40,45,50)/100*(Inputs!$B$11-Inputs!$B$11),0))))/100+(Inputs!$B$23+(IF(ArtifactsInput!$M$15,CHOOSE(ArtifactsInput!$N$15+1,25,30,35,40,45,50)/100*(Inputs!$B$11-Inputs!$B$11),0)))/100)/2</f>
        <v>211486828861847.28</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998006345399057.25</v>
      </c>
      <c r="N2406">
        <f>L2406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998006345399057.25</v>
      </c>
      <c r="O2406">
        <f>(1-Summary!$B$11)*S2406+Summary!$B$11*U2406</f>
        <v>2383613405192473</v>
      </c>
      <c r="P2406">
        <f>IF(B2443=0,0,O2406/B2443)</f>
        <v>6.4095103286790731E-2</v>
      </c>
      <c r="Q2406">
        <f>IFERROR(1/(IF(Inputs!$B$38="pvp",15,MAX(0.1,Skills!E4-IF(TRUE=TRUE,Inputs!$B$32,0)))*(1-IF(AND(ArtifactsInput!$M$27,Inputs!$B$4="Chapter Hunt"),CHOOSE(ArtifactsInput!$N$27+1,20,24,28,32,36,40),0)/100)),0)</f>
        <v>5.5555555555555552E-2</v>
      </c>
      <c r="R2406">
        <f>IF(AND(Inputs!$B$38&lt;&gt;"pvp",Inputs!$B$43&gt;0),IF(MAX(0,Inputs!$B$43-B2440)&lt;=0,0,(INT(MAX(0,Inputs!$B$43-B2440)/(IF(Inputs!$B$38="pvp",15,MAX(0.1,Skills!E4-IF(TRUE=TRUE,Inputs!$B$32,0)))*(1-IF(AND(ArtifactsInput!$M$27,Inputs!$B$4="Chapter Hunt"),CHOOSE(ArtifactsInput!$N$27+1,20,24,28,32,36,40),0)/100)))+1)),0)</f>
        <v>3</v>
      </c>
      <c r="S2406">
        <f>IF(C2406,(H2406*N2406*IF(AND(Inputs!$B$38&lt;&gt;"pvp",Inputs!$B$43&gt;0),((Skills!G4*((R2406-1)*IF(Skills!H4&gt;0,Skills!I4/Skills!H4,1)+IF(Skills!H4&gt;0,MIN(Skills!I4,MAX(0,MAX(0,Inputs!$B$43-B2440)-((R2406-1)*(IF(Inputs!$B$38="pvp",15,MAX(0.1,Skills!E4-IF(TRUE=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711828025855877.5</v>
      </c>
      <c r="T2406">
        <f>290*T2405/1000</f>
        <v>504.6</v>
      </c>
      <c r="U2406">
        <f>IF(C2406,(H2406*N2406*IF(AND(Inputs!$B$38&lt;&gt;"pvp",Inputs!$B$43&gt;0),((Skills!G4*((R2406-1)*IF(Skills!H4&gt;0,Skills!I4/Skills!H4,1)+IF(Skills!H4&gt;0,MIN(Skills!I4,MAX(0,MAX(0,Inputs!$B$43-B2440)-((R2406-1)*(IF(Inputs!$B$38="pvp",15,MAX(0.1,Skills!E4-IF(TRUE=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4055398784529068.5</v>
      </c>
    </row>
    <row r="2407" spans="1:26" x14ac:dyDescent="0.2">
      <c r="A2407" t="str">
        <f>Skills!A5</f>
        <v>ELEMENTAL_DRAIN</v>
      </c>
      <c r="B2407" t="str">
        <f>Skills!B5</f>
        <v>Elemental Drain</v>
      </c>
      <c r="C2407" t="b">
        <f>TRUE</f>
        <v>1</v>
      </c>
      <c r="D2407">
        <f>IF(Skills!C5=1,60+Inputs!$B$25+Inputs!$B$29,IF(Skills!C5=2,90+Inputs!$B$26+Inputs!$B$29,IF(Skills!C5=3,120+Inputs!$B$27+Inputs!$B$29,MAX(0,(Inputs!$B$3-100)*3)+Inputs!$B$28+Inputs!$B$29)))</f>
        <v>168</v>
      </c>
      <c r="E2407">
        <f>INDEX(FactorTable!$B$2:$Y$301, MATCH(ROUND(MIN(300,MAX(1,D2407)),0), FactorTable!$A$2:$A$301,0), Skills!M5+1)</f>
        <v>1672</v>
      </c>
      <c r="F2407">
        <f>IF(Skills!N5=TRUE,(Skills!L5/10)*(E2407/1000),Skills!L5/10)+Skills!O5</f>
        <v>20.064</v>
      </c>
      <c r="G2407">
        <f>Calc!G5</f>
        <v>5</v>
      </c>
      <c r="H2407">
        <f>Calc!H5</f>
        <v>1</v>
      </c>
      <c r="I2407">
        <f>IF(Skills!X5&lt;&gt;"",1+(Skills!X5/10)*(Z2405/1000)/100,1)</f>
        <v>12.475</v>
      </c>
      <c r="J2407">
        <f>((Inputs!$B$6*(1+Inputs!$B$7/100))+(((Inputs!$B$12*(1+Inputs!$B$13/100))-(Inputs!$B$12*(1+Inputs!$B$13/100)))+0.25*(Inputs!$B$14-Inputs!$B$14))*(1+Inputs!$B$7/100))*(F2407/100)</f>
        <v>72458030.371890247</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5104998806581.8506</v>
      </c>
      <c r="L2407">
        <f>K2407*(MIN(Inputs!$B$22+(F2424-Calc!F22),(Inputs!$B$23+(IF(ArtifactsInput!$M$15,CHOOSE(ArtifactsInput!$N$15+1,25,30,35,40,45,50)/100*(Inputs!$B$11-Inputs!$B$11),0))))/100+(Inputs!$B$23+(IF(ArtifactsInput!$M$15,CHOOSE(ArtifactsInput!$N$15+1,25,30,35,40,45,50)/100*(Inputs!$B$11-Inputs!$B$11),0)))/100)/2</f>
        <v>16974121031884.654</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80100877149463.672</v>
      </c>
      <c r="N2407">
        <f>L2407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80100877149463.672</v>
      </c>
      <c r="O2407">
        <f>(1-Summary!$B$11)*S2407+Summary!$B$11*U2407</f>
        <v>1175680624361253</v>
      </c>
      <c r="P2407">
        <f>IF(B2443=0,0,O2407/B2443)</f>
        <v>3.1613923166633764E-2</v>
      </c>
      <c r="Q2407">
        <f>IFERROR(1/(IF(Inputs!$B$38="pvp",15,MAX(0.1,Skills!E5-IF(FALSE=TRUE,Inputs!$B$32,0)))*(1-IF(AND(ArtifactsInput!$M$27,Inputs!$B$4="Chapter Hunt"),CHOOSE(ArtifactsInput!$N$27+1,20,24,28,32,36,40),0)/100)),0)</f>
        <v>1</v>
      </c>
      <c r="R2407">
        <f>IF(AND(Inputs!$B$38&lt;&gt;"pvp",Inputs!$B$43&gt;0),IF(MAX(0,Inputs!$B$43-B2440)&lt;=0,0,(INT(MAX(0,Inputs!$B$43-B2440)/(IF(Inputs!$B$38="pvp",15,MAX(0.1,Skills!E5-IF(FALSE=TRUE,Inputs!$B$32,0)))*(1-IF(AND(ArtifactsInput!$M$27,Inputs!$B$4="Chapter Hunt"),CHOOSE(ArtifactsInput!$N$27+1,20,24,28,32,36,40),0)/100)))+1)),0)</f>
        <v>38</v>
      </c>
      <c r="S2407">
        <f>IF(C2407,(H2407*N2407*IF(AND(Inputs!$B$38&lt;&gt;"pvp",Inputs!$B$43&gt;0),((Skills!G5*((R2407-1)*IF(Skills!H5&gt;0,Skills!I5/Skills!H5,1)+IF(Skills!H5&gt;0,MIN(Skills!I5,MAX(0,MAX(0,Inputs!$B$43-B2440)-((R2407-1)*(IF(Inputs!$B$38="pvp",15,MAX(0.1,Skills!E5-IF(FALSE=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1206118957678049.2</v>
      </c>
      <c r="U2407">
        <f>IF(C2407,(H2407*N2407*IF(AND(Inputs!$B$38&lt;&gt;"pvp",Inputs!$B$43&gt;0),((Skills!G5*((R2407-1)*IF(Skills!H5&gt;0,Skills!I5/Skills!H5,1)+IF(Skills!H5&gt;0,MIN(Skills!I5,MAX(0,MAX(0,Inputs!$B$43-B2440)-((R2407-1)*(IF(Inputs!$B$38="pvp",15,MAX(0.1,Skills!E5-IF(FALSE=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1145242291044456.8</v>
      </c>
    </row>
    <row r="2408" spans="1:26" x14ac:dyDescent="0.2">
      <c r="A2408" t="str">
        <f>Skills!A6</f>
        <v>MEDITATION</v>
      </c>
      <c r="B2408" t="str">
        <f>Skills!B6</f>
        <v>Meditation</v>
      </c>
      <c r="C2408" t="b">
        <f>TRUE</f>
        <v>1</v>
      </c>
      <c r="D2408">
        <f>IF(Skills!C6=1,60+Inputs!$B$25+Inputs!$B$29,IF(Skills!C6=2,90+Inputs!$B$26+Inputs!$B$29,IF(Skills!C6=3,120+Inputs!$B$27+Inputs!$B$29,MAX(0,(Inputs!$B$3-100)*3)+Inputs!$B$28+Inputs!$B$29)))</f>
        <v>168</v>
      </c>
      <c r="E2408">
        <f>INDEX(FactorTable!$B$2:$Y$301, MATCH(ROUND(MIN(300,MAX(1,D2408)),0), FactorTable!$A$2:$A$301,0), Skills!M6+1)</f>
        <v>1672</v>
      </c>
      <c r="F2408">
        <f>IF(Skills!N6=TRUE,(Skills!L6/10)*(E2408/1000),Skills!L6/10)+Skills!O6</f>
        <v>33.44</v>
      </c>
      <c r="G2408">
        <f>Calc!G6</f>
        <v>1</v>
      </c>
      <c r="H2408">
        <f>Calc!H6</f>
        <v>1</v>
      </c>
      <c r="I2408">
        <f>IF(Skills!X6&lt;&gt;"",1+(Skills!X6/10)*(Z2405/1000)/100,1)</f>
        <v>1</v>
      </c>
      <c r="O2408">
        <f>(1-Summary!$B$11)*S2408+Summary!$B$11*U2408</f>
        <v>0</v>
      </c>
      <c r="P2408">
        <f>IF(B2443=0,0,O2408/B2443)</f>
        <v>0</v>
      </c>
      <c r="Q2408">
        <f>IFERROR(1/(IF(Inputs!$B$38="pvp",15,MAX(0.1,Skills!E6-IF(TRUE=TRUE,Inputs!$B$32,0)))*(1-IF(AND(ArtifactsInput!$M$27,Inputs!$B$4="Chapter Hunt"),CHOOSE(ArtifactsInput!$N$27+1,20,24,28,32,36,40),0)/100)),0)</f>
        <v>3.3333333333333333E-2</v>
      </c>
      <c r="R2408">
        <f>IF(AND(Inputs!$B$38&lt;&gt;"pvp",Inputs!$B$43&gt;0),IF(Inputs!$B$43&lt;=0,0,(INT(Inputs!$B$43/(IF(Inputs!$B$38="pvp",15,MAX(0.1,Skills!E6-IF(TRUE=TRUE,Inputs!$B$32,0)))*(1-IF(AND(ArtifactsInput!$M$27,Inputs!$B$4="Chapter Hunt"),CHOOSE(ArtifactsInput!$N$27+1,20,24,28,32,36,40),0)/100)))+1)),0)</f>
        <v>2</v>
      </c>
      <c r="S2408">
        <v>0</v>
      </c>
      <c r="U2408">
        <v>0</v>
      </c>
    </row>
    <row r="2409" spans="1:26" x14ac:dyDescent="0.2">
      <c r="A2409" t="str">
        <f>Skills!A7</f>
        <v>POISON_MIST_BURST</v>
      </c>
      <c r="B2409" t="str">
        <f>Skills!B7</f>
        <v>Poison Mist (burst)</v>
      </c>
      <c r="C2409" t="b">
        <f>TRUE</f>
        <v>1</v>
      </c>
      <c r="D2409">
        <f>IF(Skills!C7=1,60+Inputs!$B$25+Inputs!$B$29,IF(Skills!C7=2,90+Inputs!$B$26+Inputs!$B$29,IF(Skills!C7=3,120+Inputs!$B$27+Inputs!$B$29,MAX(0,(Inputs!$B$3-100)*3)+Inputs!$B$28+Inputs!$B$29)))</f>
        <v>184</v>
      </c>
      <c r="E2409">
        <f>INDEX(FactorTable!$B$2:$Y$301, MATCH(ROUND(MIN(300,MAX(1,D2409)),0), FactorTable!$A$2:$A$301,0), Skills!M7+1)</f>
        <v>1920</v>
      </c>
      <c r="F2409">
        <f>IF(Skills!N7=TRUE,(Skills!L7/10)*(E2409/1000),Skills!L7/10)+Skills!O7</f>
        <v>357.2</v>
      </c>
      <c r="G2409">
        <f>Calc!G7</f>
        <v>3</v>
      </c>
      <c r="H2409">
        <f>Calc!H7</f>
        <v>1</v>
      </c>
      <c r="I2409">
        <f>IF(Skills!X7&lt;&gt;"",1+(Skills!X7/10)*(Z2405/1000)/100,1)</f>
        <v>1.7650000000000001</v>
      </c>
      <c r="J2409">
        <f>((Inputs!$B$6*(1+Inputs!$B$7/100))+(((Inputs!$B$12*(1+Inputs!$B$13/100))-(Inputs!$B$12*(1+Inputs!$B$13/100)))+0.25*(Inputs!$B$14-Inputs!$B$14))*(1+Inputs!$B$7/100))*(F2409/100)</f>
        <v>1289972510.4086521</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12858601323859.764</v>
      </c>
      <c r="L2409">
        <f>K2409*(MIN(Inputs!$B$22+(F2424-Calc!F22),(Inputs!$B$23+(IF(ArtifactsInput!$M$15,CHOOSE(ArtifactsInput!$N$15+1,25,30,35,40,45,50)/100*(Inputs!$B$11-Inputs!$B$11),0))))/100+(Inputs!$B$23+(IF(ArtifactsInput!$M$15,CHOOSE(ArtifactsInput!$N$15+1,25,30,35,40,45,50)/100*(Inputs!$B$11-Inputs!$B$11),0)))/100)/2</f>
        <v>42754849401833.719</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201760134327253.28</v>
      </c>
      <c r="N2409">
        <f>L2409*(1-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201760134327253.28</v>
      </c>
      <c r="O2409">
        <f>(1-Summary!$B$11)*S2409+Summary!$B$11*U2409</f>
        <v>503441975180078.75</v>
      </c>
      <c r="P2409">
        <f>IF(B2443=0,0,O2409/B2443)</f>
        <v>1.3537499549121507E-2</v>
      </c>
      <c r="Q2409">
        <f>IFERROR(1/(IF(Inputs!$B$38="pvp",15,MAX(0.1,Skills!E7-IF(TRUE=TRUE,Inputs!$B$32,0)))*(1-IF(AND(ArtifactsInput!$M$27,Inputs!$B$4="Chapter Hunt"),CHOOSE(ArtifactsInput!$N$27+1,20,24,28,32,36,40),0)/100)),0)</f>
        <v>4.0816326530612242E-2</v>
      </c>
      <c r="R2409">
        <f>IF(AND(Inputs!$B$38&lt;&gt;"pvp",Inputs!$B$43&gt;0),IF(MAX(0,Inputs!$B$43-B2440)&lt;=0,0,(INT(MAX(0,Inputs!$B$43-B2440)/(IF(Inputs!$B$38="pvp",15,MAX(0.1,Skills!E7-IF(TRUE=TRUE,Inputs!$B$32,0)))*(1-IF(AND(ArtifactsInput!$M$27,Inputs!$B$4="Chapter Hunt"),CHOOSE(ArtifactsInput!$N$27+1,20,24,28,32,36,40),0)/100)))+1)),0)</f>
        <v>2</v>
      </c>
      <c r="S2409">
        <f>IF(C2409,(H2409*N2409*IF(AND(Inputs!$B$38&lt;&gt;"pvp",Inputs!$B$43&gt;0),((Skills!G7*((R2409-1)*IF(Skills!H7&gt;0,Skills!I7/Skills!H7,1)+IF(Skills!H7&gt;0,MIN(Skills!I7,MAX(0,MAX(0,Inputs!$B$43-B2440)-((R2409-1)*(IF(Inputs!$B$38="pvp",15,MAX(0.1,Skills!E7-IF(TRUE=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95936943872608.938</v>
      </c>
      <c r="U2409">
        <f>IF(C2409,(H2409*N2409*IF(AND(Inputs!$B$38&lt;&gt;"pvp",Inputs!$B$43&gt;0),((Skills!G7*((R2409-1)*IF(Skills!H7&gt;0,Skills!I7/Skills!H7,1)+IF(Skills!H7&gt;0,MIN(Skills!I7,MAX(0,MAX(0,Inputs!$B$43-B2440)-((R2409-1)*(IF(Inputs!$B$38="pvp",15,MAX(0.1,Skills!E7-IF(TRUE=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910947006487548.5</v>
      </c>
    </row>
    <row r="2410" spans="1:26" x14ac:dyDescent="0.2">
      <c r="A2410" t="str">
        <f>Skills!A8</f>
        <v>POISON_MIST_DOT</v>
      </c>
      <c r="B2410" t="str">
        <f>Skills!B8</f>
        <v>Poison Mist (fog DoT)</v>
      </c>
      <c r="C2410" t="b">
        <f>TRUE</f>
        <v>1</v>
      </c>
      <c r="D2410">
        <f>IF(Skills!C8=1,60+Inputs!$B$25+Inputs!$B$29,IF(Skills!C8=2,90+Inputs!$B$26+Inputs!$B$29,IF(Skills!C8=3,120+Inputs!$B$27+Inputs!$B$29,MAX(0,(Inputs!$B$3-100)*3)+Inputs!$B$28+Inputs!$B$29)))</f>
        <v>184</v>
      </c>
      <c r="E2410">
        <f>INDEX(FactorTable!$B$2:$Y$301, MATCH(ROUND(MIN(300,MAX(1,D2410)),0), FactorTable!$A$2:$A$301,0), Skills!M8+1)</f>
        <v>1920</v>
      </c>
      <c r="F2410">
        <f>IF(Skills!N8=TRUE,(Skills!L8/10)*(E2410/1000),Skills!L8/10)+Skills!O8</f>
        <v>134.4</v>
      </c>
      <c r="G2410">
        <f>Calc!G8</f>
        <v>50</v>
      </c>
      <c r="H2410">
        <f>Calc!H8</f>
        <v>1</v>
      </c>
      <c r="I2410">
        <f>IF(Skills!X8&lt;&gt;"",1+(Skills!X8/10)*(Z2405/1000)/100,1)</f>
        <v>1.7650000000000001</v>
      </c>
      <c r="J2410">
        <f>((Inputs!$B$6*(1+Inputs!$B$7/100))+(((Inputs!$B$12*(1+Inputs!$B$13/100))-(Inputs!$B$12*(1+Inputs!$B$13/100)))+0.25*(Inputs!$B$14-Inputs!$B$14))*(1+Inputs!$B$7/100))*(F2410/100)</f>
        <v>485364796.74950409</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4838174742236.1484</v>
      </c>
      <c r="L2410">
        <f>K2410*(MIN(Inputs!$B$22+(F2424-Calc!F22),(Inputs!$B$23+(IF(ArtifactsInput!$M$15,CHOOSE(ArtifactsInput!$N$15+1,25,30,35,40,45,50)/100*(Inputs!$B$11-Inputs!$B$11),0))))/100+(Inputs!$B$23+(IF(ArtifactsInput!$M$15,CHOOSE(ArtifactsInput!$N$15+1,25,30,35,40,45,50)/100*(Inputs!$B$11-Inputs!$B$11),0)))/100)/2</f>
        <v>16086931017935.195</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75914227473636.172</v>
      </c>
      <c r="N2410">
        <f>L2410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75914227473636.172</v>
      </c>
      <c r="O2410">
        <f>(1-Summary!$B$11)*S2410+Summary!$B$11*U2410</f>
        <v>2616013995796802.5</v>
      </c>
      <c r="P2410">
        <f>IF(B2443=0,0,O2410/B2443)</f>
        <v>7.0344329703392813E-2</v>
      </c>
      <c r="Q2410">
        <f>IFERROR(1/(IF(Inputs!$B$38="pvp",15,MAX(0.1,Skills!E8-IF(TRUE=TRUE,Inputs!$B$32,0)))*(1-IF(AND(ArtifactsInput!$M$27,Inputs!$B$4="Chapter Hunt"),CHOOSE(ArtifactsInput!$N$27+1,20,24,28,32,36,40),0)/100)),0)</f>
        <v>4.0816326530612242E-2</v>
      </c>
      <c r="R2410">
        <f>IF(AND(Inputs!$B$38&lt;&gt;"pvp",Inputs!$B$43&gt;0),IF(MAX(0,Inputs!$B$43-B2440)&lt;=0,0,(INT(MAX(0,Inputs!$B$43-B2440)/(IF(Inputs!$B$38="pvp",15,MAX(0.1,Skills!E8-IF(TRUE=TRUE,Inputs!$B$32,0)))*(1-IF(AND(ArtifactsInput!$M$27,Inputs!$B$4="Chapter Hunt"),CHOOSE(ArtifactsInput!$N$27+1,20,24,28,32,36,40),0)/100)))+1)),0)</f>
        <v>2</v>
      </c>
      <c r="S2410">
        <f>IF(C2410,(H2410*N2410*IF(AND(Inputs!$B$38&lt;&gt;"pvp",Inputs!$B$43&gt;0),((Skills!G8*((R2410-1)*IF(Skills!H8&gt;0,Skills!I8/Skills!H8,1)+IF(Skills!H8&gt;0,MIN(Skills!I8,MAX(0,MAX(0,Inputs!$B$43-B2440)-((R2410-1)*(IF(Inputs!$B$38="pvp",15,MAX(0.1,Skills!E8-IF(TRUE=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498513036770415.56</v>
      </c>
      <c r="U2410">
        <f>IF(C2410,(H2410*N2410*IF(AND(Inputs!$B$38&lt;&gt;"pvp",Inputs!$B$43&gt;0),((Skills!G8*((R2410-1)*IF(Skills!H8&gt;0,Skills!I8/Skills!H8,1)+IF(Skills!H8&gt;0,MIN(Skills!I8,MAX(0,MAX(0,Inputs!$B$43-B2440)-((R2410-1)*(IF(Inputs!$B$38="pvp",15,MAX(0.1,Skills!E8-IF(TRUE=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4733514954823189</v>
      </c>
    </row>
    <row r="2411" spans="1:26" x14ac:dyDescent="0.2">
      <c r="A2411" t="str">
        <f>Skills!A9</f>
        <v>MIST_ERUPTION</v>
      </c>
      <c r="B2411" t="str">
        <f>Skills!B9</f>
        <v>Mist Eruption</v>
      </c>
      <c r="C2411" t="b">
        <f>Inputs!$B$3&gt;=103</f>
        <v>1</v>
      </c>
      <c r="D2411">
        <f>IF(Skills!C9=1,60+Inputs!$B$25+Inputs!$B$29,IF(Skills!C9=2,90+Inputs!$B$26+Inputs!$B$29,IF(Skills!C9=3,120+Inputs!$B$27+Inputs!$B$29,MAX(0,(Inputs!$B$3-100)*3)+Inputs!$B$28+Inputs!$B$29)))</f>
        <v>185</v>
      </c>
      <c r="E2411">
        <f>INDEX(FactorTable!$B$2:$Y$301, MATCH(ROUND(MIN(300,MAX(1,D2411)),0), FactorTable!$A$2:$A$301,0), Skills!M9+1)</f>
        <v>1925</v>
      </c>
      <c r="F2411">
        <f>IF(Skills!N9=TRUE,(Skills!L9/10)*(E2411/1000),Skills!L9/10)+Skills!O9</f>
        <v>5775</v>
      </c>
      <c r="G2411">
        <f>Calc!G9</f>
        <v>2.5</v>
      </c>
      <c r="H2411">
        <f>Calc!H9</f>
        <v>1</v>
      </c>
      <c r="I2411">
        <f>IF(Skills!X9&lt;&gt;"",1+(Skills!X9/10)*(Z2405/1000)/100,1)</f>
        <v>1</v>
      </c>
      <c r="J2411">
        <f>((Inputs!$B$6*(1+Inputs!$B$7/100))+(((Inputs!$B$12*(1+Inputs!$B$13/100))-(Inputs!$B$12*(1+Inputs!$B$13/100)))+0.25*(Inputs!$B$14-Inputs!$B$14))*(1+Inputs!$B$7/100))*(F2411/100)</f>
        <v>20855518610.330254</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117784884394028.03</v>
      </c>
      <c r="L2411">
        <f>K2411*(MIN(Inputs!$B$22+(F2424-Calc!F22),(Inputs!$B$23+(IF(ArtifactsInput!$M$15,CHOOSE(ArtifactsInput!$N$15+1,25,30,35,40,45,50)/100*(Inputs!$B$11-Inputs!$B$11),0))))/100+(Inputs!$B$23+(IF(ArtifactsInput!$M$15,CHOOSE(ArtifactsInput!$N$15+1,25,30,35,40,45,50)/100*(Inputs!$B$11-Inputs!$B$11),0)))/100)/2</f>
        <v>391634740610143.25</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1848124340939265.8</v>
      </c>
      <c r="N2411">
        <f>L2411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1848124340939265.8</v>
      </c>
      <c r="O2411">
        <f>(1-Summary!$B$11)*S2411+Summary!$B$11*U2411</f>
        <v>3842943551440585.5</v>
      </c>
      <c r="P2411">
        <f>IF(B2443=0,0,O2411/B2443)</f>
        <v>0.10333633101673266</v>
      </c>
      <c r="Q2411">
        <f>IFERROR(1/(IF(Inputs!$B$38="pvp",15,MAX(0.1,Skills!E9-IF(TRUE=TRUE,Inputs!$B$32,0)))*(1-IF(AND(ArtifactsInput!$M$27,Inputs!$B$4="Chapter Hunt"),CHOOSE(ArtifactsInput!$N$27+1,20,24,28,32,36,40),0)/100)),0)</f>
        <v>4.0816326530612242E-2</v>
      </c>
      <c r="R2411">
        <f>IF(AND(Inputs!$B$38&lt;&gt;"pvp",Inputs!$B$43&gt;0),IF(MAX(0,Inputs!$B$43-B2440)&lt;=0,0,(INT(MAX(0,Inputs!$B$43-B2440)/(IF(Inputs!$B$38="pvp",15,MAX(0.1,Skills!E9-IF(TRUE=TRUE,Inputs!$B$32,0)))*(1-IF(AND(ArtifactsInput!$M$27,Inputs!$B$4="Chapter Hunt"),CHOOSE(ArtifactsInput!$N$27+1,20,24,28,32,36,40),0)/100)))+1)),0)</f>
        <v>2</v>
      </c>
      <c r="S2411">
        <f>IF(C2411,(H2411*N2411*IF(AND(Inputs!$B$38&lt;&gt;"pvp",Inputs!$B$43&gt;0),((Skills!G9*((R2411-1)*IF(Skills!H9&gt;0,Skills!I9/Skills!H9,1)+IF(Skills!H9&gt;0,MIN(Skills!I9,MAX(0,MAX(0,Inputs!$B$43-B2440)-((R2411-1)*(IF(Inputs!$B$38="pvp",15,MAX(0.1,Skills!E9-IF(TRUE=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732319270097184</v>
      </c>
      <c r="U2411">
        <f>IF(C2411,(H2411*N2411*IF(AND(Inputs!$B$38&lt;&gt;"pvp",Inputs!$B$43&gt;0),((Skills!G9*((R2411-1)*IF(Skills!H9&gt;0,Skills!I9/Skills!H9,1)+IF(Skills!H9&gt;0,MIN(Skills!I9,MAX(0,MAX(0,Inputs!$B$43-B2440)-((R2411-1)*(IF(Inputs!$B$38="pvp",15,MAX(0.1,Skills!E9-IF(TRUE=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6953567832783987</v>
      </c>
    </row>
    <row r="2412" spans="1:26" x14ac:dyDescent="0.2">
      <c r="A2412" t="str">
        <f>Skills!A10</f>
        <v>CREEPING_TOXIN</v>
      </c>
      <c r="B2412" t="str">
        <f>Skills!B10</f>
        <v>Creeping Toxin</v>
      </c>
      <c r="C2412" t="b">
        <f>TRUE</f>
        <v>1</v>
      </c>
      <c r="D2412">
        <f>IF(Skills!C10=1,60+Inputs!$B$25+Inputs!$B$29,IF(Skills!C10=2,90+Inputs!$B$26+Inputs!$B$29,IF(Skills!C10=3,120+Inputs!$B$27+Inputs!$B$29,MAX(0,(Inputs!$B$3-100)*3)+Inputs!$B$28+Inputs!$B$29)))</f>
        <v>184</v>
      </c>
      <c r="E2412">
        <f>INDEX(FactorTable!$B$2:$Y$301, MATCH(ROUND(MIN(300,MAX(1,D2412)),0), FactorTable!$A$2:$A$301,0), Skills!M10+1)</f>
        <v>1920</v>
      </c>
      <c r="F2412">
        <f>IF(Skills!N10=TRUE,(Skills!L10/10)*(E2412/1000),Skills!L10/10)+Skills!O10</f>
        <v>280.39999999999998</v>
      </c>
      <c r="G2412">
        <f>Calc!G10</f>
        <v>15</v>
      </c>
      <c r="H2412">
        <f>Calc!H10</f>
        <v>1</v>
      </c>
      <c r="I2412">
        <f>IF(Skills!X10&lt;&gt;"",1+(Skills!X10/10)*(Z2405/1000)/100,1)</f>
        <v>1.7650000000000001</v>
      </c>
      <c r="J2412">
        <f>((Inputs!$B$6*(1+Inputs!$B$7/100))+(((Inputs!$B$12*(1+Inputs!$B$13/100))-(Inputs!$B$12*(1+Inputs!$B$13/100)))+0.25*(Inputs!$B$14-Inputs!$B$14))*(1+Inputs!$B$7/100))*(F2412/100)</f>
        <v>1012621197.9803641</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10093930042581.963</v>
      </c>
      <c r="L2412">
        <f>K2412*(MIN(Inputs!$B$22+(F2424-Calc!F22),(Inputs!$B$23+(IF(ArtifactsInput!$M$15,CHOOSE(ArtifactsInput!$N$15+1,25,30,35,40,45,50)/100*(Inputs!$B$11-Inputs!$B$11),0))))/100+(Inputs!$B$23+(IF(ArtifactsInput!$M$15,CHOOSE(ArtifactsInput!$N$15+1,25,30,35,40,45,50)/100*(Inputs!$B$11-Inputs!$B$11),0)))/100)/2</f>
        <v>33562317391585.027</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158380575770889.72</v>
      </c>
      <c r="N2412">
        <f>L2412*(1-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158380575770889.72</v>
      </c>
      <c r="O2412">
        <f>(1-Summary!$B$11)*S2412+Summary!$B$11*U2412</f>
        <v>364530574861386.62</v>
      </c>
      <c r="P2412">
        <f>IF(B2443=0,0,O2412/B2443)</f>
        <v>9.8021872154419772E-3</v>
      </c>
      <c r="Q2412">
        <f>IFERROR(1/(IF(Inputs!$B$38="pvp",15,MAX(0.1,Skills!E10-IF(TRUE=TRUE,Inputs!$B$32,0)))*(1-IF(AND(ArtifactsInput!$M$27,Inputs!$B$4="Chapter Hunt"),CHOOSE(ArtifactsInput!$N$27+1,20,24,28,32,36,40),0)/100)),0)</f>
        <v>3.7037037037037035E-2</v>
      </c>
      <c r="R2412">
        <f>IF(AND(Inputs!$B$38&lt;&gt;"pvp",Inputs!$B$43&gt;0),IF(MAX(0,Inputs!$B$43-B2440)&lt;=0,0,(INT(MAX(0,Inputs!$B$43-B2440)/(IF(Inputs!$B$38="pvp",15,MAX(0.1,Skills!E10-IF(TRUE=TRUE,Inputs!$B$32,0)))*(1-IF(AND(ArtifactsInput!$M$27,Inputs!$B$4="Chapter Hunt"),CHOOSE(ArtifactsInput!$N$27+1,20,24,28,32,36,40),0)/100)))+1)),0)</f>
        <v>2</v>
      </c>
      <c r="S2412">
        <f>IF(C2412,(H2412*N2412*IF(AND(Inputs!$B$38&lt;&gt;"pvp",Inputs!$B$43&gt;0),((Skills!G10*((R2412-1)*IF(Skills!H10&gt;0,Skills!I10/Skills!H10,1)+IF(Skills!H10&gt;0,MIN(Skills!I10,MAX(0,MAX(0,Inputs!$B$43-B2440)-((R2412-1)*(IF(Inputs!$B$38="pvp",15,MAX(0.1,Skills!E10-IF(TRUE=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321883543819107.44</v>
      </c>
      <c r="U2412">
        <f>IF(C2412,(H2412*N2412*IF(AND(Inputs!$B$38&lt;&gt;"pvp",Inputs!$B$43&gt;0),((Skills!G10*((R2412-1)*IF(Skills!H10&gt;0,Skills!I10/Skills!H10,1)+IF(Skills!H10&gt;0,MIN(Skills!I10,MAX(0,MAX(0,Inputs!$B$43-B2440)-((R2412-1)*(IF(Inputs!$B$38="pvp",15,MAX(0.1,Skills!E10-IF(TRUE=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407177605903665.88</v>
      </c>
    </row>
    <row r="2413" spans="1:26" x14ac:dyDescent="0.2">
      <c r="A2413" t="str">
        <f>Skills!A11</f>
        <v>BURNING_MAGIC</v>
      </c>
      <c r="B2413" t="str">
        <f>Skills!B11</f>
        <v>Burning Magic</v>
      </c>
      <c r="C2413" t="b">
        <f>TRUE</f>
        <v>1</v>
      </c>
      <c r="D2413">
        <f>IF(Skills!C11=1,60+Inputs!$B$25+Inputs!$B$29,IF(Skills!C11=2,90+Inputs!$B$26+Inputs!$B$29,IF(Skills!C11=3,120+Inputs!$B$27+Inputs!$B$29,MAX(0,(Inputs!$B$3-100)*3)+Inputs!$B$28+Inputs!$B$29)))</f>
        <v>184</v>
      </c>
      <c r="E2413">
        <f>INDEX(FactorTable!$B$2:$Y$301, MATCH(ROUND(MIN(300,MAX(1,D2413)),0), FactorTable!$A$2:$A$301,0), Skills!M11+1)</f>
        <v>0</v>
      </c>
      <c r="F2413">
        <f>IF(Skills!N11=TRUE,(Skills!L11/10)*(E2413/1000),Skills!L11/10)+Skills!O11</f>
        <v>5</v>
      </c>
      <c r="G2413">
        <f>Calc!G11</f>
        <v>1</v>
      </c>
      <c r="H2413">
        <f>Calc!H11</f>
        <v>1</v>
      </c>
      <c r="I2413">
        <f>IF(Skills!X11&lt;&gt;"",1+(Skills!X11/10)*(Z2405/1000)/100,1)</f>
        <v>1</v>
      </c>
      <c r="O2413">
        <f>(1-Summary!$B$11)*S2413+Summary!$B$11*U2413</f>
        <v>0</v>
      </c>
      <c r="P2413">
        <f>IF(B2443=0,0,O2413/B2443)</f>
        <v>0</v>
      </c>
      <c r="Q2413">
        <f>IFERROR(1/(IF(Inputs!$B$38="pvp",15,MAX(0.1,Skills!E11-IF(TRUE=TRUE,Inputs!$B$32,0)))*(1-IF(AND(ArtifactsInput!$M$27,Inputs!$B$4="Chapter Hunt"),CHOOSE(ArtifactsInput!$N$27+1,20,24,28,32,36,40),0)/100)),0)</f>
        <v>10</v>
      </c>
      <c r="R2413">
        <v>0</v>
      </c>
      <c r="S2413">
        <v>0</v>
      </c>
      <c r="U2413">
        <v>0</v>
      </c>
    </row>
    <row r="2414" spans="1:26" x14ac:dyDescent="0.2">
      <c r="A2414" t="str">
        <f>Skills!A12</f>
        <v>ELEMENTAL_DECREASE</v>
      </c>
      <c r="B2414" t="str">
        <f>Skills!B12</f>
        <v>Elemental Decrease</v>
      </c>
      <c r="C2414" t="b">
        <f>TRUE</f>
        <v>1</v>
      </c>
      <c r="D2414">
        <f>IF(Skills!C12=1,60+Inputs!$B$25+Inputs!$B$29,IF(Skills!C12=2,90+Inputs!$B$26+Inputs!$B$29,IF(Skills!C12=3,120+Inputs!$B$27+Inputs!$B$29,MAX(0,(Inputs!$B$3-100)*3)+Inputs!$B$28+Inputs!$B$29)))</f>
        <v>184</v>
      </c>
      <c r="E2414">
        <f>INDEX(FactorTable!$B$2:$Y$301, MATCH(ROUND(MIN(300,MAX(1,D2414)),0), FactorTable!$A$2:$A$301,0), Skills!M12+1)</f>
        <v>1552</v>
      </c>
      <c r="F2414">
        <f>IF(Skills!N12=TRUE,(Skills!L12/10)*(E2414/1000),Skills!L12/10)+Skills!O12</f>
        <v>18.624000000000002</v>
      </c>
      <c r="G2414">
        <f>Calc!G12</f>
        <v>1</v>
      </c>
      <c r="H2414">
        <f>Calc!H12</f>
        <v>0.5</v>
      </c>
      <c r="I2414">
        <f>IF(Skills!X12&lt;&gt;"",1+(Skills!X12/10)*(Z2405/1000)/100,1)</f>
        <v>1</v>
      </c>
      <c r="O2414">
        <f>(1-Summary!$B$11)*S2414+Summary!$B$11*U2414</f>
        <v>0</v>
      </c>
      <c r="P2414">
        <f>IF(B2443=0,0,O2414/B2443)</f>
        <v>0</v>
      </c>
      <c r="Q2414">
        <f>IFERROR(1/(IF(Inputs!$B$38="pvp",15,MAX(0.1,Skills!E12-IF(TRUE=TRUE,Inputs!$B$32,0)))*(1-IF(AND(ArtifactsInput!$M$27,Inputs!$B$4="Chapter Hunt"),CHOOSE(ArtifactsInput!$N$27+1,20,24,28,32,36,40),0)/100)),0)</f>
        <v>10</v>
      </c>
      <c r="R2414">
        <v>0</v>
      </c>
      <c r="S2414">
        <v>0</v>
      </c>
      <c r="U2414">
        <v>0</v>
      </c>
    </row>
    <row r="2415" spans="1:26" x14ac:dyDescent="0.2">
      <c r="A2415" t="str">
        <f>Skills!A13</f>
        <v>METEOR_SHOWER_BURST</v>
      </c>
      <c r="B2415" t="str">
        <f>Skills!B13</f>
        <v>Meteor Shower (burst)</v>
      </c>
      <c r="C2415" t="b">
        <f>Inputs!$B$3&gt;=105</f>
        <v>1</v>
      </c>
      <c r="D2415">
        <f>IF(Skills!C13=1,60+Inputs!$B$25+Inputs!$B$29,IF(Skills!C13=2,90+Inputs!$B$26+Inputs!$B$29,IF(Skills!C13=3,120+Inputs!$B$27+Inputs!$B$29,MAX(0,(Inputs!$B$3-100)*3)+Inputs!$B$28+Inputs!$B$29)))</f>
        <v>185</v>
      </c>
      <c r="E2415">
        <f>INDEX(FactorTable!$B$2:$Y$301, MATCH(ROUND(MIN(300,MAX(1,D2415)),0), FactorTable!$A$2:$A$301,0), Skills!M13+1)</f>
        <v>1925</v>
      </c>
      <c r="F2415">
        <f>IF(Skills!N13=TRUE,(Skills!L13/10)*(E2415/1000),Skills!L13/10)+Skills!O13</f>
        <v>1155</v>
      </c>
      <c r="G2415">
        <f>Calc!G13</f>
        <v>9</v>
      </c>
      <c r="H2415">
        <f>Calc!H13</f>
        <v>1</v>
      </c>
      <c r="I2415">
        <f>IF(Skills!X13&lt;&gt;"",1+(Skills!X13/10)*(Z2405/1000)/100,1)</f>
        <v>1</v>
      </c>
      <c r="J2415">
        <f>((Inputs!$B$6*(1+Inputs!$B$7/100))+(((Inputs!$B$12*(1+Inputs!$B$13/100))-(Inputs!$B$12*(1+Inputs!$B$13/100)))+0.25*(Inputs!$B$14-Inputs!$B$14))*(1+Inputs!$B$7/100))*(F2415/100)</f>
        <v>4171103722.0660505</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23556976878805.605</v>
      </c>
      <c r="L2415">
        <f>K2415*(MIN(Inputs!$B$22+(F2424-Calc!F22),(Inputs!$B$23+(IF(ArtifactsInput!$M$15,CHOOSE(ArtifactsInput!$N$15+1,25,30,35,40,45,50)/100*(Inputs!$B$11-Inputs!$B$11),0))))/100+(Inputs!$B$23+(IF(ArtifactsInput!$M$15,CHOOSE(ArtifactsInput!$N$15+1,25,30,35,40,45,50)/100*(Inputs!$B$11-Inputs!$B$11),0)))/100)/2</f>
        <v>78326948122028.641</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369624868187853.12</v>
      </c>
      <c r="N2415">
        <f>L2415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369624868187853.12</v>
      </c>
      <c r="O2415">
        <f>(1-Summary!$B$11)*S2415+Summary!$B$11*U2415</f>
        <v>2015934031096551</v>
      </c>
      <c r="P2415">
        <f>IF(B2443=0,0,O2415/B2443)</f>
        <v>5.4208245204954368E-2</v>
      </c>
      <c r="Q2415">
        <f>IFERROR(1/(IF(Inputs!$B$38="pvp",15,MAX(0.1,Skills!E13-IF(TRUE=TRUE,Inputs!$B$32,0)))*(1-IF(AND(ArtifactsInput!$M$27,Inputs!$B$4="Chapter Hunt"),CHOOSE(ArtifactsInput!$N$27+1,20,24,28,32,36,40),0)/100)),0)</f>
        <v>3.0303030303030304E-2</v>
      </c>
      <c r="R2415">
        <f>IF(AND(Inputs!$B$38&lt;&gt;"pvp",Inputs!$B$43&gt;0),IF(MAX(0,Inputs!$B$43-B2440)&lt;=0,0,(INT(MAX(0,Inputs!$B$43-B2440)/(IF(Inputs!$B$38="pvp",15,MAX(0.1,Skills!E13-IF(TRUE=TRUE,Inputs!$B$32,0)))*(1-IF(AND(ArtifactsInput!$M$27,Inputs!$B$4="Chapter Hunt"),CHOOSE(ArtifactsInput!$N$27+1,20,24,28,32,36,40),0)/100)))+1)),0)</f>
        <v>2</v>
      </c>
      <c r="S2415">
        <f>IF(C2415,(H2415*N2415*IF(AND(Inputs!$B$38&lt;&gt;"pvp",Inputs!$B$43&gt;0),((Skills!G13*((R2415-1)*IF(Skills!H13&gt;0,Skills!I13/Skills!H13,1)+IF(Skills!H13&gt;0,MIN(Skills!I13,MAX(0,MAX(0,Inputs!$B$43-B2440)-((R2415-1)*(IF(Inputs!$B$38="pvp",15,MAX(0.1,Skills!E13-IF(TRUE=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527269874469972.5</v>
      </c>
      <c r="U2415">
        <f>IF(C2415,(H2415*N2415*IF(AND(Inputs!$B$38&lt;&gt;"pvp",Inputs!$B$43&gt;0),((Skills!G13*((R2415-1)*IF(Skills!H13&gt;0,Skills!I13/Skills!H13,1)+IF(Skills!H13&gt;0,MIN(Skills!I13,MAX(0,MAX(0,Inputs!$B$43-B2440)-((R2415-1)*(IF(Inputs!$B$38="pvp",15,MAX(0.1,Skills!E13-IF(TRUE=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3504598187723129.5</v>
      </c>
    </row>
    <row r="2416" spans="1:26" x14ac:dyDescent="0.2">
      <c r="A2416" t="str">
        <f>Skills!A14</f>
        <v>METEOR_PROC</v>
      </c>
      <c r="B2416" t="str">
        <f>Skills!B14</f>
        <v>Meteor Proc (30% on-hit, 1s ICD)</v>
      </c>
      <c r="C2416" t="b">
        <f>Inputs!$B$3&gt;=113</f>
        <v>1</v>
      </c>
      <c r="D2416">
        <f>IF(Skills!C14=1,60+Inputs!$B$25+Inputs!$B$29,IF(Skills!C14=2,90+Inputs!$B$26+Inputs!$B$29,IF(Skills!C14=3,120+Inputs!$B$27+Inputs!$B$29,MAX(0,(Inputs!$B$3-100)*3)+Inputs!$B$28+Inputs!$B$29)))</f>
        <v>185</v>
      </c>
      <c r="E2416">
        <f>INDEX(FactorTable!$B$2:$Y$301, MATCH(ROUND(MIN(300,MAX(1,D2416)),0), FactorTable!$A$2:$A$301,0), Skills!M14+1)</f>
        <v>1740</v>
      </c>
      <c r="F2416">
        <f>IF(Skills!N14=TRUE,(Skills!L14/10)*(E2416/1000),Skills!L14/10)+Skills!O14</f>
        <v>1653</v>
      </c>
      <c r="G2416">
        <f>Calc!G14</f>
        <v>0</v>
      </c>
      <c r="H2416">
        <f>Calc!H14</f>
        <v>0.30000000000000004</v>
      </c>
      <c r="I2416">
        <f>IF(Skills!X14&lt;&gt;"",1+(Skills!X14/10)*(Z2405/1000)/100,1)</f>
        <v>1</v>
      </c>
      <c r="J2416">
        <f>((Inputs!$B$6*(1+Inputs!$B$7/100))+(((Inputs!$B$12*(1+Inputs!$B$13/100))-(Inputs!$B$12*(1+Inputs!$B$13/100)))+0.25*(Inputs!$B$14-Inputs!$B$14))*(1+Inputs!$B$7/100))*(F2416/100)</f>
        <v>5969553638.5932312</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33714011065511.395</v>
      </c>
      <c r="L2416">
        <f>K2416*(MIN(Inputs!$B$22+(F2424-Calc!F22),(Inputs!$B$23+(IF(ArtifactsInput!$M$15,CHOOSE(ArtifactsInput!$N$15+1,25,30,35,40,45,50)/100*(Inputs!$B$11-Inputs!$B$11),0))))/100+(Inputs!$B$23+(IF(ArtifactsInput!$M$15,CHOOSE(ArtifactsInput!$N$15+1,25,30,35,40,45,50)/100*(Inputs!$B$11-Inputs!$B$11),0)))/100)/2</f>
        <v>112099086792825.39</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528995590575342.94</v>
      </c>
      <c r="N2416">
        <f>L2416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528995590575342.94</v>
      </c>
      <c r="O2416">
        <f>(1-Summary!$B$11)*S2416+Summary!$B$11*U2416</f>
        <v>518441429388557.56</v>
      </c>
      <c r="P2416">
        <f>IF(B2443=0,0,O2416/B2443)</f>
        <v>1.3940833229257571E-2</v>
      </c>
      <c r="Q2416">
        <f>IFERROR(1/(IF(Inputs!$B$38="pvp",15,MAX(0.1,Skills!E14-IF(TRUE=TRUE,Inputs!$B$32,0)))*(1-IF(AND(ArtifactsInput!$M$27,Inputs!$B$4="Chapter Hunt"),CHOOSE(ArtifactsInput!$N$27+1,20,24,28,32,36,40),0)/100)),0)</f>
        <v>10</v>
      </c>
      <c r="R2416">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531863861217387.56</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505018997559727.56</v>
      </c>
    </row>
    <row r="2417" spans="1:21" x14ac:dyDescent="0.2">
      <c r="A2417" t="str">
        <f>Skills!A15</f>
        <v>FLAME_HAZE_BURST</v>
      </c>
      <c r="B2417" t="str">
        <f>Skills!B15</f>
        <v>Flame Haze (burst)</v>
      </c>
      <c r="C2417" t="b">
        <f>Inputs!$B$3&gt;=107</f>
        <v>1</v>
      </c>
      <c r="D2417">
        <f>IF(Skills!C15=1,60+Inputs!$B$25+Inputs!$B$29,IF(Skills!C15=2,90+Inputs!$B$26+Inputs!$B$29,IF(Skills!C15=3,120+Inputs!$B$27+Inputs!$B$29,MAX(0,(Inputs!$B$3-100)*3)+Inputs!$B$28+Inputs!$B$29)))</f>
        <v>185</v>
      </c>
      <c r="E2417">
        <f>INDEX(FactorTable!$B$2:$Y$301, MATCH(ROUND(MIN(300,MAX(1,D2417)),0), FactorTable!$A$2:$A$301,0), Skills!M15+1)</f>
        <v>1925</v>
      </c>
      <c r="F2417">
        <f>IF(Skills!N15=TRUE,(Skills!L15/10)*(E2417/1000),Skills!L15/10)+Skills!O15</f>
        <v>2310</v>
      </c>
      <c r="G2417">
        <f>Calc!G15</f>
        <v>3</v>
      </c>
      <c r="H2417">
        <f>Calc!H15</f>
        <v>1</v>
      </c>
      <c r="I2417">
        <f>IF(Skills!X15&lt;&gt;"",1+(Skills!X15/10)*(Z2405/1000)/100,1)</f>
        <v>1</v>
      </c>
      <c r="J2417">
        <f>((Inputs!$B$6*(1+Inputs!$B$7/100))+(((Inputs!$B$12*(1+Inputs!$B$13/100))-(Inputs!$B$12*(1+Inputs!$B$13/100)))+0.25*(Inputs!$B$14-Inputs!$B$14))*(1+Inputs!$B$7/100))*(F2417/100)</f>
        <v>8342207444.1321011</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47113953757611.211</v>
      </c>
      <c r="L2417">
        <f>K2417*(MIN(Inputs!$B$22+(F2424-Calc!F22),(Inputs!$B$23+(IF(ArtifactsInput!$M$15,CHOOSE(ArtifactsInput!$N$15+1,25,30,35,40,45,50)/100*(Inputs!$B$11-Inputs!$B$11),0))))/100+(Inputs!$B$23+(IF(ArtifactsInput!$M$15,CHOOSE(ArtifactsInput!$N$15+1,25,30,35,40,45,50)/100*(Inputs!$B$11-Inputs!$B$11),0)))/100)/2</f>
        <v>156653896244057.28</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739249736375706.25</v>
      </c>
      <c r="N2417">
        <f>L2417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739249736375706.25</v>
      </c>
      <c r="O2417">
        <f>(1-Summary!$B$11)*S2417+Summary!$B$11*U2417</f>
        <v>1844612904691481</v>
      </c>
      <c r="P2417">
        <f>IF(B2443=0,0,O2417/B2443)</f>
        <v>4.9601438888031674E-2</v>
      </c>
      <c r="Q2417">
        <f>IFERROR(1/(IF(Inputs!$B$38="pvp",15,MAX(0.1,Skills!E15-IF(TRUE=TRUE,Inputs!$B$32,0)))*(1-IF(AND(ArtifactsInput!$M$27,Inputs!$B$4="Chapter Hunt"),CHOOSE(ArtifactsInput!$N$27+1,20,24,28,32,36,40),0)/100)),0)</f>
        <v>0.04</v>
      </c>
      <c r="R2417">
        <f>IF(AND(Inputs!$B$38&lt;&gt;"pvp",Inputs!$B$43&gt;0),IF(MAX(0,Inputs!$B$43-B2440)&lt;=0,0,(INT(MAX(0,Inputs!$B$43-B2440)/(IF(Inputs!$B$38="pvp",15,MAX(0.1,Skills!E15-IF(TRUE=TRUE,Inputs!$B$32,0)))*(1-IF(AND(ArtifactsInput!$M$27,Inputs!$B$4="Chapter Hunt"),CHOOSE(ArtifactsInput!$N$27+1,20,24,28,32,36,40),0)/100)))+1)),0)</f>
        <v>2</v>
      </c>
      <c r="S2417">
        <f>IF(C2417,(H2417*N2417*IF(AND(Inputs!$B$38&lt;&gt;"pvp",Inputs!$B$43&gt;0),((Skills!G15*((R2417-1)*IF(Skills!H15&gt;0,Skills!I15/Skills!H15,1)+IF(Skills!H15&gt;0,MIN(Skills!I15,MAX(0,MAX(0,Inputs!$B$43-B2440)-((R2417-1)*(IF(Inputs!$B$38="pvp",15,MAX(0.1,Skills!E15-IF(TRUE=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351513249646648.31</v>
      </c>
      <c r="U2417">
        <f>IF(C2417,(H2417*N2417*IF(AND(Inputs!$B$38&lt;&gt;"pvp",Inputs!$B$43&gt;0),((Skills!G15*((R2417-1)*IF(Skills!H15&gt;0,Skills!I15/Skills!H15,1)+IF(Skills!H15&gt;0,MIN(Skills!I15,MAX(0,MAX(0,Inputs!$B$43-B2440)-((R2417-1)*(IF(Inputs!$B$38="pvp",15,MAX(0.1,Skills!E15-IF(TRUE=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3337712559736313.5</v>
      </c>
    </row>
    <row r="2418" spans="1:21" x14ac:dyDescent="0.2">
      <c r="A2418" t="str">
        <f>Skills!A16</f>
        <v>FLAME_HAZE_DOT</v>
      </c>
      <c r="B2418" t="str">
        <f>Skills!B16</f>
        <v>Flame Haze (burn DoT)</v>
      </c>
      <c r="C2418" t="b">
        <f>Inputs!$B$3&gt;=107</f>
        <v>1</v>
      </c>
      <c r="D2418">
        <f>IF(Skills!C16=1,60+Inputs!$B$25+Inputs!$B$29,IF(Skills!C16=2,90+Inputs!$B$26+Inputs!$B$29,IF(Skills!C16=3,120+Inputs!$B$27+Inputs!$B$29,MAX(0,(Inputs!$B$3-100)*3)+Inputs!$B$28+Inputs!$B$29)))</f>
        <v>185</v>
      </c>
      <c r="E2418">
        <f>INDEX(FactorTable!$B$2:$Y$301, MATCH(ROUND(MIN(300,MAX(1,D2418)),0), FactorTable!$A$2:$A$301,0), Skills!M16+1)</f>
        <v>1925</v>
      </c>
      <c r="F2418">
        <f>IF(Skills!N16=TRUE,(Skills!L16/10)*(E2418/1000),Skills!L16/10)+Skills!O16</f>
        <v>288.75</v>
      </c>
      <c r="G2418">
        <f>Calc!G16</f>
        <v>30</v>
      </c>
      <c r="H2418">
        <f>Calc!H16</f>
        <v>1</v>
      </c>
      <c r="I2418">
        <f>IF(Skills!X16&lt;&gt;"",1+(Skills!X16/10)*(Z2405/1000)/100,1)</f>
        <v>1</v>
      </c>
      <c r="J2418">
        <f>((Inputs!$B$6*(1+Inputs!$B$7/100))+(((Inputs!$B$12*(1+Inputs!$B$13/100))-(Inputs!$B$12*(1+Inputs!$B$13/100)))+0.25*(Inputs!$B$14-Inputs!$B$14))*(1+Inputs!$B$7/100))*(F2418/100)</f>
        <v>1042775930.5165126</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5889244219701.4014</v>
      </c>
      <c r="L2418">
        <f>K2418*(MIN(Inputs!$B$22+(F2424-Calc!F22),(Inputs!$B$23+(IF(ArtifactsInput!$M$15,CHOOSE(ArtifactsInput!$N$15+1,25,30,35,40,45,50)/100*(Inputs!$B$11-Inputs!$B$11),0))))/100+(Inputs!$B$23+(IF(ArtifactsInput!$M$15,CHOOSE(ArtifactsInput!$N$15+1,25,30,35,40,45,50)/100*(Inputs!$B$11-Inputs!$B$11),0)))/100)/2</f>
        <v>19581737030507.16</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92406217046963.281</v>
      </c>
      <c r="N2418">
        <f>L2418*(1-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92406217046963.281</v>
      </c>
      <c r="O2418">
        <f>(1-Summary!$B$11)*S2418+Summary!$B$11*U2418</f>
        <v>2124740263322132.2</v>
      </c>
      <c r="P2418">
        <f>IF(B2443=0,0,O2418/B2443)</f>
        <v>5.713403286731316E-2</v>
      </c>
      <c r="Q2418">
        <f>IFERROR(1/(IF(Inputs!$B$38="pvp",15,MAX(0.1,Skills!E16-IF(TRUE=TRUE,Inputs!$B$32,0)))*(1-IF(AND(ArtifactsInput!$M$27,Inputs!$B$4="Chapter Hunt"),CHOOSE(ArtifactsInput!$N$27+1,20,24,28,32,36,40),0)/100)),0)</f>
        <v>0.04</v>
      </c>
      <c r="R2418">
        <f>IF(AND(Inputs!$B$38&lt;&gt;"pvp",Inputs!$B$43&gt;0),IF(MAX(0,Inputs!$B$43-B2440)&lt;=0,0,(INT(MAX(0,Inputs!$B$43-B2440)/(IF(Inputs!$B$38="pvp",15,MAX(0.1,Skills!E16-IF(TRUE=TRUE,Inputs!$B$32,0)))*(1-IF(AND(ArtifactsInput!$M$27,Inputs!$B$4="Chapter Hunt"),CHOOSE(ArtifactsInput!$N$27+1,20,24,28,32,36,40),0)/100)))+1)),0)</f>
        <v>2</v>
      </c>
      <c r="S2418">
        <f>IF(C2418,(H2418*N2418*IF(AND(Inputs!$B$38&lt;&gt;"pvp",Inputs!$B$43&gt;0),((Skills!G16*((R2418-1)*IF(Skills!H16&gt;0,Skills!I16/Skills!H16,1)+IF(Skills!H16&gt;0,MIN(Skills!I16,MAX(0,MAX(0,Inputs!$B$43-B2440)-((R2418-1)*(IF(Inputs!$B$38="pvp",15,MAX(0.1,Skills!E16-IF(TRUE=TRUE,Inputs!$B$32,0)))*(1-IF(AND(ArtifactsInput!$M$27,Inputs!$B$4="Chapter Hunt"),CHOOSE(ArtifactsInput!$N$27+1,20,24,28,32,36,40),0)/100)))))/Skills!H16,1)))/Inputs!$B$43),G2418*Q2418)*(1+IF(Inputs!$B$3&gt;=126,0.05*(B2438+Q2415+(H2416*B2439)/(1+Skills!H14*H2416*B2439)+Q2426),0)*(1/Q2417)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404894898390812.12</v>
      </c>
      <c r="U2418">
        <f>IF(C2418,(H2418*N2418*IF(AND(Inputs!$B$38&lt;&gt;"pvp",Inputs!$B$43&gt;0),((Skills!G16*((R2418-1)*IF(Skills!H16&gt;0,Skills!I16/Skills!H16,1)+IF(Skills!H16&gt;0,MIN(Skills!I16,MAX(0,MAX(0,Inputs!$B$43-B2440)-((R2418-1)*(IF(Inputs!$B$38="pvp",15,MAX(0.1,Skills!E16-IF(TRUE=TRUE,Inputs!$B$32,0)))*(1-IF(AND(ArtifactsInput!$M$27,Inputs!$B$4="Chapter Hunt"),CHOOSE(ArtifactsInput!$N$27+1,20,24,28,32,36,40),0)/100)))))/Skills!H16,1)))/Inputs!$B$43),G2418*Q2418)*(1+IF(Inputs!$B$3&gt;=126,0.05*(B2438+Q2415+(H2416*B2439)/(1+Skills!H14*H2416*B2439)+Q2426),0)*(1/Q2417)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3844585628253452.5</v>
      </c>
    </row>
    <row r="2419" spans="1:21" x14ac:dyDescent="0.2">
      <c r="A2419" t="str">
        <f>Skills!A17</f>
        <v>MAGIC_GUARD</v>
      </c>
      <c r="B2419" t="str">
        <f>Skills!B17</f>
        <v>Magic Guard</v>
      </c>
      <c r="C2419" t="b">
        <f>TRUE</f>
        <v>1</v>
      </c>
      <c r="D2419">
        <f>IF(Skills!C17=1,60+Inputs!$B$25+Inputs!$B$29,IF(Skills!C17=2,90+Inputs!$B$26+Inputs!$B$29,IF(Skills!C17=3,120+Inputs!$B$27+Inputs!$B$29,MAX(0,(Inputs!$B$3-100)*3)+Inputs!$B$28+Inputs!$B$29)))</f>
        <v>127</v>
      </c>
      <c r="E2419">
        <f>INDEX(FactorTable!$B$2:$Y$301, MATCH(ROUND(MIN(300,MAX(1,D2419)),0), FactorTable!$A$2:$A$301,0), Skills!M17+1)</f>
        <v>1508</v>
      </c>
      <c r="F2419">
        <f>IF(Skills!N17=TRUE,(Skills!L17/10)*(E2419/1000),Skills!L17/10)+Skills!O17</f>
        <v>18.096</v>
      </c>
      <c r="G2419">
        <f>Calc!G17</f>
        <v>1</v>
      </c>
      <c r="H2419">
        <f>Calc!H17</f>
        <v>1</v>
      </c>
      <c r="I2419">
        <f>IF(Skills!X17&lt;&gt;"",1+(Skills!X17/10)*(Z2405/1000)/100,1)</f>
        <v>1</v>
      </c>
      <c r="O2419">
        <f>(1-Summary!$B$11)*S2419+Summary!$B$11*U2419</f>
        <v>0</v>
      </c>
      <c r="P2419">
        <f>IF(B2443=0,0,O2419/B2443)</f>
        <v>0</v>
      </c>
      <c r="Q2419">
        <f>IFERROR(1/(IF(Inputs!$B$38="pvp",15,MAX(0.1,Skills!E17-IF(TRUE=TRUE,Inputs!$B$32,0)))*(1-IF(AND(ArtifactsInput!$M$27,Inputs!$B$4="Chapter Hunt"),CHOOSE(ArtifactsInput!$N$27+1,20,24,28,32,36,40),0)/100)),0)</f>
        <v>4.7619047619047616E-2</v>
      </c>
      <c r="R2419">
        <f>IF(AND(Inputs!$B$38&lt;&gt;"pvp",Inputs!$B$43&gt;0),IF(Inputs!$B$43&lt;=0,0,(INT(Inputs!$B$43/(IF(Inputs!$B$38="pvp",15,MAX(0.1,Skills!E17-IF(TRUE=TRUE,Inputs!$B$32,0)))*(1-IF(AND(ArtifactsInput!$M$27,Inputs!$B$4="Chapter Hunt"),CHOOSE(ArtifactsInput!$N$27+1,20,24,28,32,36,40),0)/100)))+1)),0)</f>
        <v>2</v>
      </c>
      <c r="S2419">
        <v>0</v>
      </c>
      <c r="U2419">
        <v>0</v>
      </c>
    </row>
    <row r="2420" spans="1:21" x14ac:dyDescent="0.2">
      <c r="A2420" t="str">
        <f>Skills!A18</f>
        <v>NIMBLE_FEET</v>
      </c>
      <c r="B2420" t="str">
        <f>Skills!B18</f>
        <v>Nimble Feet</v>
      </c>
      <c r="C2420" t="b">
        <f>TRUE</f>
        <v>1</v>
      </c>
      <c r="D2420">
        <f>IF(Skills!C18=1,60+Inputs!$B$25+Inputs!$B$29,IF(Skills!C18=2,90+Inputs!$B$26+Inputs!$B$29,IF(Skills!C18=3,120+Inputs!$B$27+Inputs!$B$29,MAX(0,(Inputs!$B$3-100)*3)+Inputs!$B$28+Inputs!$B$29)))</f>
        <v>127</v>
      </c>
      <c r="E2420">
        <f>INDEX(FactorTable!$B$2:$Y$301, MATCH(ROUND(MIN(300,MAX(1,D2420)),0), FactorTable!$A$2:$A$301,0), Skills!M18+1)</f>
        <v>0</v>
      </c>
      <c r="F2420">
        <f>IF(Skills!N18=TRUE,(Skills!L18/10)*(E2420/1000),Skills!L18/10)+Skills!O18</f>
        <v>15</v>
      </c>
      <c r="G2420">
        <f>Calc!G18</f>
        <v>1</v>
      </c>
      <c r="H2420">
        <f>Calc!H18</f>
        <v>1</v>
      </c>
      <c r="I2420">
        <f>IF(Skills!X18&lt;&gt;"",1+(Skills!X18/10)*(Z2405/1000)/100,1)</f>
        <v>1</v>
      </c>
      <c r="O2420">
        <f>(1-Summary!$B$11)*S2420+Summary!$B$11*U2420</f>
        <v>0</v>
      </c>
      <c r="P2420">
        <f>IF(B2443=0,0,O2420/B2443)</f>
        <v>0</v>
      </c>
      <c r="Q2420">
        <f>IFERROR(1/(IF(Inputs!$B$38="pvp",15,MAX(0.1,Skills!E18-IF(TRUE=TRUE,Inputs!$B$32,0)))*(1-IF(AND(ArtifactsInput!$M$27,Inputs!$B$4="Chapter Hunt"),CHOOSE(ArtifactsInput!$N$27+1,20,24,28,32,36,40),0)/100)),0)</f>
        <v>1.6666666666666666E-2</v>
      </c>
      <c r="R2420">
        <f>IF(AND(Inputs!$B$38&lt;&gt;"pvp",Inputs!$B$43&gt;0),IF(Inputs!$B$43&lt;=0,0,(INT(Inputs!$B$43/(IF(Inputs!$B$38="pvp",15,MAX(0.1,Skills!E18-IF(TRUE=TRUE,Inputs!$B$32,0)))*(1-IF(AND(ArtifactsInput!$M$27,Inputs!$B$4="Chapter Hunt"),CHOOSE(ArtifactsInput!$N$27+1,20,24,28,32,36,40),0)/100)))+1)),0)</f>
        <v>1</v>
      </c>
      <c r="S2420">
        <v>0</v>
      </c>
      <c r="U2420">
        <v>0</v>
      </c>
    </row>
    <row r="2421" spans="1:21" x14ac:dyDescent="0.2">
      <c r="A2421" t="str">
        <f>Skills!A19</f>
        <v>INFINITY</v>
      </c>
      <c r="B2421" t="str">
        <f>Skills!B19</f>
        <v>Infinity</v>
      </c>
      <c r="C2421" t="b">
        <f>Inputs!$B$3&gt;=110</f>
        <v>1</v>
      </c>
      <c r="D2421">
        <f>IF(Skills!C19=1,60+Inputs!$B$25+Inputs!$B$29,IF(Skills!C19=2,90+Inputs!$B$26+Inputs!$B$29,IF(Skills!C19=3,120+Inputs!$B$27+Inputs!$B$29,MAX(0,(Inputs!$B$3-100)*3)+Inputs!$B$28+Inputs!$B$29)))</f>
        <v>185</v>
      </c>
      <c r="E2421">
        <f>INDEX(FactorTable!$B$2:$Y$301, MATCH(ROUND(MIN(300,MAX(1,D2421)),0), FactorTable!$A$2:$A$301,0), Skills!M19+1)</f>
        <v>1740</v>
      </c>
      <c r="F2421">
        <f>IF(Skills!N19=TRUE,(Skills!L19/10)*(E2421/1000),Skills!L19/10)+Skills!O19</f>
        <v>37.700579999999995</v>
      </c>
      <c r="G2421">
        <f>Calc!G19</f>
        <v>1</v>
      </c>
      <c r="H2421">
        <f>Calc!H19</f>
        <v>1</v>
      </c>
      <c r="I2421">
        <f>IF(Skills!X19&lt;&gt;"",1+(Skills!X19/10)*(Z2405/1000)/100,1)</f>
        <v>1</v>
      </c>
      <c r="O2421">
        <f>(1-Summary!$B$11)*S2421+Summary!$B$11*U2421</f>
        <v>0</v>
      </c>
      <c r="P2421">
        <f>IF(B2443=0,0,O2421/B2443)</f>
        <v>0</v>
      </c>
      <c r="Q2421">
        <f>IFERROR(1/(IF(Inputs!$B$38="pvp",15,MAX(0.1,Skills!E19-IF(TRUE=TRUE,Inputs!$B$32,0)))*(1-IF(AND(ArtifactsInput!$M$27,Inputs!$B$4="Chapter Hunt"),CHOOSE(ArtifactsInput!$N$27+1,20,24,28,32,36,40),0)/100)),0)</f>
        <v>3.3333333333333333E-2</v>
      </c>
      <c r="R2421">
        <f>IF(AND(Inputs!$B$38&lt;&gt;"pvp",Inputs!$B$43&gt;0),IF(Inputs!$B$43&lt;=0,0,(INT(Inputs!$B$43/(IF(Inputs!$B$38="pvp",15,MAX(0.1,Skills!E19-IF(TRUE=TRUE,Inputs!$B$32,0)))*(1-IF(AND(ArtifactsInput!$M$27,Inputs!$B$4="Chapter Hunt"),CHOOSE(ArtifactsInput!$N$27+1,20,24,28,32,36,40),0)/100)))+1)),0)</f>
        <v>2</v>
      </c>
      <c r="S2421">
        <v>0</v>
      </c>
      <c r="U2421">
        <v>0</v>
      </c>
    </row>
    <row r="2422" spans="1:21" x14ac:dyDescent="0.2">
      <c r="A2422" t="str">
        <f>Skills!A20</f>
        <v>MAGIC_CRITICAL_RATE</v>
      </c>
      <c r="B2422" t="str">
        <f>Skills!B20</f>
        <v>Magic Critical (Crit Rate)</v>
      </c>
      <c r="C2422" t="b">
        <f>TRUE</f>
        <v>1</v>
      </c>
      <c r="D2422">
        <f>IF(Skills!C20=1,60+Inputs!$B$25+Inputs!$B$29,IF(Skills!C20=2,90+Inputs!$B$26+Inputs!$B$29,IF(Skills!C20=3,120+Inputs!$B$27+Inputs!$B$29,MAX(0,(Inputs!$B$3-100)*3)+Inputs!$B$28+Inputs!$B$29)))</f>
        <v>184</v>
      </c>
      <c r="E2422">
        <f>INDEX(FactorTable!$B$2:$Y$301, MATCH(ROUND(MIN(300,MAX(1,D2422)),0), FactorTable!$A$2:$A$301,0), Skills!M20+1)</f>
        <v>1552</v>
      </c>
      <c r="F2422">
        <f>IF(Skills!N20=TRUE,(Skills!L20/10)*(E2422/1000),Skills!L20/10)+Skills!O20</f>
        <v>12.416</v>
      </c>
      <c r="G2422">
        <f>Calc!G20</f>
        <v>1</v>
      </c>
      <c r="H2422">
        <f>Calc!H20</f>
        <v>1</v>
      </c>
      <c r="I2422">
        <f>IF(Skills!X20&lt;&gt;"",1+(Skills!X20/10)*(Z2405/1000)/100,1)</f>
        <v>1</v>
      </c>
      <c r="O2422">
        <f>(1-Summary!$B$11)*S2422+Summary!$B$11*U2422</f>
        <v>0</v>
      </c>
      <c r="P2422">
        <f>IF(B2443=0,0,O2422/B2443)</f>
        <v>0</v>
      </c>
      <c r="Q2422">
        <f>IFERROR(1/(IF(Inputs!$B$38="pvp",15,MAX(0.1,Skills!E20-IF(TRUE=TRUE,Inputs!$B$32,0)))*(1-IF(AND(ArtifactsInput!$M$27,Inputs!$B$4="Chapter Hunt"),CHOOSE(ArtifactsInput!$N$27+1,20,24,28,32,36,40),0)/100)),0)</f>
        <v>10</v>
      </c>
      <c r="R2422">
        <v>0</v>
      </c>
      <c r="S2422">
        <v>0</v>
      </c>
      <c r="U2422">
        <v>0</v>
      </c>
    </row>
    <row r="2423" spans="1:21" x14ac:dyDescent="0.2">
      <c r="A2423" t="str">
        <f>Skills!A21</f>
        <v>MAGIC_CRITICAL_DAMAGE</v>
      </c>
      <c r="B2423" t="str">
        <f>Skills!B21</f>
        <v>Magic Critical (Crit Damage)</v>
      </c>
      <c r="C2423" t="b">
        <f>TRUE</f>
        <v>1</v>
      </c>
      <c r="D2423">
        <f>IF(Skills!C21=1,60+Inputs!$B$25+Inputs!$B$29,IF(Skills!C21=2,90+Inputs!$B$26+Inputs!$B$29,IF(Skills!C21=3,120+Inputs!$B$27+Inputs!$B$29,MAX(0,(Inputs!$B$3-100)*3)+Inputs!$B$28+Inputs!$B$29)))</f>
        <v>184</v>
      </c>
      <c r="E2423">
        <f>INDEX(FactorTable!$B$2:$Y$301, MATCH(ROUND(MIN(300,MAX(1,D2423)),0), FactorTable!$A$2:$A$301,0), Skills!M21+1)</f>
        <v>1552</v>
      </c>
      <c r="F2423">
        <f>IF(Skills!N21=TRUE,(Skills!L21/10)*(E2423/1000),Skills!L21/10)+Skills!O21</f>
        <v>18.624000000000002</v>
      </c>
      <c r="G2423">
        <f>Calc!G21</f>
        <v>1</v>
      </c>
      <c r="H2423">
        <f>Calc!H21</f>
        <v>1</v>
      </c>
      <c r="I2423">
        <f>IF(Skills!X21&lt;&gt;"",1+(Skills!X21/10)*(Z2405/1000)/100,1)</f>
        <v>1</v>
      </c>
      <c r="O2423">
        <f>(1-Summary!$B$11)*S2423+Summary!$B$11*U2423</f>
        <v>0</v>
      </c>
      <c r="P2423">
        <f>IF(B2443=0,0,O2423/B2443)</f>
        <v>0</v>
      </c>
      <c r="Q2423">
        <f>IFERROR(1/(IF(Inputs!$B$38="pvp",15,MAX(0.1,Skills!E21-IF(TRUE=TRUE,Inputs!$B$32,0)))*(1-IF(AND(ArtifactsInput!$M$27,Inputs!$B$4="Chapter Hunt"),CHOOSE(ArtifactsInput!$N$27+1,20,24,28,32,36,40),0)/100)),0)</f>
        <v>10</v>
      </c>
      <c r="R2423">
        <v>0</v>
      </c>
      <c r="S2423">
        <v>0</v>
      </c>
      <c r="U2423">
        <v>0</v>
      </c>
    </row>
    <row r="2424" spans="1:21" x14ac:dyDescent="0.2">
      <c r="A2424" t="str">
        <f>Skills!A22</f>
        <v>SPELL_MASTERY</v>
      </c>
      <c r="B2424" t="str">
        <f>Skills!B22</f>
        <v>Spell Mastery</v>
      </c>
      <c r="C2424" t="b">
        <f>TRUE</f>
        <v>1</v>
      </c>
      <c r="D2424">
        <f>IF(Skills!C22=1,60+Inputs!$B$25+Inputs!$B$29,IF(Skills!C22=2,90+Inputs!$B$26+Inputs!$B$29,IF(Skills!C22=3,120+Inputs!$B$27+Inputs!$B$29,MAX(0,(Inputs!$B$3-100)*3)+Inputs!$B$28+Inputs!$B$29)))</f>
        <v>168</v>
      </c>
      <c r="E2424">
        <f>INDEX(FactorTable!$B$2:$Y$301, MATCH(ROUND(MIN(300,MAX(1,D2424)),0), FactorTable!$A$2:$A$301,0), Skills!M22+1)</f>
        <v>1504</v>
      </c>
      <c r="F2424">
        <f>IF(Skills!N22=TRUE,(Skills!L22/10)*(E2424/1000),Skills!L22/10)+Skills!O22</f>
        <v>22.56</v>
      </c>
      <c r="G2424">
        <f>Calc!G22</f>
        <v>1</v>
      </c>
      <c r="H2424">
        <f>Calc!H22</f>
        <v>1</v>
      </c>
      <c r="I2424">
        <f>IF(Skills!X22&lt;&gt;"",1+(Skills!X22/10)*(Z2405/1000)/100,1)</f>
        <v>1</v>
      </c>
      <c r="O2424">
        <f>(1-Summary!$B$11)*S2424+Summary!$B$11*U2424</f>
        <v>0</v>
      </c>
      <c r="P2424">
        <f>IF(B2443=0,0,O2424/B2443)</f>
        <v>0</v>
      </c>
      <c r="Q2424">
        <f>IFERROR(1/(IF(Inputs!$B$38="pvp",15,MAX(0.1,Skills!E22-IF(TRUE=TRUE,Inputs!$B$32,0)))*(1-IF(AND(ArtifactsInput!$M$27,Inputs!$B$4="Chapter Hunt"),CHOOSE(ArtifactsInput!$N$27+1,20,24,28,32,36,40),0)/100)),0)</f>
        <v>10</v>
      </c>
      <c r="R2424">
        <v>0</v>
      </c>
      <c r="S2424">
        <v>0</v>
      </c>
      <c r="U2424">
        <v>0</v>
      </c>
    </row>
    <row r="2425" spans="1:21" x14ac:dyDescent="0.2">
      <c r="A2425" t="str">
        <f>Skills!A23</f>
        <v>ELEMENT_AMPLIFICATION</v>
      </c>
      <c r="B2425" t="str">
        <f>Skills!B23</f>
        <v>Element Amplification</v>
      </c>
      <c r="C2425" t="b">
        <f>TRUE</f>
        <v>1</v>
      </c>
      <c r="D2425">
        <f>IF(Skills!C23=1,60+Inputs!$B$25+Inputs!$B$29,IF(Skills!C23=2,90+Inputs!$B$26+Inputs!$B$29,IF(Skills!C23=3,120+Inputs!$B$27+Inputs!$B$29,MAX(0,(Inputs!$B$3-100)*3)+Inputs!$B$28+Inputs!$B$29)))</f>
        <v>185</v>
      </c>
      <c r="E2425">
        <f>INDEX(FactorTable!$B$2:$Y$301, MATCH(ROUND(MIN(300,MAX(1,D2425)),0), FactorTable!$A$2:$A$301,0), Skills!M23+1)</f>
        <v>1555</v>
      </c>
      <c r="F2425">
        <f>IF(Skills!N23=TRUE,(Skills!L23/10)*(E2425/1000),Skills!L23/10)+Skills!O23</f>
        <v>23.324999999999999</v>
      </c>
      <c r="G2425">
        <f>Calc!G23</f>
        <v>1</v>
      </c>
      <c r="H2425">
        <f>Calc!H23</f>
        <v>1</v>
      </c>
      <c r="I2425">
        <f>IF(Skills!X23&lt;&gt;"",1+(Skills!X23/10)*(Z2405/1000)/100,1)</f>
        <v>1</v>
      </c>
      <c r="O2425">
        <f>(1-Summary!$B$11)*S2425+Summary!$B$11*U2425</f>
        <v>0</v>
      </c>
      <c r="P2425">
        <f>IF(B2443=0,0,O2425/B2443)</f>
        <v>0</v>
      </c>
      <c r="Q2425">
        <f>IFERROR(1/(IF(Inputs!$B$38="pvp",15,MAX(0.1,Skills!E23-IF(TRUE=TRUE,Inputs!$B$32,0)))*(1-IF(AND(ArtifactsInput!$M$27,Inputs!$B$4="Chapter Hunt"),CHOOSE(ArtifactsInput!$N$27+1,20,24,28,32,36,40),0)/100)),0)</f>
        <v>10</v>
      </c>
      <c r="R2425">
        <v>0</v>
      </c>
      <c r="S2425">
        <v>0</v>
      </c>
      <c r="U2425">
        <v>0</v>
      </c>
    </row>
    <row r="2426" spans="1:21" x14ac:dyDescent="0.2">
      <c r="A2426" t="str">
        <f>Skills!A24</f>
        <v>IFRIT</v>
      </c>
      <c r="B2426" t="str">
        <f>Skills!B24</f>
        <v>Ifrit</v>
      </c>
      <c r="C2426" t="b">
        <f>Inputs!$B$3&gt;=115</f>
        <v>1</v>
      </c>
      <c r="D2426">
        <f>IF(Skills!C24=1,60+Inputs!$B$25+Inputs!$B$29,IF(Skills!C24=2,90+Inputs!$B$26+Inputs!$B$29,IF(Skills!C24=3,120+Inputs!$B$27+Inputs!$B$29,MAX(0,(Inputs!$B$3-100)*3)+Inputs!$B$28+Inputs!$B$29)))</f>
        <v>185</v>
      </c>
      <c r="E2426">
        <f>INDEX(FactorTable!$B$2:$Y$301, MATCH(ROUND(MIN(300,MAX(1,D2426)),0), FactorTable!$A$2:$A$301,0), Skills!M24+1)</f>
        <v>1925</v>
      </c>
      <c r="F2426">
        <f>IF(Skills!N24=TRUE,(Skills!L24/10)*(E2426/1000),Skills!L24/10)+Skills!O24</f>
        <v>6737.5</v>
      </c>
      <c r="G2426">
        <f>Calc!G24</f>
        <v>7.5</v>
      </c>
      <c r="H2426">
        <f>Calc!H24</f>
        <v>1</v>
      </c>
      <c r="I2426">
        <f>IF(Skills!X24&lt;&gt;"",1+(Skills!X24/10)*(Z2405/1000)/100,1)</f>
        <v>1</v>
      </c>
      <c r="J2426">
        <f>((Inputs!$B$6*(1+Inputs!$B$7/100))+(((Inputs!$B$12*(1+Inputs!$B$13/100))-(Inputs!$B$12*(1+Inputs!$B$13/100)))+0.25*(Inputs!$B$14-Inputs!$B$14))*(1+Inputs!$B$7/100))*(F2426/100)</f>
        <v>24331438378.718628</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137415698459699.38</v>
      </c>
      <c r="L2426">
        <f>K2426*(MIN(Inputs!$B$22+(F2424-Calc!F22),(Inputs!$B$23+(IF(ArtifactsInput!$M$15,CHOOSE(ArtifactsInput!$N$15+1,25,30,35,40,45,50)/100*(Inputs!$B$11-Inputs!$B$11),0))))/100+(Inputs!$B$23+(IF(ArtifactsInput!$M$15,CHOOSE(ArtifactsInput!$N$15+1,25,30,35,40,45,50)/100*(Inputs!$B$11-Inputs!$B$11),0)))/100)/2</f>
        <v>456907197378500.44</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2156145064429143.2</v>
      </c>
      <c r="N2426">
        <f>L2426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2156145064429143.2</v>
      </c>
      <c r="O2426">
        <f>(1-Summary!$B$11)*S2426+Summary!$B$11*U2426</f>
        <v>2466090917440832.5</v>
      </c>
      <c r="P2426">
        <f>IF(B2443=0,0,O2426/B2443)</f>
        <v>6.6312914553869617E-2</v>
      </c>
      <c r="Q2426">
        <f>IFERROR(1/(IF(Inputs!$B$38="pvp",15,MAX(0.1,Skills!E24-IF(TRUE=TRUE,Inputs!$B$32,0)))*(1-IF(AND(ArtifactsInput!$M$27,Inputs!$B$4="Chapter Hunt"),CHOOSE(ArtifactsInput!$N$27+1,20,24,28,32,36,40),0)/100)),0)</f>
        <v>1.2500000000000001E-2</v>
      </c>
      <c r="R2426">
        <f>IF(AND(Inputs!$B$38&lt;&gt;"pvp",Inputs!$B$43&gt;0),IF(MAX(0,Inputs!$B$43-B2440)&lt;=0,0,(INT(MAX(0,Inputs!$B$43-B2440)/(IF(Inputs!$B$38="pvp",15,MAX(0.1,Skills!E24-IF(TRUE=TRUE,Inputs!$B$32,0)))*(1-IF(AND(ArtifactsInput!$M$27,Inputs!$B$4="Chapter Hunt"),CHOOSE(ArtifactsInput!$N$27+1,20,24,28,32,36,40),0)/100)))+1)),0)</f>
        <v>1</v>
      </c>
      <c r="S2426">
        <f>IF(C2426,(H2426*N2426*IF(AND(Inputs!$B$38&lt;&gt;"pvp",Inputs!$B$43&gt;0),((Skills!G24*((R2426-1)*IF(Skills!H24&gt;0,Skills!I24/Skills!H24,1)+IF(Skills!H24&gt;0,MIN(Skills!I24,MAX(0,MAX(0,Inputs!$B$43-B2440)-((R2426-1)*(IF(Inputs!$B$38="pvp",15,MAX(0.1,Skills!E24-IF(TRUE=TRUE,Inputs!$B$32,0)))*(1-IF(AND(ArtifactsInput!$M$27,Inputs!$B$4="Chapter Hunt"),CHOOSE(ArtifactsInput!$N$27+1,20,24,28,32,36,40),0)/100)))))/Skills!H24,1)))/Inputs!$B$43),G2426*Q2426)*(1+IF(Inputs!$B$3&gt;=130,0.2*(Skills!I16/(1/Q2417)+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1281558722670072</v>
      </c>
      <c r="U2426">
        <f>IF(C2426,(H2426*N2426*IF(AND(Inputs!$B$38&lt;&gt;"pvp",Inputs!$B$43&gt;0),((Skills!G24*((R2426-1)*IF(Skills!H24&gt;0,Skills!I24/Skills!H24,1)+IF(Skills!H24&gt;0,MIN(Skills!I24,MAX(0,MAX(0,Inputs!$B$43-B2440)-((R2426-1)*(IF(Inputs!$B$38="pvp",15,MAX(0.1,Skills!E24-IF(TRUE=TRUE,Inputs!$B$32,0)))*(1-IF(AND(ArtifactsInput!$M$27,Inputs!$B$4="Chapter Hunt"),CHOOSE(ArtifactsInput!$N$27+1,20,24,28,32,36,40),0)/100)))))/Skills!H24,1)))/Inputs!$B$43),G2426*Q2426)*(1+IF(Inputs!$B$3&gt;=130,0.2*(Skills!I16/(1/Q2417)+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3650623112211593</v>
      </c>
    </row>
    <row r="2427" spans="1:21" x14ac:dyDescent="0.2">
      <c r="A2427" t="str">
        <f>Skills!A25</f>
        <v>BUFF_MASTERY</v>
      </c>
      <c r="B2427" t="str">
        <f>Skills!B25</f>
        <v>Buff Mastery</v>
      </c>
      <c r="C2427" t="b">
        <f>Inputs!$B$3&gt;=117</f>
        <v>1</v>
      </c>
      <c r="D2427">
        <f>IF(Skills!C25=1,60+Inputs!$B$25+Inputs!$B$29,IF(Skills!C25=2,90+Inputs!$B$26+Inputs!$B$29,IF(Skills!C25=3,120+Inputs!$B$27+Inputs!$B$29,MAX(0,(Inputs!$B$3-100)*3)+Inputs!$B$28+Inputs!$B$29)))</f>
        <v>185</v>
      </c>
      <c r="E2427">
        <f>INDEX(FactorTable!$B$2:$Y$301, MATCH(ROUND(MIN(300,MAX(1,D2427)),0), FactorTable!$A$2:$A$301,0), Skills!M25+1)</f>
        <v>1555</v>
      </c>
      <c r="F2427">
        <f>IF(Skills!N25=TRUE,(Skills!L25/10)*(E2427/1000),Skills!L25/10)+Skills!O25</f>
        <v>15.549999999999999</v>
      </c>
      <c r="G2427">
        <f>Calc!G25</f>
        <v>1</v>
      </c>
      <c r="H2427">
        <f>Calc!H25</f>
        <v>1</v>
      </c>
      <c r="I2427">
        <f>IF(Skills!X25&lt;&gt;"",1+(Skills!X25/10)*(Z2405/1000)/100,1)</f>
        <v>1</v>
      </c>
      <c r="O2427">
        <f>(1-Summary!$B$11)*S2427+Summary!$B$11*U2427</f>
        <v>0</v>
      </c>
      <c r="P2427">
        <f>IF(B2443=0,0,O2427/B2443)</f>
        <v>0</v>
      </c>
      <c r="Q2427">
        <f>IFERROR(1/(IF(Inputs!$B$38="pvp",15,MAX(0.1,Skills!E25-IF(TRUE=TRUE,Inputs!$B$32,0)))*(1-IF(AND(ArtifactsInput!$M$27,Inputs!$B$4="Chapter Hunt"),CHOOSE(ArtifactsInput!$N$27+1,20,24,28,32,36,40),0)/100)),0)</f>
        <v>10</v>
      </c>
      <c r="R2427">
        <v>0</v>
      </c>
      <c r="S2427">
        <v>0</v>
      </c>
      <c r="U2427">
        <v>0</v>
      </c>
    </row>
    <row r="2428" spans="1:21" x14ac:dyDescent="0.2">
      <c r="A2428" t="str">
        <f>Skills!A26</f>
        <v>ARCANE_AIM</v>
      </c>
      <c r="B2428" t="str">
        <f>Skills!B26</f>
        <v>Arcane Aim</v>
      </c>
      <c r="C2428" t="b">
        <f>Inputs!$B$3&gt;=120</f>
        <v>0</v>
      </c>
      <c r="D2428">
        <f>IF(Skills!C26=1,60+Inputs!$B$25+Inputs!$B$29,IF(Skills!C26=2,90+Inputs!$B$26+Inputs!$B$29,IF(Skills!C26=3,120+Inputs!$B$27+Inputs!$B$29,MAX(0,(Inputs!$B$3-100)*3)+Inputs!$B$28+Inputs!$B$29)))</f>
        <v>185</v>
      </c>
      <c r="E2428">
        <f>INDEX(FactorTable!$B$2:$Y$301, MATCH(ROUND(MIN(300,MAX(1,D2428)),0), FactorTable!$A$2:$A$301,0), Skills!M26+1)</f>
        <v>1555</v>
      </c>
      <c r="F2428">
        <f>IF(Skills!N26=TRUE,(Skills!L26/10)*(E2428/1000),Skills!L26/10)+Skills!O26</f>
        <v>4.665</v>
      </c>
      <c r="G2428">
        <f>Calc!G26</f>
        <v>1</v>
      </c>
      <c r="H2428">
        <f>Calc!H26</f>
        <v>1</v>
      </c>
      <c r="I2428">
        <f>IF(Skills!X26&lt;&gt;"",1+(Skills!X26/10)*(Z2405/1000)/100,1)</f>
        <v>1</v>
      </c>
      <c r="O2428">
        <f>(1-Summary!$B$11)*S2428+Summary!$B$11*U2428</f>
        <v>0</v>
      </c>
      <c r="P2428">
        <f>IF(B2443=0,0,O2428/B2443)</f>
        <v>0</v>
      </c>
      <c r="Q2428">
        <f>IFERROR(1/(IF(Inputs!$B$38="pvp",15,MAX(0.1,Skills!E26-IF(TRUE=TRUE,Inputs!$B$32,0)))*(1-IF(AND(ArtifactsInput!$M$27,Inputs!$B$4="Chapter Hunt"),CHOOSE(ArtifactsInput!$N$27+1,20,24,28,32,36,40),0)/100)),0)</f>
        <v>10</v>
      </c>
      <c r="R2428">
        <v>0</v>
      </c>
      <c r="S2428">
        <v>0</v>
      </c>
      <c r="U2428">
        <v>0</v>
      </c>
    </row>
    <row r="2429" spans="1:21" x14ac:dyDescent="0.2">
      <c r="A2429" t="str">
        <f>Skills!A27</f>
        <v>FERVENT_DRAIN</v>
      </c>
      <c r="B2429" t="str">
        <f>Skills!B27</f>
        <v>Fervent Drain</v>
      </c>
      <c r="C2429" t="b">
        <f>Inputs!$B$3&gt;=125</f>
        <v>0</v>
      </c>
      <c r="D2429">
        <f>IF(Skills!C27=1,60+Inputs!$B$25+Inputs!$B$29,IF(Skills!C27=2,90+Inputs!$B$26+Inputs!$B$29,IF(Skills!C27=3,120+Inputs!$B$27+Inputs!$B$29,MAX(0,(Inputs!$B$3-100)*3)+Inputs!$B$28+Inputs!$B$29)))</f>
        <v>185</v>
      </c>
      <c r="E2429">
        <f>INDEX(FactorTable!$B$2:$Y$301, MATCH(ROUND(MIN(300,MAX(1,D2429)),0), FactorTable!$A$2:$A$301,0), Skills!M27+1)</f>
        <v>1555</v>
      </c>
      <c r="F2429">
        <f>IF(Skills!N27=TRUE,(Skills!L27/10)*(E2429/1000),Skills!L27/10)+Skills!O27</f>
        <v>6.22</v>
      </c>
      <c r="G2429">
        <f>Calc!G27</f>
        <v>1</v>
      </c>
      <c r="H2429">
        <f>Calc!H27</f>
        <v>1</v>
      </c>
      <c r="I2429">
        <f>IF(Skills!X27&lt;&gt;"",1+(Skills!X27/10)*(Z2405/1000)/100,1)</f>
        <v>1</v>
      </c>
      <c r="O2429">
        <f>(1-Summary!$B$11)*S2429+Summary!$B$11*U2429</f>
        <v>0</v>
      </c>
      <c r="P2429">
        <f>IF(B2443=0,0,O2429/B2443)</f>
        <v>0</v>
      </c>
      <c r="Q2429">
        <f>IFERROR(1/(IF(Inputs!$B$38="pvp",15,MAX(0.1,Skills!E27-IF(TRUE=TRUE,Inputs!$B$32,0)))*(1-IF(AND(ArtifactsInput!$M$27,Inputs!$B$4="Chapter Hunt"),CHOOSE(ArtifactsInput!$N$27+1,20,24,28,32,36,40),0)/100)),0)</f>
        <v>10</v>
      </c>
      <c r="R2429">
        <v>0</v>
      </c>
      <c r="S2429">
        <v>0</v>
      </c>
      <c r="U2429">
        <v>0</v>
      </c>
    </row>
    <row r="2430" spans="1:21" x14ac:dyDescent="0.2">
      <c r="A2430" t="str">
        <f>Skills!A28</f>
        <v>FLAME_HAZE_FOG</v>
      </c>
      <c r="B2430" t="str">
        <f>Skills!B28</f>
        <v>Flame Haze (poison fog DoT)</v>
      </c>
      <c r="C2430" t="b">
        <f>Inputs!$B$3&gt;=118</f>
        <v>0</v>
      </c>
      <c r="D2430">
        <f>IF(Skills!C28=1,60+Inputs!$B$25+Inputs!$B$29,IF(Skills!C28=2,90+Inputs!$B$26+Inputs!$B$29,IF(Skills!C28=3,120+Inputs!$B$27+Inputs!$B$29,MAX(0,(Inputs!$B$3-100)*3)+Inputs!$B$28+Inputs!$B$29)))</f>
        <v>185</v>
      </c>
      <c r="E2430">
        <f>INDEX(FactorTable!$B$2:$Y$301, MATCH(ROUND(MIN(300,MAX(1,D2430)),0), FactorTable!$A$2:$A$301,0), Skills!M28+1)</f>
        <v>1925</v>
      </c>
      <c r="F2430">
        <f>IF(Skills!N28=TRUE,(Skills!L28/10)*(E2430/1000),Skills!L28/10)+Skills!O28</f>
        <v>134.75</v>
      </c>
      <c r="G2430">
        <f>Calc!G28</f>
        <v>50</v>
      </c>
      <c r="H2430">
        <f>Calc!H28</f>
        <v>1</v>
      </c>
      <c r="I2430">
        <f>IF(Skills!X28&lt;&gt;"",1+(Skills!X28/10)*(Z2405/1000)/100,1)</f>
        <v>1</v>
      </c>
      <c r="J2430">
        <f>((Inputs!$B$6*(1+Inputs!$B$7/100))+(((Inputs!$B$12*(1+Inputs!$B$13/100))-(Inputs!$B$12*(1+Inputs!$B$13/100)))+0.25*(Inputs!$B$14-Inputs!$B$14))*(1+Inputs!$B$7/100))*(F2430/100)</f>
        <v>486628767.57437253</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2748313969193.9868</v>
      </c>
      <c r="L2430">
        <f>K2430*(MIN(Inputs!$B$22+(F2424-Calc!F22),(Inputs!$B$23+(IF(ArtifactsInput!$M$15,CHOOSE(ArtifactsInput!$N$15+1,25,30,35,40,45,50)/100*(Inputs!$B$11-Inputs!$B$11),0))))/100+(Inputs!$B$23+(IF(ArtifactsInput!$M$15,CHOOSE(ArtifactsInput!$N$15+1,25,30,35,40,45,50)/100*(Inputs!$B$11-Inputs!$B$11),0)))/100)/2</f>
        <v>9138143947570.0059</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43122901288582.852</v>
      </c>
      <c r="N2430">
        <f>L2430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43122901288582.852</v>
      </c>
      <c r="O2430">
        <f>(1-Summary!$B$11)*S2430+Summary!$B$11*U2430</f>
        <v>0</v>
      </c>
      <c r="P2430">
        <f>IF(B2443=0,0,O2430/B2443)</f>
        <v>0</v>
      </c>
      <c r="Q2430">
        <f>IFERROR(1/(IF(Inputs!$B$38="pvp",15,MAX(0.1,Skills!E28-IF(TRUE=TRUE,Inputs!$B$32,0)))*(1-IF(AND(ArtifactsInput!$M$27,Inputs!$B$4="Chapter Hunt"),CHOOSE(ArtifactsInput!$N$27+1,20,24,28,32,36,40),0)/100)),0)</f>
        <v>0.04</v>
      </c>
      <c r="R2430">
        <f>IF(AND(Inputs!$B$38&lt;&gt;"pvp",Inputs!$B$43&gt;0),IF(MAX(0,Inputs!$B$43-B2440)&lt;=0,0,(INT(MAX(0,Inputs!$B$43-B2440)/(IF(Inputs!$B$38="pvp",15,MAX(0.1,Skills!E28-IF(TRUE=TRUE,Inputs!$B$32,0)))*(1-IF(AND(ArtifactsInput!$M$27,Inputs!$B$4="Chapter Hunt"),CHOOSE(ArtifactsInput!$N$27+1,20,24,28,32,36,40),0)/100)))+1)),0)</f>
        <v>2</v>
      </c>
      <c r="S2430">
        <f>IF(C2430,(H2430*N2430*IF(AND(Inputs!$B$38&lt;&gt;"pvp",Inputs!$B$43&gt;0),((Skills!G28*((R2430-1)*IF(Skills!H28&gt;0,Skills!I28/Skills!H28,1)+IF(Skills!H28&gt;0,MIN(Skills!I28,MAX(0,MAX(0,Inputs!$B$43-B2440)-((R2430-1)*(IF(Inputs!$B$38="pvp",15,MAX(0.1,Skills!E28-IF(TRUE=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430">
        <f>IF(C2430,(H2430*N2430*IF(AND(Inputs!$B$38&lt;&gt;"pvp",Inputs!$B$43&gt;0),((Skills!G28*((R2430-1)*IF(Skills!H28&gt;0,Skills!I28/Skills!H28,1)+IF(Skills!H28&gt;0,MIN(Skills!I28,MAX(0,MAX(0,Inputs!$B$43-B2440)-((R2430-1)*(IF(Inputs!$B$38="pvp",15,MAX(0.1,Skills!E28-IF(TRUE=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432" spans="1:21" x14ac:dyDescent="0.2">
      <c r="A2432" t="s">
        <v>356</v>
      </c>
      <c r="B2432">
        <f>1+(F2413*Skills!Z11)/100</f>
        <v>1.25</v>
      </c>
    </row>
    <row r="2433" spans="1:26" x14ac:dyDescent="0.2">
      <c r="A2433" t="s">
        <v>435</v>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1.3333008810956406</v>
      </c>
    </row>
    <row r="2434" spans="1:26" x14ac:dyDescent="0.2">
      <c r="A2434" t="s">
        <v>358</v>
      </c>
      <c r="B2434">
        <f>(1+(F2408*IF(AND(Inputs!$B$38&lt;&gt;"pvp",Inputs!$B$43&gt;0),(((R2408-1)*MIN((Skills!T6*(1+((Inputs!$B$34+(ArtifactsInput!$M$7-ArtifactsInput!$M$7)*CHOOSE(ArtifactsInput!$N$7+1,6,7.2,8.4,9.6,10.8,12)))/100)),(1/Q2408))+MIN((Skills!T6*(1+((Inputs!$B$34+(ArtifactsInput!$M$7-ArtifactsInput!$M$7)*CHOOSE(ArtifactsInput!$N$7+1,6,7.2,8.4,9.6,10.8,12)))/100)),MAX(0,Inputs!$B$43-((R2408-1)*(1/Q2408)))))/Inputs!$B$43),IF(Inputs!$B$38="pvp",MIN((Skills!T6*(1+((Inputs!$B$34+(ArtifactsInput!$M$7-ArtifactsInput!$M$7)*CHOOSE(ArtifactsInput!$N$7+1,6,7.2,8.4,9.6,10.8,12)))/100)),15)/15,MIN(1,(Skills!T6*(1+((Inputs!$B$34+(ArtifactsInput!$M$7-ArtifactsInput!$M$7)*CHOOSE(ArtifactsInput!$N$7+1,6,7.2,8.4,9.6,10.8,12)))/100))/(1/Q2408))))+F2419*IF(AND(Inputs!$B$38&lt;&gt;"pvp",Inputs!$B$43&gt;0),(((R2419-1)*MIN((Skills!T17*(1+((Inputs!$B$34+(ArtifactsInput!$M$7-ArtifactsInput!$M$7)*CHOOSE(ArtifactsInput!$N$7+1,6,7.2,8.4,9.6,10.8,12)))/100)),(1/Q2419))+MIN((Skills!T17*(1+((Inputs!$B$34+(ArtifactsInput!$M$7-ArtifactsInput!$M$7)*CHOOSE(ArtifactsInput!$N$7+1,6,7.2,8.4,9.6,10.8,12)))/100)),MAX(0,Inputs!$B$43-((R2419-1)*(1/Q2419)))))/Inputs!$B$43),IF(Inputs!$B$38="pvp",MIN((Skills!T17*(1+((Inputs!$B$34+(ArtifactsInput!$M$7-ArtifactsInput!$M$7)*CHOOSE(ArtifactsInput!$N$7+1,6,7.2,8.4,9.6,10.8,12)))/100)),15)/15,MIN(1,(Skills!T17*(1+((Inputs!$B$34+(ArtifactsInput!$M$7-ArtifactsInput!$M$7)*CHOOSE(ArtifactsInput!$N$7+1,6,7.2,8.4,9.6,10.8,12)))/100))/(1/Q2419)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MIN((Skills!T19*(1+((Inputs!$B$34+(ArtifactsInput!$M$7-ArtifactsInput!$M$7)*CHOOSE(ArtifactsInput!$N$7+1,6,7.2,8.4,9.6,10.8,12)))/100)),(1/Q2421))+MIN((Skills!T19*(1+((Inputs!$B$34+(ArtifactsInput!$M$7-ArtifactsInput!$M$7)*CHOOSE(ArtifactsInput!$N$7+1,6,7.2,8.4,9.6,10.8,12)))/100)),MAX(0,Inputs!$B$43-((R2421-1)*(1/Q2421)))))/Inputs!$B$43),IF(Inputs!$B$38="pvp",MIN((Skills!T19*(1+((Inputs!$B$34+(ArtifactsInput!$M$7-ArtifactsInput!$M$7)*CHOOSE(ArtifactsInput!$N$7+1,6,7.2,8.4,9.6,10.8,12)))/100)),15)/15,MIN(1,(Skills!T19*(1+((Inputs!$B$34+(ArtifactsInput!$M$7-ArtifactsInput!$M$7)*CHOOSE(ArtifactsInput!$N$7+1,6,7.2,8.4,9.6,10.8,12)))/100))/(1/Q2421))))/100),1)</f>
        <v>1.7965808377980694</v>
      </c>
    </row>
    <row r="2435" spans="1:26" x14ac:dyDescent="0.2">
      <c r="A2435" t="s">
        <v>359</v>
      </c>
      <c r="B2435">
        <f>F2420*IF(AND(Inputs!$B$38&lt;&gt;"pvp",Inputs!$B$43&gt;0),(((R2420-1)*MIN((Skills!T18*(1+((Inputs!$B$34+(ArtifactsInput!$M$7-ArtifactsInput!$M$7)*CHOOSE(ArtifactsInput!$N$7+1,6,7.2,8.4,9.6,10.8,12)))/100)),(1/Q2420))+MIN((Skills!T18*(1+((Inputs!$B$34+(ArtifactsInput!$M$7-ArtifactsInput!$M$7)*CHOOSE(ArtifactsInput!$N$7+1,6,7.2,8.4,9.6,10.8,12)))/100)),MAX(0,Inputs!$B$43-((R2420-1)*(1/Q2420)))))/Inputs!$B$43),IF(Inputs!$B$38="pvp",MIN((Skills!T18*(1+((Inputs!$B$34+(ArtifactsInput!$M$7-ArtifactsInput!$M$7)*CHOOSE(ArtifactsInput!$N$7+1,6,7.2,8.4,9.6,10.8,12)))/100)),15)/15,MIN(1,(Skills!T18*(1+((Inputs!$B$34+(ArtifactsInput!$M$7-ArtifactsInput!$M$7)*CHOOSE(ArtifactsInput!$N$7+1,6,7.2,8.4,9.6,10.8,12)))/100))/(1/Q2420))))</f>
        <v>6.4968749999999993</v>
      </c>
    </row>
    <row r="2436" spans="1:26" x14ac:dyDescent="0.2">
      <c r="A2436" t="s">
        <v>436</v>
      </c>
      <c r="B2436">
        <f>1+MIN(150,150*(1-(1-(Inputs!$B$11+(ArtifactsInput!$M$15-ArtifactsInput!$M$15)*CHOOSE(ArtifactsInput!$N$15+1,8,9.6,11.2,12.8,14.4,16))/150)*(1-B2435/150)))/100</f>
        <v>1.6982958749999999</v>
      </c>
    </row>
    <row r="2437" spans="1:26" x14ac:dyDescent="0.2">
      <c r="A2437" t="s">
        <v>437</v>
      </c>
      <c r="B2437">
        <f>IF(AND(Inputs!$B$38&lt;&gt;"pvp",Inputs!$B$43&gt;0),SUMPRODUCT((Skills!F2:F28=TRUE)*(C2404:C2430=TRUE)*R2404:R2430)/Inputs!$B$43,SUMPRODUCT((Skills!F2:F28=TRUE)*(C2404:C2430=TRUE)*Q2404:Q2430))</f>
        <v>0.47499999999999998</v>
      </c>
    </row>
    <row r="2438" spans="1:26" x14ac:dyDescent="0.2">
      <c r="A2438" t="s">
        <v>362</v>
      </c>
      <c r="B2438">
        <f>MAX(0,B2436-B2437)</f>
        <v>1.2232958749999998</v>
      </c>
    </row>
    <row r="2439" spans="1:26" x14ac:dyDescent="0.2">
      <c r="A2439" t="s">
        <v>438</v>
      </c>
      <c r="B2439">
        <f>IF(AND(Inputs!$B$38&lt;&gt;"pvp",Inputs!$B$43&gt;0),SUMPRODUCT((Skills!V2:V28=TRUE)*(C2404:C2430=TRUE)*R2404:R2430*Skills!W2:W28)/Inputs!$B$43,SUMPRODUCT((Skills!V2:V28=TRUE)*(C2404:C2430=TRUE)*Q2404:Q2430*Skills!W2:W28))+B2438</f>
        <v>1.5482958749999998</v>
      </c>
    </row>
    <row r="2440" spans="1:26" x14ac:dyDescent="0.2">
      <c r="A2440" t="s">
        <v>439</v>
      </c>
      <c r="B2440">
        <f>IF(AND(Inputs!$B$38&lt;&gt;"pvp",Inputs!$B$43&gt;0),SUMPRODUCT((Skills!T2:T28&gt;0)*(Skills!F2:F28=TRUE)*(C2404:C2430=TRUE))/B2436,0)</f>
        <v>2.3553021937358238</v>
      </c>
    </row>
    <row r="2441" spans="1:26" x14ac:dyDescent="0.2">
      <c r="A2441" t="s">
        <v>440</v>
      </c>
      <c r="B2441">
        <f>SUM(S2404:S2430)</f>
        <v>1.0697139911620556E+16</v>
      </c>
    </row>
    <row r="2442" spans="1:26" x14ac:dyDescent="0.2">
      <c r="A2442" t="s">
        <v>441</v>
      </c>
      <c r="B2442">
        <f>SUM(U2404:U2430)</f>
        <v>6.3680255020628768E+16</v>
      </c>
    </row>
    <row r="2443" spans="1:26" x14ac:dyDescent="0.2">
      <c r="A2443" s="6" t="s">
        <v>348</v>
      </c>
      <c r="B2443" s="6">
        <f>SUM(O2404:O2430)</f>
        <v>3.7188697466124664E+16</v>
      </c>
    </row>
    <row r="2446" spans="1:26" x14ac:dyDescent="0.2">
      <c r="A2446" s="6" t="s">
        <v>495</v>
      </c>
    </row>
    <row r="2447" spans="1:26" x14ac:dyDescent="0.2">
      <c r="A2447" s="5" t="s">
        <v>136</v>
      </c>
      <c r="B2447" s="5" t="s">
        <v>137</v>
      </c>
      <c r="C2447" s="5" t="s">
        <v>328</v>
      </c>
      <c r="D2447" s="5" t="s">
        <v>329</v>
      </c>
      <c r="E2447" s="5" t="s">
        <v>330</v>
      </c>
      <c r="F2447" s="5" t="s">
        <v>331</v>
      </c>
      <c r="G2447" s="5" t="s">
        <v>332</v>
      </c>
      <c r="H2447" s="5" t="s">
        <v>333</v>
      </c>
      <c r="I2447" s="5" t="s">
        <v>334</v>
      </c>
      <c r="J2447" s="5" t="s">
        <v>335</v>
      </c>
      <c r="K2447" s="5" t="s">
        <v>336</v>
      </c>
      <c r="L2447" s="5" t="s">
        <v>337</v>
      </c>
      <c r="M2447" s="5" t="s">
        <v>338</v>
      </c>
      <c r="N2447" s="5" t="s">
        <v>339</v>
      </c>
      <c r="O2447" s="5" t="s">
        <v>340</v>
      </c>
      <c r="P2447" s="5" t="s">
        <v>341</v>
      </c>
      <c r="R2447" t="s">
        <v>434</v>
      </c>
    </row>
    <row r="2448" spans="1:26" x14ac:dyDescent="0.2">
      <c r="A2448" t="str">
        <f>Skills!A2</f>
        <v>BASIC_ATTACK</v>
      </c>
      <c r="B2448" t="str">
        <f>Skills!B2</f>
        <v>Basic Attack</v>
      </c>
      <c r="C2448" t="b">
        <f>TRUE</f>
        <v>1</v>
      </c>
      <c r="F2448">
        <f>T2450+Skills!O2</f>
        <v>537.6</v>
      </c>
      <c r="G2448">
        <f>Calc!G2</f>
        <v>5</v>
      </c>
      <c r="H2448">
        <f>Calc!H2</f>
        <v>1</v>
      </c>
      <c r="I2448">
        <f>IF(Skills!X2&lt;&gt;"",1+(Skills!X2/10)*(Z2449/1000)/100,1)</f>
        <v>1</v>
      </c>
      <c r="J2448">
        <f>((Inputs!$B$6*(1+Inputs!$B$7/100))+(((Inputs!$B$12*(1+Inputs!$B$13/100))-(Inputs!$B$12*(1+Inputs!$B$13/100)))+0.25*(Inputs!$B$14-Inputs!$B$14))*(1+Inputs!$B$7/100))*(F2448/100)</f>
        <v>1941459186.9980164</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7149913968383.3955</v>
      </c>
      <c r="L2448">
        <f>K2448*(MIN(Inputs!$B$22+(F2468-Calc!F22),(Inputs!$B$23+(IF(ArtifactsInput!$M$15,CHOOSE(ArtifactsInput!$N$15+1,25,30,35,40,45,50)/100*(Inputs!$B$11-Inputs!$B$11),0))))/100+(Inputs!$B$23+(IF(ArtifactsInput!$M$15,CHOOSE(ArtifactsInput!$N$15+1,25,30,35,40,45,50)/100*(Inputs!$B$11-Inputs!$B$11),0)))/100)/2</f>
        <v>23773463944874.793</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112186976355864.14</v>
      </c>
      <c r="N2448">
        <f>L2448*(1-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112186976355864.14</v>
      </c>
      <c r="O2448">
        <f>(1-Summary!$B$11)*S2448+Summary!$B$11*U2448</f>
        <v>1.361742719479635E+16</v>
      </c>
      <c r="P2448">
        <f>IF(B2487=0,0,O2448/B2487)</f>
        <v>0.37599630556407077</v>
      </c>
      <c r="Q2448">
        <f>IFERROR(1/(IF(Inputs!$B$38="pvp",15,MAX(0.1,Skills!E2-IF(TRUE=TRUE,Inputs!$B$32,0)))*(1-IF(AND(ArtifactsInput!$M$27,Inputs!$B$4="Chapter Hunt"),CHOOSE(ArtifactsInput!$N$27+1,20,24,28,32,36,40),0)/100)),0)</f>
        <v>10</v>
      </c>
      <c r="R2448">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2449695897476592</v>
      </c>
      <c r="T2448">
        <f>MAX(0,(Inputs!$B$3-100)*3)+Inputs!$B$28+Inputs!$B$29</f>
        <v>185</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2.4785158492116108E+16</v>
      </c>
      <c r="Z2448">
        <f>MAX(0,(Inputs!$B$3-100)*3)+Inputs!$B$28+Inputs!$B$29</f>
        <v>185</v>
      </c>
    </row>
    <row r="2449" spans="1:26" x14ac:dyDescent="0.2">
      <c r="A2449" t="str">
        <f>Skills!A3</f>
        <v>IGNITE</v>
      </c>
      <c r="B2449" t="str">
        <f>Skills!B3</f>
        <v>Ignite</v>
      </c>
      <c r="C2449" t="b">
        <f>TRUE</f>
        <v>1</v>
      </c>
      <c r="D2449">
        <f>IF(Skills!C3=1,60+Inputs!$B$25+Inputs!$B$29,IF(Skills!C3=2,90+Inputs!$B$26+Inputs!$B$29,IF(Skills!C3=3,120+Inputs!$B$27+Inputs!$B$29,MAX(0,(Inputs!$B$3-100)*3)+Inputs!$B$28+Inputs!$B$29)))</f>
        <v>168</v>
      </c>
      <c r="E2449">
        <f>INDEX(FactorTable!$B$2:$Y$301, MATCH(ROUND(MIN(300,MAX(1,D2449)),0), FactorTable!$A$2:$A$301,0), Skills!M3+1)</f>
        <v>1672</v>
      </c>
      <c r="F2449">
        <f>IF(Skills!N3=TRUE,(Skills!L3/10)*(E2449/1000),Skills!L3/10)+Skills!O3</f>
        <v>121.736</v>
      </c>
      <c r="G2449">
        <f>Calc!G3</f>
        <v>3</v>
      </c>
      <c r="H2449">
        <f>Calc!H3</f>
        <v>1</v>
      </c>
      <c r="I2449">
        <f>IF(Skills!X3&lt;&gt;"",1+(Skills!X3/10)*(Z2449/1000)/100,1)</f>
        <v>4.8250000000000002</v>
      </c>
      <c r="J2449">
        <f>((Inputs!$B$6*(1+Inputs!$B$7/100))+(((Inputs!$B$12*(1+Inputs!$B$13/100))-(Inputs!$B$12*(1+Inputs!$B$13/100)))+0.25*(Inputs!$B$14-Inputs!$B$14))*(1+Inputs!$B$7/100))*(F2449/100)</f>
        <v>439630720.9605478</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11511238986599.725</v>
      </c>
      <c r="L2449">
        <f>K2449*(MIN(Inputs!$B$22+(F2468-Calc!F22),(Inputs!$B$23+(IF(ArtifactsInput!$M$15,CHOOSE(ArtifactsInput!$N$15+1,25,30,35,40,45,50)/100*(Inputs!$B$11-Inputs!$B$11),0))))/100+(Inputs!$B$23+(IF(ArtifactsInput!$M$15,CHOOSE(ArtifactsInput!$N$15+1,25,30,35,40,45,50)/100*(Inputs!$B$11-Inputs!$B$11),0)))/100)/2</f>
        <v>38274869630444.086</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180619109786065.62</v>
      </c>
      <c r="N2449">
        <f>L2449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180619109786065.62</v>
      </c>
      <c r="O2449">
        <f>(1-Summary!$B$11)*S2449+Summary!$B$11*U2449</f>
        <v>3217277893064294</v>
      </c>
      <c r="P2449">
        <f>IF(B2487=0,0,O2449/B2487)</f>
        <v>8.8833564847505916E-2</v>
      </c>
      <c r="Q2449">
        <f>IFERROR(1/(IF(Inputs!$B$38="pvp",15,MAX(0.1,Skills!E3-IF(FALSE=TRUE,Inputs!$B$32,0)))*(1-IF(AND(ArtifactsInput!$M$27,Inputs!$B$4="Chapter Hunt"),CHOOSE(ArtifactsInput!$N$27+1,20,24,28,32,36,40),0)/100)),0)</f>
        <v>1</v>
      </c>
      <c r="R2449">
        <f>IF(AND(Inputs!$B$38&lt;&gt;"pvp",Inputs!$B$43&gt;0),IF(MAX(0,Inputs!$B$43-B2484)&lt;=0,0,(INT(MAX(0,Inputs!$B$43-B2484)/(IF(Inputs!$B$38="pvp",15,MAX(0.1,Skills!E3-IF(FALSE=TRUE,Inputs!$B$32,0)))*(1-IF(AND(ArtifactsInput!$M$27,Inputs!$B$4="Chapter Hunt"),CHOOSE(ArtifactsInput!$N$27+1,20,24,28,32,36,40),0)/100)))+1)),0)</f>
        <v>38</v>
      </c>
      <c r="S2449">
        <f>IF(C2449,(H2449*N2449*IF(AND(Inputs!$B$38&lt;&gt;"pvp",Inputs!$B$43&gt;0),((Skills!G3*((R2449-1)*IF(Skills!H3&gt;0,Skills!I3/Skills!H3,1)+IF(Skills!H3&gt;0,MIN(Skills!I3,MAX(0,MAX(0,Inputs!$B$43-B2484)-((R2449-1)*(IF(Inputs!$B$38="pvp",15,MAX(0.1,Skills!E3-IF(FALSE=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1786232686229296.2</v>
      </c>
      <c r="T2449">
        <f>INDEX(FactorTable!$B$2:$Y$301, MATCH(ROUND(MIN(300,MAX(1,T2448)),0), FactorTable!$A$2:$A$301,0), 22)</f>
        <v>1740</v>
      </c>
      <c r="U2449">
        <f>IF(C2449,(H2449*N2449*IF(AND(Inputs!$B$38&lt;&gt;"pvp",Inputs!$B$43&gt;0),((Skills!G3*((R2449-1)*IF(Skills!H3&gt;0,Skills!I3/Skills!H3,1)+IF(Skills!H3&gt;0,MIN(Skills!I3,MAX(0,MAX(0,Inputs!$B$43-B2484)-((R2449-1)*(IF(Inputs!$B$38="pvp",15,MAX(0.1,Skills!E3-IF(FALSE=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4648323099899292</v>
      </c>
      <c r="Z2449">
        <f>INDEX(FactorTable!$B$2:$Y$301, MATCH(ROUND(MIN(300,MAX(1,Z2448)),0), FactorTable!$A$2:$A$301,0), 24)</f>
        <v>7650</v>
      </c>
    </row>
    <row r="2450" spans="1:26" x14ac:dyDescent="0.2">
      <c r="A2450" t="str">
        <f>Skills!A4</f>
        <v>POISON_BREATH</v>
      </c>
      <c r="B2450" t="str">
        <f>Skills!B4</f>
        <v>Poison Breath</v>
      </c>
      <c r="C2450" t="b">
        <f>TRUE</f>
        <v>1</v>
      </c>
      <c r="D2450">
        <f>IF(Skills!C4=1,60+Inputs!$B$25+Inputs!$B$29,IF(Skills!C4=2,90+Inputs!$B$26+Inputs!$B$29,IF(Skills!C4=3,120+Inputs!$B$27+Inputs!$B$29,MAX(0,(Inputs!$B$3-100)*3)+Inputs!$B$28+Inputs!$B$29)))</f>
        <v>168</v>
      </c>
      <c r="E2450">
        <f>INDEX(FactorTable!$B$2:$Y$301, MATCH(ROUND(MIN(300,MAX(1,D2450)),0), FactorTable!$A$2:$A$301,0), Skills!M4+1)</f>
        <v>1840</v>
      </c>
      <c r="F2450">
        <f>IF(Skills!N4=TRUE,(Skills!L4/10)*(E2450/1000),Skills!L4/10)+Skills!O4</f>
        <v>438</v>
      </c>
      <c r="G2450">
        <f>Calc!G4</f>
        <v>3</v>
      </c>
      <c r="H2450">
        <f>Calc!H4</f>
        <v>1</v>
      </c>
      <c r="I2450">
        <f>IF(Skills!X4&lt;&gt;"",1+(Skills!X4/10)*(Z2449/1000)/100,1)</f>
        <v>7.12</v>
      </c>
      <c r="J2450">
        <f>((Inputs!$B$6*(1+Inputs!$B$7/100))+(((Inputs!$B$12*(1+Inputs!$B$13/100))-(Inputs!$B$12*(1+Inputs!$B$13/100)))+0.25*(Inputs!$B$14-Inputs!$B$14))*(1+Inputs!$B$7/100))*(F2450/100)</f>
        <v>1581769203.69258</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61116690553771.883</v>
      </c>
      <c r="L2450">
        <f>K2450*(MIN(Inputs!$B$22+(F2468-Calc!F22),(Inputs!$B$23+(IF(ArtifactsInput!$M$15,CHOOSE(ArtifactsInput!$N$15+1,25,30,35,40,45,50)/100*(Inputs!$B$11-Inputs!$B$11),0))))/100+(Inputs!$B$23+(IF(ArtifactsInput!$M$15,CHOOSE(ArtifactsInput!$N$15+1,25,30,35,40,45,50)/100*(Inputs!$B$11-Inputs!$B$11),0)))/100)/2</f>
        <v>203212996091291.53</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958962128554804.62</v>
      </c>
      <c r="N2450">
        <f>L2450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958962128554804.62</v>
      </c>
      <c r="O2450">
        <f>(1-Summary!$B$11)*S2450+Summary!$B$11*U2450</f>
        <v>2322726145625806</v>
      </c>
      <c r="P2450">
        <f>IF(B2487=0,0,O2450/B2487)</f>
        <v>6.4133733714846403E-2</v>
      </c>
      <c r="Q2450">
        <f>IFERROR(1/(IF(Inputs!$B$38="pvp",15,MAX(0.1,Skills!E4-IF(TRUE=TRUE,Inputs!$B$32,0)))*(1-IF(AND(ArtifactsInput!$M$27,Inputs!$B$4="Chapter Hunt"),CHOOSE(ArtifactsInput!$N$27+1,20,24,28,32,36,40),0)/100)),0)</f>
        <v>5.5555555555555552E-2</v>
      </c>
      <c r="R2450">
        <f>IF(AND(Inputs!$B$38&lt;&gt;"pvp",Inputs!$B$43&gt;0),IF(MAX(0,Inputs!$B$43-B2484)&lt;=0,0,(INT(MAX(0,Inputs!$B$43-B2484)/(IF(Inputs!$B$38="pvp",15,MAX(0.1,Skills!E4-IF(TRUE=TRUE,Inputs!$B$32,0)))*(1-IF(AND(ArtifactsInput!$M$27,Inputs!$B$4="Chapter Hunt"),CHOOSE(ArtifactsInput!$N$27+1,20,24,28,32,36,40),0)/100)))+1)),0)</f>
        <v>3</v>
      </c>
      <c r="S2450">
        <f>IF(C2450,(H2450*N2450*IF(AND(Inputs!$B$38&lt;&gt;"pvp",Inputs!$B$43&gt;0),((Skills!G4*((R2450-1)*IF(Skills!H4&gt;0,Skills!I4/Skills!H4,1)+IF(Skills!H4&gt;0,MIN(Skills!I4,MAX(0,MAX(0,Inputs!$B$43-B2484)-((R2450-1)*(IF(Inputs!$B$38="pvp",15,MAX(0.1,Skills!E4-IF(TRUE=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748709681869163.75</v>
      </c>
      <c r="T2450">
        <f>290*T2449/1000</f>
        <v>504.6</v>
      </c>
      <c r="U2450">
        <f>IF(C2450,(H2450*N2450*IF(AND(Inputs!$B$38&lt;&gt;"pvp",Inputs!$B$43&gt;0),((Skills!G4*((R2450-1)*IF(Skills!H4&gt;0,Skills!I4/Skills!H4,1)+IF(Skills!H4&gt;0,MIN(Skills!I4,MAX(0,MAX(0,Inputs!$B$43-B2484)-((R2450-1)*(IF(Inputs!$B$38="pvp",15,MAX(0.1,Skills!E4-IF(TRUE=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3896742609382448</v>
      </c>
    </row>
    <row r="2451" spans="1:26" x14ac:dyDescent="0.2">
      <c r="A2451" t="str">
        <f>Skills!A5</f>
        <v>ELEMENTAL_DRAIN</v>
      </c>
      <c r="B2451" t="str">
        <f>Skills!B5</f>
        <v>Elemental Drain</v>
      </c>
      <c r="C2451" t="b">
        <f>TRUE</f>
        <v>1</v>
      </c>
      <c r="D2451">
        <f>IF(Skills!C5=1,60+Inputs!$B$25+Inputs!$B$29,IF(Skills!C5=2,90+Inputs!$B$26+Inputs!$B$29,IF(Skills!C5=3,120+Inputs!$B$27+Inputs!$B$29,MAX(0,(Inputs!$B$3-100)*3)+Inputs!$B$28+Inputs!$B$29)))</f>
        <v>168</v>
      </c>
      <c r="E2451">
        <f>INDEX(FactorTable!$B$2:$Y$301, MATCH(ROUND(MIN(300,MAX(1,D2451)),0), FactorTable!$A$2:$A$301,0), Skills!M5+1)</f>
        <v>1672</v>
      </c>
      <c r="F2451">
        <f>IF(Skills!N5=TRUE,(Skills!L5/10)*(E2451/1000),Skills!L5/10)+Skills!O5</f>
        <v>20.064</v>
      </c>
      <c r="G2451">
        <f>Calc!G5</f>
        <v>5</v>
      </c>
      <c r="H2451">
        <f>Calc!H5</f>
        <v>1</v>
      </c>
      <c r="I2451">
        <f>IF(Skills!X5&lt;&gt;"",1+(Skills!X5/10)*(Z2449/1000)/100,1)</f>
        <v>12.475</v>
      </c>
      <c r="J2451">
        <f>((Inputs!$B$6*(1+Inputs!$B$7/100))+(((Inputs!$B$12*(1+Inputs!$B$13/100))-(Inputs!$B$12*(1+Inputs!$B$13/100)))+0.25*(Inputs!$B$14-Inputs!$B$14))*(1+Inputs!$B$7/100))*(F2451/100)</f>
        <v>72458030.371890247</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4905279955782.2256</v>
      </c>
      <c r="L2451">
        <f>K2451*(MIN(Inputs!$B$22+(F2468-Calc!F22),(Inputs!$B$23+(IF(ArtifactsInput!$M$15,CHOOSE(ArtifactsInput!$N$15+1,25,30,35,40,45,50)/100*(Inputs!$B$11-Inputs!$B$11),0))))/100+(Inputs!$B$23+(IF(ArtifactsInput!$M$15,CHOOSE(ArtifactsInput!$N$15+1,25,30,35,40,45,50)/100*(Inputs!$B$11-Inputs!$B$11),0)))/100)/2</f>
        <v>16310055852975.9</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76967153570193.266</v>
      </c>
      <c r="N2451">
        <f>L2451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76967153570193.266</v>
      </c>
      <c r="O2451">
        <f>(1-Summary!$B$11)*S2451+Summary!$B$11*U2451</f>
        <v>1184524493445274.2</v>
      </c>
      <c r="P2451">
        <f>IF(B2487=0,0,O2451/B2487)</f>
        <v>3.2706386236877993E-2</v>
      </c>
      <c r="Q2451">
        <f>IFERROR(1/(IF(Inputs!$B$38="pvp",15,MAX(0.1,Skills!E5-IF(FALSE=TRUE,Inputs!$B$32,0)))*(1-IF(AND(ArtifactsInput!$M$27,Inputs!$B$4="Chapter Hunt"),CHOOSE(ArtifactsInput!$N$27+1,20,24,28,32,36,40),0)/100)),0)</f>
        <v>1</v>
      </c>
      <c r="R2451">
        <f>IF(AND(Inputs!$B$38&lt;&gt;"pvp",Inputs!$B$43&gt;0),IF(MAX(0,Inputs!$B$43-B2484)&lt;=0,0,(INT(MAX(0,Inputs!$B$43-B2484)/(IF(Inputs!$B$38="pvp",15,MAX(0.1,Skills!E5-IF(FALSE=TRUE,Inputs!$B$32,0)))*(1-IF(AND(ArtifactsInput!$M$27,Inputs!$B$4="Chapter Hunt"),CHOOSE(ArtifactsInput!$N$27+1,20,24,28,32,36,40),0)/100)))+1)),0)</f>
        <v>38</v>
      </c>
      <c r="S2451">
        <f>IF(C2451,(H2451*N2451*IF(AND(Inputs!$B$38&lt;&gt;"pvp",Inputs!$B$43&gt;0),((Skills!G5*((R2451-1)*IF(Skills!H5&gt;0,Skills!I5/Skills!H5,1)+IF(Skills!H5&gt;0,MIN(Skills!I5,MAX(0,MAX(0,Inputs!$B$43-B2484)-((R2451-1)*(IF(Inputs!$B$38="pvp",15,MAX(0.1,Skills!E5-IF(FALSE=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1268611108720710.5</v>
      </c>
      <c r="U2451">
        <f>IF(C2451,(H2451*N2451*IF(AND(Inputs!$B$38&lt;&gt;"pvp",Inputs!$B$43&gt;0),((Skills!G5*((R2451-1)*IF(Skills!H5&gt;0,Skills!I5/Skills!H5,1)+IF(Skills!H5&gt;0,MIN(Skills!I5,MAX(0,MAX(0,Inputs!$B$43-B2484)-((R2451-1)*(IF(Inputs!$B$38="pvp",15,MAX(0.1,Skills!E5-IF(FALSE=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1100437878169838.1</v>
      </c>
    </row>
    <row r="2452" spans="1:26" x14ac:dyDescent="0.2">
      <c r="A2452" t="str">
        <f>Skills!A6</f>
        <v>MEDITATION</v>
      </c>
      <c r="B2452" t="str">
        <f>Skills!B6</f>
        <v>Meditation</v>
      </c>
      <c r="C2452" t="b">
        <f>TRUE</f>
        <v>1</v>
      </c>
      <c r="D2452">
        <f>IF(Skills!C6=1,60+Inputs!$B$25+Inputs!$B$29,IF(Skills!C6=2,90+Inputs!$B$26+Inputs!$B$29,IF(Skills!C6=3,120+Inputs!$B$27+Inputs!$B$29,MAX(0,(Inputs!$B$3-100)*3)+Inputs!$B$28+Inputs!$B$29)))</f>
        <v>168</v>
      </c>
      <c r="E2452">
        <f>INDEX(FactorTable!$B$2:$Y$301, MATCH(ROUND(MIN(300,MAX(1,D2452)),0), FactorTable!$A$2:$A$301,0), Skills!M6+1)</f>
        <v>1672</v>
      </c>
      <c r="F2452">
        <f>IF(Skills!N6=TRUE,(Skills!L6/10)*(E2452/1000),Skills!L6/10)+Skills!O6</f>
        <v>33.44</v>
      </c>
      <c r="G2452">
        <f>Calc!G6</f>
        <v>1</v>
      </c>
      <c r="H2452">
        <f>Calc!H6</f>
        <v>1</v>
      </c>
      <c r="I2452">
        <f>IF(Skills!X6&lt;&gt;"",1+(Skills!X6/10)*(Z2449/1000)/100,1)</f>
        <v>1</v>
      </c>
      <c r="O2452">
        <f>(1-Summary!$B$11)*S2452+Summary!$B$11*U2452</f>
        <v>0</v>
      </c>
      <c r="P2452">
        <f>IF(B2487=0,0,O2452/B2487)</f>
        <v>0</v>
      </c>
      <c r="Q2452">
        <f>IFERROR(1/(IF(Inputs!$B$38="pvp",15,MAX(0.1,Skills!E6-IF(TRUE=TRUE,Inputs!$B$32,0)))*(1-IF(AND(ArtifactsInput!$M$27,Inputs!$B$4="Chapter Hunt"),CHOOSE(ArtifactsInput!$N$27+1,20,24,28,32,36,40),0)/100)),0)</f>
        <v>3.3333333333333333E-2</v>
      </c>
      <c r="R2452">
        <f>IF(AND(Inputs!$B$38&lt;&gt;"pvp",Inputs!$B$43&gt;0),IF(Inputs!$B$43&lt;=0,0,(INT(Inputs!$B$43/(IF(Inputs!$B$38="pvp",15,MAX(0.1,Skills!E6-IF(TRUE=TRUE,Inputs!$B$32,0)))*(1-IF(AND(ArtifactsInput!$M$27,Inputs!$B$4="Chapter Hunt"),CHOOSE(ArtifactsInput!$N$27+1,20,24,28,32,36,40),0)/100)))+1)),0)</f>
        <v>2</v>
      </c>
      <c r="S2452">
        <v>0</v>
      </c>
      <c r="U2452">
        <v>0</v>
      </c>
    </row>
    <row r="2453" spans="1:26" x14ac:dyDescent="0.2">
      <c r="A2453" t="str">
        <f>Skills!A7</f>
        <v>POISON_MIST_BURST</v>
      </c>
      <c r="B2453" t="str">
        <f>Skills!B7</f>
        <v>Poison Mist (burst)</v>
      </c>
      <c r="C2453" t="b">
        <f>TRUE</f>
        <v>1</v>
      </c>
      <c r="D2453">
        <f>IF(Skills!C7=1,60+Inputs!$B$25+Inputs!$B$29,IF(Skills!C7=2,90+Inputs!$B$26+Inputs!$B$29,IF(Skills!C7=3,120+Inputs!$B$27+Inputs!$B$29,MAX(0,(Inputs!$B$3-100)*3)+Inputs!$B$28+Inputs!$B$29)))</f>
        <v>184</v>
      </c>
      <c r="E2453">
        <f>INDEX(FactorTable!$B$2:$Y$301, MATCH(ROUND(MIN(300,MAX(1,D2453)),0), FactorTable!$A$2:$A$301,0), Skills!M7+1)</f>
        <v>1920</v>
      </c>
      <c r="F2453">
        <f>IF(Skills!N7=TRUE,(Skills!L7/10)*(E2453/1000),Skills!L7/10)+Skills!O7</f>
        <v>357.2</v>
      </c>
      <c r="G2453">
        <f>Calc!G7</f>
        <v>3</v>
      </c>
      <c r="H2453">
        <f>Calc!H7</f>
        <v>1</v>
      </c>
      <c r="I2453">
        <f>IF(Skills!X7&lt;&gt;"",1+(Skills!X7/10)*(Z2449/1000)/100,1)</f>
        <v>1.7650000000000001</v>
      </c>
      <c r="J2453">
        <f>((Inputs!$B$6*(1+Inputs!$B$7/100))+(((Inputs!$B$12*(1+Inputs!$B$13/100))-(Inputs!$B$12*(1+Inputs!$B$13/100)))+0.25*(Inputs!$B$14-Inputs!$B$14))*(1+Inputs!$B$7/100))*(F2453/100)</f>
        <v>1289972510.4086521</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12355544383673.852</v>
      </c>
      <c r="L2453">
        <f>K2453*(MIN(Inputs!$B$22+(F2468-Calc!F22),(Inputs!$B$23+(IF(ArtifactsInput!$M$15,CHOOSE(ArtifactsInput!$N$15+1,25,30,35,40,45,50)/100*(Inputs!$B$11-Inputs!$B$11),0))))/100+(Inputs!$B$23+(IF(ArtifactsInput!$M$15,CHOOSE(ArtifactsInput!$N$15+1,25,30,35,40,45,50)/100*(Inputs!$B$11-Inputs!$B$11),0)))/100)/2</f>
        <v>41082185075715.562</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193866831372301.72</v>
      </c>
      <c r="N2453">
        <f>L2453*(1-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193866831372301.72</v>
      </c>
      <c r="O2453">
        <f>(1-Summary!$B$11)*S2453+Summary!$B$11*U2453</f>
        <v>488108214687612.62</v>
      </c>
      <c r="P2453">
        <f>IF(B2487=0,0,O2453/B2487)</f>
        <v>1.3477353894585027E-2</v>
      </c>
      <c r="Q2453">
        <f>IFERROR(1/(IF(Inputs!$B$38="pvp",15,MAX(0.1,Skills!E7-IF(TRUE=TRUE,Inputs!$B$32,0)))*(1-IF(AND(ArtifactsInput!$M$27,Inputs!$B$4="Chapter Hunt"),CHOOSE(ArtifactsInput!$N$27+1,20,24,28,32,36,40),0)/100)),0)</f>
        <v>4.0816326530612242E-2</v>
      </c>
      <c r="R2453">
        <f>IF(AND(Inputs!$B$38&lt;&gt;"pvp",Inputs!$B$43&gt;0),IF(MAX(0,Inputs!$B$43-B2484)&lt;=0,0,(INT(MAX(0,Inputs!$B$43-B2484)/(IF(Inputs!$B$38="pvp",15,MAX(0.1,Skills!E7-IF(TRUE=TRUE,Inputs!$B$32,0)))*(1-IF(AND(ArtifactsInput!$M$27,Inputs!$B$4="Chapter Hunt"),CHOOSE(ArtifactsInput!$N$27+1,20,24,28,32,36,40),0)/100)))+1)),0)</f>
        <v>2</v>
      </c>
      <c r="S2453">
        <f>IF(C2453,(H2453*N2453*IF(AND(Inputs!$B$38&lt;&gt;"pvp",Inputs!$B$43&gt;0),((Skills!G7*((R2453-1)*IF(Skills!H7&gt;0,Skills!I7/Skills!H7,1)+IF(Skills!H7&gt;0,MIN(Skills!I7,MAX(0,MAX(0,Inputs!$B$43-B2484)-((R2453-1)*(IF(Inputs!$B$38="pvp",15,MAX(0.1,Skills!E7-IF(TRUE=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100907685729283.05</v>
      </c>
      <c r="U2453">
        <f>IF(C2453,(H2453*N2453*IF(AND(Inputs!$B$38&lt;&gt;"pvp",Inputs!$B$43&gt;0),((Skills!G7*((R2453-1)*IF(Skills!H7&gt;0,Skills!I7/Skills!H7,1)+IF(Skills!H7&gt;0,MIN(Skills!I7,MAX(0,MAX(0,Inputs!$B$43-B2484)-((R2453-1)*(IF(Inputs!$B$38="pvp",15,MAX(0.1,Skills!E7-IF(TRUE=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875308743645942.25</v>
      </c>
    </row>
    <row r="2454" spans="1:26" x14ac:dyDescent="0.2">
      <c r="A2454" t="str">
        <f>Skills!A8</f>
        <v>POISON_MIST_DOT</v>
      </c>
      <c r="B2454" t="str">
        <f>Skills!B8</f>
        <v>Poison Mist (fog DoT)</v>
      </c>
      <c r="C2454" t="b">
        <f>TRUE</f>
        <v>1</v>
      </c>
      <c r="D2454">
        <f>IF(Skills!C8=1,60+Inputs!$B$25+Inputs!$B$29,IF(Skills!C8=2,90+Inputs!$B$26+Inputs!$B$29,IF(Skills!C8=3,120+Inputs!$B$27+Inputs!$B$29,MAX(0,(Inputs!$B$3-100)*3)+Inputs!$B$28+Inputs!$B$29)))</f>
        <v>184</v>
      </c>
      <c r="E2454">
        <f>INDEX(FactorTable!$B$2:$Y$301, MATCH(ROUND(MIN(300,MAX(1,D2454)),0), FactorTable!$A$2:$A$301,0), Skills!M8+1)</f>
        <v>1920</v>
      </c>
      <c r="F2454">
        <f>IF(Skills!N8=TRUE,(Skills!L8/10)*(E2454/1000),Skills!L8/10)+Skills!O8</f>
        <v>134.4</v>
      </c>
      <c r="G2454">
        <f>Calc!G8</f>
        <v>50</v>
      </c>
      <c r="H2454">
        <f>Calc!H8</f>
        <v>1</v>
      </c>
      <c r="I2454">
        <f>IF(Skills!X8&lt;&gt;"",1+(Skills!X8/10)*(Z2449/1000)/100,1)</f>
        <v>1.7650000000000001</v>
      </c>
      <c r="J2454">
        <f>((Inputs!$B$6*(1+Inputs!$B$7/100))+(((Inputs!$B$12*(1+Inputs!$B$13/100))-(Inputs!$B$12*(1+Inputs!$B$13/100)))+0.25*(Inputs!$B$14-Inputs!$B$14))*(1+Inputs!$B$7/100))*(F2454/100)</f>
        <v>485364796.74950409</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4648894639321.8525</v>
      </c>
      <c r="L2454">
        <f>K2454*(MIN(Inputs!$B$22+(F2468-Calc!F22),(Inputs!$B$23+(IF(ArtifactsInput!$M$15,CHOOSE(ArtifactsInput!$N$15+1,25,30,35,40,45,50)/100*(Inputs!$B$11-Inputs!$B$11),0))))/100+(Inputs!$B$23+(IF(ArtifactsInput!$M$15,CHOOSE(ArtifactsInput!$N$15+1,25,30,35,40,45,50)/100*(Inputs!$B$11-Inputs!$B$11),0)))/100)/2</f>
        <v>15457574675745.16</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72944294894841.406</v>
      </c>
      <c r="N2454">
        <f>L2454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72944294894841.406</v>
      </c>
      <c r="O2454">
        <f>(1-Summary!$B$11)*S2454+Summary!$B$11*U2454</f>
        <v>2536335832206769.5</v>
      </c>
      <c r="P2454">
        <f>IF(B2487=0,0,O2454/B2487)</f>
        <v>7.0031797412064681E-2</v>
      </c>
      <c r="Q2454">
        <f>IFERROR(1/(IF(Inputs!$B$38="pvp",15,MAX(0.1,Skills!E8-IF(TRUE=TRUE,Inputs!$B$32,0)))*(1-IF(AND(ArtifactsInput!$M$27,Inputs!$B$4="Chapter Hunt"),CHOOSE(ArtifactsInput!$N$27+1,20,24,28,32,36,40),0)/100)),0)</f>
        <v>4.0816326530612242E-2</v>
      </c>
      <c r="R2454">
        <f>IF(AND(Inputs!$B$38&lt;&gt;"pvp",Inputs!$B$43&gt;0),IF(MAX(0,Inputs!$B$43-B2484)&lt;=0,0,(INT(MAX(0,Inputs!$B$43-B2484)/(IF(Inputs!$B$38="pvp",15,MAX(0.1,Skills!E8-IF(TRUE=TRUE,Inputs!$B$32,0)))*(1-IF(AND(ArtifactsInput!$M$27,Inputs!$B$4="Chapter Hunt"),CHOOSE(ArtifactsInput!$N$27+1,20,24,28,32,36,40),0)/100)))+1)),0)</f>
        <v>2</v>
      </c>
      <c r="S2454">
        <f>IF(C2454,(H2454*N2454*IF(AND(Inputs!$B$38&lt;&gt;"pvp",Inputs!$B$43&gt;0),((Skills!G8*((R2454-1)*IF(Skills!H8&gt;0,Skills!I8/Skills!H8,1)+IF(Skills!H8&gt;0,MIN(Skills!I8,MAX(0,MAX(0,Inputs!$B$43-B2484)-((R2454-1)*(IF(Inputs!$B$38="pvp",15,MAX(0.1,Skills!E8-IF(TRUE=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524342290006404</v>
      </c>
      <c r="U2454">
        <f>IF(C2454,(H2454*N2454*IF(AND(Inputs!$B$38&lt;&gt;"pvp",Inputs!$B$43&gt;0),((Skills!G8*((R2454-1)*IF(Skills!H8&gt;0,Skills!I8/Skills!H8,1)+IF(Skills!H8&gt;0,MIN(Skills!I8,MAX(0,MAX(0,Inputs!$B$43-B2484)-((R2454-1)*(IF(Inputs!$B$38="pvp",15,MAX(0.1,Skills!E8-IF(TRUE=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4548329374407135</v>
      </c>
    </row>
    <row r="2455" spans="1:26" x14ac:dyDescent="0.2">
      <c r="A2455" t="str">
        <f>Skills!A9</f>
        <v>MIST_ERUPTION</v>
      </c>
      <c r="B2455" t="str">
        <f>Skills!B9</f>
        <v>Mist Eruption</v>
      </c>
      <c r="C2455" t="b">
        <f>Inputs!$B$3&gt;=103</f>
        <v>1</v>
      </c>
      <c r="D2455">
        <f>IF(Skills!C9=1,60+Inputs!$B$25+Inputs!$B$29,IF(Skills!C9=2,90+Inputs!$B$26+Inputs!$B$29,IF(Skills!C9=3,120+Inputs!$B$27+Inputs!$B$29,MAX(0,(Inputs!$B$3-100)*3)+Inputs!$B$28+Inputs!$B$29)))</f>
        <v>185</v>
      </c>
      <c r="E2455">
        <f>INDEX(FactorTable!$B$2:$Y$301, MATCH(ROUND(MIN(300,MAX(1,D2455)),0), FactorTable!$A$2:$A$301,0), Skills!M9+1)</f>
        <v>1925</v>
      </c>
      <c r="F2455">
        <f>IF(Skills!N9=TRUE,(Skills!L9/10)*(E2455/1000),Skills!L9/10)+Skills!O9</f>
        <v>5775</v>
      </c>
      <c r="G2455">
        <f>Calc!G9</f>
        <v>2.5</v>
      </c>
      <c r="H2455">
        <f>Calc!H9</f>
        <v>1</v>
      </c>
      <c r="I2455">
        <f>IF(Skills!X9&lt;&gt;"",1+(Skills!X9/10)*(Z2449/1000)/100,1)</f>
        <v>1</v>
      </c>
      <c r="J2455">
        <f>((Inputs!$B$6*(1+Inputs!$B$7/100))+(((Inputs!$B$12*(1+Inputs!$B$13/100))-(Inputs!$B$12*(1+Inputs!$B$13/100)))+0.25*(Inputs!$B$14-Inputs!$B$14))*(1+Inputs!$B$7/100))*(F2455/100)</f>
        <v>20855518610.330254</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113176879055728.53</v>
      </c>
      <c r="L2455">
        <f>K2455*(MIN(Inputs!$B$22+(F2468-Calc!F22),(Inputs!$B$23+(IF(ArtifactsInput!$M$15,CHOOSE(ArtifactsInput!$N$15+1,25,30,35,40,45,50)/100*(Inputs!$B$11-Inputs!$B$11),0))))/100+(Inputs!$B$23+(IF(ArtifactsInput!$M$15,CHOOSE(ArtifactsInput!$N$15+1,25,30,35,40,45,50)/100*(Inputs!$B$11-Inputs!$B$11),0)))/100)/2</f>
        <v>376313122860297.38</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1775821626777743</v>
      </c>
      <c r="N2455">
        <f>L2455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1775821626777743</v>
      </c>
      <c r="O2455">
        <f>(1-Summary!$B$11)*S2455+Summary!$B$11*U2455</f>
        <v>3725895750683052</v>
      </c>
      <c r="P2455">
        <f>IF(B2487=0,0,O2455/B2487)</f>
        <v>0.10287721881186446</v>
      </c>
      <c r="Q2455">
        <f>IFERROR(1/(IF(Inputs!$B$38="pvp",15,MAX(0.1,Skills!E9-IF(TRUE=TRUE,Inputs!$B$32,0)))*(1-IF(AND(ArtifactsInput!$M$27,Inputs!$B$4="Chapter Hunt"),CHOOSE(ArtifactsInput!$N$27+1,20,24,28,32,36,40),0)/100)),0)</f>
        <v>4.0816326530612242E-2</v>
      </c>
      <c r="R2455">
        <f>IF(AND(Inputs!$B$38&lt;&gt;"pvp",Inputs!$B$43&gt;0),IF(MAX(0,Inputs!$B$43-B2484)&lt;=0,0,(INT(MAX(0,Inputs!$B$43-B2484)/(IF(Inputs!$B$38="pvp",15,MAX(0.1,Skills!E9-IF(TRUE=TRUE,Inputs!$B$32,0)))*(1-IF(AND(ArtifactsInput!$M$27,Inputs!$B$4="Chapter Hunt"),CHOOSE(ArtifactsInput!$N$27+1,20,24,28,32,36,40),0)/100)))+1)),0)</f>
        <v>2</v>
      </c>
      <c r="S2455">
        <f>IF(C2455,(H2455*N2455*IF(AND(Inputs!$B$38&lt;&gt;"pvp",Inputs!$B$43&gt;0),((Skills!G9*((R2455-1)*IF(Skills!H9&gt;0,Skills!I9/Skills!H9,1)+IF(Skills!H9&gt;0,MIN(Skills!I9,MAX(0,MAX(0,Inputs!$B$43-B2484)-((R2455-1)*(IF(Inputs!$B$38="pvp",15,MAX(0.1,Skills!E9-IF(TRUE=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770262630614846.12</v>
      </c>
      <c r="U2455">
        <f>IF(C2455,(H2455*N2455*IF(AND(Inputs!$B$38&lt;&gt;"pvp",Inputs!$B$43&gt;0),((Skills!G9*((R2455-1)*IF(Skills!H9&gt;0,Skills!I9/Skills!H9,1)+IF(Skills!H9&gt;0,MIN(Skills!I9,MAX(0,MAX(0,Inputs!$B$43-B2484)-((R2455-1)*(IF(Inputs!$B$38="pvp",15,MAX(0.1,Skills!E9-IF(TRUE=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6681528870751258</v>
      </c>
    </row>
    <row r="2456" spans="1:26" x14ac:dyDescent="0.2">
      <c r="A2456" t="str">
        <f>Skills!A10</f>
        <v>CREEPING_TOXIN</v>
      </c>
      <c r="B2456" t="str">
        <f>Skills!B10</f>
        <v>Creeping Toxin</v>
      </c>
      <c r="C2456" t="b">
        <f>TRUE</f>
        <v>1</v>
      </c>
      <c r="D2456">
        <f>IF(Skills!C10=1,60+Inputs!$B$25+Inputs!$B$29,IF(Skills!C10=2,90+Inputs!$B$26+Inputs!$B$29,IF(Skills!C10=3,120+Inputs!$B$27+Inputs!$B$29,MAX(0,(Inputs!$B$3-100)*3)+Inputs!$B$28+Inputs!$B$29)))</f>
        <v>184</v>
      </c>
      <c r="E2456">
        <f>INDEX(FactorTable!$B$2:$Y$301, MATCH(ROUND(MIN(300,MAX(1,D2456)),0), FactorTable!$A$2:$A$301,0), Skills!M10+1)</f>
        <v>1920</v>
      </c>
      <c r="F2456">
        <f>IF(Skills!N10=TRUE,(Skills!L10/10)*(E2456/1000),Skills!L10/10)+Skills!O10</f>
        <v>280.39999999999998</v>
      </c>
      <c r="G2456">
        <f>Calc!G10</f>
        <v>15</v>
      </c>
      <c r="H2456">
        <f>Calc!H10</f>
        <v>1</v>
      </c>
      <c r="I2456">
        <f>IF(Skills!X10&lt;&gt;"",1+(Skills!X10/10)*(Z2449/1000)/100,1)</f>
        <v>1.7650000000000001</v>
      </c>
      <c r="J2456">
        <f>((Inputs!$B$6*(1+Inputs!$B$7/100))+(((Inputs!$B$12*(1+Inputs!$B$13/100))-(Inputs!$B$12*(1+Inputs!$B$13/100)))+0.25*(Inputs!$B$14-Inputs!$B$14))*(1+Inputs!$B$7/100))*(F2456/100)</f>
        <v>1012621197.9803641</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9699033161204.2207</v>
      </c>
      <c r="L2456">
        <f>K2456*(MIN(Inputs!$B$22+(F2468-Calc!F22),(Inputs!$B$23+(IF(ArtifactsInput!$M$15,CHOOSE(ArtifactsInput!$N$15+1,25,30,35,40,45,50)/100*(Inputs!$B$11-Inputs!$B$11),0))))/100+(Inputs!$B$23+(IF(ArtifactsInput!$M$15,CHOOSE(ArtifactsInput!$N$15+1,25,30,35,40,45,50)/100*(Inputs!$B$11-Inputs!$B$11),0)))/100)/2</f>
        <v>32249285261004.035</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152184377146678.03</v>
      </c>
      <c r="N2456">
        <f>L2456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152184377146678.03</v>
      </c>
      <c r="O2456">
        <f>(1-Summary!$B$11)*S2456+Summary!$B$11*U2456</f>
        <v>364904540918162.31</v>
      </c>
      <c r="P2456">
        <f>IF(B2487=0,0,O2456/B2487)</f>
        <v>1.0075527286183094E-2</v>
      </c>
      <c r="Q2456">
        <f>IFERROR(1/(IF(Inputs!$B$38="pvp",15,MAX(0.1,Skills!E10-IF(TRUE=TRUE,Inputs!$B$32,0)))*(1-IF(AND(ArtifactsInput!$M$27,Inputs!$B$4="Chapter Hunt"),CHOOSE(ArtifactsInput!$N$27+1,20,24,28,32,36,40),0)/100)),0)</f>
        <v>3.7037037037037035E-2</v>
      </c>
      <c r="R2456">
        <f>IF(AND(Inputs!$B$38&lt;&gt;"pvp",Inputs!$B$43&gt;0),IF(MAX(0,Inputs!$B$43-B2484)&lt;=0,0,(INT(MAX(0,Inputs!$B$43-B2484)/(IF(Inputs!$B$38="pvp",15,MAX(0.1,Skills!E10-IF(TRUE=TRUE,Inputs!$B$32,0)))*(1-IF(AND(ArtifactsInput!$M$27,Inputs!$B$4="Chapter Hunt"),CHOOSE(ArtifactsInput!$N$27+1,20,24,28,32,36,40),0)/100)))+1)),0)</f>
        <v>2</v>
      </c>
      <c r="S2456">
        <f>IF(C2456,(H2456*N2456*IF(AND(Inputs!$B$38&lt;&gt;"pvp",Inputs!$B$43&gt;0),((Skills!G10*((R2456-1)*IF(Skills!H10&gt;0,Skills!I10/Skills!H10,1)+IF(Skills!H10&gt;0,MIN(Skills!I10,MAX(0,MAX(0,Inputs!$B$43-B2484)-((R2456-1)*(IF(Inputs!$B$38="pvp",15,MAX(0.1,Skills!E10-IF(TRUE=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338561164969524.94</v>
      </c>
      <c r="U2456">
        <f>IF(C2456,(H2456*N2456*IF(AND(Inputs!$B$38&lt;&gt;"pvp",Inputs!$B$43&gt;0),((Skills!G10*((R2456-1)*IF(Skills!H10&gt;0,Skills!I10/Skills!H10,1)+IF(Skills!H10&gt;0,MIN(Skills!I10,MAX(0,MAX(0,Inputs!$B$43-B2484)-((R2456-1)*(IF(Inputs!$B$38="pvp",15,MAX(0.1,Skills!E10-IF(TRUE=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391247916866799.69</v>
      </c>
    </row>
    <row r="2457" spans="1:26" x14ac:dyDescent="0.2">
      <c r="A2457" t="str">
        <f>Skills!A11</f>
        <v>BURNING_MAGIC</v>
      </c>
      <c r="B2457" t="str">
        <f>Skills!B11</f>
        <v>Burning Magic</v>
      </c>
      <c r="C2457" t="b">
        <f>TRUE</f>
        <v>1</v>
      </c>
      <c r="D2457">
        <f>IF(Skills!C11=1,60+Inputs!$B$25+Inputs!$B$29,IF(Skills!C11=2,90+Inputs!$B$26+Inputs!$B$29,IF(Skills!C11=3,120+Inputs!$B$27+Inputs!$B$29,MAX(0,(Inputs!$B$3-100)*3)+Inputs!$B$28+Inputs!$B$29)))</f>
        <v>184</v>
      </c>
      <c r="E2457">
        <f>INDEX(FactorTable!$B$2:$Y$301, MATCH(ROUND(MIN(300,MAX(1,D2457)),0), FactorTable!$A$2:$A$301,0), Skills!M11+1)</f>
        <v>0</v>
      </c>
      <c r="F2457">
        <f>IF(Skills!N11=TRUE,(Skills!L11/10)*(E2457/1000),Skills!L11/10)+Skills!O11</f>
        <v>5</v>
      </c>
      <c r="G2457">
        <f>Calc!G11</f>
        <v>1</v>
      </c>
      <c r="H2457">
        <f>Calc!H11</f>
        <v>1</v>
      </c>
      <c r="I2457">
        <f>IF(Skills!X11&lt;&gt;"",1+(Skills!X11/10)*(Z2449/1000)/100,1)</f>
        <v>1</v>
      </c>
      <c r="O2457">
        <f>(1-Summary!$B$11)*S2457+Summary!$B$11*U2457</f>
        <v>0</v>
      </c>
      <c r="P2457">
        <f>IF(B2487=0,0,O2457/B2487)</f>
        <v>0</v>
      </c>
      <c r="Q2457">
        <f>IFERROR(1/(IF(Inputs!$B$38="pvp",15,MAX(0.1,Skills!E11-IF(TRUE=TRUE,Inputs!$B$32,0)))*(1-IF(AND(ArtifactsInput!$M$27,Inputs!$B$4="Chapter Hunt"),CHOOSE(ArtifactsInput!$N$27+1,20,24,28,32,36,40),0)/100)),0)</f>
        <v>10</v>
      </c>
      <c r="R2457">
        <v>0</v>
      </c>
      <c r="S2457">
        <v>0</v>
      </c>
      <c r="U2457">
        <v>0</v>
      </c>
    </row>
    <row r="2458" spans="1:26" x14ac:dyDescent="0.2">
      <c r="A2458" t="str">
        <f>Skills!A12</f>
        <v>ELEMENTAL_DECREASE</v>
      </c>
      <c r="B2458" t="str">
        <f>Skills!B12</f>
        <v>Elemental Decrease</v>
      </c>
      <c r="C2458" t="b">
        <f>TRUE</f>
        <v>1</v>
      </c>
      <c r="D2458">
        <f>IF(Skills!C12=1,60+Inputs!$B$25+Inputs!$B$29,IF(Skills!C12=2,90+Inputs!$B$26+Inputs!$B$29,IF(Skills!C12=3,120+Inputs!$B$27+Inputs!$B$29,MAX(0,(Inputs!$B$3-100)*3)+Inputs!$B$28+Inputs!$B$29)))</f>
        <v>184</v>
      </c>
      <c r="E2458">
        <f>INDEX(FactorTable!$B$2:$Y$301, MATCH(ROUND(MIN(300,MAX(1,D2458)),0), FactorTable!$A$2:$A$301,0), Skills!M12+1)</f>
        <v>1552</v>
      </c>
      <c r="F2458">
        <f>IF(Skills!N12=TRUE,(Skills!L12/10)*(E2458/1000),Skills!L12/10)+Skills!O12</f>
        <v>18.624000000000002</v>
      </c>
      <c r="G2458">
        <f>Calc!G12</f>
        <v>1</v>
      </c>
      <c r="H2458">
        <f>Calc!H12</f>
        <v>0.5</v>
      </c>
      <c r="I2458">
        <f>IF(Skills!X12&lt;&gt;"",1+(Skills!X12/10)*(Z2449/1000)/100,1)</f>
        <v>1</v>
      </c>
      <c r="O2458">
        <f>(1-Summary!$B$11)*S2458+Summary!$B$11*U2458</f>
        <v>0</v>
      </c>
      <c r="P2458">
        <f>IF(B2487=0,0,O2458/B2487)</f>
        <v>0</v>
      </c>
      <c r="Q2458">
        <f>IFERROR(1/(IF(Inputs!$B$38="pvp",15,MAX(0.1,Skills!E12-IF(TRUE=TRUE,Inputs!$B$32,0)))*(1-IF(AND(ArtifactsInput!$M$27,Inputs!$B$4="Chapter Hunt"),CHOOSE(ArtifactsInput!$N$27+1,20,24,28,32,36,40),0)/100)),0)</f>
        <v>10</v>
      </c>
      <c r="R2458">
        <v>0</v>
      </c>
      <c r="S2458">
        <v>0</v>
      </c>
      <c r="U2458">
        <v>0</v>
      </c>
    </row>
    <row r="2459" spans="1:26" x14ac:dyDescent="0.2">
      <c r="A2459" t="str">
        <f>Skills!A13</f>
        <v>METEOR_SHOWER_BURST</v>
      </c>
      <c r="B2459" t="str">
        <f>Skills!B13</f>
        <v>Meteor Shower (burst)</v>
      </c>
      <c r="C2459" t="b">
        <f>Inputs!$B$3&gt;=105</f>
        <v>1</v>
      </c>
      <c r="D2459">
        <f>IF(Skills!C13=1,60+Inputs!$B$25+Inputs!$B$29,IF(Skills!C13=2,90+Inputs!$B$26+Inputs!$B$29,IF(Skills!C13=3,120+Inputs!$B$27+Inputs!$B$29,MAX(0,(Inputs!$B$3-100)*3)+Inputs!$B$28+Inputs!$B$29)))</f>
        <v>185</v>
      </c>
      <c r="E2459">
        <f>INDEX(FactorTable!$B$2:$Y$301, MATCH(ROUND(MIN(300,MAX(1,D2459)),0), FactorTable!$A$2:$A$301,0), Skills!M13+1)</f>
        <v>1925</v>
      </c>
      <c r="F2459">
        <f>IF(Skills!N13=TRUE,(Skills!L13/10)*(E2459/1000),Skills!L13/10)+Skills!O13</f>
        <v>1155</v>
      </c>
      <c r="G2459">
        <f>Calc!G13</f>
        <v>9</v>
      </c>
      <c r="H2459">
        <f>Calc!H13</f>
        <v>1</v>
      </c>
      <c r="I2459">
        <f>IF(Skills!X13&lt;&gt;"",1+(Skills!X13/10)*(Z2449/1000)/100,1)</f>
        <v>1</v>
      </c>
      <c r="J2459">
        <f>((Inputs!$B$6*(1+Inputs!$B$7/100))+(((Inputs!$B$12*(1+Inputs!$B$13/100))-(Inputs!$B$12*(1+Inputs!$B$13/100)))+0.25*(Inputs!$B$14-Inputs!$B$14))*(1+Inputs!$B$7/100))*(F2459/100)</f>
        <v>4171103722.0660505</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22635375811145.703</v>
      </c>
      <c r="L2459">
        <f>K2459*(MIN(Inputs!$B$22+(F2468-Calc!F22),(Inputs!$B$23+(IF(ArtifactsInput!$M$15,CHOOSE(ArtifactsInput!$N$15+1,25,30,35,40,45,50)/100*(Inputs!$B$11-Inputs!$B$11),0))))/100+(Inputs!$B$23+(IF(ArtifactsInput!$M$15,CHOOSE(ArtifactsInput!$N$15+1,25,30,35,40,45,50)/100*(Inputs!$B$11-Inputs!$B$11),0)))/100)/2</f>
        <v>75262624572059.469</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355164325355548.56</v>
      </c>
      <c r="N2459">
        <f>L2459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355164325355548.56</v>
      </c>
      <c r="O2459">
        <f>(1-Summary!$B$11)*S2459+Summary!$B$11*U2459</f>
        <v>1961039822450661.2</v>
      </c>
      <c r="P2459">
        <f>IF(B2487=0,0,O2459/B2487)</f>
        <v>5.4147065944089079E-2</v>
      </c>
      <c r="Q2459">
        <f>IFERROR(1/(IF(Inputs!$B$38="pvp",15,MAX(0.1,Skills!E13-IF(TRUE=TRUE,Inputs!$B$32,0)))*(1-IF(AND(ArtifactsInput!$M$27,Inputs!$B$4="Chapter Hunt"),CHOOSE(ArtifactsInput!$N$27+1,20,24,28,32,36,40),0)/100)),0)</f>
        <v>3.0303030303030304E-2</v>
      </c>
      <c r="R2459">
        <f>IF(AND(Inputs!$B$38&lt;&gt;"pvp",Inputs!$B$43&gt;0),IF(MAX(0,Inputs!$B$43-B2484)&lt;=0,0,(INT(MAX(0,Inputs!$B$43-B2484)/(IF(Inputs!$B$38="pvp",15,MAX(0.1,Skills!E13-IF(TRUE=TRUE,Inputs!$B$32,0)))*(1-IF(AND(ArtifactsInput!$M$27,Inputs!$B$4="Chapter Hunt"),CHOOSE(ArtifactsInput!$N$27+1,20,24,28,32,36,40),0)/100)))+1)),0)</f>
        <v>2</v>
      </c>
      <c r="S2459">
        <f>IF(C2459,(H2459*N2459*IF(AND(Inputs!$B$38&lt;&gt;"pvp",Inputs!$B$43&gt;0),((Skills!G13*((R2459-1)*IF(Skills!H13&gt;0,Skills!I13/Skills!H13,1)+IF(Skills!H13&gt;0,MIN(Skills!I13,MAX(0,MAX(0,Inputs!$B$43-B2484)-((R2459-1)*(IF(Inputs!$B$38="pvp",15,MAX(0.1,Skills!E13-IF(TRUE=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554589094042689.06</v>
      </c>
      <c r="U2459">
        <f>IF(C2459,(H2459*N2459*IF(AND(Inputs!$B$38&lt;&gt;"pvp",Inputs!$B$43&gt;0),((Skills!G13*((R2459-1)*IF(Skills!H13&gt;0,Skills!I13/Skills!H13,1)+IF(Skills!H13&gt;0,MIN(Skills!I13,MAX(0,MAX(0,Inputs!$B$43-B2484)-((R2459-1)*(IF(Inputs!$B$38="pvp",15,MAX(0.1,Skills!E13-IF(TRUE=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3367490550858633.5</v>
      </c>
    </row>
    <row r="2460" spans="1:26" x14ac:dyDescent="0.2">
      <c r="A2460" t="str">
        <f>Skills!A14</f>
        <v>METEOR_PROC</v>
      </c>
      <c r="B2460" t="str">
        <f>Skills!B14</f>
        <v>Meteor Proc (30% on-hit, 1s ICD)</v>
      </c>
      <c r="C2460" t="b">
        <f>Inputs!$B$3&gt;=113</f>
        <v>1</v>
      </c>
      <c r="D2460">
        <f>IF(Skills!C14=1,60+Inputs!$B$25+Inputs!$B$29,IF(Skills!C14=2,90+Inputs!$B$26+Inputs!$B$29,IF(Skills!C14=3,120+Inputs!$B$27+Inputs!$B$29,MAX(0,(Inputs!$B$3-100)*3)+Inputs!$B$28+Inputs!$B$29)))</f>
        <v>185</v>
      </c>
      <c r="E2460">
        <f>INDEX(FactorTable!$B$2:$Y$301, MATCH(ROUND(MIN(300,MAX(1,D2460)),0), FactorTable!$A$2:$A$301,0), Skills!M14+1)</f>
        <v>1740</v>
      </c>
      <c r="F2460">
        <f>IF(Skills!N14=TRUE,(Skills!L14/10)*(E2460/1000),Skills!L14/10)+Skills!O14</f>
        <v>1653</v>
      </c>
      <c r="G2460">
        <f>Calc!G14</f>
        <v>0</v>
      </c>
      <c r="H2460">
        <f>Calc!H14</f>
        <v>0.30000000000000004</v>
      </c>
      <c r="I2460">
        <f>IF(Skills!X14&lt;&gt;"",1+(Skills!X14/10)*(Z2449/1000)/100,1)</f>
        <v>1</v>
      </c>
      <c r="J2460">
        <f>((Inputs!$B$6*(1+Inputs!$B$7/100))+(((Inputs!$B$12*(1+Inputs!$B$13/100))-(Inputs!$B$12*(1+Inputs!$B$13/100)))+0.25*(Inputs!$B$14-Inputs!$B$14))*(1+Inputs!$B$7/100))*(F2460/100)</f>
        <v>5969553638.5932312</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32395044342704.621</v>
      </c>
      <c r="L2460">
        <f>K2460*(MIN(Inputs!$B$22+(F2468-Calc!F22),(Inputs!$B$23+(IF(ArtifactsInput!$M$15,CHOOSE(ArtifactsInput!$N$15+1,25,30,35,40,45,50)/100*(Inputs!$B$11-Inputs!$B$11),0))))/100+(Inputs!$B$23+(IF(ArtifactsInput!$M$15,CHOOSE(ArtifactsInput!$N$15+1,25,30,35,40,45,50)/100*(Inputs!$B$11-Inputs!$B$11),0)))/100)/2</f>
        <v>107713522439492.88</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508300112391966.81</v>
      </c>
      <c r="N2460">
        <f>L2460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508300112391966.81</v>
      </c>
      <c r="O2460">
        <f>(1-Summary!$B$11)*S2460+Summary!$B$11*U2460</f>
        <v>522341321956521.38</v>
      </c>
      <c r="P2460">
        <f>IF(B2487=0,0,O2460/B2487)</f>
        <v>1.4422578104486208E-2</v>
      </c>
      <c r="Q2460">
        <f>IFERROR(1/(IF(Inputs!$B$38="pvp",15,MAX(0.1,Skills!E14-IF(TRUE=TRUE,Inputs!$B$32,0)))*(1-IF(AND(ArtifactsInput!$M$27,Inputs!$B$4="Chapter Hunt"),CHOOSE(ArtifactsInput!$N$27+1,20,24,28,32,36,40),0)/100)),0)</f>
        <v>10</v>
      </c>
      <c r="R2460">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559421107157138.62</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485261536755904.06</v>
      </c>
    </row>
    <row r="2461" spans="1:26" x14ac:dyDescent="0.2">
      <c r="A2461" t="str">
        <f>Skills!A15</f>
        <v>FLAME_HAZE_BURST</v>
      </c>
      <c r="B2461" t="str">
        <f>Skills!B15</f>
        <v>Flame Haze (burst)</v>
      </c>
      <c r="C2461" t="b">
        <f>Inputs!$B$3&gt;=107</f>
        <v>1</v>
      </c>
      <c r="D2461">
        <f>IF(Skills!C15=1,60+Inputs!$B$25+Inputs!$B$29,IF(Skills!C15=2,90+Inputs!$B$26+Inputs!$B$29,IF(Skills!C15=3,120+Inputs!$B$27+Inputs!$B$29,MAX(0,(Inputs!$B$3-100)*3)+Inputs!$B$28+Inputs!$B$29)))</f>
        <v>185</v>
      </c>
      <c r="E2461">
        <f>INDEX(FactorTable!$B$2:$Y$301, MATCH(ROUND(MIN(300,MAX(1,D2461)),0), FactorTable!$A$2:$A$301,0), Skills!M15+1)</f>
        <v>1925</v>
      </c>
      <c r="F2461">
        <f>IF(Skills!N15=TRUE,(Skills!L15/10)*(E2461/1000),Skills!L15/10)+Skills!O15</f>
        <v>2310</v>
      </c>
      <c r="G2461">
        <f>Calc!G15</f>
        <v>3</v>
      </c>
      <c r="H2461">
        <f>Calc!H15</f>
        <v>1</v>
      </c>
      <c r="I2461">
        <f>IF(Skills!X15&lt;&gt;"",1+(Skills!X15/10)*(Z2449/1000)/100,1)</f>
        <v>1</v>
      </c>
      <c r="J2461">
        <f>((Inputs!$B$6*(1+Inputs!$B$7/100))+(((Inputs!$B$12*(1+Inputs!$B$13/100))-(Inputs!$B$12*(1+Inputs!$B$13/100)))+0.25*(Inputs!$B$14-Inputs!$B$14))*(1+Inputs!$B$7/100))*(F2461/100)</f>
        <v>8342207444.1321011</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45270751622291.406</v>
      </c>
      <c r="L2461">
        <f>K2461*(MIN(Inputs!$B$22+(F2468-Calc!F22),(Inputs!$B$23+(IF(ArtifactsInput!$M$15,CHOOSE(ArtifactsInput!$N$15+1,25,30,35,40,45,50)/100*(Inputs!$B$11-Inputs!$B$11),0))))/100+(Inputs!$B$23+(IF(ArtifactsInput!$M$15,CHOOSE(ArtifactsInput!$N$15+1,25,30,35,40,45,50)/100*(Inputs!$B$11-Inputs!$B$11),0)))/100)/2</f>
        <v>150525249144118.94</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710328650711097.12</v>
      </c>
      <c r="N2461">
        <f>L2461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710328650711097.12</v>
      </c>
      <c r="O2461">
        <f>(1-Summary!$B$11)*S2461+Summary!$B$11*U2461</f>
        <v>1788429960327864.5</v>
      </c>
      <c r="P2461">
        <f>IF(B2487=0,0,O2461/B2487)</f>
        <v>4.9381065029694922E-2</v>
      </c>
      <c r="Q2461">
        <f>IFERROR(1/(IF(Inputs!$B$38="pvp",15,MAX(0.1,Skills!E15-IF(TRUE=TRUE,Inputs!$B$32,0)))*(1-IF(AND(ArtifactsInput!$M$27,Inputs!$B$4="Chapter Hunt"),CHOOSE(ArtifactsInput!$N$27+1,20,24,28,32,36,40),0)/100)),0)</f>
        <v>0.04</v>
      </c>
      <c r="R2461">
        <f>IF(AND(Inputs!$B$38&lt;&gt;"pvp",Inputs!$B$43&gt;0),IF(MAX(0,Inputs!$B$43-B2484)&lt;=0,0,(INT(MAX(0,Inputs!$B$43-B2484)/(IF(Inputs!$B$38="pvp",15,MAX(0.1,Skills!E15-IF(TRUE=TRUE,Inputs!$B$32,0)))*(1-IF(AND(ArtifactsInput!$M$27,Inputs!$B$4="Chapter Hunt"),CHOOSE(ArtifactsInput!$N$27+1,20,24,28,32,36,40),0)/100)))+1)),0)</f>
        <v>2</v>
      </c>
      <c r="S2461">
        <f>IF(C2461,(H2461*N2461*IF(AND(Inputs!$B$38&lt;&gt;"pvp",Inputs!$B$43&gt;0),((Skills!G15*((R2461-1)*IF(Skills!H15&gt;0,Skills!I15/Skills!H15,1)+IF(Skills!H15&gt;0,MIN(Skills!I15,MAX(0,MAX(0,Inputs!$B$43-B2484)-((R2461-1)*(IF(Inputs!$B$38="pvp",15,MAX(0.1,Skills!E15-IF(TRUE=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369726062695126.06</v>
      </c>
      <c r="U2461">
        <f>IF(C2461,(H2461*N2461*IF(AND(Inputs!$B$38&lt;&gt;"pvp",Inputs!$B$43&gt;0),((Skills!G15*((R2461-1)*IF(Skills!H15&gt;0,Skills!I15/Skills!H15,1)+IF(Skills!H15&gt;0,MIN(Skills!I15,MAX(0,MAX(0,Inputs!$B$43-B2484)-((R2461-1)*(IF(Inputs!$B$38="pvp",15,MAX(0.1,Skills!E15-IF(TRUE=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3207133857960603</v>
      </c>
    </row>
    <row r="2462" spans="1:26" x14ac:dyDescent="0.2">
      <c r="A2462" t="str">
        <f>Skills!A16</f>
        <v>FLAME_HAZE_DOT</v>
      </c>
      <c r="B2462" t="str">
        <f>Skills!B16</f>
        <v>Flame Haze (burn DoT)</v>
      </c>
      <c r="C2462" t="b">
        <f>Inputs!$B$3&gt;=107</f>
        <v>1</v>
      </c>
      <c r="D2462">
        <f>IF(Skills!C16=1,60+Inputs!$B$25+Inputs!$B$29,IF(Skills!C16=2,90+Inputs!$B$26+Inputs!$B$29,IF(Skills!C16=3,120+Inputs!$B$27+Inputs!$B$29,MAX(0,(Inputs!$B$3-100)*3)+Inputs!$B$28+Inputs!$B$29)))</f>
        <v>185</v>
      </c>
      <c r="E2462">
        <f>INDEX(FactorTable!$B$2:$Y$301, MATCH(ROUND(MIN(300,MAX(1,D2462)),0), FactorTable!$A$2:$A$301,0), Skills!M16+1)</f>
        <v>1925</v>
      </c>
      <c r="F2462">
        <f>IF(Skills!N16=TRUE,(Skills!L16/10)*(E2462/1000),Skills!L16/10)+Skills!O16</f>
        <v>288.75</v>
      </c>
      <c r="G2462">
        <f>Calc!G16</f>
        <v>30</v>
      </c>
      <c r="H2462">
        <f>Calc!H16</f>
        <v>1</v>
      </c>
      <c r="I2462">
        <f>IF(Skills!X16&lt;&gt;"",1+(Skills!X16/10)*(Z2449/1000)/100,1)</f>
        <v>1</v>
      </c>
      <c r="J2462">
        <f>((Inputs!$B$6*(1+Inputs!$B$7/100))+(((Inputs!$B$12*(1+Inputs!$B$13/100))-(Inputs!$B$12*(1+Inputs!$B$13/100)))+0.25*(Inputs!$B$14-Inputs!$B$14))*(1+Inputs!$B$7/100))*(F2462/100)</f>
        <v>1042775930.5165126</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5658843952786.4258</v>
      </c>
      <c r="L2462">
        <f>K2462*(MIN(Inputs!$B$22+(F2468-Calc!F22),(Inputs!$B$23+(IF(ArtifactsInput!$M$15,CHOOSE(ArtifactsInput!$N$15+1,25,30,35,40,45,50)/100*(Inputs!$B$11-Inputs!$B$11),0))))/100+(Inputs!$B$23+(IF(ArtifactsInput!$M$15,CHOOSE(ArtifactsInput!$N$15+1,25,30,35,40,45,50)/100*(Inputs!$B$11-Inputs!$B$11),0)))/100)/2</f>
        <v>18815656143014.867</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88791081338887.141</v>
      </c>
      <c r="N2462">
        <f>L2462*(1-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88791081338887.141</v>
      </c>
      <c r="O2462">
        <f>(1-Summary!$B$11)*S2462+Summary!$B$11*U2462</f>
        <v>2060025241705535.5</v>
      </c>
      <c r="P2462">
        <f>IF(B2487=0,0,O2462/B2487)</f>
        <v>5.6880192504058173E-2</v>
      </c>
      <c r="Q2462">
        <f>IFERROR(1/(IF(Inputs!$B$38="pvp",15,MAX(0.1,Skills!E16-IF(TRUE=TRUE,Inputs!$B$32,0)))*(1-IF(AND(ArtifactsInput!$M$27,Inputs!$B$4="Chapter Hunt"),CHOOSE(ArtifactsInput!$N$27+1,20,24,28,32,36,40),0)/100)),0)</f>
        <v>0.04</v>
      </c>
      <c r="R2462">
        <f>IF(AND(Inputs!$B$38&lt;&gt;"pvp",Inputs!$B$43&gt;0),IF(MAX(0,Inputs!$B$43-B2484)&lt;=0,0,(INT(MAX(0,Inputs!$B$43-B2484)/(IF(Inputs!$B$38="pvp",15,MAX(0.1,Skills!E16-IF(TRUE=TRUE,Inputs!$B$32,0)))*(1-IF(AND(ArtifactsInput!$M$27,Inputs!$B$4="Chapter Hunt"),CHOOSE(ArtifactsInput!$N$27+1,20,24,28,32,36,40),0)/100)))+1)),0)</f>
        <v>2</v>
      </c>
      <c r="S2462">
        <f>IF(C2462,(H2462*N2462*IF(AND(Inputs!$B$38&lt;&gt;"pvp",Inputs!$B$43&gt;0),((Skills!G16*((R2462-1)*IF(Skills!H16&gt;0,Skills!I16/Skills!H16,1)+IF(Skills!H16&gt;0,MIN(Skills!I16,MAX(0,MAX(0,Inputs!$B$43-B2484)-((R2462-1)*(IF(Inputs!$B$38="pvp",15,MAX(0.1,Skills!E16-IF(TRUE=TRUE,Inputs!$B$32,0)))*(1-IF(AND(ArtifactsInput!$M$27,Inputs!$B$4="Chapter Hunt"),CHOOSE(ArtifactsInput!$N$27+1,20,24,28,32,36,40),0)/100)))))/Skills!H16,1)))/Inputs!$B$43),G2462*Q2462)*(1+IF(Inputs!$B$3&gt;=126,0.05*(B2482+Q2459+(H2460*B2483)/(1+Skills!H14*H2460*B2483)+Q2470),0)*(1/Q2461)))*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425873553096110.12</v>
      </c>
      <c r="U2462">
        <f>IF(C2462,(H2462*N2462*IF(AND(Inputs!$B$38&lt;&gt;"pvp",Inputs!$B$43&gt;0),((Skills!G16*((R2462-1)*IF(Skills!H16&gt;0,Skills!I16/Skills!H16,1)+IF(Skills!H16&gt;0,MIN(Skills!I16,MAX(0,MAX(0,Inputs!$B$43-B2484)-((R2462-1)*(IF(Inputs!$B$38="pvp",15,MAX(0.1,Skills!E16-IF(TRUE=TRUE,Inputs!$B$32,0)))*(1-IF(AND(ArtifactsInput!$M$27,Inputs!$B$4="Chapter Hunt"),CHOOSE(ArtifactsInput!$N$27+1,20,24,28,32,36,40),0)/100)))))/Skills!H16,1)))/Inputs!$B$43),G2462*Q2462)*(1+IF(Inputs!$B$3&gt;=126,0.05*(B2482+Q2459+(H2460*B2483)/(1+Skills!H14*H2460*B2483)+Q2470),0)*(1/Q2461)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3694176930314961</v>
      </c>
    </row>
    <row r="2463" spans="1:26" x14ac:dyDescent="0.2">
      <c r="A2463" t="str">
        <f>Skills!A17</f>
        <v>MAGIC_GUARD</v>
      </c>
      <c r="B2463" t="str">
        <f>Skills!B17</f>
        <v>Magic Guard</v>
      </c>
      <c r="C2463" t="b">
        <f>TRUE</f>
        <v>1</v>
      </c>
      <c r="D2463">
        <f>IF(Skills!C17=1,60+Inputs!$B$25+Inputs!$B$29,IF(Skills!C17=2,90+Inputs!$B$26+Inputs!$B$29,IF(Skills!C17=3,120+Inputs!$B$27+Inputs!$B$29,MAX(0,(Inputs!$B$3-100)*3)+Inputs!$B$28+Inputs!$B$29)))</f>
        <v>127</v>
      </c>
      <c r="E2463">
        <f>INDEX(FactorTable!$B$2:$Y$301, MATCH(ROUND(MIN(300,MAX(1,D2463)),0), FactorTable!$A$2:$A$301,0), Skills!M17+1)</f>
        <v>1508</v>
      </c>
      <c r="F2463">
        <f>IF(Skills!N17=TRUE,(Skills!L17/10)*(E2463/1000),Skills!L17/10)+Skills!O17</f>
        <v>18.096</v>
      </c>
      <c r="G2463">
        <f>Calc!G17</f>
        <v>1</v>
      </c>
      <c r="H2463">
        <f>Calc!H17</f>
        <v>1</v>
      </c>
      <c r="I2463">
        <f>IF(Skills!X17&lt;&gt;"",1+(Skills!X17/10)*(Z2449/1000)/100,1)</f>
        <v>1</v>
      </c>
      <c r="O2463">
        <f>(1-Summary!$B$11)*S2463+Summary!$B$11*U2463</f>
        <v>0</v>
      </c>
      <c r="P2463">
        <f>IF(B2487=0,0,O2463/B2487)</f>
        <v>0</v>
      </c>
      <c r="Q2463">
        <f>IFERROR(1/(IF(Inputs!$B$38="pvp",15,MAX(0.1,Skills!E17-IF(TRUE=TRUE,Inputs!$B$32,0)))*(1-IF(AND(ArtifactsInput!$M$27,Inputs!$B$4="Chapter Hunt"),CHOOSE(ArtifactsInput!$N$27+1,20,24,28,32,36,40),0)/100)),0)</f>
        <v>4.7619047619047616E-2</v>
      </c>
      <c r="R2463">
        <f>IF(AND(Inputs!$B$38&lt;&gt;"pvp",Inputs!$B$43&gt;0),IF(Inputs!$B$43&lt;=0,0,(INT(Inputs!$B$43/(IF(Inputs!$B$38="pvp",15,MAX(0.1,Skills!E17-IF(TRUE=TRUE,Inputs!$B$32,0)))*(1-IF(AND(ArtifactsInput!$M$27,Inputs!$B$4="Chapter Hunt"),CHOOSE(ArtifactsInput!$N$27+1,20,24,28,32,36,40),0)/100)))+1)),0)</f>
        <v>2</v>
      </c>
      <c r="S2463">
        <v>0</v>
      </c>
      <c r="U2463">
        <v>0</v>
      </c>
    </row>
    <row r="2464" spans="1:26" x14ac:dyDescent="0.2">
      <c r="A2464" t="str">
        <f>Skills!A18</f>
        <v>NIMBLE_FEET</v>
      </c>
      <c r="B2464" t="str">
        <f>Skills!B18</f>
        <v>Nimble Feet</v>
      </c>
      <c r="C2464" t="b">
        <f>TRUE</f>
        <v>1</v>
      </c>
      <c r="D2464">
        <f>IF(Skills!C18=1,60+Inputs!$B$25+Inputs!$B$29,IF(Skills!C18=2,90+Inputs!$B$26+Inputs!$B$29,IF(Skills!C18=3,120+Inputs!$B$27+Inputs!$B$29,MAX(0,(Inputs!$B$3-100)*3)+Inputs!$B$28+Inputs!$B$29)))</f>
        <v>127</v>
      </c>
      <c r="E2464">
        <f>INDEX(FactorTable!$B$2:$Y$301, MATCH(ROUND(MIN(300,MAX(1,D2464)),0), FactorTable!$A$2:$A$301,0), Skills!M18+1)</f>
        <v>0</v>
      </c>
      <c r="F2464">
        <f>IF(Skills!N18=TRUE,(Skills!L18/10)*(E2464/1000),Skills!L18/10)+Skills!O18</f>
        <v>15</v>
      </c>
      <c r="G2464">
        <f>Calc!G18</f>
        <v>1</v>
      </c>
      <c r="H2464">
        <f>Calc!H18</f>
        <v>1</v>
      </c>
      <c r="I2464">
        <f>IF(Skills!X18&lt;&gt;"",1+(Skills!X18/10)*(Z2449/1000)/100,1)</f>
        <v>1</v>
      </c>
      <c r="O2464">
        <f>(1-Summary!$B$11)*S2464+Summary!$B$11*U2464</f>
        <v>0</v>
      </c>
      <c r="P2464">
        <f>IF(B2487=0,0,O2464/B2487)</f>
        <v>0</v>
      </c>
      <c r="Q2464">
        <f>IFERROR(1/(IF(Inputs!$B$38="pvp",15,MAX(0.1,Skills!E18-IF(TRUE=TRUE,Inputs!$B$32,0)))*(1-IF(AND(ArtifactsInput!$M$27,Inputs!$B$4="Chapter Hunt"),CHOOSE(ArtifactsInput!$N$27+1,20,24,28,32,36,40),0)/100)),0)</f>
        <v>1.6666666666666666E-2</v>
      </c>
      <c r="R2464">
        <f>IF(AND(Inputs!$B$38&lt;&gt;"pvp",Inputs!$B$43&gt;0),IF(Inputs!$B$43&lt;=0,0,(INT(Inputs!$B$43/(IF(Inputs!$B$38="pvp",15,MAX(0.1,Skills!E18-IF(TRUE=TRUE,Inputs!$B$32,0)))*(1-IF(AND(ArtifactsInput!$M$27,Inputs!$B$4="Chapter Hunt"),CHOOSE(ArtifactsInput!$N$27+1,20,24,28,32,36,40),0)/100)))+1)),0)</f>
        <v>1</v>
      </c>
      <c r="S2464">
        <v>0</v>
      </c>
      <c r="U2464">
        <v>0</v>
      </c>
    </row>
    <row r="2465" spans="1:21" x14ac:dyDescent="0.2">
      <c r="A2465" t="str">
        <f>Skills!A19</f>
        <v>INFINITY</v>
      </c>
      <c r="B2465" t="str">
        <f>Skills!B19</f>
        <v>Infinity</v>
      </c>
      <c r="C2465" t="b">
        <f>Inputs!$B$3&gt;=110</f>
        <v>1</v>
      </c>
      <c r="D2465">
        <f>IF(Skills!C19=1,60+Inputs!$B$25+Inputs!$B$29,IF(Skills!C19=2,90+Inputs!$B$26+Inputs!$B$29,IF(Skills!C19=3,120+Inputs!$B$27+Inputs!$B$29,MAX(0,(Inputs!$B$3-100)*3)+Inputs!$B$28+Inputs!$B$29)))</f>
        <v>185</v>
      </c>
      <c r="E2465">
        <f>INDEX(FactorTable!$B$2:$Y$301, MATCH(ROUND(MIN(300,MAX(1,D2465)),0), FactorTable!$A$2:$A$301,0), Skills!M19+1)</f>
        <v>1740</v>
      </c>
      <c r="F2465">
        <f>IF(Skills!N19=TRUE,(Skills!L19/10)*(E2465/1000),Skills!L19/10)+Skills!O19</f>
        <v>37.700579999999995</v>
      </c>
      <c r="G2465">
        <f>Calc!G19</f>
        <v>1</v>
      </c>
      <c r="H2465">
        <f>Calc!H19</f>
        <v>1</v>
      </c>
      <c r="I2465">
        <f>IF(Skills!X19&lt;&gt;"",1+(Skills!X19/10)*(Z2449/1000)/100,1)</f>
        <v>1</v>
      </c>
      <c r="O2465">
        <f>(1-Summary!$B$11)*S2465+Summary!$B$11*U2465</f>
        <v>0</v>
      </c>
      <c r="P2465">
        <f>IF(B2487=0,0,O2465/B2487)</f>
        <v>0</v>
      </c>
      <c r="Q2465">
        <f>IFERROR(1/(IF(Inputs!$B$38="pvp",15,MAX(0.1,Skills!E19-IF(TRUE=TRUE,Inputs!$B$32,0)))*(1-IF(AND(ArtifactsInput!$M$27,Inputs!$B$4="Chapter Hunt"),CHOOSE(ArtifactsInput!$N$27+1,20,24,28,32,36,40),0)/100)),0)</f>
        <v>3.3333333333333333E-2</v>
      </c>
      <c r="R2465">
        <f>IF(AND(Inputs!$B$38&lt;&gt;"pvp",Inputs!$B$43&gt;0),IF(Inputs!$B$43&lt;=0,0,(INT(Inputs!$B$43/(IF(Inputs!$B$38="pvp",15,MAX(0.1,Skills!E19-IF(TRUE=TRUE,Inputs!$B$32,0)))*(1-IF(AND(ArtifactsInput!$M$27,Inputs!$B$4="Chapter Hunt"),CHOOSE(ArtifactsInput!$N$27+1,20,24,28,32,36,40),0)/100)))+1)),0)</f>
        <v>2</v>
      </c>
      <c r="S2465">
        <v>0</v>
      </c>
      <c r="U2465">
        <v>0</v>
      </c>
    </row>
    <row r="2466" spans="1:21" x14ac:dyDescent="0.2">
      <c r="A2466" t="str">
        <f>Skills!A20</f>
        <v>MAGIC_CRITICAL_RATE</v>
      </c>
      <c r="B2466" t="str">
        <f>Skills!B20</f>
        <v>Magic Critical (Crit Rate)</v>
      </c>
      <c r="C2466" t="b">
        <f>TRUE</f>
        <v>1</v>
      </c>
      <c r="D2466">
        <f>IF(Skills!C20=1,60+Inputs!$B$25+Inputs!$B$29,IF(Skills!C20=2,90+Inputs!$B$26+Inputs!$B$29,IF(Skills!C20=3,120+Inputs!$B$27+Inputs!$B$29,MAX(0,(Inputs!$B$3-100)*3)+Inputs!$B$28+Inputs!$B$29)))</f>
        <v>184</v>
      </c>
      <c r="E2466">
        <f>INDEX(FactorTable!$B$2:$Y$301, MATCH(ROUND(MIN(300,MAX(1,D2466)),0), FactorTable!$A$2:$A$301,0), Skills!M20+1)</f>
        <v>1552</v>
      </c>
      <c r="F2466">
        <f>IF(Skills!N20=TRUE,(Skills!L20/10)*(E2466/1000),Skills!L20/10)+Skills!O20</f>
        <v>12.416</v>
      </c>
      <c r="G2466">
        <f>Calc!G20</f>
        <v>1</v>
      </c>
      <c r="H2466">
        <f>Calc!H20</f>
        <v>1</v>
      </c>
      <c r="I2466">
        <f>IF(Skills!X20&lt;&gt;"",1+(Skills!X20/10)*(Z2449/1000)/100,1)</f>
        <v>1</v>
      </c>
      <c r="O2466">
        <f>(1-Summary!$B$11)*S2466+Summary!$B$11*U2466</f>
        <v>0</v>
      </c>
      <c r="P2466">
        <f>IF(B2487=0,0,O2466/B2487)</f>
        <v>0</v>
      </c>
      <c r="Q2466">
        <f>IFERROR(1/(IF(Inputs!$B$38="pvp",15,MAX(0.1,Skills!E20-IF(TRUE=TRUE,Inputs!$B$32,0)))*(1-IF(AND(ArtifactsInput!$M$27,Inputs!$B$4="Chapter Hunt"),CHOOSE(ArtifactsInput!$N$27+1,20,24,28,32,36,40),0)/100)),0)</f>
        <v>10</v>
      </c>
      <c r="R2466">
        <v>0</v>
      </c>
      <c r="S2466">
        <v>0</v>
      </c>
      <c r="U2466">
        <v>0</v>
      </c>
    </row>
    <row r="2467" spans="1:21" x14ac:dyDescent="0.2">
      <c r="A2467" t="str">
        <f>Skills!A21</f>
        <v>MAGIC_CRITICAL_DAMAGE</v>
      </c>
      <c r="B2467" t="str">
        <f>Skills!B21</f>
        <v>Magic Critical (Crit Damage)</v>
      </c>
      <c r="C2467" t="b">
        <f>TRUE</f>
        <v>1</v>
      </c>
      <c r="D2467">
        <f>IF(Skills!C21=1,60+Inputs!$B$25+Inputs!$B$29,IF(Skills!C21=2,90+Inputs!$B$26+Inputs!$B$29,IF(Skills!C21=3,120+Inputs!$B$27+Inputs!$B$29,MAX(0,(Inputs!$B$3-100)*3)+Inputs!$B$28+Inputs!$B$29)))</f>
        <v>184</v>
      </c>
      <c r="E2467">
        <f>INDEX(FactorTable!$B$2:$Y$301, MATCH(ROUND(MIN(300,MAX(1,D2467)),0), FactorTable!$A$2:$A$301,0), Skills!M21+1)</f>
        <v>1552</v>
      </c>
      <c r="F2467">
        <f>IF(Skills!N21=TRUE,(Skills!L21/10)*(E2467/1000),Skills!L21/10)+Skills!O21</f>
        <v>18.624000000000002</v>
      </c>
      <c r="G2467">
        <f>Calc!G21</f>
        <v>1</v>
      </c>
      <c r="H2467">
        <f>Calc!H21</f>
        <v>1</v>
      </c>
      <c r="I2467">
        <f>IF(Skills!X21&lt;&gt;"",1+(Skills!X21/10)*(Z2449/1000)/100,1)</f>
        <v>1</v>
      </c>
      <c r="O2467">
        <f>(1-Summary!$B$11)*S2467+Summary!$B$11*U2467</f>
        <v>0</v>
      </c>
      <c r="P2467">
        <f>IF(B2487=0,0,O2467/B2487)</f>
        <v>0</v>
      </c>
      <c r="Q2467">
        <f>IFERROR(1/(IF(Inputs!$B$38="pvp",15,MAX(0.1,Skills!E21-IF(TRUE=TRUE,Inputs!$B$32,0)))*(1-IF(AND(ArtifactsInput!$M$27,Inputs!$B$4="Chapter Hunt"),CHOOSE(ArtifactsInput!$N$27+1,20,24,28,32,36,40),0)/100)),0)</f>
        <v>10</v>
      </c>
      <c r="R2467">
        <v>0</v>
      </c>
      <c r="S2467">
        <v>0</v>
      </c>
      <c r="U2467">
        <v>0</v>
      </c>
    </row>
    <row r="2468" spans="1:21" x14ac:dyDescent="0.2">
      <c r="A2468" t="str">
        <f>Skills!A22</f>
        <v>SPELL_MASTERY</v>
      </c>
      <c r="B2468" t="str">
        <f>Skills!B22</f>
        <v>Spell Mastery</v>
      </c>
      <c r="C2468" t="b">
        <f>TRUE</f>
        <v>1</v>
      </c>
      <c r="D2468">
        <f>IF(Skills!C22=1,60+Inputs!$B$25+Inputs!$B$29,IF(Skills!C22=2,90+Inputs!$B$26+Inputs!$B$29,IF(Skills!C22=3,120+Inputs!$B$27+Inputs!$B$29,MAX(0,(Inputs!$B$3-100)*3)+Inputs!$B$28+Inputs!$B$29)))</f>
        <v>168</v>
      </c>
      <c r="E2468">
        <f>INDEX(FactorTable!$B$2:$Y$301, MATCH(ROUND(MIN(300,MAX(1,D2468)),0), FactorTable!$A$2:$A$301,0), Skills!M22+1)</f>
        <v>1504</v>
      </c>
      <c r="F2468">
        <f>IF(Skills!N22=TRUE,(Skills!L22/10)*(E2468/1000),Skills!L22/10)+Skills!O22</f>
        <v>22.56</v>
      </c>
      <c r="G2468">
        <f>Calc!G22</f>
        <v>1</v>
      </c>
      <c r="H2468">
        <f>Calc!H22</f>
        <v>1</v>
      </c>
      <c r="I2468">
        <f>IF(Skills!X22&lt;&gt;"",1+(Skills!X22/10)*(Z2449/1000)/100,1)</f>
        <v>1</v>
      </c>
      <c r="O2468">
        <f>(1-Summary!$B$11)*S2468+Summary!$B$11*U2468</f>
        <v>0</v>
      </c>
      <c r="P2468">
        <f>IF(B2487=0,0,O2468/B2487)</f>
        <v>0</v>
      </c>
      <c r="Q2468">
        <f>IFERROR(1/(IF(Inputs!$B$38="pvp",15,MAX(0.1,Skills!E22-IF(TRUE=TRUE,Inputs!$B$32,0)))*(1-IF(AND(ArtifactsInput!$M$27,Inputs!$B$4="Chapter Hunt"),CHOOSE(ArtifactsInput!$N$27+1,20,24,28,32,36,40),0)/100)),0)</f>
        <v>10</v>
      </c>
      <c r="R2468">
        <v>0</v>
      </c>
      <c r="S2468">
        <v>0</v>
      </c>
      <c r="U2468">
        <v>0</v>
      </c>
    </row>
    <row r="2469" spans="1:21" x14ac:dyDescent="0.2">
      <c r="A2469" t="str">
        <f>Skills!A23</f>
        <v>ELEMENT_AMPLIFICATION</v>
      </c>
      <c r="B2469" t="str">
        <f>Skills!B23</f>
        <v>Element Amplification</v>
      </c>
      <c r="C2469" t="b">
        <f>TRUE</f>
        <v>1</v>
      </c>
      <c r="D2469">
        <f>IF(Skills!C23=1,60+Inputs!$B$25+Inputs!$B$29,IF(Skills!C23=2,90+Inputs!$B$26+Inputs!$B$29,IF(Skills!C23=3,120+Inputs!$B$27+Inputs!$B$29,MAX(0,(Inputs!$B$3-100)*3)+Inputs!$B$28+Inputs!$B$29)))</f>
        <v>185</v>
      </c>
      <c r="E2469">
        <f>INDEX(FactorTable!$B$2:$Y$301, MATCH(ROUND(MIN(300,MAX(1,D2469)),0), FactorTable!$A$2:$A$301,0), Skills!M23+1)</f>
        <v>1555</v>
      </c>
      <c r="F2469">
        <f>IF(Skills!N23=TRUE,(Skills!L23/10)*(E2469/1000),Skills!L23/10)+Skills!O23</f>
        <v>23.324999999999999</v>
      </c>
      <c r="G2469">
        <f>Calc!G23</f>
        <v>1</v>
      </c>
      <c r="H2469">
        <f>Calc!H23</f>
        <v>1</v>
      </c>
      <c r="I2469">
        <f>IF(Skills!X23&lt;&gt;"",1+(Skills!X23/10)*(Z2449/1000)/100,1)</f>
        <v>1</v>
      </c>
      <c r="O2469">
        <f>(1-Summary!$B$11)*S2469+Summary!$B$11*U2469</f>
        <v>0</v>
      </c>
      <c r="P2469">
        <f>IF(B2487=0,0,O2469/B2487)</f>
        <v>0</v>
      </c>
      <c r="Q2469">
        <f>IFERROR(1/(IF(Inputs!$B$38="pvp",15,MAX(0.1,Skills!E23-IF(TRUE=TRUE,Inputs!$B$32,0)))*(1-IF(AND(ArtifactsInput!$M$27,Inputs!$B$4="Chapter Hunt"),CHOOSE(ArtifactsInput!$N$27+1,20,24,28,32,36,40),0)/100)),0)</f>
        <v>10</v>
      </c>
      <c r="R2469">
        <v>0</v>
      </c>
      <c r="S2469">
        <v>0</v>
      </c>
      <c r="U2469">
        <v>0</v>
      </c>
    </row>
    <row r="2470" spans="1:21" x14ac:dyDescent="0.2">
      <c r="A2470" t="str">
        <f>Skills!A24</f>
        <v>IFRIT</v>
      </c>
      <c r="B2470" t="str">
        <f>Skills!B24</f>
        <v>Ifrit</v>
      </c>
      <c r="C2470" t="b">
        <f>Inputs!$B$3&gt;=115</f>
        <v>1</v>
      </c>
      <c r="D2470">
        <f>IF(Skills!C24=1,60+Inputs!$B$25+Inputs!$B$29,IF(Skills!C24=2,90+Inputs!$B$26+Inputs!$B$29,IF(Skills!C24=3,120+Inputs!$B$27+Inputs!$B$29,MAX(0,(Inputs!$B$3-100)*3)+Inputs!$B$28+Inputs!$B$29)))</f>
        <v>185</v>
      </c>
      <c r="E2470">
        <f>INDEX(FactorTable!$B$2:$Y$301, MATCH(ROUND(MIN(300,MAX(1,D2470)),0), FactorTable!$A$2:$A$301,0), Skills!M24+1)</f>
        <v>1925</v>
      </c>
      <c r="F2470">
        <f>IF(Skills!N24=TRUE,(Skills!L24/10)*(E2470/1000),Skills!L24/10)+Skills!O24</f>
        <v>6737.5</v>
      </c>
      <c r="G2470">
        <f>Calc!G24</f>
        <v>7.5</v>
      </c>
      <c r="H2470">
        <f>Calc!H24</f>
        <v>1</v>
      </c>
      <c r="I2470">
        <f>IF(Skills!X24&lt;&gt;"",1+(Skills!X24/10)*(Z2449/1000)/100,1)</f>
        <v>1</v>
      </c>
      <c r="J2470">
        <f>((Inputs!$B$6*(1+Inputs!$B$7/100))+(((Inputs!$B$12*(1+Inputs!$B$13/100))-(Inputs!$B$12*(1+Inputs!$B$13/100)))+0.25*(Inputs!$B$14-Inputs!$B$14))*(1+Inputs!$B$7/100))*(F2470/100)</f>
        <v>24331438378.718628</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132039692231683.27</v>
      </c>
      <c r="L2470">
        <f>K2470*(MIN(Inputs!$B$22+(F2468-Calc!F22),(Inputs!$B$23+(IF(ArtifactsInput!$M$15,CHOOSE(ArtifactsInput!$N$15+1,25,30,35,40,45,50)/100*(Inputs!$B$11-Inputs!$B$11),0))))/100+(Inputs!$B$23+(IF(ArtifactsInput!$M$15,CHOOSE(ArtifactsInput!$N$15+1,25,30,35,40,45,50)/100*(Inputs!$B$11-Inputs!$B$11),0)))/100)/2</f>
        <v>439031976670346.88</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2071791897907366.8</v>
      </c>
      <c r="N2470">
        <f>L2470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2071791897907366.8</v>
      </c>
      <c r="O2470">
        <f>(1-Summary!$B$11)*S2470+Summary!$B$11*U2470</f>
        <v>2427881130360195</v>
      </c>
      <c r="P2470">
        <f>IF(B2487=0,0,O2470/B2487)</f>
        <v>6.7037210649673357E-2</v>
      </c>
      <c r="Q2470">
        <f>IFERROR(1/(IF(Inputs!$B$38="pvp",15,MAX(0.1,Skills!E24-IF(TRUE=TRUE,Inputs!$B$32,0)))*(1-IF(AND(ArtifactsInput!$M$27,Inputs!$B$4="Chapter Hunt"),CHOOSE(ArtifactsInput!$N$27+1,20,24,28,32,36,40),0)/100)),0)</f>
        <v>1.2500000000000001E-2</v>
      </c>
      <c r="R2470">
        <f>IF(AND(Inputs!$B$38&lt;&gt;"pvp",Inputs!$B$43&gt;0),IF(MAX(0,Inputs!$B$43-B2484)&lt;=0,0,(INT(MAX(0,Inputs!$B$43-B2484)/(IF(Inputs!$B$38="pvp",15,MAX(0.1,Skills!E24-IF(TRUE=TRUE,Inputs!$B$32,0)))*(1-IF(AND(ArtifactsInput!$M$27,Inputs!$B$4="Chapter Hunt"),CHOOSE(ArtifactsInput!$N$27+1,20,24,28,32,36,40),0)/100)))+1)),0)</f>
        <v>1</v>
      </c>
      <c r="S2470">
        <f>IF(C2470,(H2470*N2470*IF(AND(Inputs!$B$38&lt;&gt;"pvp",Inputs!$B$43&gt;0),((Skills!G24*((R2470-1)*IF(Skills!H24&gt;0,Skills!I24/Skills!H24,1)+IF(Skills!H24&gt;0,MIN(Skills!I24,MAX(0,MAX(0,Inputs!$B$43-B2484)-((R2470-1)*(IF(Inputs!$B$38="pvp",15,MAX(0.1,Skills!E24-IF(TRUE=TRUE,Inputs!$B$32,0)))*(1-IF(AND(ArtifactsInput!$M$27,Inputs!$B$4="Chapter Hunt"),CHOOSE(ArtifactsInput!$N$27+1,20,24,28,32,36,40),0)/100)))))/Skills!H24,1)))/Inputs!$B$43),G2470*Q2470)*(1+IF(Inputs!$B$3&gt;=130,0.2*(Skills!I16/(1/Q2461)+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1347959603575980.5</v>
      </c>
      <c r="U2470">
        <f>IF(C2470,(H2470*N2470*IF(AND(Inputs!$B$38&lt;&gt;"pvp",Inputs!$B$43&gt;0),((Skills!G24*((R2470-1)*IF(Skills!H24&gt;0,Skills!I24/Skills!H24,1)+IF(Skills!H24&gt;0,MIN(Skills!I24,MAX(0,MAX(0,Inputs!$B$43-B2484)-((R2470-1)*(IF(Inputs!$B$38="pvp",15,MAX(0.1,Skills!E24-IF(TRUE=TRUE,Inputs!$B$32,0)))*(1-IF(AND(ArtifactsInput!$M$27,Inputs!$B$4="Chapter Hunt"),CHOOSE(ArtifactsInput!$N$27+1,20,24,28,32,36,40),0)/100)))))/Skills!H24,1)))/Inputs!$B$43),G2470*Q2470)*(1+IF(Inputs!$B$3&gt;=130,0.2*(Skills!I16/(1/Q2461)+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3507802657144410</v>
      </c>
    </row>
    <row r="2471" spans="1:21" x14ac:dyDescent="0.2">
      <c r="A2471" t="str">
        <f>Skills!A25</f>
        <v>BUFF_MASTERY</v>
      </c>
      <c r="B2471" t="str">
        <f>Skills!B25</f>
        <v>Buff Mastery</v>
      </c>
      <c r="C2471" t="b">
        <f>Inputs!$B$3&gt;=117</f>
        <v>1</v>
      </c>
      <c r="D2471">
        <f>IF(Skills!C25=1,60+Inputs!$B$25+Inputs!$B$29,IF(Skills!C25=2,90+Inputs!$B$26+Inputs!$B$29,IF(Skills!C25=3,120+Inputs!$B$27+Inputs!$B$29,MAX(0,(Inputs!$B$3-100)*3)+Inputs!$B$28+Inputs!$B$29)))</f>
        <v>185</v>
      </c>
      <c r="E2471">
        <f>INDEX(FactorTable!$B$2:$Y$301, MATCH(ROUND(MIN(300,MAX(1,D2471)),0), FactorTable!$A$2:$A$301,0), Skills!M25+1)</f>
        <v>1555</v>
      </c>
      <c r="F2471">
        <f>IF(Skills!N25=TRUE,(Skills!L25/10)*(E2471/1000),Skills!L25/10)+Skills!O25</f>
        <v>15.549999999999999</v>
      </c>
      <c r="G2471">
        <f>Calc!G25</f>
        <v>1</v>
      </c>
      <c r="H2471">
        <f>Calc!H25</f>
        <v>1</v>
      </c>
      <c r="I2471">
        <f>IF(Skills!X25&lt;&gt;"",1+(Skills!X25/10)*(Z2449/1000)/100,1)</f>
        <v>1</v>
      </c>
      <c r="O2471">
        <f>(1-Summary!$B$11)*S2471+Summary!$B$11*U2471</f>
        <v>0</v>
      </c>
      <c r="P2471">
        <f>IF(B2487=0,0,O2471/B2487)</f>
        <v>0</v>
      </c>
      <c r="Q2471">
        <f>IFERROR(1/(IF(Inputs!$B$38="pvp",15,MAX(0.1,Skills!E25-IF(TRUE=TRUE,Inputs!$B$32,0)))*(1-IF(AND(ArtifactsInput!$M$27,Inputs!$B$4="Chapter Hunt"),CHOOSE(ArtifactsInput!$N$27+1,20,24,28,32,36,40),0)/100)),0)</f>
        <v>10</v>
      </c>
      <c r="R2471">
        <v>0</v>
      </c>
      <c r="S2471">
        <v>0</v>
      </c>
      <c r="U2471">
        <v>0</v>
      </c>
    </row>
    <row r="2472" spans="1:21" x14ac:dyDescent="0.2">
      <c r="A2472" t="str">
        <f>Skills!A26</f>
        <v>ARCANE_AIM</v>
      </c>
      <c r="B2472" t="str">
        <f>Skills!B26</f>
        <v>Arcane Aim</v>
      </c>
      <c r="C2472" t="b">
        <f>Inputs!$B$3&gt;=120</f>
        <v>0</v>
      </c>
      <c r="D2472">
        <f>IF(Skills!C26=1,60+Inputs!$B$25+Inputs!$B$29,IF(Skills!C26=2,90+Inputs!$B$26+Inputs!$B$29,IF(Skills!C26=3,120+Inputs!$B$27+Inputs!$B$29,MAX(0,(Inputs!$B$3-100)*3)+Inputs!$B$28+Inputs!$B$29)))</f>
        <v>185</v>
      </c>
      <c r="E2472">
        <f>INDEX(FactorTable!$B$2:$Y$301, MATCH(ROUND(MIN(300,MAX(1,D2472)),0), FactorTable!$A$2:$A$301,0), Skills!M26+1)</f>
        <v>1555</v>
      </c>
      <c r="F2472">
        <f>IF(Skills!N26=TRUE,(Skills!L26/10)*(E2472/1000),Skills!L26/10)+Skills!O26</f>
        <v>4.665</v>
      </c>
      <c r="G2472">
        <f>Calc!G26</f>
        <v>1</v>
      </c>
      <c r="H2472">
        <f>Calc!H26</f>
        <v>1</v>
      </c>
      <c r="I2472">
        <f>IF(Skills!X26&lt;&gt;"",1+(Skills!X26/10)*(Z2449/1000)/100,1)</f>
        <v>1</v>
      </c>
      <c r="O2472">
        <f>(1-Summary!$B$11)*S2472+Summary!$B$11*U2472</f>
        <v>0</v>
      </c>
      <c r="P2472">
        <f>IF(B2487=0,0,O2472/B2487)</f>
        <v>0</v>
      </c>
      <c r="Q2472">
        <f>IFERROR(1/(IF(Inputs!$B$38="pvp",15,MAX(0.1,Skills!E26-IF(TRUE=TRUE,Inputs!$B$32,0)))*(1-IF(AND(ArtifactsInput!$M$27,Inputs!$B$4="Chapter Hunt"),CHOOSE(ArtifactsInput!$N$27+1,20,24,28,32,36,40),0)/100)),0)</f>
        <v>10</v>
      </c>
      <c r="R2472">
        <v>0</v>
      </c>
      <c r="S2472">
        <v>0</v>
      </c>
      <c r="U2472">
        <v>0</v>
      </c>
    </row>
    <row r="2473" spans="1:21" x14ac:dyDescent="0.2">
      <c r="A2473" t="str">
        <f>Skills!A27</f>
        <v>FERVENT_DRAIN</v>
      </c>
      <c r="B2473" t="str">
        <f>Skills!B27</f>
        <v>Fervent Drain</v>
      </c>
      <c r="C2473" t="b">
        <f>Inputs!$B$3&gt;=125</f>
        <v>0</v>
      </c>
      <c r="D2473">
        <f>IF(Skills!C27=1,60+Inputs!$B$25+Inputs!$B$29,IF(Skills!C27=2,90+Inputs!$B$26+Inputs!$B$29,IF(Skills!C27=3,120+Inputs!$B$27+Inputs!$B$29,MAX(0,(Inputs!$B$3-100)*3)+Inputs!$B$28+Inputs!$B$29)))</f>
        <v>185</v>
      </c>
      <c r="E2473">
        <f>INDEX(FactorTable!$B$2:$Y$301, MATCH(ROUND(MIN(300,MAX(1,D2473)),0), FactorTable!$A$2:$A$301,0), Skills!M27+1)</f>
        <v>1555</v>
      </c>
      <c r="F2473">
        <f>IF(Skills!N27=TRUE,(Skills!L27/10)*(E2473/1000),Skills!L27/10)+Skills!O27</f>
        <v>6.22</v>
      </c>
      <c r="G2473">
        <f>Calc!G27</f>
        <v>1</v>
      </c>
      <c r="H2473">
        <f>Calc!H27</f>
        <v>1</v>
      </c>
      <c r="I2473">
        <f>IF(Skills!X27&lt;&gt;"",1+(Skills!X27/10)*(Z2449/1000)/100,1)</f>
        <v>1</v>
      </c>
      <c r="O2473">
        <f>(1-Summary!$B$11)*S2473+Summary!$B$11*U2473</f>
        <v>0</v>
      </c>
      <c r="P2473">
        <f>IF(B2487=0,0,O2473/B2487)</f>
        <v>0</v>
      </c>
      <c r="Q2473">
        <f>IFERROR(1/(IF(Inputs!$B$38="pvp",15,MAX(0.1,Skills!E27-IF(TRUE=TRUE,Inputs!$B$32,0)))*(1-IF(AND(ArtifactsInput!$M$27,Inputs!$B$4="Chapter Hunt"),CHOOSE(ArtifactsInput!$N$27+1,20,24,28,32,36,40),0)/100)),0)</f>
        <v>10</v>
      </c>
      <c r="R2473">
        <v>0</v>
      </c>
      <c r="S2473">
        <v>0</v>
      </c>
      <c r="U2473">
        <v>0</v>
      </c>
    </row>
    <row r="2474" spans="1:21" x14ac:dyDescent="0.2">
      <c r="A2474" t="str">
        <f>Skills!A28</f>
        <v>FLAME_HAZE_FOG</v>
      </c>
      <c r="B2474" t="str">
        <f>Skills!B28</f>
        <v>Flame Haze (poison fog DoT)</v>
      </c>
      <c r="C2474" t="b">
        <f>Inputs!$B$3&gt;=118</f>
        <v>0</v>
      </c>
      <c r="D2474">
        <f>IF(Skills!C28=1,60+Inputs!$B$25+Inputs!$B$29,IF(Skills!C28=2,90+Inputs!$B$26+Inputs!$B$29,IF(Skills!C28=3,120+Inputs!$B$27+Inputs!$B$29,MAX(0,(Inputs!$B$3-100)*3)+Inputs!$B$28+Inputs!$B$29)))</f>
        <v>185</v>
      </c>
      <c r="E2474">
        <f>INDEX(FactorTable!$B$2:$Y$301, MATCH(ROUND(MIN(300,MAX(1,D2474)),0), FactorTable!$A$2:$A$301,0), Skills!M28+1)</f>
        <v>1925</v>
      </c>
      <c r="F2474">
        <f>IF(Skills!N28=TRUE,(Skills!L28/10)*(E2474/1000),Skills!L28/10)+Skills!O28</f>
        <v>134.75</v>
      </c>
      <c r="G2474">
        <f>Calc!G28</f>
        <v>50</v>
      </c>
      <c r="H2474">
        <f>Calc!H28</f>
        <v>1</v>
      </c>
      <c r="I2474">
        <f>IF(Skills!X28&lt;&gt;"",1+(Skills!X28/10)*(Z2449/1000)/100,1)</f>
        <v>1</v>
      </c>
      <c r="J2474">
        <f>((Inputs!$B$6*(1+Inputs!$B$7/100))+(((Inputs!$B$12*(1+Inputs!$B$13/100))-(Inputs!$B$12*(1+Inputs!$B$13/100)))+0.25*(Inputs!$B$14-Inputs!$B$14))*(1+Inputs!$B$7/100))*(F2474/100)</f>
        <v>486628767.57437253</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2640793844633.6646</v>
      </c>
      <c r="L2474">
        <f>K2474*(MIN(Inputs!$B$22+(F2468-Calc!F22),(Inputs!$B$23+(IF(ArtifactsInput!$M$15,CHOOSE(ArtifactsInput!$N$15+1,25,30,35,40,45,50)/100*(Inputs!$B$11-Inputs!$B$11),0))))/100+(Inputs!$B$23+(IF(ArtifactsInput!$M$15,CHOOSE(ArtifactsInput!$N$15+1,25,30,35,40,45,50)/100*(Inputs!$B$11-Inputs!$B$11),0)))/100)/2</f>
        <v>8780639533406.9355</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41435837958147.32</v>
      </c>
      <c r="N2474">
        <f>L2474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41435837958147.32</v>
      </c>
      <c r="O2474">
        <f>(1-Summary!$B$11)*S2474+Summary!$B$11*U2474</f>
        <v>0</v>
      </c>
      <c r="P2474">
        <f>IF(B2487=0,0,O2474/B2487)</f>
        <v>0</v>
      </c>
      <c r="Q2474">
        <f>IFERROR(1/(IF(Inputs!$B$38="pvp",15,MAX(0.1,Skills!E28-IF(TRUE=TRUE,Inputs!$B$32,0)))*(1-IF(AND(ArtifactsInput!$M$27,Inputs!$B$4="Chapter Hunt"),CHOOSE(ArtifactsInput!$N$27+1,20,24,28,32,36,40),0)/100)),0)</f>
        <v>0.04</v>
      </c>
      <c r="R2474">
        <f>IF(AND(Inputs!$B$38&lt;&gt;"pvp",Inputs!$B$43&gt;0),IF(MAX(0,Inputs!$B$43-B2484)&lt;=0,0,(INT(MAX(0,Inputs!$B$43-B2484)/(IF(Inputs!$B$38="pvp",15,MAX(0.1,Skills!E28-IF(TRUE=TRUE,Inputs!$B$32,0)))*(1-IF(AND(ArtifactsInput!$M$27,Inputs!$B$4="Chapter Hunt"),CHOOSE(ArtifactsInput!$N$27+1,20,24,28,32,36,40),0)/100)))+1)),0)</f>
        <v>2</v>
      </c>
      <c r="S2474">
        <f>IF(C2474,(H2474*N2474*IF(AND(Inputs!$B$38&lt;&gt;"pvp",Inputs!$B$43&gt;0),((Skills!G28*((R2474-1)*IF(Skills!H28&gt;0,Skills!I28/Skills!H28,1)+IF(Skills!H28&gt;0,MIN(Skills!I28,MAX(0,MAX(0,Inputs!$B$43-B2484)-((R2474-1)*(IF(Inputs!$B$38="pvp",15,MAX(0.1,Skills!E28-IF(TRUE=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474">
        <f>IF(C2474,(H2474*N2474*IF(AND(Inputs!$B$38&lt;&gt;"pvp",Inputs!$B$43&gt;0),((Skills!G28*((R2474-1)*IF(Skills!H28&gt;0,Skills!I28/Skills!H28,1)+IF(Skills!H28&gt;0,MIN(Skills!I28,MAX(0,MAX(0,Inputs!$B$43-B2484)-((R2474-1)*(IF(Inputs!$B$38="pvp",15,MAX(0.1,Skills!E28-IF(TRUE=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476" spans="1:21" x14ac:dyDescent="0.2">
      <c r="A2476" t="s">
        <v>356</v>
      </c>
      <c r="B2476">
        <f>1+(F2457*Skills!Z11)/100</f>
        <v>1.25</v>
      </c>
    </row>
    <row r="2477" spans="1:21" x14ac:dyDescent="0.2">
      <c r="A2477" t="s">
        <v>435</v>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1.18624</v>
      </c>
    </row>
    <row r="2478" spans="1:21" x14ac:dyDescent="0.2">
      <c r="A2478" t="s">
        <v>358</v>
      </c>
      <c r="B2478">
        <f>(1+(F2452*IF(AND(Inputs!$B$38&lt;&gt;"pvp",Inputs!$B$43&gt;0),(((R2452-1)*MIN((Skills!T6*(1+((Inputs!$B$34+(ArtifactsInput!$M$7-ArtifactsInput!$M$7)*CHOOSE(ArtifactsInput!$N$7+1,6,7.2,8.4,9.6,10.8,12)))/100)),(1/Q2452))+MIN((Skills!T6*(1+((Inputs!$B$34+(ArtifactsInput!$M$7-ArtifactsInput!$M$7)*CHOOSE(ArtifactsInput!$N$7+1,6,7.2,8.4,9.6,10.8,12)))/100)),MAX(0,Inputs!$B$43-((R2452-1)*(1/Q2452)))))/Inputs!$B$43),IF(Inputs!$B$38="pvp",MIN((Skills!T6*(1+((Inputs!$B$34+(ArtifactsInput!$M$7-ArtifactsInput!$M$7)*CHOOSE(ArtifactsInput!$N$7+1,6,7.2,8.4,9.6,10.8,12)))/100)),15)/15,MIN(1,(Skills!T6*(1+((Inputs!$B$34+(ArtifactsInput!$M$7-ArtifactsInput!$M$7)*CHOOSE(ArtifactsInput!$N$7+1,6,7.2,8.4,9.6,10.8,12)))/100))/(1/Q2452))))+F2463*IF(AND(Inputs!$B$38&lt;&gt;"pvp",Inputs!$B$43&gt;0),(((R2463-1)*MIN((Skills!T17*(1+((Inputs!$B$34+(ArtifactsInput!$M$7-ArtifactsInput!$M$7)*CHOOSE(ArtifactsInput!$N$7+1,6,7.2,8.4,9.6,10.8,12)))/100)),(1/Q2463))+MIN((Skills!T17*(1+((Inputs!$B$34+(ArtifactsInput!$M$7-ArtifactsInput!$M$7)*CHOOSE(ArtifactsInput!$N$7+1,6,7.2,8.4,9.6,10.8,12)))/100)),MAX(0,Inputs!$B$43-((R2463-1)*(1/Q2463)))))/Inputs!$B$43),IF(Inputs!$B$38="pvp",MIN((Skills!T17*(1+((Inputs!$B$34+(ArtifactsInput!$M$7-ArtifactsInput!$M$7)*CHOOSE(ArtifactsInput!$N$7+1,6,7.2,8.4,9.6,10.8,12)))/100)),15)/15,MIN(1,(Skills!T17*(1+((Inputs!$B$34+(ArtifactsInput!$M$7-ArtifactsInput!$M$7)*CHOOSE(ArtifactsInput!$N$7+1,6,7.2,8.4,9.6,10.8,12)))/100))/(1/Q2463)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MIN((Skills!T19*(1+((Inputs!$B$34+(ArtifactsInput!$M$7-ArtifactsInput!$M$7)*CHOOSE(ArtifactsInput!$N$7+1,6,7.2,8.4,9.6,10.8,12)))/100)),(1/Q2465))+MIN((Skills!T19*(1+((Inputs!$B$34+(ArtifactsInput!$M$7-ArtifactsInput!$M$7)*CHOOSE(ArtifactsInput!$N$7+1,6,7.2,8.4,9.6,10.8,12)))/100)),MAX(0,Inputs!$B$43-((R2465-1)*(1/Q2465)))))/Inputs!$B$43),IF(Inputs!$B$38="pvp",MIN((Skills!T19*(1+((Inputs!$B$34+(ArtifactsInput!$M$7-ArtifactsInput!$M$7)*CHOOSE(ArtifactsInput!$N$7+1,6,7.2,8.4,9.6,10.8,12)))/100)),15)/15,MIN(1,(Skills!T19*(1+((Inputs!$B$34+(ArtifactsInput!$M$7-ArtifactsInput!$M$7)*CHOOSE(ArtifactsInput!$N$7+1,6,7.2,8.4,9.6,10.8,12)))/100))/(1/Q2465))))/100),1)</f>
        <v>1.7965808377980694</v>
      </c>
    </row>
    <row r="2479" spans="1:21" x14ac:dyDescent="0.2">
      <c r="A2479" t="s">
        <v>359</v>
      </c>
      <c r="B2479">
        <f>F2464*IF(AND(Inputs!$B$38&lt;&gt;"pvp",Inputs!$B$43&gt;0),(((R2464-1)*MIN((Skills!T18*(1+((Inputs!$B$34+(ArtifactsInput!$M$7-ArtifactsInput!$M$7)*CHOOSE(ArtifactsInput!$N$7+1,6,7.2,8.4,9.6,10.8,12)))/100)),(1/Q2464))+MIN((Skills!T18*(1+((Inputs!$B$34+(ArtifactsInput!$M$7-ArtifactsInput!$M$7)*CHOOSE(ArtifactsInput!$N$7+1,6,7.2,8.4,9.6,10.8,12)))/100)),MAX(0,Inputs!$B$43-((R2464-1)*(1/Q2464)))))/Inputs!$B$43),IF(Inputs!$B$38="pvp",MIN((Skills!T18*(1+((Inputs!$B$34+(ArtifactsInput!$M$7-ArtifactsInput!$M$7)*CHOOSE(ArtifactsInput!$N$7+1,6,7.2,8.4,9.6,10.8,12)))/100)),15)/15,MIN(1,(Skills!T18*(1+((Inputs!$B$34+(ArtifactsInput!$M$7-ArtifactsInput!$M$7)*CHOOSE(ArtifactsInput!$N$7+1,6,7.2,8.4,9.6,10.8,12)))/100))/(1/Q2464))))</f>
        <v>6.4968749999999993</v>
      </c>
    </row>
    <row r="2480" spans="1:21" x14ac:dyDescent="0.2">
      <c r="A2480" t="s">
        <v>436</v>
      </c>
      <c r="B2480">
        <f>1+MIN(150,150*(1-(1-(Inputs!$B$11+(ArtifactsInput!$M$15-ArtifactsInput!$M$15)*CHOOSE(ArtifactsInput!$N$15+1,8,9.6,11.2,12.8,14.4,16))/150)*(1-B2479/150)))/100</f>
        <v>1.6982958749999999</v>
      </c>
    </row>
    <row r="2481" spans="1:26" x14ac:dyDescent="0.2">
      <c r="A2481" t="s">
        <v>437</v>
      </c>
      <c r="B2481">
        <f>IF(AND(Inputs!$B$38&lt;&gt;"pvp",Inputs!$B$43&gt;0),SUMPRODUCT((Skills!F2:F28=TRUE)*(C2448:C2474=TRUE)*R2448:R2474)/Inputs!$B$43,SUMPRODUCT((Skills!F2:F28=TRUE)*(C2448:C2474=TRUE)*Q2448:Q2474))</f>
        <v>0.47499999999999998</v>
      </c>
    </row>
    <row r="2482" spans="1:26" x14ac:dyDescent="0.2">
      <c r="A2482" t="s">
        <v>362</v>
      </c>
      <c r="B2482">
        <f>MAX(0,B2480-B2481)</f>
        <v>1.2232958749999998</v>
      </c>
    </row>
    <row r="2483" spans="1:26" x14ac:dyDescent="0.2">
      <c r="A2483" t="s">
        <v>438</v>
      </c>
      <c r="B2483">
        <f>IF(AND(Inputs!$B$38&lt;&gt;"pvp",Inputs!$B$43&gt;0),SUMPRODUCT((Skills!V2:V28=TRUE)*(C2448:C2474=TRUE)*R2448:R2474*Skills!W2:W28)/Inputs!$B$43,SUMPRODUCT((Skills!V2:V28=TRUE)*(C2448:C2474=TRUE)*Q2448:Q2474*Skills!W2:W28))+B2482</f>
        <v>1.5482958749999998</v>
      </c>
    </row>
    <row r="2484" spans="1:26" x14ac:dyDescent="0.2">
      <c r="A2484" t="s">
        <v>439</v>
      </c>
      <c r="B2484">
        <f>IF(AND(Inputs!$B$38&lt;&gt;"pvp",Inputs!$B$43&gt;0),SUMPRODUCT((Skills!T2:T28&gt;0)*(Skills!F2:F28=TRUE)*(C2448:C2474=TRUE))/B2480,0)</f>
        <v>2.3553021937358238</v>
      </c>
    </row>
    <row r="2485" spans="1:26" x14ac:dyDescent="0.2">
      <c r="A2485" t="s">
        <v>440</v>
      </c>
      <c r="B2485">
        <f>SUM(S2448:S2474)</f>
        <v>1.1244892566182864E+16</v>
      </c>
    </row>
    <row r="2486" spans="1:26" x14ac:dyDescent="0.2">
      <c r="A2486" t="s">
        <v>441</v>
      </c>
      <c r="B2486">
        <f>SUM(U2448:U2474)</f>
        <v>6.1188942518273328E+16</v>
      </c>
    </row>
    <row r="2487" spans="1:26" x14ac:dyDescent="0.2">
      <c r="A2487" s="6" t="s">
        <v>348</v>
      </c>
      <c r="B2487" s="6">
        <f>SUM(O2448:O2474)</f>
        <v>3.6216917542228096E+16</v>
      </c>
    </row>
    <row r="2490" spans="1:26" x14ac:dyDescent="0.2">
      <c r="A2490" s="6" t="s">
        <v>496</v>
      </c>
    </row>
    <row r="2491" spans="1:26" x14ac:dyDescent="0.2">
      <c r="A2491" s="5" t="s">
        <v>136</v>
      </c>
      <c r="B2491" s="5" t="s">
        <v>137</v>
      </c>
      <c r="C2491" s="5" t="s">
        <v>328</v>
      </c>
      <c r="D2491" s="5" t="s">
        <v>329</v>
      </c>
      <c r="E2491" s="5" t="s">
        <v>330</v>
      </c>
      <c r="F2491" s="5" t="s">
        <v>331</v>
      </c>
      <c r="G2491" s="5" t="s">
        <v>332</v>
      </c>
      <c r="H2491" s="5" t="s">
        <v>333</v>
      </c>
      <c r="I2491" s="5" t="s">
        <v>334</v>
      </c>
      <c r="J2491" s="5" t="s">
        <v>335</v>
      </c>
      <c r="K2491" s="5" t="s">
        <v>336</v>
      </c>
      <c r="L2491" s="5" t="s">
        <v>337</v>
      </c>
      <c r="M2491" s="5" t="s">
        <v>338</v>
      </c>
      <c r="N2491" s="5" t="s">
        <v>339</v>
      </c>
      <c r="O2491" s="5" t="s">
        <v>340</v>
      </c>
      <c r="P2491" s="5" t="s">
        <v>341</v>
      </c>
      <c r="R2491" t="s">
        <v>434</v>
      </c>
    </row>
    <row r="2492" spans="1:26" x14ac:dyDescent="0.2">
      <c r="A2492" t="str">
        <f>Skills!A2</f>
        <v>BASIC_ATTACK</v>
      </c>
      <c r="B2492" t="str">
        <f>Skills!B2</f>
        <v>Basic Attack</v>
      </c>
      <c r="C2492" t="b">
        <f>TRUE</f>
        <v>1</v>
      </c>
      <c r="F2492">
        <f>T2494+Skills!O2</f>
        <v>537.6</v>
      </c>
      <c r="G2492">
        <f>Calc!G2</f>
        <v>5</v>
      </c>
      <c r="H2492">
        <f>Calc!H2</f>
        <v>1</v>
      </c>
      <c r="I2492">
        <f>IF(Skills!X2&lt;&gt;"",1+(Skills!X2/10)*(Z2493/1000)/100,1)</f>
        <v>1</v>
      </c>
      <c r="J2492">
        <f>((Inputs!$B$6*(1+Inputs!$B$7/100))+(((Inputs!$B$12*(1+Inputs!$B$13/100))-(Inputs!$B$12*(1+Inputs!$B$13/100)))+0.25*(Inputs!$B$14-Inputs!$B$14))*(1+Inputs!$B$7/100))*(F2492/100)</f>
        <v>1941459186.9980164</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7083687293658.0352</v>
      </c>
      <c r="L2492">
        <f>K2492*(MIN(Inputs!$B$22+(F2512-Calc!F22),(Inputs!$B$23+(IF(ArtifactsInput!$M$15,CHOOSE(ArtifactsInput!$N$15+1,25,30,35,40,45,50)/100*(Inputs!$B$11-Inputs!$B$11),0))))/100+(Inputs!$B$23+(IF(ArtifactsInput!$M$15,CHOOSE(ArtifactsInput!$N$15+1,25,30,35,40,45,50)/100*(Inputs!$B$11-Inputs!$B$11),0)))/100)/2</f>
        <v>23553260251412.969</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111147835126417.78</v>
      </c>
      <c r="N2492">
        <f>L2492*(1-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111147835126417.78</v>
      </c>
      <c r="O2492">
        <f>(1-Summary!$B$11)*S2492+Summary!$B$11*U2492</f>
        <v>1.338931962298907E+16</v>
      </c>
      <c r="P2492">
        <f>IF(B2531=0,0,O2492/B2531)</f>
        <v>0.37819938885449506</v>
      </c>
      <c r="Q2492">
        <f>IFERROR(1/(IF(Inputs!$B$38="pvp",15,MAX(0.1,Skills!E2-IF(TRUE=TRUE,Inputs!$B$32,0)))*(1-IF(AND(ArtifactsInput!$M$27,Inputs!$B$4="Chapter Hunt"),CHOOSE(ArtifactsInput!$N$27+1,20,24,28,32,36,40),0)/100)),0)</f>
        <v>10</v>
      </c>
      <c r="R2492">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2223055352484095.8</v>
      </c>
      <c r="T2492">
        <f>MAX(0,(Inputs!$B$3-100)*3)+Inputs!$B$28+Inputs!$B$29</f>
        <v>185</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2.4555583893494044E+16</v>
      </c>
      <c r="Z2492">
        <f>MAX(0,(Inputs!$B$3-100)*3)+Inputs!$B$28+Inputs!$B$29</f>
        <v>185</v>
      </c>
    </row>
    <row r="2493" spans="1:26" x14ac:dyDescent="0.2">
      <c r="A2493" t="str">
        <f>Skills!A3</f>
        <v>IGNITE</v>
      </c>
      <c r="B2493" t="str">
        <f>Skills!B3</f>
        <v>Ignite</v>
      </c>
      <c r="C2493" t="b">
        <f>TRUE</f>
        <v>1</v>
      </c>
      <c r="D2493">
        <f>IF(Skills!C3=1,60+Inputs!$B$25+Inputs!$B$29,IF(Skills!C3=2,90+Inputs!$B$26+Inputs!$B$29,IF(Skills!C3=3,120+Inputs!$B$27+Inputs!$B$29,MAX(0,(Inputs!$B$3-100)*3)+Inputs!$B$28+Inputs!$B$29)))</f>
        <v>168</v>
      </c>
      <c r="E2493">
        <f>INDEX(FactorTable!$B$2:$Y$301, MATCH(ROUND(MIN(300,MAX(1,D2493)),0), FactorTable!$A$2:$A$301,0), Skills!M3+1)</f>
        <v>1672</v>
      </c>
      <c r="F2493">
        <f>IF(Skills!N3=TRUE,(Skills!L3/10)*(E2493/1000),Skills!L3/10)+Skills!O3</f>
        <v>121.736</v>
      </c>
      <c r="G2493">
        <f>Calc!G3</f>
        <v>3</v>
      </c>
      <c r="H2493">
        <f>Calc!H3</f>
        <v>1</v>
      </c>
      <c r="I2493">
        <f>IF(Skills!X3&lt;&gt;"",1+(Skills!X3/10)*(Z2493/1000)/100,1)</f>
        <v>4.8250000000000002</v>
      </c>
      <c r="J2493">
        <f>((Inputs!$B$6*(1+Inputs!$B$7/100))+(((Inputs!$B$12*(1+Inputs!$B$13/100))-(Inputs!$B$12*(1+Inputs!$B$13/100)))+0.25*(Inputs!$B$14-Inputs!$B$14))*(1+Inputs!$B$7/100))*(F2493/100)</f>
        <v>439630720.9605478</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11404615174981.496</v>
      </c>
      <c r="L2493">
        <f>K2493*(MIN(Inputs!$B$22+(F2512-Calc!F22),(Inputs!$B$23+(IF(ArtifactsInput!$M$15,CHOOSE(ArtifactsInput!$N$15+1,25,30,35,40,45,50)/100*(Inputs!$B$11-Inputs!$B$11),0))))/100+(Inputs!$B$23+(IF(ArtifactsInput!$M$15,CHOOSE(ArtifactsInput!$N$15+1,25,30,35,40,45,50)/100*(Inputs!$B$11-Inputs!$B$11),0)))/100)/2</f>
        <v>37920345456813.477</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178946110210702.78</v>
      </c>
      <c r="N2493">
        <f>L2493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178946110210702.78</v>
      </c>
      <c r="O2493">
        <f>(1-Summary!$B$11)*S2493+Summary!$B$11*U2493</f>
        <v>3110978126013067.5</v>
      </c>
      <c r="P2493">
        <f>IF(B2531=0,0,O2493/B2531)</f>
        <v>8.7873772463965105E-2</v>
      </c>
      <c r="Q2493">
        <f>IFERROR(1/(IF(Inputs!$B$38="pvp",15,MAX(0.1,Skills!E3-IF(FALSE=TRUE,Inputs!$B$32,0)))*(1-IF(AND(ArtifactsInput!$M$27,Inputs!$B$4="Chapter Hunt"),CHOOSE(ArtifactsInput!$N$27+1,20,24,28,32,36,40),0)/100)),0)</f>
        <v>1</v>
      </c>
      <c r="R2493">
        <f>IF(AND(Inputs!$B$38&lt;&gt;"pvp",Inputs!$B$43&gt;0),IF(MAX(0,Inputs!$B$43-B2528)&lt;=0,0,(INT(MAX(0,Inputs!$B$43-B2528)/(IF(Inputs!$B$38="pvp",15,MAX(0.1,Skills!E3-IF(FALSE=TRUE,Inputs!$B$32,0)))*(1-IF(AND(ArtifactsInput!$M$27,Inputs!$B$4="Chapter Hunt"),CHOOSE(ArtifactsInput!$N$27+1,20,24,28,32,36,40),0)/100)))+1)),0)</f>
        <v>38</v>
      </c>
      <c r="S2493">
        <f>IF(C2493,(H2493*N2493*IF(AND(Inputs!$B$38&lt;&gt;"pvp",Inputs!$B$43&gt;0),((Skills!G3*((R2493-1)*IF(Skills!H3&gt;0,Skills!I3/Skills!H3,1)+IF(Skills!H3&gt;0,MIN(Skills!I3,MAX(0,MAX(0,Inputs!$B$43-B2528)-((R2493-1)*(IF(Inputs!$B$38="pvp",15,MAX(0.1,Skills!E3-IF(FALSE=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1616688632698594.2</v>
      </c>
      <c r="T2493">
        <f>INDEX(FactorTable!$B$2:$Y$301, MATCH(ROUND(MIN(300,MAX(1,T2492)),0), FactorTable!$A$2:$A$301,0), 22)</f>
        <v>1740</v>
      </c>
      <c r="U2493">
        <f>IF(C2493,(H2493*N2493*IF(AND(Inputs!$B$38&lt;&gt;"pvp",Inputs!$B$43&gt;0),((Skills!G3*((R2493-1)*IF(Skills!H3&gt;0,Skills!I3/Skills!H3,1)+IF(Skills!H3&gt;0,MIN(Skills!I3,MAX(0,MAX(0,Inputs!$B$43-B2528)-((R2493-1)*(IF(Inputs!$B$38="pvp",15,MAX(0.1,Skills!E3-IF(FALSE=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4605267619327541</v>
      </c>
      <c r="Z2493">
        <f>INDEX(FactorTable!$B$2:$Y$301, MATCH(ROUND(MIN(300,MAX(1,Z2492)),0), FactorTable!$A$2:$A$301,0), 24)</f>
        <v>7650</v>
      </c>
    </row>
    <row r="2494" spans="1:26" x14ac:dyDescent="0.2">
      <c r="A2494" t="str">
        <f>Skills!A4</f>
        <v>POISON_BREATH</v>
      </c>
      <c r="B2494" t="str">
        <f>Skills!B4</f>
        <v>Poison Breath</v>
      </c>
      <c r="C2494" t="b">
        <f>TRUE</f>
        <v>1</v>
      </c>
      <c r="D2494">
        <f>IF(Skills!C4=1,60+Inputs!$B$25+Inputs!$B$29,IF(Skills!C4=2,90+Inputs!$B$26+Inputs!$B$29,IF(Skills!C4=3,120+Inputs!$B$27+Inputs!$B$29,MAX(0,(Inputs!$B$3-100)*3)+Inputs!$B$28+Inputs!$B$29)))</f>
        <v>168</v>
      </c>
      <c r="E2494">
        <f>INDEX(FactorTable!$B$2:$Y$301, MATCH(ROUND(MIN(300,MAX(1,D2494)),0), FactorTable!$A$2:$A$301,0), Skills!M4+1)</f>
        <v>1840</v>
      </c>
      <c r="F2494">
        <f>IF(Skills!N4=TRUE,(Skills!L4/10)*(E2494/1000),Skills!L4/10)+Skills!O4</f>
        <v>438</v>
      </c>
      <c r="G2494">
        <f>Calc!G4</f>
        <v>3</v>
      </c>
      <c r="H2494">
        <f>Calc!H4</f>
        <v>1</v>
      </c>
      <c r="I2494">
        <f>IF(Skills!X4&lt;&gt;"",1+(Skills!X4/10)*(Z2493/1000)/100,1)</f>
        <v>7.12</v>
      </c>
      <c r="J2494">
        <f>((Inputs!$B$6*(1+Inputs!$B$7/100))+(((Inputs!$B$12*(1+Inputs!$B$13/100))-(Inputs!$B$12*(1+Inputs!$B$13/100)))+0.25*(Inputs!$B$14-Inputs!$B$14))*(1+Inputs!$B$7/100))*(F2494/100)</f>
        <v>1581769203.69258</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60550592107903.406</v>
      </c>
      <c r="L2494">
        <f>K2494*(MIN(Inputs!$B$22+(F2512-Calc!F22),(Inputs!$B$23+(IF(ArtifactsInput!$M$15,CHOOSE(ArtifactsInput!$N$15+1,25,30,35,40,45,50)/100*(Inputs!$B$11-Inputs!$B$11),0))))/100+(Inputs!$B$23+(IF(ArtifactsInput!$M$15,CHOOSE(ArtifactsInput!$N$15+1,25,30,35,40,45,50)/100*(Inputs!$B$11-Inputs!$B$11),0)))/100)/2</f>
        <v>201330718758778.84</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950079661822677.25</v>
      </c>
      <c r="N2494">
        <f>L2494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950079661822677.25</v>
      </c>
      <c r="O2494">
        <f>(1-Summary!$B$11)*S2494+Summary!$B$11*U2494</f>
        <v>2269146512305736.5</v>
      </c>
      <c r="P2494">
        <f>IF(B2531=0,0,O2494/B2531)</f>
        <v>6.4095103286790744E-2</v>
      </c>
      <c r="Q2494">
        <f>IFERROR(1/(IF(Inputs!$B$38="pvp",15,MAX(0.1,Skills!E4-IF(TRUE=TRUE,Inputs!$B$32,0)))*(1-IF(AND(ArtifactsInput!$M$27,Inputs!$B$4="Chapter Hunt"),CHOOSE(ArtifactsInput!$N$27+1,20,24,28,32,36,40),0)/100)),0)</f>
        <v>5.5555555555555552E-2</v>
      </c>
      <c r="R2494">
        <f>IF(AND(Inputs!$B$38&lt;&gt;"pvp",Inputs!$B$43&gt;0),IF(MAX(0,Inputs!$B$43-B2528)&lt;=0,0,(INT(MAX(0,Inputs!$B$43-B2528)/(IF(Inputs!$B$38="pvp",15,MAX(0.1,Skills!E4-IF(TRUE=TRUE,Inputs!$B$32,0)))*(1-IF(AND(ArtifactsInput!$M$27,Inputs!$B$4="Chapter Hunt"),CHOOSE(ArtifactsInput!$N$27+1,20,24,28,32,36,40),0)/100)))+1)),0)</f>
        <v>3</v>
      </c>
      <c r="S2494">
        <f>IF(C2494,(H2494*N2494*IF(AND(Inputs!$B$38&lt;&gt;"pvp",Inputs!$B$43&gt;0),((Skills!G4*((R2494-1)*IF(Skills!H4&gt;0,Skills!I4/Skills!H4,1)+IF(Skills!H4&gt;0,MIN(Skills!I4,MAX(0,MAX(0,Inputs!$B$43-B2528)-((R2494-1)*(IF(Inputs!$B$38="pvp",15,MAX(0.1,Skills!E4-IF(TRUE=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677644318795024.5</v>
      </c>
      <c r="T2494">
        <f>290*T2493/1000</f>
        <v>504.6</v>
      </c>
      <c r="U2494">
        <f>IF(C2494,(H2494*N2494*IF(AND(Inputs!$B$38&lt;&gt;"pvp",Inputs!$B$43&gt;0),((Skills!G4*((R2494-1)*IF(Skills!H4&gt;0,Skills!I4/Skills!H4,1)+IF(Skills!H4&gt;0,MIN(Skills!I4,MAX(0,MAX(0,Inputs!$B$43-B2528)-((R2494-1)*(IF(Inputs!$B$38="pvp",15,MAX(0.1,Skills!E4-IF(TRUE=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3860648705816448.5</v>
      </c>
    </row>
    <row r="2495" spans="1:26" x14ac:dyDescent="0.2">
      <c r="A2495" t="str">
        <f>Skills!A5</f>
        <v>ELEMENTAL_DRAIN</v>
      </c>
      <c r="B2495" t="str">
        <f>Skills!B5</f>
        <v>Elemental Drain</v>
      </c>
      <c r="C2495" t="b">
        <f>TRUE</f>
        <v>1</v>
      </c>
      <c r="D2495">
        <f>IF(Skills!C5=1,60+Inputs!$B$25+Inputs!$B$29,IF(Skills!C5=2,90+Inputs!$B$26+Inputs!$B$29,IF(Skills!C5=3,120+Inputs!$B$27+Inputs!$B$29,MAX(0,(Inputs!$B$3-100)*3)+Inputs!$B$28+Inputs!$B$29)))</f>
        <v>168</v>
      </c>
      <c r="E2495">
        <f>INDEX(FactorTable!$B$2:$Y$301, MATCH(ROUND(MIN(300,MAX(1,D2495)),0), FactorTable!$A$2:$A$301,0), Skills!M5+1)</f>
        <v>1672</v>
      </c>
      <c r="F2495">
        <f>IF(Skills!N5=TRUE,(Skills!L5/10)*(E2495/1000),Skills!L5/10)+Skills!O5</f>
        <v>20.064</v>
      </c>
      <c r="G2495">
        <f>Calc!G5</f>
        <v>5</v>
      </c>
      <c r="H2495">
        <f>Calc!H5</f>
        <v>1</v>
      </c>
      <c r="I2495">
        <f>IF(Skills!X5&lt;&gt;"",1+(Skills!X5/10)*(Z2493/1000)/100,1)</f>
        <v>12.475</v>
      </c>
      <c r="J2495">
        <f>((Inputs!$B$6*(1+Inputs!$B$7/100))+(((Inputs!$B$12*(1+Inputs!$B$13/100))-(Inputs!$B$12*(1+Inputs!$B$13/100)))+0.25*(Inputs!$B$14-Inputs!$B$14))*(1+Inputs!$B$7/100))*(F2495/100)</f>
        <v>72458030.371890247</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4859844390892.2227</v>
      </c>
      <c r="L2495">
        <f>K2495*(MIN(Inputs!$B$22+(F2512-Calc!F22),(Inputs!$B$23+(IF(ArtifactsInput!$M$15,CHOOSE(ArtifactsInput!$N$15+1,25,30,35,40,45,50)/100*(Inputs!$B$11-Inputs!$B$11),0))))/100+(Inputs!$B$23+(IF(ArtifactsInput!$M$15,CHOOSE(ArtifactsInput!$N$15+1,25,30,35,40,45,50)/100*(Inputs!$B$11-Inputs!$B$11),0)))/100)/2</f>
        <v>16158982599716.641</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76254238888062.812</v>
      </c>
      <c r="N2495">
        <f>L2495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76254238888062.812</v>
      </c>
      <c r="O2495">
        <f>(1-Summary!$B$11)*S2495+Summary!$B$11*U2495</f>
        <v>1119221591279541.9</v>
      </c>
      <c r="P2495">
        <f>IF(B2531=0,0,O2495/B2531)</f>
        <v>3.1613923166633764E-2</v>
      </c>
      <c r="Q2495">
        <f>IFERROR(1/(IF(Inputs!$B$38="pvp",15,MAX(0.1,Skills!E5-IF(FALSE=TRUE,Inputs!$B$32,0)))*(1-IF(AND(ArtifactsInput!$M$27,Inputs!$B$4="Chapter Hunt"),CHOOSE(ArtifactsInput!$N$27+1,20,24,28,32,36,40),0)/100)),0)</f>
        <v>1</v>
      </c>
      <c r="R2495">
        <f>IF(AND(Inputs!$B$38&lt;&gt;"pvp",Inputs!$B$43&gt;0),IF(MAX(0,Inputs!$B$43-B2528)&lt;=0,0,(INT(MAX(0,Inputs!$B$43-B2528)/(IF(Inputs!$B$38="pvp",15,MAX(0.1,Skills!E5-IF(FALSE=TRUE,Inputs!$B$32,0)))*(1-IF(AND(ArtifactsInput!$M$27,Inputs!$B$4="Chapter Hunt"),CHOOSE(ArtifactsInput!$N$27+1,20,24,28,32,36,40),0)/100)))+1)),0)</f>
        <v>38</v>
      </c>
      <c r="S2495">
        <f>IF(C2495,(H2495*N2495*IF(AND(Inputs!$B$38&lt;&gt;"pvp",Inputs!$B$43&gt;0),((Skills!G5*((R2495-1)*IF(Skills!H5&gt;0,Skills!I5/Skills!H5,1)+IF(Skills!H5&gt;0,MIN(Skills!I5,MAX(0,MAX(0,Inputs!$B$43-B2528)-((R2495-1)*(IF(Inputs!$B$38="pvp",15,MAX(0.1,Skills!E5-IF(FALSE=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1148198202057005.8</v>
      </c>
      <c r="U2495">
        <f>IF(C2495,(H2495*N2495*IF(AND(Inputs!$B$38&lt;&gt;"pvp",Inputs!$B$43&gt;0),((Skills!G5*((R2495-1)*IF(Skills!H5&gt;0,Skills!I5/Skills!H5,1)+IF(Skills!H5&gt;0,MIN(Skills!I5,MAX(0,MAX(0,Inputs!$B$43-B2528)-((R2495-1)*(IF(Inputs!$B$38="pvp",15,MAX(0.1,Skills!E5-IF(FALSE=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1090244980502078</v>
      </c>
    </row>
    <row r="2496" spans="1:26" x14ac:dyDescent="0.2">
      <c r="A2496" t="str">
        <f>Skills!A6</f>
        <v>MEDITATION</v>
      </c>
      <c r="B2496" t="str">
        <f>Skills!B6</f>
        <v>Meditation</v>
      </c>
      <c r="C2496" t="b">
        <f>TRUE</f>
        <v>1</v>
      </c>
      <c r="D2496">
        <f>IF(Skills!C6=1,60+Inputs!$B$25+Inputs!$B$29,IF(Skills!C6=2,90+Inputs!$B$26+Inputs!$B$29,IF(Skills!C6=3,120+Inputs!$B$27+Inputs!$B$29,MAX(0,(Inputs!$B$3-100)*3)+Inputs!$B$28+Inputs!$B$29)))</f>
        <v>168</v>
      </c>
      <c r="E2496">
        <f>INDEX(FactorTable!$B$2:$Y$301, MATCH(ROUND(MIN(300,MAX(1,D2496)),0), FactorTable!$A$2:$A$301,0), Skills!M6+1)</f>
        <v>1672</v>
      </c>
      <c r="F2496">
        <f>IF(Skills!N6=TRUE,(Skills!L6/10)*(E2496/1000),Skills!L6/10)+Skills!O6</f>
        <v>33.44</v>
      </c>
      <c r="G2496">
        <f>Calc!G6</f>
        <v>1</v>
      </c>
      <c r="H2496">
        <f>Calc!H6</f>
        <v>1</v>
      </c>
      <c r="I2496">
        <f>IF(Skills!X6&lt;&gt;"",1+(Skills!X6/10)*(Z2493/1000)/100,1)</f>
        <v>1</v>
      </c>
      <c r="O2496">
        <f>(1-Summary!$B$11)*S2496+Summary!$B$11*U2496</f>
        <v>0</v>
      </c>
      <c r="P2496">
        <f>IF(B2531=0,0,O2496/B2531)</f>
        <v>0</v>
      </c>
      <c r="Q2496">
        <f>IFERROR(1/(IF(Inputs!$B$38="pvp",15,MAX(0.1,Skills!E6-IF(TRUE=TRUE,Inputs!$B$32,0)))*(1-IF(AND(ArtifactsInput!$M$27,Inputs!$B$4="Chapter Hunt"),CHOOSE(ArtifactsInput!$N$27+1,20,24,28,32,36,40),0)/100)),0)</f>
        <v>3.3333333333333333E-2</v>
      </c>
      <c r="R2496">
        <f>IF(AND(Inputs!$B$38&lt;&gt;"pvp",Inputs!$B$43&gt;0),IF(Inputs!$B$43&lt;=0,0,(INT(Inputs!$B$43/(IF(Inputs!$B$38="pvp",15,MAX(0.1,Skills!E6-IF(TRUE=TRUE,Inputs!$B$32,0)))*(1-IF(AND(ArtifactsInput!$M$27,Inputs!$B$4="Chapter Hunt"),CHOOSE(ArtifactsInput!$N$27+1,20,24,28,32,36,40),0)/100)))+1)),0)</f>
        <v>2</v>
      </c>
      <c r="S2496">
        <v>0</v>
      </c>
      <c r="U2496">
        <v>0</v>
      </c>
    </row>
    <row r="2497" spans="1:21" x14ac:dyDescent="0.2">
      <c r="A2497" t="str">
        <f>Skills!A7</f>
        <v>POISON_MIST_BURST</v>
      </c>
      <c r="B2497" t="str">
        <f>Skills!B7</f>
        <v>Poison Mist (burst)</v>
      </c>
      <c r="C2497" t="b">
        <f>TRUE</f>
        <v>1</v>
      </c>
      <c r="D2497">
        <f>IF(Skills!C7=1,60+Inputs!$B$25+Inputs!$B$29,IF(Skills!C7=2,90+Inputs!$B$26+Inputs!$B$29,IF(Skills!C7=3,120+Inputs!$B$27+Inputs!$B$29,MAX(0,(Inputs!$B$3-100)*3)+Inputs!$B$28+Inputs!$B$29)))</f>
        <v>184</v>
      </c>
      <c r="E2497">
        <f>INDEX(FactorTable!$B$2:$Y$301, MATCH(ROUND(MIN(300,MAX(1,D2497)),0), FactorTable!$A$2:$A$301,0), Skills!M7+1)</f>
        <v>1920</v>
      </c>
      <c r="F2497">
        <f>IF(Skills!N7=TRUE,(Skills!L7/10)*(E2497/1000),Skills!L7/10)+Skills!O7</f>
        <v>357.2</v>
      </c>
      <c r="G2497">
        <f>Calc!G7</f>
        <v>3</v>
      </c>
      <c r="H2497">
        <f>Calc!H7</f>
        <v>1</v>
      </c>
      <c r="I2497">
        <f>IF(Skills!X7&lt;&gt;"",1+(Skills!X7/10)*(Z2493/1000)/100,1)</f>
        <v>1.7650000000000001</v>
      </c>
      <c r="J2497">
        <f>((Inputs!$B$6*(1+Inputs!$B$7/100))+(((Inputs!$B$12*(1+Inputs!$B$13/100))-(Inputs!$B$12*(1+Inputs!$B$13/100)))+0.25*(Inputs!$B$14-Inputs!$B$14))*(1+Inputs!$B$7/100))*(F2497/100)</f>
        <v>1289972510.4086521</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12241100122865.867</v>
      </c>
      <c r="L2497">
        <f>K2497*(MIN(Inputs!$B$22+(F2512-Calc!F22),(Inputs!$B$23+(IF(ArtifactsInput!$M$15,CHOOSE(ArtifactsInput!$N$15+1,25,30,35,40,45,50)/100*(Inputs!$B$11-Inputs!$B$11),0))))/100+(Inputs!$B$23+(IF(ArtifactsInput!$M$15,CHOOSE(ArtifactsInput!$N$15+1,25,30,35,40,45,50)/100*(Inputs!$B$11-Inputs!$B$11),0)))/100)/2</f>
        <v>40701657908529.008</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192071123670348.38</v>
      </c>
      <c r="N2497">
        <f>L2497*(1-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192071123670348.38</v>
      </c>
      <c r="O2497">
        <f>(1-Summary!$B$11)*S2497+Summary!$B$11*U2497</f>
        <v>479265471338436.69</v>
      </c>
      <c r="P2497">
        <f>IF(B2531=0,0,O2497/B2531)</f>
        <v>1.3537499549121507E-2</v>
      </c>
      <c r="Q2497">
        <f>IFERROR(1/(IF(Inputs!$B$38="pvp",15,MAX(0.1,Skills!E7-IF(TRUE=TRUE,Inputs!$B$32,0)))*(1-IF(AND(ArtifactsInput!$M$27,Inputs!$B$4="Chapter Hunt"),CHOOSE(ArtifactsInput!$N$27+1,20,24,28,32,36,40),0)/100)),0)</f>
        <v>4.0816326530612242E-2</v>
      </c>
      <c r="R2497">
        <f>IF(AND(Inputs!$B$38&lt;&gt;"pvp",Inputs!$B$43&gt;0),IF(MAX(0,Inputs!$B$43-B2528)&lt;=0,0,(INT(MAX(0,Inputs!$B$43-B2528)/(IF(Inputs!$B$38="pvp",15,MAX(0.1,Skills!E7-IF(TRUE=TRUE,Inputs!$B$32,0)))*(1-IF(AND(ArtifactsInput!$M$27,Inputs!$B$4="Chapter Hunt"),CHOOSE(ArtifactsInput!$N$27+1,20,24,28,32,36,40),0)/100)))+1)),0)</f>
        <v>2</v>
      </c>
      <c r="S2497">
        <f>IF(C2497,(H2497*N2497*IF(AND(Inputs!$B$38&lt;&gt;"pvp",Inputs!$B$43&gt;0),((Skills!G7*((R2497-1)*IF(Skills!H7&gt;0,Skills!I7/Skills!H7,1)+IF(Skills!H7&gt;0,MIN(Skills!I7,MAX(0,MAX(0,Inputs!$B$43-B2528)-((R2497-1)*(IF(Inputs!$B$38="pvp",15,MAX(0.1,Skills!E7-IF(TRUE=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91329819305250.641</v>
      </c>
      <c r="U2497">
        <f>IF(C2497,(H2497*N2497*IF(AND(Inputs!$B$38&lt;&gt;"pvp",Inputs!$B$43&gt;0),((Skills!G7*((R2497-1)*IF(Skills!H7&gt;0,Skills!I7/Skills!H7,1)+IF(Skills!H7&gt;0,MIN(Skills!I7,MAX(0,MAX(0,Inputs!$B$43-B2528)-((R2497-1)*(IF(Inputs!$B$38="pvp",15,MAX(0.1,Skills!E7-IF(TRUE=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867201123371622.75</v>
      </c>
    </row>
    <row r="2498" spans="1:21" x14ac:dyDescent="0.2">
      <c r="A2498" t="str">
        <f>Skills!A8</f>
        <v>POISON_MIST_DOT</v>
      </c>
      <c r="B2498" t="str">
        <f>Skills!B8</f>
        <v>Poison Mist (fog DoT)</v>
      </c>
      <c r="C2498" t="b">
        <f>TRUE</f>
        <v>1</v>
      </c>
      <c r="D2498">
        <f>IF(Skills!C8=1,60+Inputs!$B$25+Inputs!$B$29,IF(Skills!C8=2,90+Inputs!$B$26+Inputs!$B$29,IF(Skills!C8=3,120+Inputs!$B$27+Inputs!$B$29,MAX(0,(Inputs!$B$3-100)*3)+Inputs!$B$28+Inputs!$B$29)))</f>
        <v>184</v>
      </c>
      <c r="E2498">
        <f>INDEX(FactorTable!$B$2:$Y$301, MATCH(ROUND(MIN(300,MAX(1,D2498)),0), FactorTable!$A$2:$A$301,0), Skills!M8+1)</f>
        <v>1920</v>
      </c>
      <c r="F2498">
        <f>IF(Skills!N8=TRUE,(Skills!L8/10)*(E2498/1000),Skills!L8/10)+Skills!O8</f>
        <v>134.4</v>
      </c>
      <c r="G2498">
        <f>Calc!G8</f>
        <v>50</v>
      </c>
      <c r="H2498">
        <f>Calc!H8</f>
        <v>1</v>
      </c>
      <c r="I2498">
        <f>IF(Skills!X8&lt;&gt;"",1+(Skills!X8/10)*(Z2493/1000)/100,1)</f>
        <v>1.7650000000000001</v>
      </c>
      <c r="J2498">
        <f>((Inputs!$B$6*(1+Inputs!$B$7/100))+(((Inputs!$B$12*(1+Inputs!$B$13/100))-(Inputs!$B$12*(1+Inputs!$B$13/100)))+0.25*(Inputs!$B$14-Inputs!$B$14))*(1+Inputs!$B$7/100))*(F2498/100)</f>
        <v>485364796.74950409</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4605833864818.5117</v>
      </c>
      <c r="L2498">
        <f>K2498*(MIN(Inputs!$B$22+(F2512-Calc!F22),(Inputs!$B$23+(IF(ArtifactsInput!$M$15,CHOOSE(ArtifactsInput!$N$15+1,25,30,35,40,45,50)/100*(Inputs!$B$11-Inputs!$B$11),0))))/100+(Inputs!$B$23+(IF(ArtifactsInput!$M$15,CHOOSE(ArtifactsInput!$N$15+1,25,30,35,40,45,50)/100*(Inputs!$B$11-Inputs!$B$11),0)))/100)/2</f>
        <v>15314397600521.553</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72268642276861.203</v>
      </c>
      <c r="N2498">
        <f>L2498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72268642276861.203</v>
      </c>
      <c r="O2498">
        <f>(1-Summary!$B$11)*S2498+Summary!$B$11*U2498</f>
        <v>2490386663279390</v>
      </c>
      <c r="P2498">
        <f>IF(B2531=0,0,O2498/B2531)</f>
        <v>7.0344329703392827E-2</v>
      </c>
      <c r="Q2498">
        <f>IFERROR(1/(IF(Inputs!$B$38="pvp",15,MAX(0.1,Skills!E8-IF(TRUE=TRUE,Inputs!$B$32,0)))*(1-IF(AND(ArtifactsInput!$M$27,Inputs!$B$4="Chapter Hunt"),CHOOSE(ArtifactsInput!$N$27+1,20,24,28,32,36,40),0)/100)),0)</f>
        <v>4.0816326530612242E-2</v>
      </c>
      <c r="R2498">
        <f>IF(AND(Inputs!$B$38&lt;&gt;"pvp",Inputs!$B$43&gt;0),IF(MAX(0,Inputs!$B$43-B2528)&lt;=0,0,(INT(MAX(0,Inputs!$B$43-B2528)/(IF(Inputs!$B$38="pvp",15,MAX(0.1,Skills!E8-IF(TRUE=TRUE,Inputs!$B$32,0)))*(1-IF(AND(ArtifactsInput!$M$27,Inputs!$B$4="Chapter Hunt"),CHOOSE(ArtifactsInput!$N$27+1,20,24,28,32,36,40),0)/100)))+1)),0)</f>
        <v>2</v>
      </c>
      <c r="S2498">
        <f>IF(C2498,(H2498*N2498*IF(AND(Inputs!$B$38&lt;&gt;"pvp",Inputs!$B$43&gt;0),((Skills!G8*((R2498-1)*IF(Skills!H8&gt;0,Skills!I8/Skills!H8,1)+IF(Skills!H8&gt;0,MIN(Skills!I8,MAX(0,MAX(0,Inputs!$B$43-B2528)-((R2498-1)*(IF(Inputs!$B$38="pvp",15,MAX(0.1,Skills!E8-IF(TRUE=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474573232497485.19</v>
      </c>
      <c r="U2498">
        <f>IF(C2498,(H2498*N2498*IF(AND(Inputs!$B$38&lt;&gt;"pvp",Inputs!$B$43&gt;0),((Skills!G8*((R2498-1)*IF(Skills!H8&gt;0,Skills!I8/Skills!H8,1)+IF(Skills!H8&gt;0,MIN(Skills!I8,MAX(0,MAX(0,Inputs!$B$43-B2528)-((R2498-1)*(IF(Inputs!$B$38="pvp",15,MAX(0.1,Skills!E8-IF(TRUE=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4506200094061295</v>
      </c>
    </row>
    <row r="2499" spans="1:21" x14ac:dyDescent="0.2">
      <c r="A2499" t="str">
        <f>Skills!A9</f>
        <v>MIST_ERUPTION</v>
      </c>
      <c r="B2499" t="str">
        <f>Skills!B9</f>
        <v>Mist Eruption</v>
      </c>
      <c r="C2499" t="b">
        <f>Inputs!$B$3&gt;=103</f>
        <v>1</v>
      </c>
      <c r="D2499">
        <f>IF(Skills!C9=1,60+Inputs!$B$25+Inputs!$B$29,IF(Skills!C9=2,90+Inputs!$B$26+Inputs!$B$29,IF(Skills!C9=3,120+Inputs!$B$27+Inputs!$B$29,MAX(0,(Inputs!$B$3-100)*3)+Inputs!$B$28+Inputs!$B$29)))</f>
        <v>185</v>
      </c>
      <c r="E2499">
        <f>INDEX(FactorTable!$B$2:$Y$301, MATCH(ROUND(MIN(300,MAX(1,D2499)),0), FactorTable!$A$2:$A$301,0), Skills!M9+1)</f>
        <v>1925</v>
      </c>
      <c r="F2499">
        <f>IF(Skills!N9=TRUE,(Skills!L9/10)*(E2499/1000),Skills!L9/10)+Skills!O9</f>
        <v>5775</v>
      </c>
      <c r="G2499">
        <f>Calc!G9</f>
        <v>2.5</v>
      </c>
      <c r="H2499">
        <f>Calc!H9</f>
        <v>1</v>
      </c>
      <c r="I2499">
        <f>IF(Skills!X9&lt;&gt;"",1+(Skills!X9/10)*(Z2493/1000)/100,1)</f>
        <v>1</v>
      </c>
      <c r="J2499">
        <f>((Inputs!$B$6*(1+Inputs!$B$7/100))+(((Inputs!$B$12*(1+Inputs!$B$13/100))-(Inputs!$B$12*(1+Inputs!$B$13/100)))+0.25*(Inputs!$B$14-Inputs!$B$14))*(1+Inputs!$B$7/100))*(F2499/100)</f>
        <v>20855518610.330254</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112128568769926.58</v>
      </c>
      <c r="L2499">
        <f>K2499*(MIN(Inputs!$B$22+(F2512-Calc!F22),(Inputs!$B$23+(IF(ArtifactsInput!$M$15,CHOOSE(ArtifactsInput!$N$15+1,25,30,35,40,45,50)/100*(Inputs!$B$11-Inputs!$B$11),0))))/100+(Inputs!$B$23+(IF(ArtifactsInput!$M$15,CHOOSE(ArtifactsInput!$N$15+1,25,30,35,40,45,50)/100*(Inputs!$B$11-Inputs!$B$11),0)))/100)/2</f>
        <v>372827491160005.88</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1759372930784067.5</v>
      </c>
      <c r="N2499">
        <f>L2499*(1-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1759372930784067.5</v>
      </c>
      <c r="O2499">
        <f>(1-Summary!$B$11)*S2499+Summary!$B$11*U2499</f>
        <v>3658396087949120</v>
      </c>
      <c r="P2499">
        <f>IF(B2531=0,0,O2499/B2531)</f>
        <v>0.10333633101673267</v>
      </c>
      <c r="Q2499">
        <f>IFERROR(1/(IF(Inputs!$B$38="pvp",15,MAX(0.1,Skills!E9-IF(TRUE=TRUE,Inputs!$B$32,0)))*(1-IF(AND(ArtifactsInput!$M$27,Inputs!$B$4="Chapter Hunt"),CHOOSE(ArtifactsInput!$N$27+1,20,24,28,32,36,40),0)/100)),0)</f>
        <v>4.0816326530612242E-2</v>
      </c>
      <c r="R2499">
        <f>IF(AND(Inputs!$B$38&lt;&gt;"pvp",Inputs!$B$43&gt;0),IF(MAX(0,Inputs!$B$43-B2528)&lt;=0,0,(INT(MAX(0,Inputs!$B$43-B2528)/(IF(Inputs!$B$38="pvp",15,MAX(0.1,Skills!E9-IF(TRUE=TRUE,Inputs!$B$32,0)))*(1-IF(AND(ArtifactsInput!$M$27,Inputs!$B$4="Chapter Hunt"),CHOOSE(ArtifactsInput!$N$27+1,20,24,28,32,36,40),0)/100)))+1)),0)</f>
        <v>2</v>
      </c>
      <c r="S2499">
        <f>IF(C2499,(H2499*N2499*IF(AND(Inputs!$B$38&lt;&gt;"pvp",Inputs!$B$43&gt;0),((Skills!G9*((R2499-1)*IF(Skills!H9&gt;0,Skills!I9/Skills!H9,1)+IF(Skills!H9&gt;0,MIN(Skills!I9,MAX(0,MAX(0,Inputs!$B$43-B2528)-((R2499-1)*(IF(Inputs!$B$38="pvp",15,MAX(0.1,Skills!E9-IF(TRUE=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697151523823186.75</v>
      </c>
      <c r="U2499">
        <f>IF(C2499,(H2499*N2499*IF(AND(Inputs!$B$38&lt;&gt;"pvp",Inputs!$B$43&gt;0),((Skills!G9*((R2499-1)*IF(Skills!H9&gt;0,Skills!I9/Skills!H9,1)+IF(Skills!H9&gt;0,MIN(Skills!I9,MAX(0,MAX(0,Inputs!$B$43-B2528)-((R2499-1)*(IF(Inputs!$B$38="pvp",15,MAX(0.1,Skills!E9-IF(TRUE=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6619640652075053</v>
      </c>
    </row>
    <row r="2500" spans="1:21" x14ac:dyDescent="0.2">
      <c r="A2500" t="str">
        <f>Skills!A10</f>
        <v>CREEPING_TOXIN</v>
      </c>
      <c r="B2500" t="str">
        <f>Skills!B10</f>
        <v>Creeping Toxin</v>
      </c>
      <c r="C2500" t="b">
        <f>TRUE</f>
        <v>1</v>
      </c>
      <c r="D2500">
        <f>IF(Skills!C10=1,60+Inputs!$B$25+Inputs!$B$29,IF(Skills!C10=2,90+Inputs!$B$26+Inputs!$B$29,IF(Skills!C10=3,120+Inputs!$B$27+Inputs!$B$29,MAX(0,(Inputs!$B$3-100)*3)+Inputs!$B$28+Inputs!$B$29)))</f>
        <v>184</v>
      </c>
      <c r="E2500">
        <f>INDEX(FactorTable!$B$2:$Y$301, MATCH(ROUND(MIN(300,MAX(1,D2500)),0), FactorTable!$A$2:$A$301,0), Skills!M10+1)</f>
        <v>1920</v>
      </c>
      <c r="F2500">
        <f>IF(Skills!N10=TRUE,(Skills!L10/10)*(E2500/1000),Skills!L10/10)+Skills!O10</f>
        <v>280.39999999999998</v>
      </c>
      <c r="G2500">
        <f>Calc!G10</f>
        <v>15</v>
      </c>
      <c r="H2500">
        <f>Calc!H10</f>
        <v>1</v>
      </c>
      <c r="I2500">
        <f>IF(Skills!X10&lt;&gt;"",1+(Skills!X10/10)*(Z2493/1000)/100,1)</f>
        <v>1.7650000000000001</v>
      </c>
      <c r="J2500">
        <f>((Inputs!$B$6*(1+Inputs!$B$7/100))+(((Inputs!$B$12*(1+Inputs!$B$13/100))-(Inputs!$B$12*(1+Inputs!$B$13/100)))+0.25*(Inputs!$B$14-Inputs!$B$14))*(1+Inputs!$B$7/100))*(F2500/100)</f>
        <v>1012621197.9803641</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9609195057255.2871</v>
      </c>
      <c r="L2500">
        <f>K2500*(MIN(Inputs!$B$22+(F2512-Calc!F22),(Inputs!$B$23+(IF(ArtifactsInput!$M$15,CHOOSE(ArtifactsInput!$N$15+1,25,30,35,40,45,50)/100*(Inputs!$B$11-Inputs!$B$11),0))))/100+(Inputs!$B$23+(IF(ArtifactsInput!$M$15,CHOOSE(ArtifactsInput!$N$15+1,25,30,35,40,45,50)/100*(Inputs!$B$11-Inputs!$B$11),0)))/100)/2</f>
        <v>31950573565373.832</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150774756654999.09</v>
      </c>
      <c r="N2500">
        <f>L2500*(1-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150774756654999.09</v>
      </c>
      <c r="O2500">
        <f>(1-Summary!$B$11)*S2500+Summary!$B$11*U2500</f>
        <v>347024933142934.69</v>
      </c>
      <c r="P2500">
        <f>IF(B2531=0,0,O2500/B2531)</f>
        <v>9.8021872154419806E-3</v>
      </c>
      <c r="Q2500">
        <f>IFERROR(1/(IF(Inputs!$B$38="pvp",15,MAX(0.1,Skills!E10-IF(TRUE=TRUE,Inputs!$B$32,0)))*(1-IF(AND(ArtifactsInput!$M$27,Inputs!$B$4="Chapter Hunt"),CHOOSE(ArtifactsInput!$N$27+1,20,24,28,32,36,40),0)/100)),0)</f>
        <v>3.7037037037037035E-2</v>
      </c>
      <c r="R2500">
        <f>IF(AND(Inputs!$B$38&lt;&gt;"pvp",Inputs!$B$43&gt;0),IF(MAX(0,Inputs!$B$43-B2528)&lt;=0,0,(INT(MAX(0,Inputs!$B$43-B2528)/(IF(Inputs!$B$38="pvp",15,MAX(0.1,Skills!E10-IF(TRUE=TRUE,Inputs!$B$32,0)))*(1-IF(AND(ArtifactsInput!$M$27,Inputs!$B$4="Chapter Hunt"),CHOOSE(ArtifactsInput!$N$27+1,20,24,28,32,36,40),0)/100)))+1)),0)</f>
        <v>2</v>
      </c>
      <c r="S2500">
        <f>IF(C2500,(H2500*N2500*IF(AND(Inputs!$B$38&lt;&gt;"pvp",Inputs!$B$43&gt;0),((Skills!G10*((R2500-1)*IF(Skills!H10&gt;0,Skills!I10/Skills!H10,1)+IF(Skills!H10&gt;0,MIN(Skills!I10,MAX(0,MAX(0,Inputs!$B$43-B2528)-((R2500-1)*(IF(Inputs!$B$38="pvp",15,MAX(0.1,Skills!E10-IF(TRUE=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306425915895014.75</v>
      </c>
      <c r="U2500">
        <f>IF(C2500,(H2500*N2500*IF(AND(Inputs!$B$38&lt;&gt;"pvp",Inputs!$B$43&gt;0),((Skills!G10*((R2500-1)*IF(Skills!H10&gt;0,Skills!I10/Skills!H10,1)+IF(Skills!H10&gt;0,MIN(Skills!I10,MAX(0,MAX(0,Inputs!$B$43-B2528)-((R2500-1)*(IF(Inputs!$B$38="pvp",15,MAX(0.1,Skills!E10-IF(TRUE=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387623950390854.62</v>
      </c>
    </row>
    <row r="2501" spans="1:21" x14ac:dyDescent="0.2">
      <c r="A2501" t="str">
        <f>Skills!A11</f>
        <v>BURNING_MAGIC</v>
      </c>
      <c r="B2501" t="str">
        <f>Skills!B11</f>
        <v>Burning Magic</v>
      </c>
      <c r="C2501" t="b">
        <f>TRUE</f>
        <v>1</v>
      </c>
      <c r="D2501">
        <f>IF(Skills!C11=1,60+Inputs!$B$25+Inputs!$B$29,IF(Skills!C11=2,90+Inputs!$B$26+Inputs!$B$29,IF(Skills!C11=3,120+Inputs!$B$27+Inputs!$B$29,MAX(0,(Inputs!$B$3-100)*3)+Inputs!$B$28+Inputs!$B$29)))</f>
        <v>184</v>
      </c>
      <c r="E2501">
        <f>INDEX(FactorTable!$B$2:$Y$301, MATCH(ROUND(MIN(300,MAX(1,D2501)),0), FactorTable!$A$2:$A$301,0), Skills!M11+1)</f>
        <v>0</v>
      </c>
      <c r="F2501">
        <f>IF(Skills!N11=TRUE,(Skills!L11/10)*(E2501/1000),Skills!L11/10)+Skills!O11</f>
        <v>5</v>
      </c>
      <c r="G2501">
        <f>Calc!G11</f>
        <v>1</v>
      </c>
      <c r="H2501">
        <f>Calc!H11</f>
        <v>1</v>
      </c>
      <c r="I2501">
        <f>IF(Skills!X11&lt;&gt;"",1+(Skills!X11/10)*(Z2493/1000)/100,1)</f>
        <v>1</v>
      </c>
      <c r="O2501">
        <f>(1-Summary!$B$11)*S2501+Summary!$B$11*U2501</f>
        <v>0</v>
      </c>
      <c r="P2501">
        <f>IF(B2531=0,0,O2501/B2531)</f>
        <v>0</v>
      </c>
      <c r="Q2501">
        <f>IFERROR(1/(IF(Inputs!$B$38="pvp",15,MAX(0.1,Skills!E11-IF(TRUE=TRUE,Inputs!$B$32,0)))*(1-IF(AND(ArtifactsInput!$M$27,Inputs!$B$4="Chapter Hunt"),CHOOSE(ArtifactsInput!$N$27+1,20,24,28,32,36,40),0)/100)),0)</f>
        <v>10</v>
      </c>
      <c r="R2501">
        <v>0</v>
      </c>
      <c r="S2501">
        <v>0</v>
      </c>
      <c r="U2501">
        <v>0</v>
      </c>
    </row>
    <row r="2502" spans="1:21" x14ac:dyDescent="0.2">
      <c r="A2502" t="str">
        <f>Skills!A12</f>
        <v>ELEMENTAL_DECREASE</v>
      </c>
      <c r="B2502" t="str">
        <f>Skills!B12</f>
        <v>Elemental Decrease</v>
      </c>
      <c r="C2502" t="b">
        <f>TRUE</f>
        <v>1</v>
      </c>
      <c r="D2502">
        <f>IF(Skills!C12=1,60+Inputs!$B$25+Inputs!$B$29,IF(Skills!C12=2,90+Inputs!$B$26+Inputs!$B$29,IF(Skills!C12=3,120+Inputs!$B$27+Inputs!$B$29,MAX(0,(Inputs!$B$3-100)*3)+Inputs!$B$28+Inputs!$B$29)))</f>
        <v>184</v>
      </c>
      <c r="E2502">
        <f>INDEX(FactorTable!$B$2:$Y$301, MATCH(ROUND(MIN(300,MAX(1,D2502)),0), FactorTable!$A$2:$A$301,0), Skills!M12+1)</f>
        <v>1552</v>
      </c>
      <c r="F2502">
        <f>IF(Skills!N12=TRUE,(Skills!L12/10)*(E2502/1000),Skills!L12/10)+Skills!O12</f>
        <v>18.624000000000002</v>
      </c>
      <c r="G2502">
        <f>Calc!G12</f>
        <v>1</v>
      </c>
      <c r="H2502">
        <f>Calc!H12</f>
        <v>0.5</v>
      </c>
      <c r="I2502">
        <f>IF(Skills!X12&lt;&gt;"",1+(Skills!X12/10)*(Z2493/1000)/100,1)</f>
        <v>1</v>
      </c>
      <c r="O2502">
        <f>(1-Summary!$B$11)*S2502+Summary!$B$11*U2502</f>
        <v>0</v>
      </c>
      <c r="P2502">
        <f>IF(B2531=0,0,O2502/B2531)</f>
        <v>0</v>
      </c>
      <c r="Q2502">
        <f>IFERROR(1/(IF(Inputs!$B$38="pvp",15,MAX(0.1,Skills!E12-IF(TRUE=TRUE,Inputs!$B$32,0)))*(1-IF(AND(ArtifactsInput!$M$27,Inputs!$B$4="Chapter Hunt"),CHOOSE(ArtifactsInput!$N$27+1,20,24,28,32,36,40),0)/100)),0)</f>
        <v>10</v>
      </c>
      <c r="R2502">
        <v>0</v>
      </c>
      <c r="S2502">
        <v>0</v>
      </c>
      <c r="U2502">
        <v>0</v>
      </c>
    </row>
    <row r="2503" spans="1:21" x14ac:dyDescent="0.2">
      <c r="A2503" t="str">
        <f>Skills!A13</f>
        <v>METEOR_SHOWER_BURST</v>
      </c>
      <c r="B2503" t="str">
        <f>Skills!B13</f>
        <v>Meteor Shower (burst)</v>
      </c>
      <c r="C2503" t="b">
        <f>Inputs!$B$3&gt;=105</f>
        <v>1</v>
      </c>
      <c r="D2503">
        <f>IF(Skills!C13=1,60+Inputs!$B$25+Inputs!$B$29,IF(Skills!C13=2,90+Inputs!$B$26+Inputs!$B$29,IF(Skills!C13=3,120+Inputs!$B$27+Inputs!$B$29,MAX(0,(Inputs!$B$3-100)*3)+Inputs!$B$28+Inputs!$B$29)))</f>
        <v>185</v>
      </c>
      <c r="E2503">
        <f>INDEX(FactorTable!$B$2:$Y$301, MATCH(ROUND(MIN(300,MAX(1,D2503)),0), FactorTable!$A$2:$A$301,0), Skills!M13+1)</f>
        <v>1925</v>
      </c>
      <c r="F2503">
        <f>IF(Skills!N13=TRUE,(Skills!L13/10)*(E2503/1000),Skills!L13/10)+Skills!O13</f>
        <v>1155</v>
      </c>
      <c r="G2503">
        <f>Calc!G13</f>
        <v>9</v>
      </c>
      <c r="H2503">
        <f>Calc!H13</f>
        <v>1</v>
      </c>
      <c r="I2503">
        <f>IF(Skills!X13&lt;&gt;"",1+(Skills!X13/10)*(Z2493/1000)/100,1)</f>
        <v>1</v>
      </c>
      <c r="J2503">
        <f>((Inputs!$B$6*(1+Inputs!$B$7/100))+(((Inputs!$B$12*(1+Inputs!$B$13/100))-(Inputs!$B$12*(1+Inputs!$B$13/100)))+0.25*(Inputs!$B$14-Inputs!$B$14))*(1+Inputs!$B$7/100))*(F2503/100)</f>
        <v>4171103722.0660505</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22425713753985.316</v>
      </c>
      <c r="L2503">
        <f>K2503*(MIN(Inputs!$B$22+(F2512-Calc!F22),(Inputs!$B$23+(IF(ArtifactsInput!$M$15,CHOOSE(ArtifactsInput!$N$15+1,25,30,35,40,45,50)/100*(Inputs!$B$11-Inputs!$B$11),0))))/100+(Inputs!$B$23+(IF(ArtifactsInput!$M$15,CHOOSE(ArtifactsInput!$N$15+1,25,30,35,40,45,50)/100*(Inputs!$B$11-Inputs!$B$11),0)))/100)/2</f>
        <v>74565498232001.188</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351874586156813.56</v>
      </c>
      <c r="N2503">
        <f>L2503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351874586156813.56</v>
      </c>
      <c r="O2503">
        <f>(1-Summary!$B$11)*S2503+Summary!$B$11*U2503</f>
        <v>1919123992899261</v>
      </c>
      <c r="P2503">
        <f>IF(B2531=0,0,O2503/B2531)</f>
        <v>5.4208245204954382E-2</v>
      </c>
      <c r="Q2503">
        <f>IFERROR(1/(IF(Inputs!$B$38="pvp",15,MAX(0.1,Skills!E13-IF(TRUE=TRUE,Inputs!$B$32,0)))*(1-IF(AND(ArtifactsInput!$M$27,Inputs!$B$4="Chapter Hunt"),CHOOSE(ArtifactsInput!$N$27+1,20,24,28,32,36,40),0)/100)),0)</f>
        <v>3.0303030303030304E-2</v>
      </c>
      <c r="R2503">
        <f>IF(AND(Inputs!$B$38&lt;&gt;"pvp",Inputs!$B$43&gt;0),IF(MAX(0,Inputs!$B$43-B2528)&lt;=0,0,(INT(MAX(0,Inputs!$B$43-B2528)/(IF(Inputs!$B$38="pvp",15,MAX(0.1,Skills!E13-IF(TRUE=TRUE,Inputs!$B$32,0)))*(1-IF(AND(ArtifactsInput!$M$27,Inputs!$B$4="Chapter Hunt"),CHOOSE(ArtifactsInput!$N$27+1,20,24,28,32,36,40),0)/100)))+1)),0)</f>
        <v>2</v>
      </c>
      <c r="S2503">
        <f>IF(C2503,(H2503*N2503*IF(AND(Inputs!$B$38&lt;&gt;"pvp",Inputs!$B$43&gt;0),((Skills!G13*((R2503-1)*IF(Skills!H13&gt;0,Skills!I13/Skills!H13,1)+IF(Skills!H13&gt;0,MIN(Skills!I13,MAX(0,MAX(0,Inputs!$B$43-B2528)-((R2503-1)*(IF(Inputs!$B$38="pvp",15,MAX(0.1,Skills!E13-IF(TRUE=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501949097152694.5</v>
      </c>
      <c r="U2503">
        <f>IF(C2503,(H2503*N2503*IF(AND(Inputs!$B$38&lt;&gt;"pvp",Inputs!$B$43&gt;0),((Skills!G13*((R2503-1)*IF(Skills!H13&gt;0,Skills!I13/Skills!H13,1)+IF(Skills!H13&gt;0,MIN(Skills!I13,MAX(0,MAX(0,Inputs!$B$43-B2528)-((R2503-1)*(IF(Inputs!$B$38="pvp",15,MAX(0.1,Skills!E13-IF(TRUE=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3336298888645827.5</v>
      </c>
    </row>
    <row r="2504" spans="1:21" x14ac:dyDescent="0.2">
      <c r="A2504" t="str">
        <f>Skills!A14</f>
        <v>METEOR_PROC</v>
      </c>
      <c r="B2504" t="str">
        <f>Skills!B14</f>
        <v>Meteor Proc (30% on-hit, 1s ICD)</v>
      </c>
      <c r="C2504" t="b">
        <f>Inputs!$B$3&gt;=113</f>
        <v>1</v>
      </c>
      <c r="D2504">
        <f>IF(Skills!C14=1,60+Inputs!$B$25+Inputs!$B$29,IF(Skills!C14=2,90+Inputs!$B$26+Inputs!$B$29,IF(Skills!C14=3,120+Inputs!$B$27+Inputs!$B$29,MAX(0,(Inputs!$B$3-100)*3)+Inputs!$B$28+Inputs!$B$29)))</f>
        <v>185</v>
      </c>
      <c r="E2504">
        <f>INDEX(FactorTable!$B$2:$Y$301, MATCH(ROUND(MIN(300,MAX(1,D2504)),0), FactorTable!$A$2:$A$301,0), Skills!M14+1)</f>
        <v>1740</v>
      </c>
      <c r="F2504">
        <f>IF(Skills!N14=TRUE,(Skills!L14/10)*(E2504/1000),Skills!L14/10)+Skills!O14</f>
        <v>1653</v>
      </c>
      <c r="G2504">
        <f>Calc!G14</f>
        <v>0</v>
      </c>
      <c r="H2504">
        <f>Calc!H14</f>
        <v>0.30000000000000004</v>
      </c>
      <c r="I2504">
        <f>IF(Skills!X14&lt;&gt;"",1+(Skills!X14/10)*(Z2493/1000)/100,1)</f>
        <v>1</v>
      </c>
      <c r="J2504">
        <f>((Inputs!$B$6*(1+Inputs!$B$7/100))+(((Inputs!$B$12*(1+Inputs!$B$13/100))-(Inputs!$B$12*(1+Inputs!$B$13/100)))+0.25*(Inputs!$B$14-Inputs!$B$14))*(1+Inputs!$B$7/100))*(F2504/100)</f>
        <v>5969553638.5932312</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32094982541417.938</v>
      </c>
      <c r="L2504">
        <f>K2504*(MIN(Inputs!$B$22+(F2512-Calc!F22),(Inputs!$B$23+(IF(ArtifactsInput!$M$15,CHOOSE(ArtifactsInput!$N$15+1,25,30,35,40,45,50)/100*(Inputs!$B$11-Inputs!$B$11),0))))/100+(Inputs!$B$23+(IF(ArtifactsInput!$M$15,CHOOSE(ArtifactsInput!$N$15+1,25,30,35,40,45,50)/100*(Inputs!$B$11-Inputs!$B$11),0)))/100)/2</f>
        <v>106715816950214.64</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503591940188062.81</v>
      </c>
      <c r="N2504">
        <f>L2504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503591940188062.81</v>
      </c>
      <c r="O2504">
        <f>(1-Summary!$B$11)*S2504+Summary!$B$11*U2504</f>
        <v>493544615401612.12</v>
      </c>
      <c r="P2504">
        <f>IF(B2531=0,0,O2504/B2531)</f>
        <v>1.3940833229257574E-2</v>
      </c>
      <c r="Q2504">
        <f>IFERROR(1/(IF(Inputs!$B$38="pvp",15,MAX(0.1,Skills!E14-IF(TRUE=TRUE,Inputs!$B$32,0)))*(1-IF(AND(ArtifactsInput!$M$27,Inputs!$B$4="Chapter Hunt"),CHOOSE(ArtifactsInput!$N$27+1,20,24,28,32,36,40),0)/100)),0)</f>
        <v>10</v>
      </c>
      <c r="R2504">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506322469522042.19</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480766761281182</v>
      </c>
    </row>
    <row r="2505" spans="1:21" x14ac:dyDescent="0.2">
      <c r="A2505" t="str">
        <f>Skills!A15</f>
        <v>FLAME_HAZE_BURST</v>
      </c>
      <c r="B2505" t="str">
        <f>Skills!B15</f>
        <v>Flame Haze (burst)</v>
      </c>
      <c r="C2505" t="b">
        <f>Inputs!$B$3&gt;=107</f>
        <v>1</v>
      </c>
      <c r="D2505">
        <f>IF(Skills!C15=1,60+Inputs!$B$25+Inputs!$B$29,IF(Skills!C15=2,90+Inputs!$B$26+Inputs!$B$29,IF(Skills!C15=3,120+Inputs!$B$27+Inputs!$B$29,MAX(0,(Inputs!$B$3-100)*3)+Inputs!$B$28+Inputs!$B$29)))</f>
        <v>185</v>
      </c>
      <c r="E2505">
        <f>INDEX(FactorTable!$B$2:$Y$301, MATCH(ROUND(MIN(300,MAX(1,D2505)),0), FactorTable!$A$2:$A$301,0), Skills!M15+1)</f>
        <v>1925</v>
      </c>
      <c r="F2505">
        <f>IF(Skills!N15=TRUE,(Skills!L15/10)*(E2505/1000),Skills!L15/10)+Skills!O15</f>
        <v>2310</v>
      </c>
      <c r="G2505">
        <f>Calc!G15</f>
        <v>3</v>
      </c>
      <c r="H2505">
        <f>Calc!H15</f>
        <v>1</v>
      </c>
      <c r="I2505">
        <f>IF(Skills!X15&lt;&gt;"",1+(Skills!X15/10)*(Z2493/1000)/100,1)</f>
        <v>1</v>
      </c>
      <c r="J2505">
        <f>((Inputs!$B$6*(1+Inputs!$B$7/100))+(((Inputs!$B$12*(1+Inputs!$B$13/100))-(Inputs!$B$12*(1+Inputs!$B$13/100)))+0.25*(Inputs!$B$14-Inputs!$B$14))*(1+Inputs!$B$7/100))*(F2505/100)</f>
        <v>8342207444.1321011</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44851427507970.633</v>
      </c>
      <c r="L2505">
        <f>K2505*(MIN(Inputs!$B$22+(F2512-Calc!F22),(Inputs!$B$23+(IF(ArtifactsInput!$M$15,CHOOSE(ArtifactsInput!$N$15+1,25,30,35,40,45,50)/100*(Inputs!$B$11-Inputs!$B$11),0))))/100+(Inputs!$B$23+(IF(ArtifactsInput!$M$15,CHOOSE(ArtifactsInput!$N$15+1,25,30,35,40,45,50)/100*(Inputs!$B$11-Inputs!$B$11),0)))/100)/2</f>
        <v>149130996464002.38</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703749172313627.12</v>
      </c>
      <c r="N2505">
        <f>L2505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703749172313627.12</v>
      </c>
      <c r="O2505">
        <f>(1-Summary!$B$11)*S2505+Summary!$B$11*U2505</f>
        <v>1756030122215577.8</v>
      </c>
      <c r="P2505">
        <f>IF(B2531=0,0,O2505/B2531)</f>
        <v>4.9601438888031688E-2</v>
      </c>
      <c r="Q2505">
        <f>IFERROR(1/(IF(Inputs!$B$38="pvp",15,MAX(0.1,Skills!E15-IF(TRUE=TRUE,Inputs!$B$32,0)))*(1-IF(AND(ArtifactsInput!$M$27,Inputs!$B$4="Chapter Hunt"),CHOOSE(ArtifactsInput!$N$27+1,20,24,28,32,36,40),0)/100)),0)</f>
        <v>0.04</v>
      </c>
      <c r="R2505">
        <f>IF(AND(Inputs!$B$38&lt;&gt;"pvp",Inputs!$B$43&gt;0),IF(MAX(0,Inputs!$B$43-B2528)&lt;=0,0,(INT(MAX(0,Inputs!$B$43-B2528)/(IF(Inputs!$B$38="pvp",15,MAX(0.1,Skills!E15-IF(TRUE=TRUE,Inputs!$B$32,0)))*(1-IF(AND(ArtifactsInput!$M$27,Inputs!$B$4="Chapter Hunt"),CHOOSE(ArtifactsInput!$N$27+1,20,24,28,32,36,40),0)/100)))+1)),0)</f>
        <v>2</v>
      </c>
      <c r="S2505">
        <f>IF(C2505,(H2505*N2505*IF(AND(Inputs!$B$38&lt;&gt;"pvp",Inputs!$B$43&gt;0),((Skills!G15*((R2505-1)*IF(Skills!H15&gt;0,Skills!I15/Skills!H15,1)+IF(Skills!H15&gt;0,MIN(Skills!I15,MAX(0,MAX(0,Inputs!$B$43-B2528)-((R2505-1)*(IF(Inputs!$B$38="pvp",15,MAX(0.1,Skills!E15-IF(TRUE=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334632731435129.69</v>
      </c>
      <c r="U2505">
        <f>IF(C2505,(H2505*N2505*IF(AND(Inputs!$B$38&lt;&gt;"pvp",Inputs!$B$43&gt;0),((Skills!G15*((R2505-1)*IF(Skills!H15&gt;0,Skills!I15/Skills!H15,1)+IF(Skills!H15&gt;0,MIN(Skills!I15,MAX(0,MAX(0,Inputs!$B$43-B2528)-((R2505-1)*(IF(Inputs!$B$38="pvp",15,MAX(0.1,Skills!E15-IF(TRUE=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3177427512996026</v>
      </c>
    </row>
    <row r="2506" spans="1:21" x14ac:dyDescent="0.2">
      <c r="A2506" t="str">
        <f>Skills!A16</f>
        <v>FLAME_HAZE_DOT</v>
      </c>
      <c r="B2506" t="str">
        <f>Skills!B16</f>
        <v>Flame Haze (burn DoT)</v>
      </c>
      <c r="C2506" t="b">
        <f>Inputs!$B$3&gt;=107</f>
        <v>1</v>
      </c>
      <c r="D2506">
        <f>IF(Skills!C16=1,60+Inputs!$B$25+Inputs!$B$29,IF(Skills!C16=2,90+Inputs!$B$26+Inputs!$B$29,IF(Skills!C16=3,120+Inputs!$B$27+Inputs!$B$29,MAX(0,(Inputs!$B$3-100)*3)+Inputs!$B$28+Inputs!$B$29)))</f>
        <v>185</v>
      </c>
      <c r="E2506">
        <f>INDEX(FactorTable!$B$2:$Y$301, MATCH(ROUND(MIN(300,MAX(1,D2506)),0), FactorTable!$A$2:$A$301,0), Skills!M16+1)</f>
        <v>1925</v>
      </c>
      <c r="F2506">
        <f>IF(Skills!N16=TRUE,(Skills!L16/10)*(E2506/1000),Skills!L16/10)+Skills!O16</f>
        <v>288.75</v>
      </c>
      <c r="G2506">
        <f>Calc!G16</f>
        <v>30</v>
      </c>
      <c r="H2506">
        <f>Calc!H16</f>
        <v>1</v>
      </c>
      <c r="I2506">
        <f>IF(Skills!X16&lt;&gt;"",1+(Skills!X16/10)*(Z2493/1000)/100,1)</f>
        <v>1</v>
      </c>
      <c r="J2506">
        <f>((Inputs!$B$6*(1+Inputs!$B$7/100))+(((Inputs!$B$12*(1+Inputs!$B$13/100))-(Inputs!$B$12*(1+Inputs!$B$13/100)))+0.25*(Inputs!$B$14-Inputs!$B$14))*(1+Inputs!$B$7/100))*(F2506/100)</f>
        <v>1042775930.5165126</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5606428438496.3291</v>
      </c>
      <c r="L2506">
        <f>K2506*(MIN(Inputs!$B$22+(F2512-Calc!F22),(Inputs!$B$23+(IF(ArtifactsInput!$M$15,CHOOSE(ArtifactsInput!$N$15+1,25,30,35,40,45,50)/100*(Inputs!$B$11-Inputs!$B$11),0))))/100+(Inputs!$B$23+(IF(ArtifactsInput!$M$15,CHOOSE(ArtifactsInput!$N$15+1,25,30,35,40,45,50)/100*(Inputs!$B$11-Inputs!$B$11),0)))/100)/2</f>
        <v>18641374558000.297</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87968646539203.391</v>
      </c>
      <c r="N2506">
        <f>L2506*(1-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87968646539203.391</v>
      </c>
      <c r="O2506">
        <f>(1-Summary!$B$11)*S2506+Summary!$B$11*U2506</f>
        <v>2022705086139450</v>
      </c>
      <c r="P2506">
        <f>IF(B2531=0,0,O2506/B2531)</f>
        <v>5.7134032867313181E-2</v>
      </c>
      <c r="Q2506">
        <f>IFERROR(1/(IF(Inputs!$B$38="pvp",15,MAX(0.1,Skills!E16-IF(TRUE=TRUE,Inputs!$B$32,0)))*(1-IF(AND(ArtifactsInput!$M$27,Inputs!$B$4="Chapter Hunt"),CHOOSE(ArtifactsInput!$N$27+1,20,24,28,32,36,40),0)/100)),0)</f>
        <v>0.04</v>
      </c>
      <c r="R2506">
        <f>IF(AND(Inputs!$B$38&lt;&gt;"pvp",Inputs!$B$43&gt;0),IF(MAX(0,Inputs!$B$43-B2528)&lt;=0,0,(INT(MAX(0,Inputs!$B$43-B2528)/(IF(Inputs!$B$38="pvp",15,MAX(0.1,Skills!E16-IF(TRUE=TRUE,Inputs!$B$32,0)))*(1-IF(AND(ArtifactsInput!$M$27,Inputs!$B$4="Chapter Hunt"),CHOOSE(ArtifactsInput!$N$27+1,20,24,28,32,36,40),0)/100)))+1)),0)</f>
        <v>2</v>
      </c>
      <c r="S2506">
        <f>IF(C2506,(H2506*N2506*IF(AND(Inputs!$B$38&lt;&gt;"pvp",Inputs!$B$43&gt;0),((Skills!G16*((R2506-1)*IF(Skills!H16&gt;0,Skills!I16/Skills!H16,1)+IF(Skills!H16&gt;0,MIN(Skills!I16,MAX(0,MAX(0,Inputs!$B$43-B2528)-((R2506-1)*(IF(Inputs!$B$38="pvp",15,MAX(0.1,Skills!E16-IF(TRUE=TRUE,Inputs!$B$32,0)))*(1-IF(AND(ArtifactsInput!$M$27,Inputs!$B$4="Chapter Hunt"),CHOOSE(ArtifactsInput!$N$27+1,20,24,28,32,36,40),0)/100)))))/Skills!H16,1)))/Inputs!$B$43),G2506*Q2506)*(1+IF(Inputs!$B$3&gt;=126,0.05*(B2526+Q2503+(H2504*B2527)/(1+Skills!H14*H2504*B2527)+Q2514),0)*(1/Q2505)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385450864025371.62</v>
      </c>
      <c r="U2506">
        <f>IF(C2506,(H2506*N2506*IF(AND(Inputs!$B$38&lt;&gt;"pvp",Inputs!$B$43&gt;0),((Skills!G16*((R2506-1)*IF(Skills!H16&gt;0,Skills!I16/Skills!H16,1)+IF(Skills!H16&gt;0,MIN(Skills!I16,MAX(0,MAX(0,Inputs!$B$43-B2528)-((R2506-1)*(IF(Inputs!$B$38="pvp",15,MAX(0.1,Skills!E16-IF(TRUE=TRUE,Inputs!$B$32,0)))*(1-IF(AND(ArtifactsInput!$M$27,Inputs!$B$4="Chapter Hunt"),CHOOSE(ArtifactsInput!$N$27+1,20,24,28,32,36,40),0)/100)))))/Skills!H16,1)))/Inputs!$B$43),G2506*Q2506)*(1+IF(Inputs!$B$3&gt;=126,0.05*(B2526+Q2503+(H2504*B2527)/(1+Skills!H14*H2504*B2527)+Q2514),0)*(1/Q2505)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3659959308253528.5</v>
      </c>
    </row>
    <row r="2507" spans="1:21" x14ac:dyDescent="0.2">
      <c r="A2507" t="str">
        <f>Skills!A17</f>
        <v>MAGIC_GUARD</v>
      </c>
      <c r="B2507" t="str">
        <f>Skills!B17</f>
        <v>Magic Guard</v>
      </c>
      <c r="C2507" t="b">
        <f>TRUE</f>
        <v>1</v>
      </c>
      <c r="D2507">
        <f>IF(Skills!C17=1,60+Inputs!$B$25+Inputs!$B$29,IF(Skills!C17=2,90+Inputs!$B$26+Inputs!$B$29,IF(Skills!C17=3,120+Inputs!$B$27+Inputs!$B$29,MAX(0,(Inputs!$B$3-100)*3)+Inputs!$B$28+Inputs!$B$29)))</f>
        <v>127</v>
      </c>
      <c r="E2507">
        <f>INDEX(FactorTable!$B$2:$Y$301, MATCH(ROUND(MIN(300,MAX(1,D2507)),0), FactorTable!$A$2:$A$301,0), Skills!M17+1)</f>
        <v>1508</v>
      </c>
      <c r="F2507">
        <f>IF(Skills!N17=TRUE,(Skills!L17/10)*(E2507/1000),Skills!L17/10)+Skills!O17</f>
        <v>18.096</v>
      </c>
      <c r="G2507">
        <f>Calc!G17</f>
        <v>1</v>
      </c>
      <c r="H2507">
        <f>Calc!H17</f>
        <v>1</v>
      </c>
      <c r="I2507">
        <f>IF(Skills!X17&lt;&gt;"",1+(Skills!X17/10)*(Z2493/1000)/100,1)</f>
        <v>1</v>
      </c>
      <c r="O2507">
        <f>(1-Summary!$B$11)*S2507+Summary!$B$11*U2507</f>
        <v>0</v>
      </c>
      <c r="P2507">
        <f>IF(B2531=0,0,O2507/B2531)</f>
        <v>0</v>
      </c>
      <c r="Q2507">
        <f>IFERROR(1/(IF(Inputs!$B$38="pvp",15,MAX(0.1,Skills!E17-IF(TRUE=TRUE,Inputs!$B$32,0)))*(1-IF(AND(ArtifactsInput!$M$27,Inputs!$B$4="Chapter Hunt"),CHOOSE(ArtifactsInput!$N$27+1,20,24,28,32,36,40),0)/100)),0)</f>
        <v>4.7619047619047616E-2</v>
      </c>
      <c r="R2507">
        <f>IF(AND(Inputs!$B$38&lt;&gt;"pvp",Inputs!$B$43&gt;0),IF(Inputs!$B$43&lt;=0,0,(INT(Inputs!$B$43/(IF(Inputs!$B$38="pvp",15,MAX(0.1,Skills!E17-IF(TRUE=TRUE,Inputs!$B$32,0)))*(1-IF(AND(ArtifactsInput!$M$27,Inputs!$B$4="Chapter Hunt"),CHOOSE(ArtifactsInput!$N$27+1,20,24,28,32,36,40),0)/100)))+1)),0)</f>
        <v>2</v>
      </c>
      <c r="S2507">
        <v>0</v>
      </c>
      <c r="U2507">
        <v>0</v>
      </c>
    </row>
    <row r="2508" spans="1:21" x14ac:dyDescent="0.2">
      <c r="A2508" t="str">
        <f>Skills!A18</f>
        <v>NIMBLE_FEET</v>
      </c>
      <c r="B2508" t="str">
        <f>Skills!B18</f>
        <v>Nimble Feet</v>
      </c>
      <c r="C2508" t="b">
        <f>TRUE</f>
        <v>1</v>
      </c>
      <c r="D2508">
        <f>IF(Skills!C18=1,60+Inputs!$B$25+Inputs!$B$29,IF(Skills!C18=2,90+Inputs!$B$26+Inputs!$B$29,IF(Skills!C18=3,120+Inputs!$B$27+Inputs!$B$29,MAX(0,(Inputs!$B$3-100)*3)+Inputs!$B$28+Inputs!$B$29)))</f>
        <v>127</v>
      </c>
      <c r="E2508">
        <f>INDEX(FactorTable!$B$2:$Y$301, MATCH(ROUND(MIN(300,MAX(1,D2508)),0), FactorTable!$A$2:$A$301,0), Skills!M18+1)</f>
        <v>0</v>
      </c>
      <c r="F2508">
        <f>IF(Skills!N18=TRUE,(Skills!L18/10)*(E2508/1000),Skills!L18/10)+Skills!O18</f>
        <v>15</v>
      </c>
      <c r="G2508">
        <f>Calc!G18</f>
        <v>1</v>
      </c>
      <c r="H2508">
        <f>Calc!H18</f>
        <v>1</v>
      </c>
      <c r="I2508">
        <f>IF(Skills!X18&lt;&gt;"",1+(Skills!X18/10)*(Z2493/1000)/100,1)</f>
        <v>1</v>
      </c>
      <c r="O2508">
        <f>(1-Summary!$B$11)*S2508+Summary!$B$11*U2508</f>
        <v>0</v>
      </c>
      <c r="P2508">
        <f>IF(B2531=0,0,O2508/B2531)</f>
        <v>0</v>
      </c>
      <c r="Q2508">
        <f>IFERROR(1/(IF(Inputs!$B$38="pvp",15,MAX(0.1,Skills!E18-IF(TRUE=TRUE,Inputs!$B$32,0)))*(1-IF(AND(ArtifactsInput!$M$27,Inputs!$B$4="Chapter Hunt"),CHOOSE(ArtifactsInput!$N$27+1,20,24,28,32,36,40),0)/100)),0)</f>
        <v>1.6666666666666666E-2</v>
      </c>
      <c r="R2508">
        <f>IF(AND(Inputs!$B$38&lt;&gt;"pvp",Inputs!$B$43&gt;0),IF(Inputs!$B$43&lt;=0,0,(INT(Inputs!$B$43/(IF(Inputs!$B$38="pvp",15,MAX(0.1,Skills!E18-IF(TRUE=TRUE,Inputs!$B$32,0)))*(1-IF(AND(ArtifactsInput!$M$27,Inputs!$B$4="Chapter Hunt"),CHOOSE(ArtifactsInput!$N$27+1,20,24,28,32,36,40),0)/100)))+1)),0)</f>
        <v>1</v>
      </c>
      <c r="S2508">
        <v>0</v>
      </c>
      <c r="U2508">
        <v>0</v>
      </c>
    </row>
    <row r="2509" spans="1:21" x14ac:dyDescent="0.2">
      <c r="A2509" t="str">
        <f>Skills!A19</f>
        <v>INFINITY</v>
      </c>
      <c r="B2509" t="str">
        <f>Skills!B19</f>
        <v>Infinity</v>
      </c>
      <c r="C2509" t="b">
        <f>Inputs!$B$3&gt;=110</f>
        <v>1</v>
      </c>
      <c r="D2509">
        <f>IF(Skills!C19=1,60+Inputs!$B$25+Inputs!$B$29,IF(Skills!C19=2,90+Inputs!$B$26+Inputs!$B$29,IF(Skills!C19=3,120+Inputs!$B$27+Inputs!$B$29,MAX(0,(Inputs!$B$3-100)*3)+Inputs!$B$28+Inputs!$B$29)))</f>
        <v>185</v>
      </c>
      <c r="E2509">
        <f>INDEX(FactorTable!$B$2:$Y$301, MATCH(ROUND(MIN(300,MAX(1,D2509)),0), FactorTable!$A$2:$A$301,0), Skills!M19+1)</f>
        <v>1740</v>
      </c>
      <c r="F2509">
        <f>IF(Skills!N19=TRUE,(Skills!L19/10)*(E2509/1000),Skills!L19/10)+Skills!O19</f>
        <v>37.700579999999995</v>
      </c>
      <c r="G2509">
        <f>Calc!G19</f>
        <v>1</v>
      </c>
      <c r="H2509">
        <f>Calc!H19</f>
        <v>1</v>
      </c>
      <c r="I2509">
        <f>IF(Skills!X19&lt;&gt;"",1+(Skills!X19/10)*(Z2493/1000)/100,1)</f>
        <v>1</v>
      </c>
      <c r="O2509">
        <f>(1-Summary!$B$11)*S2509+Summary!$B$11*U2509</f>
        <v>0</v>
      </c>
      <c r="P2509">
        <f>IF(B2531=0,0,O2509/B2531)</f>
        <v>0</v>
      </c>
      <c r="Q2509">
        <f>IFERROR(1/(IF(Inputs!$B$38="pvp",15,MAX(0.1,Skills!E19-IF(TRUE=TRUE,Inputs!$B$32,0)))*(1-IF(AND(ArtifactsInput!$M$27,Inputs!$B$4="Chapter Hunt"),CHOOSE(ArtifactsInput!$N$27+1,20,24,28,32,36,40),0)/100)),0)</f>
        <v>3.3333333333333333E-2</v>
      </c>
      <c r="R2509">
        <f>IF(AND(Inputs!$B$38&lt;&gt;"pvp",Inputs!$B$43&gt;0),IF(Inputs!$B$43&lt;=0,0,(INT(Inputs!$B$43/(IF(Inputs!$B$38="pvp",15,MAX(0.1,Skills!E19-IF(TRUE=TRUE,Inputs!$B$32,0)))*(1-IF(AND(ArtifactsInput!$M$27,Inputs!$B$4="Chapter Hunt"),CHOOSE(ArtifactsInput!$N$27+1,20,24,28,32,36,40),0)/100)))+1)),0)</f>
        <v>2</v>
      </c>
      <c r="S2509">
        <v>0</v>
      </c>
      <c r="U2509">
        <v>0</v>
      </c>
    </row>
    <row r="2510" spans="1:21" x14ac:dyDescent="0.2">
      <c r="A2510" t="str">
        <f>Skills!A20</f>
        <v>MAGIC_CRITICAL_RATE</v>
      </c>
      <c r="B2510" t="str">
        <f>Skills!B20</f>
        <v>Magic Critical (Crit Rate)</v>
      </c>
      <c r="C2510" t="b">
        <f>TRUE</f>
        <v>1</v>
      </c>
      <c r="D2510">
        <f>IF(Skills!C20=1,60+Inputs!$B$25+Inputs!$B$29,IF(Skills!C20=2,90+Inputs!$B$26+Inputs!$B$29,IF(Skills!C20=3,120+Inputs!$B$27+Inputs!$B$29,MAX(0,(Inputs!$B$3-100)*3)+Inputs!$B$28+Inputs!$B$29)))</f>
        <v>184</v>
      </c>
      <c r="E2510">
        <f>INDEX(FactorTable!$B$2:$Y$301, MATCH(ROUND(MIN(300,MAX(1,D2510)),0), FactorTable!$A$2:$A$301,0), Skills!M20+1)</f>
        <v>1552</v>
      </c>
      <c r="F2510">
        <f>IF(Skills!N20=TRUE,(Skills!L20/10)*(E2510/1000),Skills!L20/10)+Skills!O20</f>
        <v>12.416</v>
      </c>
      <c r="G2510">
        <f>Calc!G20</f>
        <v>1</v>
      </c>
      <c r="H2510">
        <f>Calc!H20</f>
        <v>1</v>
      </c>
      <c r="I2510">
        <f>IF(Skills!X20&lt;&gt;"",1+(Skills!X20/10)*(Z2493/1000)/100,1)</f>
        <v>1</v>
      </c>
      <c r="O2510">
        <f>(1-Summary!$B$11)*S2510+Summary!$B$11*U2510</f>
        <v>0</v>
      </c>
      <c r="P2510">
        <f>IF(B2531=0,0,O2510/B2531)</f>
        <v>0</v>
      </c>
      <c r="Q2510">
        <f>IFERROR(1/(IF(Inputs!$B$38="pvp",15,MAX(0.1,Skills!E20-IF(TRUE=TRUE,Inputs!$B$32,0)))*(1-IF(AND(ArtifactsInput!$M$27,Inputs!$B$4="Chapter Hunt"),CHOOSE(ArtifactsInput!$N$27+1,20,24,28,32,36,40),0)/100)),0)</f>
        <v>10</v>
      </c>
      <c r="R2510">
        <v>0</v>
      </c>
      <c r="S2510">
        <v>0</v>
      </c>
      <c r="U2510">
        <v>0</v>
      </c>
    </row>
    <row r="2511" spans="1:21" x14ac:dyDescent="0.2">
      <c r="A2511" t="str">
        <f>Skills!A21</f>
        <v>MAGIC_CRITICAL_DAMAGE</v>
      </c>
      <c r="B2511" t="str">
        <f>Skills!B21</f>
        <v>Magic Critical (Crit Damage)</v>
      </c>
      <c r="C2511" t="b">
        <f>TRUE</f>
        <v>1</v>
      </c>
      <c r="D2511">
        <f>IF(Skills!C21=1,60+Inputs!$B$25+Inputs!$B$29,IF(Skills!C21=2,90+Inputs!$B$26+Inputs!$B$29,IF(Skills!C21=3,120+Inputs!$B$27+Inputs!$B$29,MAX(0,(Inputs!$B$3-100)*3)+Inputs!$B$28+Inputs!$B$29)))</f>
        <v>184</v>
      </c>
      <c r="E2511">
        <f>INDEX(FactorTable!$B$2:$Y$301, MATCH(ROUND(MIN(300,MAX(1,D2511)),0), FactorTable!$A$2:$A$301,0), Skills!M21+1)</f>
        <v>1552</v>
      </c>
      <c r="F2511">
        <f>IF(Skills!N21=TRUE,(Skills!L21/10)*(E2511/1000),Skills!L21/10)+Skills!O21</f>
        <v>18.624000000000002</v>
      </c>
      <c r="G2511">
        <f>Calc!G21</f>
        <v>1</v>
      </c>
      <c r="H2511">
        <f>Calc!H21</f>
        <v>1</v>
      </c>
      <c r="I2511">
        <f>IF(Skills!X21&lt;&gt;"",1+(Skills!X21/10)*(Z2493/1000)/100,1)</f>
        <v>1</v>
      </c>
      <c r="O2511">
        <f>(1-Summary!$B$11)*S2511+Summary!$B$11*U2511</f>
        <v>0</v>
      </c>
      <c r="P2511">
        <f>IF(B2531=0,0,O2511/B2531)</f>
        <v>0</v>
      </c>
      <c r="Q2511">
        <f>IFERROR(1/(IF(Inputs!$B$38="pvp",15,MAX(0.1,Skills!E21-IF(TRUE=TRUE,Inputs!$B$32,0)))*(1-IF(AND(ArtifactsInput!$M$27,Inputs!$B$4="Chapter Hunt"),CHOOSE(ArtifactsInput!$N$27+1,20,24,28,32,36,40),0)/100)),0)</f>
        <v>10</v>
      </c>
      <c r="R2511">
        <v>0</v>
      </c>
      <c r="S2511">
        <v>0</v>
      </c>
      <c r="U2511">
        <v>0</v>
      </c>
    </row>
    <row r="2512" spans="1:21" x14ac:dyDescent="0.2">
      <c r="A2512" t="str">
        <f>Skills!A22</f>
        <v>SPELL_MASTERY</v>
      </c>
      <c r="B2512" t="str">
        <f>Skills!B22</f>
        <v>Spell Mastery</v>
      </c>
      <c r="C2512" t="b">
        <f>TRUE</f>
        <v>1</v>
      </c>
      <c r="D2512">
        <f>IF(Skills!C22=1,60+Inputs!$B$25+Inputs!$B$29,IF(Skills!C22=2,90+Inputs!$B$26+Inputs!$B$29,IF(Skills!C22=3,120+Inputs!$B$27+Inputs!$B$29,MAX(0,(Inputs!$B$3-100)*3)+Inputs!$B$28+Inputs!$B$29)))</f>
        <v>168</v>
      </c>
      <c r="E2512">
        <f>INDEX(FactorTable!$B$2:$Y$301, MATCH(ROUND(MIN(300,MAX(1,D2512)),0), FactorTable!$A$2:$A$301,0), Skills!M22+1)</f>
        <v>1504</v>
      </c>
      <c r="F2512">
        <f>IF(Skills!N22=TRUE,(Skills!L22/10)*(E2512/1000),Skills!L22/10)+Skills!O22</f>
        <v>22.56</v>
      </c>
      <c r="G2512">
        <f>Calc!G22</f>
        <v>1</v>
      </c>
      <c r="H2512">
        <f>Calc!H22</f>
        <v>1</v>
      </c>
      <c r="I2512">
        <f>IF(Skills!X22&lt;&gt;"",1+(Skills!X22/10)*(Z2493/1000)/100,1)</f>
        <v>1</v>
      </c>
      <c r="O2512">
        <f>(1-Summary!$B$11)*S2512+Summary!$B$11*U2512</f>
        <v>0</v>
      </c>
      <c r="P2512">
        <f>IF(B2531=0,0,O2512/B2531)</f>
        <v>0</v>
      </c>
      <c r="Q2512">
        <f>IFERROR(1/(IF(Inputs!$B$38="pvp",15,MAX(0.1,Skills!E22-IF(TRUE=TRUE,Inputs!$B$32,0)))*(1-IF(AND(ArtifactsInput!$M$27,Inputs!$B$4="Chapter Hunt"),CHOOSE(ArtifactsInput!$N$27+1,20,24,28,32,36,40),0)/100)),0)</f>
        <v>10</v>
      </c>
      <c r="R2512">
        <v>0</v>
      </c>
      <c r="S2512">
        <v>0</v>
      </c>
      <c r="U2512">
        <v>0</v>
      </c>
    </row>
    <row r="2513" spans="1:21" x14ac:dyDescent="0.2">
      <c r="A2513" t="str">
        <f>Skills!A23</f>
        <v>ELEMENT_AMPLIFICATION</v>
      </c>
      <c r="B2513" t="str">
        <f>Skills!B23</f>
        <v>Element Amplification</v>
      </c>
      <c r="C2513" t="b">
        <f>TRUE</f>
        <v>1</v>
      </c>
      <c r="D2513">
        <f>IF(Skills!C23=1,60+Inputs!$B$25+Inputs!$B$29,IF(Skills!C23=2,90+Inputs!$B$26+Inputs!$B$29,IF(Skills!C23=3,120+Inputs!$B$27+Inputs!$B$29,MAX(0,(Inputs!$B$3-100)*3)+Inputs!$B$28+Inputs!$B$29)))</f>
        <v>185</v>
      </c>
      <c r="E2513">
        <f>INDEX(FactorTable!$B$2:$Y$301, MATCH(ROUND(MIN(300,MAX(1,D2513)),0), FactorTable!$A$2:$A$301,0), Skills!M23+1)</f>
        <v>1555</v>
      </c>
      <c r="F2513">
        <f>IF(Skills!N23=TRUE,(Skills!L23/10)*(E2513/1000),Skills!L23/10)+Skills!O23</f>
        <v>23.324999999999999</v>
      </c>
      <c r="G2513">
        <f>Calc!G23</f>
        <v>1</v>
      </c>
      <c r="H2513">
        <f>Calc!H23</f>
        <v>1</v>
      </c>
      <c r="I2513">
        <f>IF(Skills!X23&lt;&gt;"",1+(Skills!X23/10)*(Z2493/1000)/100,1)</f>
        <v>1</v>
      </c>
      <c r="O2513">
        <f>(1-Summary!$B$11)*S2513+Summary!$B$11*U2513</f>
        <v>0</v>
      </c>
      <c r="P2513">
        <f>IF(B2531=0,0,O2513/B2531)</f>
        <v>0</v>
      </c>
      <c r="Q2513">
        <f>IFERROR(1/(IF(Inputs!$B$38="pvp",15,MAX(0.1,Skills!E23-IF(TRUE=TRUE,Inputs!$B$32,0)))*(1-IF(AND(ArtifactsInput!$M$27,Inputs!$B$4="Chapter Hunt"),CHOOSE(ArtifactsInput!$N$27+1,20,24,28,32,36,40),0)/100)),0)</f>
        <v>10</v>
      </c>
      <c r="R2513">
        <v>0</v>
      </c>
      <c r="S2513">
        <v>0</v>
      </c>
      <c r="U2513">
        <v>0</v>
      </c>
    </row>
    <row r="2514" spans="1:21" x14ac:dyDescent="0.2">
      <c r="A2514" t="str">
        <f>Skills!A24</f>
        <v>IFRIT</v>
      </c>
      <c r="B2514" t="str">
        <f>Skills!B24</f>
        <v>Ifrit</v>
      </c>
      <c r="C2514" t="b">
        <f>Inputs!$B$3&gt;=115</f>
        <v>1</v>
      </c>
      <c r="D2514">
        <f>IF(Skills!C24=1,60+Inputs!$B$25+Inputs!$B$29,IF(Skills!C24=2,90+Inputs!$B$26+Inputs!$B$29,IF(Skills!C24=3,120+Inputs!$B$27+Inputs!$B$29,MAX(0,(Inputs!$B$3-100)*3)+Inputs!$B$28+Inputs!$B$29)))</f>
        <v>185</v>
      </c>
      <c r="E2514">
        <f>INDEX(FactorTable!$B$2:$Y$301, MATCH(ROUND(MIN(300,MAX(1,D2514)),0), FactorTable!$A$2:$A$301,0), Skills!M24+1)</f>
        <v>1925</v>
      </c>
      <c r="F2514">
        <f>IF(Skills!N24=TRUE,(Skills!L24/10)*(E2514/1000),Skills!L24/10)+Skills!O24</f>
        <v>6737.5</v>
      </c>
      <c r="G2514">
        <f>Calc!G24</f>
        <v>7.5</v>
      </c>
      <c r="H2514">
        <f>Calc!H24</f>
        <v>1</v>
      </c>
      <c r="I2514">
        <f>IF(Skills!X24&lt;&gt;"",1+(Skills!X24/10)*(Z2493/1000)/100,1)</f>
        <v>1</v>
      </c>
      <c r="J2514">
        <f>((Inputs!$B$6*(1+Inputs!$B$7/100))+(((Inputs!$B$12*(1+Inputs!$B$13/100))-(Inputs!$B$12*(1+Inputs!$B$13/100)))+0.25*(Inputs!$B$14-Inputs!$B$14))*(1+Inputs!$B$7/100))*(F2514/100)</f>
        <v>24331438378.718628</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130816663564914.34</v>
      </c>
      <c r="L2514">
        <f>K2514*(MIN(Inputs!$B$22+(F2512-Calc!F22),(Inputs!$B$23+(IF(ArtifactsInput!$M$15,CHOOSE(ArtifactsInput!$N$15+1,25,30,35,40,45,50)/100*(Inputs!$B$11-Inputs!$B$11),0))))/100+(Inputs!$B$23+(IF(ArtifactsInput!$M$15,CHOOSE(ArtifactsInput!$N$15+1,25,30,35,40,45,50)/100*(Inputs!$B$11-Inputs!$B$11),0)))/100)/2</f>
        <v>434965406353340.19</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2052601752581412</v>
      </c>
      <c r="N2514">
        <f>L2514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2052601752581412</v>
      </c>
      <c r="O2514">
        <f>(1-Summary!$B$11)*S2514+Summary!$B$11*U2514</f>
        <v>2347663254514990</v>
      </c>
      <c r="P2514">
        <f>IF(B2531=0,0,O2514/B2531)</f>
        <v>6.6312914553869631E-2</v>
      </c>
      <c r="Q2514">
        <f>IFERROR(1/(IF(Inputs!$B$38="pvp",15,MAX(0.1,Skills!E24-IF(TRUE=TRUE,Inputs!$B$32,0)))*(1-IF(AND(ArtifactsInput!$M$27,Inputs!$B$4="Chapter Hunt"),CHOOSE(ArtifactsInput!$N$27+1,20,24,28,32,36,40),0)/100)),0)</f>
        <v>1.2500000000000001E-2</v>
      </c>
      <c r="R2514">
        <f>IF(AND(Inputs!$B$38&lt;&gt;"pvp",Inputs!$B$43&gt;0),IF(MAX(0,Inputs!$B$43-B2528)&lt;=0,0,(INT(MAX(0,Inputs!$B$43-B2528)/(IF(Inputs!$B$38="pvp",15,MAX(0.1,Skills!E24-IF(TRUE=TRUE,Inputs!$B$32,0)))*(1-IF(AND(ArtifactsInput!$M$27,Inputs!$B$4="Chapter Hunt"),CHOOSE(ArtifactsInput!$N$27+1,20,24,28,32,36,40),0)/100)))+1)),0)</f>
        <v>1</v>
      </c>
      <c r="S2514">
        <f>IF(C2514,(H2514*N2514*IF(AND(Inputs!$B$38&lt;&gt;"pvp",Inputs!$B$43&gt;0),((Skills!G24*((R2514-1)*IF(Skills!H24&gt;0,Skills!I24/Skills!H24,1)+IF(Skills!H24&gt;0,MIN(Skills!I24,MAX(0,MAX(0,Inputs!$B$43-B2528)-((R2514-1)*(IF(Inputs!$B$38="pvp",15,MAX(0.1,Skills!E24-IF(TRUE=TRUE,Inputs!$B$32,0)))*(1-IF(AND(ArtifactsInput!$M$27,Inputs!$B$4="Chapter Hunt"),CHOOSE(ArtifactsInput!$N$27+1,20,24,28,32,36,40),0)/100)))))/Skills!H24,1)))/Inputs!$B$43),G2514*Q2514)*(1+IF(Inputs!$B$3&gt;=130,0.2*(Skills!I16/(1/Q2505)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1220015166690576.8</v>
      </c>
      <c r="U2514">
        <f>IF(C2514,(H2514*N2514*IF(AND(Inputs!$B$38&lt;&gt;"pvp",Inputs!$B$43&gt;0),((Skills!G24*((R2514-1)*IF(Skills!H24&gt;0,Skills!I24/Skills!H24,1)+IF(Skills!H24&gt;0,MIN(Skills!I24,MAX(0,MAX(0,Inputs!$B$43-B2528)-((R2514-1)*(IF(Inputs!$B$38="pvp",15,MAX(0.1,Skills!E24-IF(TRUE=TRUE,Inputs!$B$32,0)))*(1-IF(AND(ArtifactsInput!$M$27,Inputs!$B$4="Chapter Hunt"),CHOOSE(ArtifactsInput!$N$27+1,20,24,28,32,36,40),0)/100)))))/Skills!H24,1)))/Inputs!$B$43),G2514*Q2514)*(1+IF(Inputs!$B$3&gt;=130,0.2*(Skills!I16/(1/Q2505)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3475311342339403</v>
      </c>
    </row>
    <row r="2515" spans="1:21" x14ac:dyDescent="0.2">
      <c r="A2515" t="str">
        <f>Skills!A25</f>
        <v>BUFF_MASTERY</v>
      </c>
      <c r="B2515" t="str">
        <f>Skills!B25</f>
        <v>Buff Mastery</v>
      </c>
      <c r="C2515" t="b">
        <f>Inputs!$B$3&gt;=117</f>
        <v>1</v>
      </c>
      <c r="D2515">
        <f>IF(Skills!C25=1,60+Inputs!$B$25+Inputs!$B$29,IF(Skills!C25=2,90+Inputs!$B$26+Inputs!$B$29,IF(Skills!C25=3,120+Inputs!$B$27+Inputs!$B$29,MAX(0,(Inputs!$B$3-100)*3)+Inputs!$B$28+Inputs!$B$29)))</f>
        <v>185</v>
      </c>
      <c r="E2515">
        <f>INDEX(FactorTable!$B$2:$Y$301, MATCH(ROUND(MIN(300,MAX(1,D2515)),0), FactorTable!$A$2:$A$301,0), Skills!M25+1)</f>
        <v>1555</v>
      </c>
      <c r="F2515">
        <f>IF(Skills!N25=TRUE,(Skills!L25/10)*(E2515/1000),Skills!L25/10)+Skills!O25</f>
        <v>15.549999999999999</v>
      </c>
      <c r="G2515">
        <f>Calc!G25</f>
        <v>1</v>
      </c>
      <c r="H2515">
        <f>Calc!H25</f>
        <v>1</v>
      </c>
      <c r="I2515">
        <f>IF(Skills!X25&lt;&gt;"",1+(Skills!X25/10)*(Z2493/1000)/100,1)</f>
        <v>1</v>
      </c>
      <c r="O2515">
        <f>(1-Summary!$B$11)*S2515+Summary!$B$11*U2515</f>
        <v>0</v>
      </c>
      <c r="P2515">
        <f>IF(B2531=0,0,O2515/B2531)</f>
        <v>0</v>
      </c>
      <c r="Q2515">
        <f>IFERROR(1/(IF(Inputs!$B$38="pvp",15,MAX(0.1,Skills!E25-IF(TRUE=TRUE,Inputs!$B$32,0)))*(1-IF(AND(ArtifactsInput!$M$27,Inputs!$B$4="Chapter Hunt"),CHOOSE(ArtifactsInput!$N$27+1,20,24,28,32,36,40),0)/100)),0)</f>
        <v>10</v>
      </c>
      <c r="R2515">
        <v>0</v>
      </c>
      <c r="S2515">
        <v>0</v>
      </c>
      <c r="U2515">
        <v>0</v>
      </c>
    </row>
    <row r="2516" spans="1:21" x14ac:dyDescent="0.2">
      <c r="A2516" t="str">
        <f>Skills!A26</f>
        <v>ARCANE_AIM</v>
      </c>
      <c r="B2516" t="str">
        <f>Skills!B26</f>
        <v>Arcane Aim</v>
      </c>
      <c r="C2516" t="b">
        <f>Inputs!$B$3&gt;=120</f>
        <v>0</v>
      </c>
      <c r="D2516">
        <f>IF(Skills!C26=1,60+Inputs!$B$25+Inputs!$B$29,IF(Skills!C26=2,90+Inputs!$B$26+Inputs!$B$29,IF(Skills!C26=3,120+Inputs!$B$27+Inputs!$B$29,MAX(0,(Inputs!$B$3-100)*3)+Inputs!$B$28+Inputs!$B$29)))</f>
        <v>185</v>
      </c>
      <c r="E2516">
        <f>INDEX(FactorTable!$B$2:$Y$301, MATCH(ROUND(MIN(300,MAX(1,D2516)),0), FactorTable!$A$2:$A$301,0), Skills!M26+1)</f>
        <v>1555</v>
      </c>
      <c r="F2516">
        <f>IF(Skills!N26=TRUE,(Skills!L26/10)*(E2516/1000),Skills!L26/10)+Skills!O26</f>
        <v>4.665</v>
      </c>
      <c r="G2516">
        <f>Calc!G26</f>
        <v>1</v>
      </c>
      <c r="H2516">
        <f>Calc!H26</f>
        <v>1</v>
      </c>
      <c r="I2516">
        <f>IF(Skills!X26&lt;&gt;"",1+(Skills!X26/10)*(Z2493/1000)/100,1)</f>
        <v>1</v>
      </c>
      <c r="O2516">
        <f>(1-Summary!$B$11)*S2516+Summary!$B$11*U2516</f>
        <v>0</v>
      </c>
      <c r="P2516">
        <f>IF(B2531=0,0,O2516/B2531)</f>
        <v>0</v>
      </c>
      <c r="Q2516">
        <f>IFERROR(1/(IF(Inputs!$B$38="pvp",15,MAX(0.1,Skills!E26-IF(TRUE=TRUE,Inputs!$B$32,0)))*(1-IF(AND(ArtifactsInput!$M$27,Inputs!$B$4="Chapter Hunt"),CHOOSE(ArtifactsInput!$N$27+1,20,24,28,32,36,40),0)/100)),0)</f>
        <v>10</v>
      </c>
      <c r="R2516">
        <v>0</v>
      </c>
      <c r="S2516">
        <v>0</v>
      </c>
      <c r="U2516">
        <v>0</v>
      </c>
    </row>
    <row r="2517" spans="1:21" x14ac:dyDescent="0.2">
      <c r="A2517" t="str">
        <f>Skills!A27</f>
        <v>FERVENT_DRAIN</v>
      </c>
      <c r="B2517" t="str">
        <f>Skills!B27</f>
        <v>Fervent Drain</v>
      </c>
      <c r="C2517" t="b">
        <f>Inputs!$B$3&gt;=125</f>
        <v>0</v>
      </c>
      <c r="D2517">
        <f>IF(Skills!C27=1,60+Inputs!$B$25+Inputs!$B$29,IF(Skills!C27=2,90+Inputs!$B$26+Inputs!$B$29,IF(Skills!C27=3,120+Inputs!$B$27+Inputs!$B$29,MAX(0,(Inputs!$B$3-100)*3)+Inputs!$B$28+Inputs!$B$29)))</f>
        <v>185</v>
      </c>
      <c r="E2517">
        <f>INDEX(FactorTable!$B$2:$Y$301, MATCH(ROUND(MIN(300,MAX(1,D2517)),0), FactorTable!$A$2:$A$301,0), Skills!M27+1)</f>
        <v>1555</v>
      </c>
      <c r="F2517">
        <f>IF(Skills!N27=TRUE,(Skills!L27/10)*(E2517/1000),Skills!L27/10)+Skills!O27</f>
        <v>6.22</v>
      </c>
      <c r="G2517">
        <f>Calc!G27</f>
        <v>1</v>
      </c>
      <c r="H2517">
        <f>Calc!H27</f>
        <v>1</v>
      </c>
      <c r="I2517">
        <f>IF(Skills!X27&lt;&gt;"",1+(Skills!X27/10)*(Z2493/1000)/100,1)</f>
        <v>1</v>
      </c>
      <c r="O2517">
        <f>(1-Summary!$B$11)*S2517+Summary!$B$11*U2517</f>
        <v>0</v>
      </c>
      <c r="P2517">
        <f>IF(B2531=0,0,O2517/B2531)</f>
        <v>0</v>
      </c>
      <c r="Q2517">
        <f>IFERROR(1/(IF(Inputs!$B$38="pvp",15,MAX(0.1,Skills!E27-IF(TRUE=TRUE,Inputs!$B$32,0)))*(1-IF(AND(ArtifactsInput!$M$27,Inputs!$B$4="Chapter Hunt"),CHOOSE(ArtifactsInput!$N$27+1,20,24,28,32,36,40),0)/100)),0)</f>
        <v>10</v>
      </c>
      <c r="R2517">
        <v>0</v>
      </c>
      <c r="S2517">
        <v>0</v>
      </c>
      <c r="U2517">
        <v>0</v>
      </c>
    </row>
    <row r="2518" spans="1:21" x14ac:dyDescent="0.2">
      <c r="A2518" t="str">
        <f>Skills!A28</f>
        <v>FLAME_HAZE_FOG</v>
      </c>
      <c r="B2518" t="str">
        <f>Skills!B28</f>
        <v>Flame Haze (poison fog DoT)</v>
      </c>
      <c r="C2518" t="b">
        <f>Inputs!$B$3&gt;=118</f>
        <v>0</v>
      </c>
      <c r="D2518">
        <f>IF(Skills!C28=1,60+Inputs!$B$25+Inputs!$B$29,IF(Skills!C28=2,90+Inputs!$B$26+Inputs!$B$29,IF(Skills!C28=3,120+Inputs!$B$27+Inputs!$B$29,MAX(0,(Inputs!$B$3-100)*3)+Inputs!$B$28+Inputs!$B$29)))</f>
        <v>185</v>
      </c>
      <c r="E2518">
        <f>INDEX(FactorTable!$B$2:$Y$301, MATCH(ROUND(MIN(300,MAX(1,D2518)),0), FactorTable!$A$2:$A$301,0), Skills!M28+1)</f>
        <v>1925</v>
      </c>
      <c r="F2518">
        <f>IF(Skills!N28=TRUE,(Skills!L28/10)*(E2518/1000),Skills!L28/10)+Skills!O28</f>
        <v>134.75</v>
      </c>
      <c r="G2518">
        <f>Calc!G28</f>
        <v>50</v>
      </c>
      <c r="H2518">
        <f>Calc!H28</f>
        <v>1</v>
      </c>
      <c r="I2518">
        <f>IF(Skills!X28&lt;&gt;"",1+(Skills!X28/10)*(Z2493/1000)/100,1)</f>
        <v>1</v>
      </c>
      <c r="J2518">
        <f>((Inputs!$B$6*(1+Inputs!$B$7/100))+(((Inputs!$B$12*(1+Inputs!$B$13/100))-(Inputs!$B$12*(1+Inputs!$B$13/100)))+0.25*(Inputs!$B$14-Inputs!$B$14))*(1+Inputs!$B$7/100))*(F2518/100)</f>
        <v>486628767.57437253</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2616333271298.2861</v>
      </c>
      <c r="L2518">
        <f>K2518*(MIN(Inputs!$B$22+(F2512-Calc!F22),(Inputs!$B$23+(IF(ArtifactsInput!$M$15,CHOOSE(ArtifactsInput!$N$15+1,25,30,35,40,45,50)/100*(Inputs!$B$11-Inputs!$B$11),0))))/100+(Inputs!$B$23+(IF(ArtifactsInput!$M$15,CHOOSE(ArtifactsInput!$N$15+1,25,30,35,40,45,50)/100*(Inputs!$B$11-Inputs!$B$11),0)))/100)/2</f>
        <v>8699308127066.8018</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41052035051628.234</v>
      </c>
      <c r="N2518">
        <f>L2518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41052035051628.234</v>
      </c>
      <c r="O2518">
        <f>(1-Summary!$B$11)*S2518+Summary!$B$11*U2518</f>
        <v>0</v>
      </c>
      <c r="P2518">
        <f>IF(B2531=0,0,O2518/B2531)</f>
        <v>0</v>
      </c>
      <c r="Q2518">
        <f>IFERROR(1/(IF(Inputs!$B$38="pvp",15,MAX(0.1,Skills!E28-IF(TRUE=TRUE,Inputs!$B$32,0)))*(1-IF(AND(ArtifactsInput!$M$27,Inputs!$B$4="Chapter Hunt"),CHOOSE(ArtifactsInput!$N$27+1,20,24,28,32,36,40),0)/100)),0)</f>
        <v>0.04</v>
      </c>
      <c r="R2518">
        <f>IF(AND(Inputs!$B$38&lt;&gt;"pvp",Inputs!$B$43&gt;0),IF(MAX(0,Inputs!$B$43-B2528)&lt;=0,0,(INT(MAX(0,Inputs!$B$43-B2528)/(IF(Inputs!$B$38="pvp",15,MAX(0.1,Skills!E28-IF(TRUE=TRUE,Inputs!$B$32,0)))*(1-IF(AND(ArtifactsInput!$M$27,Inputs!$B$4="Chapter Hunt"),CHOOSE(ArtifactsInput!$N$27+1,20,24,28,32,36,40),0)/100)))+1)),0)</f>
        <v>2</v>
      </c>
      <c r="S2518">
        <f>IF(C2518,(H2518*N2518*IF(AND(Inputs!$B$38&lt;&gt;"pvp",Inputs!$B$43&gt;0),((Skills!G28*((R2518-1)*IF(Skills!H28&gt;0,Skills!I28/Skills!H28,1)+IF(Skills!H28&gt;0,MIN(Skills!I28,MAX(0,MAX(0,Inputs!$B$43-B2528)-((R2518-1)*(IF(Inputs!$B$38="pvp",15,MAX(0.1,Skills!E28-IF(TRUE=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518">
        <f>IF(C2518,(H2518*N2518*IF(AND(Inputs!$B$38&lt;&gt;"pvp",Inputs!$B$43&gt;0),((Skills!G28*((R2518-1)*IF(Skills!H28&gt;0,Skills!I28/Skills!H28,1)+IF(Skills!H28&gt;0,MIN(Skills!I28,MAX(0,MAX(0,Inputs!$B$43-B2528)-((R2518-1)*(IF(Inputs!$B$38="pvp",15,MAX(0.1,Skills!E28-IF(TRUE=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520" spans="1:21" x14ac:dyDescent="0.2">
      <c r="A2520" t="s">
        <v>356</v>
      </c>
      <c r="B2520">
        <f>1+(F2501*Skills!Z11)/100</f>
        <v>1.25</v>
      </c>
    </row>
    <row r="2521" spans="1:21" x14ac:dyDescent="0.2">
      <c r="A2521" t="s">
        <v>435</v>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1.18624</v>
      </c>
    </row>
    <row r="2522" spans="1:21" x14ac:dyDescent="0.2">
      <c r="A2522" t="s">
        <v>358</v>
      </c>
      <c r="B2522">
        <f>(1+(F2496*IF(AND(Inputs!$B$38&lt;&gt;"pvp",Inputs!$B$43&gt;0),(((R2496-1)*MIN((Skills!T6*(1+((Inputs!$B$34+(ArtifactsInput!$M$7-ArtifactsInput!$M$7)*CHOOSE(ArtifactsInput!$N$7+1,6,7.2,8.4,9.6,10.8,12)))/100)),(1/Q2496))+MIN((Skills!T6*(1+((Inputs!$B$34+(ArtifactsInput!$M$7-ArtifactsInput!$M$7)*CHOOSE(ArtifactsInput!$N$7+1,6,7.2,8.4,9.6,10.8,12)))/100)),MAX(0,Inputs!$B$43-((R2496-1)*(1/Q2496)))))/Inputs!$B$43),IF(Inputs!$B$38="pvp",MIN((Skills!T6*(1+((Inputs!$B$34+(ArtifactsInput!$M$7-ArtifactsInput!$M$7)*CHOOSE(ArtifactsInput!$N$7+1,6,7.2,8.4,9.6,10.8,12)))/100)),15)/15,MIN(1,(Skills!T6*(1+((Inputs!$B$34+(ArtifactsInput!$M$7-ArtifactsInput!$M$7)*CHOOSE(ArtifactsInput!$N$7+1,6,7.2,8.4,9.6,10.8,12)))/100))/(1/Q2496))))+F2507*IF(AND(Inputs!$B$38&lt;&gt;"pvp",Inputs!$B$43&gt;0),(((R2507-1)*MIN((Skills!T17*(1+((Inputs!$B$34+(ArtifactsInput!$M$7-ArtifactsInput!$M$7)*CHOOSE(ArtifactsInput!$N$7+1,6,7.2,8.4,9.6,10.8,12)))/100)),(1/Q2507))+MIN((Skills!T17*(1+((Inputs!$B$34+(ArtifactsInput!$M$7-ArtifactsInput!$M$7)*CHOOSE(ArtifactsInput!$N$7+1,6,7.2,8.4,9.6,10.8,12)))/100)),MAX(0,Inputs!$B$43-((R2507-1)*(1/Q2507)))))/Inputs!$B$43),IF(Inputs!$B$38="pvp",MIN((Skills!T17*(1+((Inputs!$B$34+(ArtifactsInput!$M$7-ArtifactsInput!$M$7)*CHOOSE(ArtifactsInput!$N$7+1,6,7.2,8.4,9.6,10.8,12)))/100)),15)/15,MIN(1,(Skills!T17*(1+((Inputs!$B$34+(ArtifactsInput!$M$7-ArtifactsInput!$M$7)*CHOOSE(ArtifactsInput!$N$7+1,6,7.2,8.4,9.6,10.8,12)))/100))/(1/Q2507)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MIN((Skills!T19*(1+((Inputs!$B$34+(ArtifactsInput!$M$7-ArtifactsInput!$M$7)*CHOOSE(ArtifactsInput!$N$7+1,6,7.2,8.4,9.6,10.8,12)))/100)),(1/Q2509))+MIN((Skills!T19*(1+((Inputs!$B$34+(ArtifactsInput!$M$7-ArtifactsInput!$M$7)*CHOOSE(ArtifactsInput!$N$7+1,6,7.2,8.4,9.6,10.8,12)))/100)),MAX(0,Inputs!$B$43-((R2509-1)*(1/Q2509)))))/Inputs!$B$43),IF(Inputs!$B$38="pvp",MIN((Skills!T19*(1+((Inputs!$B$34+(ArtifactsInput!$M$7-ArtifactsInput!$M$7)*CHOOSE(ArtifactsInput!$N$7+1,6,7.2,8.4,9.6,10.8,12)))/100)),15)/15,MIN(1,(Skills!T19*(1+((Inputs!$B$34+(ArtifactsInput!$M$7-ArtifactsInput!$M$7)*CHOOSE(ArtifactsInput!$N$7+1,6,7.2,8.4,9.6,10.8,12)))/100))/(1/Q2509))))/100),1)</f>
        <v>1.9223350465105697</v>
      </c>
    </row>
    <row r="2523" spans="1:21" x14ac:dyDescent="0.2">
      <c r="A2523" t="s">
        <v>359</v>
      </c>
      <c r="B2523">
        <f>F2508*IF(AND(Inputs!$B$38&lt;&gt;"pvp",Inputs!$B$43&gt;0),(((R2508-1)*MIN((Skills!T18*(1+((Inputs!$B$34+(ArtifactsInput!$M$7-ArtifactsInput!$M$7)*CHOOSE(ArtifactsInput!$N$7+1,6,7.2,8.4,9.6,10.8,12)))/100)),(1/Q2508))+MIN((Skills!T18*(1+((Inputs!$B$34+(ArtifactsInput!$M$7-ArtifactsInput!$M$7)*CHOOSE(ArtifactsInput!$N$7+1,6,7.2,8.4,9.6,10.8,12)))/100)),MAX(0,Inputs!$B$43-((R2508-1)*(1/Q2508)))))/Inputs!$B$43),IF(Inputs!$B$38="pvp",MIN((Skills!T18*(1+((Inputs!$B$34+(ArtifactsInput!$M$7-ArtifactsInput!$M$7)*CHOOSE(ArtifactsInput!$N$7+1,6,7.2,8.4,9.6,10.8,12)))/100)),15)/15,MIN(1,(Skills!T18*(1+((Inputs!$B$34+(ArtifactsInput!$M$7-ArtifactsInput!$M$7)*CHOOSE(ArtifactsInput!$N$7+1,6,7.2,8.4,9.6,10.8,12)))/100))/(1/Q2508))))</f>
        <v>6.4968749999999993</v>
      </c>
    </row>
    <row r="2524" spans="1:21" x14ac:dyDescent="0.2">
      <c r="A2524" t="s">
        <v>436</v>
      </c>
      <c r="B2524">
        <f>1+MIN(150,150*(1-(1-(Inputs!$B$11+(ArtifactsInput!$M$15-ArtifactsInput!$M$15)*CHOOSE(ArtifactsInput!$N$15+1,8,9.6,11.2,12.8,14.4,16))/150)*(1-B2523/150)))/100</f>
        <v>1.6982958749999999</v>
      </c>
    </row>
    <row r="2525" spans="1:21" x14ac:dyDescent="0.2">
      <c r="A2525" t="s">
        <v>437</v>
      </c>
      <c r="B2525">
        <f>IF(AND(Inputs!$B$38&lt;&gt;"pvp",Inputs!$B$43&gt;0),SUMPRODUCT((Skills!F2:F28=TRUE)*(C2492:C2518=TRUE)*R2492:R2518)/Inputs!$B$43,SUMPRODUCT((Skills!F2:F28=TRUE)*(C2492:C2518=TRUE)*Q2492:Q2518))</f>
        <v>0.47499999999999998</v>
      </c>
    </row>
    <row r="2526" spans="1:21" x14ac:dyDescent="0.2">
      <c r="A2526" t="s">
        <v>362</v>
      </c>
      <c r="B2526">
        <f>MAX(0,B2524-B2525)</f>
        <v>1.2232958749999998</v>
      </c>
    </row>
    <row r="2527" spans="1:21" x14ac:dyDescent="0.2">
      <c r="A2527" t="s">
        <v>438</v>
      </c>
      <c r="B2527">
        <f>IF(AND(Inputs!$B$38&lt;&gt;"pvp",Inputs!$B$43&gt;0),SUMPRODUCT((Skills!V2:V28=TRUE)*(C2492:C2518=TRUE)*R2492:R2518*Skills!W2:W28)/Inputs!$B$43,SUMPRODUCT((Skills!V2:V28=TRUE)*(C2492:C2518=TRUE)*Q2492:Q2518*Skills!W2:W28))+B2526</f>
        <v>1.5482958749999998</v>
      </c>
    </row>
    <row r="2528" spans="1:21" x14ac:dyDescent="0.2">
      <c r="A2528" t="s">
        <v>439</v>
      </c>
      <c r="B2528">
        <f>IF(AND(Inputs!$B$38&lt;&gt;"pvp",Inputs!$B$43&gt;0),SUMPRODUCT((Skills!T2:T28&gt;0)*(Skills!F2:F28=TRUE)*(C2492:C2518=TRUE))/B2524,0)</f>
        <v>2.3553021937358238</v>
      </c>
    </row>
    <row r="2529" spans="1:26" x14ac:dyDescent="0.2">
      <c r="A2529" t="s">
        <v>440</v>
      </c>
      <c r="B2529">
        <f>SUM(S2492:S2518)</f>
        <v>1.0183437326381472E+16</v>
      </c>
    </row>
    <row r="2530" spans="1:26" x14ac:dyDescent="0.2">
      <c r="A2530" t="s">
        <v>441</v>
      </c>
      <c r="B2530">
        <f>SUM(U2492:U2518)</f>
        <v>6.0622174832554904E+16</v>
      </c>
    </row>
    <row r="2531" spans="1:26" x14ac:dyDescent="0.2">
      <c r="A2531" s="6" t="s">
        <v>348</v>
      </c>
      <c r="B2531" s="6">
        <f>SUM(O2492:O2518)</f>
        <v>3.5402806079468184E+16</v>
      </c>
    </row>
    <row r="2534" spans="1:26" x14ac:dyDescent="0.2">
      <c r="A2534" s="6" t="s">
        <v>497</v>
      </c>
    </row>
    <row r="2535" spans="1:26" x14ac:dyDescent="0.2">
      <c r="A2535" s="5" t="s">
        <v>136</v>
      </c>
      <c r="B2535" s="5" t="s">
        <v>137</v>
      </c>
      <c r="C2535" s="5" t="s">
        <v>328</v>
      </c>
      <c r="D2535" s="5" t="s">
        <v>329</v>
      </c>
      <c r="E2535" s="5" t="s">
        <v>330</v>
      </c>
      <c r="F2535" s="5" t="s">
        <v>331</v>
      </c>
      <c r="G2535" s="5" t="s">
        <v>332</v>
      </c>
      <c r="H2535" s="5" t="s">
        <v>333</v>
      </c>
      <c r="I2535" s="5" t="s">
        <v>334</v>
      </c>
      <c r="J2535" s="5" t="s">
        <v>335</v>
      </c>
      <c r="K2535" s="5" t="s">
        <v>336</v>
      </c>
      <c r="L2535" s="5" t="s">
        <v>337</v>
      </c>
      <c r="M2535" s="5" t="s">
        <v>338</v>
      </c>
      <c r="N2535" s="5" t="s">
        <v>339</v>
      </c>
      <c r="O2535" s="5" t="s">
        <v>340</v>
      </c>
      <c r="P2535" s="5" t="s">
        <v>341</v>
      </c>
      <c r="R2535" t="s">
        <v>434</v>
      </c>
    </row>
    <row r="2536" spans="1:26" x14ac:dyDescent="0.2">
      <c r="A2536" t="str">
        <f>Skills!A2</f>
        <v>BASIC_ATTACK</v>
      </c>
      <c r="B2536" t="str">
        <f>Skills!B2</f>
        <v>Basic Attack</v>
      </c>
      <c r="C2536" t="b">
        <f>TRUE</f>
        <v>1</v>
      </c>
      <c r="F2536">
        <f>T2538+Skills!O2</f>
        <v>537.6</v>
      </c>
      <c r="G2536">
        <f>Calc!G2</f>
        <v>5</v>
      </c>
      <c r="H2536">
        <f>Calc!H2</f>
        <v>1</v>
      </c>
      <c r="I2536">
        <f>IF(Skills!X2&lt;&gt;"",1+(Skills!X2/10)*(Z2537/1000)/100,1)</f>
        <v>1</v>
      </c>
      <c r="J2536">
        <f>((Inputs!$B$6*(1+Inputs!$B$7/100))+(((Inputs!$B$12*(1+Inputs!$B$13/100))-(Inputs!$B$12*(1+Inputs!$B$13/100)))+0.25*(Inputs!$B$14-Inputs!$B$14))*(1+Inputs!$B$7/100))*(F2536/100)</f>
        <v>1941459186.9980164</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7116812514826.0654</v>
      </c>
      <c r="L2536">
        <f>K2536*(MIN(Inputs!$B$22+(F2556-Calc!F22),(Inputs!$B$23+(IF(ArtifactsInput!$M$15,CHOOSE(ArtifactsInput!$N$15+1,25,30,35,40,45,50)/100*(Inputs!$B$11-Inputs!$B$11),0))))/100+(Inputs!$B$23+(IF(ArtifactsInput!$M$15,CHOOSE(ArtifactsInput!$N$15+1,25,30,35,40,45,50)/100*(Inputs!$B$11-Inputs!$B$11),0)))/100)/2</f>
        <v>23663401611796.668</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111667592206068.47</v>
      </c>
      <c r="N2536">
        <f>L2536*(1-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111667592206068.47</v>
      </c>
      <c r="O2536">
        <f>(1-Summary!$B$11)*S2536+Summary!$B$11*U2536</f>
        <v>1.345193167168835E+16</v>
      </c>
      <c r="P2536">
        <f>IF(B2575=0,0,O2536/B2575)</f>
        <v>0.37819938885449506</v>
      </c>
      <c r="Q2536">
        <f>IFERROR(1/(IF(Inputs!$B$38="pvp",15,MAX(0.1,Skills!E2-IF(TRUE=TRUE,Inputs!$B$32,0)))*(1-IF(AND(ArtifactsInput!$M$27,Inputs!$B$4="Chapter Hunt"),CHOOSE(ArtifactsInput!$N$27+1,20,24,28,32,36,40),0)/100)),0)</f>
        <v>10</v>
      </c>
      <c r="R2536">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2233450955390754.2</v>
      </c>
      <c r="T2536">
        <f>MAX(0,(Inputs!$B$3-100)*3)+Inputs!$B$28+Inputs!$B$29</f>
        <v>185</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2.4670412387985944E+16</v>
      </c>
      <c r="Z2536">
        <f>MAX(0,(Inputs!$B$3-100)*3)+Inputs!$B$28+Inputs!$B$29</f>
        <v>185</v>
      </c>
    </row>
    <row r="2537" spans="1:26" x14ac:dyDescent="0.2">
      <c r="A2537" t="str">
        <f>Skills!A3</f>
        <v>IGNITE</v>
      </c>
      <c r="B2537" t="str">
        <f>Skills!B3</f>
        <v>Ignite</v>
      </c>
      <c r="C2537" t="b">
        <f>TRUE</f>
        <v>1</v>
      </c>
      <c r="D2537">
        <f>IF(Skills!C3=1,60+Inputs!$B$25+Inputs!$B$29,IF(Skills!C3=2,90+Inputs!$B$26+Inputs!$B$29,IF(Skills!C3=3,120+Inputs!$B$27+Inputs!$B$29,MAX(0,(Inputs!$B$3-100)*3)+Inputs!$B$28+Inputs!$B$29)))</f>
        <v>168</v>
      </c>
      <c r="E2537">
        <f>INDEX(FactorTable!$B$2:$Y$301, MATCH(ROUND(MIN(300,MAX(1,D2537)),0), FactorTable!$A$2:$A$301,0), Skills!M3+1)</f>
        <v>1672</v>
      </c>
      <c r="F2537">
        <f>IF(Skills!N3=TRUE,(Skills!L3/10)*(E2537/1000),Skills!L3/10)+Skills!O3</f>
        <v>121.736</v>
      </c>
      <c r="G2537">
        <f>Calc!G3</f>
        <v>3</v>
      </c>
      <c r="H2537">
        <f>Calc!H3</f>
        <v>1</v>
      </c>
      <c r="I2537">
        <f>IF(Skills!X3&lt;&gt;"",1+(Skills!X3/10)*(Z2537/1000)/100,1)</f>
        <v>4.8250000000000002</v>
      </c>
      <c r="J2537">
        <f>((Inputs!$B$6*(1+Inputs!$B$7/100))+(((Inputs!$B$12*(1+Inputs!$B$13/100))-(Inputs!$B$12*(1+Inputs!$B$13/100)))+0.25*(Inputs!$B$14-Inputs!$B$14))*(1+Inputs!$B$7/100))*(F2537/100)</f>
        <v>439630720.9605478</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11457946213513.613</v>
      </c>
      <c r="L2537">
        <f>K2537*(MIN(Inputs!$B$22+(F2556-Calc!F22),(Inputs!$B$23+(IF(ArtifactsInput!$M$15,CHOOSE(ArtifactsInput!$N$15+1,25,30,35,40,45,50)/100*(Inputs!$B$11-Inputs!$B$11),0))))/100+(Inputs!$B$23+(IF(ArtifactsInput!$M$15,CHOOSE(ArtifactsInput!$N$15+1,25,30,35,40,45,50)/100*(Inputs!$B$11-Inputs!$B$11),0)))/100)/2</f>
        <v>38097671159932.766</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179782910203722.69</v>
      </c>
      <c r="N2537">
        <f>L2537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179782910203722.69</v>
      </c>
      <c r="O2537">
        <f>(1-Summary!$B$11)*S2537+Summary!$B$11*U2537</f>
        <v>3125525893891719</v>
      </c>
      <c r="P2537">
        <f>IF(B2575=0,0,O2537/B2575)</f>
        <v>8.7873772463965077E-2</v>
      </c>
      <c r="Q2537">
        <f>IFERROR(1/(IF(Inputs!$B$38="pvp",15,MAX(0.1,Skills!E3-IF(FALSE=TRUE,Inputs!$B$32,0)))*(1-IF(AND(ArtifactsInput!$M$27,Inputs!$B$4="Chapter Hunt"),CHOOSE(ArtifactsInput!$N$27+1,20,24,28,32,36,40),0)/100)),0)</f>
        <v>1</v>
      </c>
      <c r="R2537">
        <f>IF(AND(Inputs!$B$38&lt;&gt;"pvp",Inputs!$B$43&gt;0),IF(MAX(0,Inputs!$B$43-B2572)&lt;=0,0,(INT(MAX(0,Inputs!$B$43-B2572)/(IF(Inputs!$B$38="pvp",15,MAX(0.1,Skills!E3-IF(FALSE=TRUE,Inputs!$B$32,0)))*(1-IF(AND(ArtifactsInput!$M$27,Inputs!$B$4="Chapter Hunt"),CHOOSE(ArtifactsInput!$N$27+1,20,24,28,32,36,40),0)/100)))+1)),0)</f>
        <v>38</v>
      </c>
      <c r="S2537">
        <f>IF(C2537,(H2537*N2537*IF(AND(Inputs!$B$38&lt;&gt;"pvp",Inputs!$B$43&gt;0),((Skills!G3*((R2537-1)*IF(Skills!H3&gt;0,Skills!I3/Skills!H3,1)+IF(Skills!H3&gt;0,MIN(Skills!I3,MAX(0,MAX(0,Inputs!$B$43-B2572)-((R2537-1)*(IF(Inputs!$B$38="pvp",15,MAX(0.1,Skills!E3-IF(FALSE=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1624248702235532.8</v>
      </c>
      <c r="T2537">
        <f>INDEX(FactorTable!$B$2:$Y$301, MATCH(ROUND(MIN(300,MAX(1,T2536)),0), FactorTable!$A$2:$A$301,0), 22)</f>
        <v>1740</v>
      </c>
      <c r="U2537">
        <f>IF(C2537,(H2537*N2537*IF(AND(Inputs!$B$38&lt;&gt;"pvp",Inputs!$B$43&gt;0),((Skills!G3*((R2537-1)*IF(Skills!H3&gt;0,Skills!I3/Skills!H3,1)+IF(Skills!H3&gt;0,MIN(Skills!I3,MAX(0,MAX(0,Inputs!$B$43-B2572)-((R2537-1)*(IF(Inputs!$B$38="pvp",15,MAX(0.1,Skills!E3-IF(FALSE=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4626803085547905</v>
      </c>
      <c r="Z2537">
        <f>INDEX(FactorTable!$B$2:$Y$301, MATCH(ROUND(MIN(300,MAX(1,Z2536)),0), FactorTable!$A$2:$A$301,0), 24)</f>
        <v>7650</v>
      </c>
    </row>
    <row r="2538" spans="1:26" x14ac:dyDescent="0.2">
      <c r="A2538" t="str">
        <f>Skills!A4</f>
        <v>POISON_BREATH</v>
      </c>
      <c r="B2538" t="str">
        <f>Skills!B4</f>
        <v>Poison Breath</v>
      </c>
      <c r="C2538" t="b">
        <f>TRUE</f>
        <v>1</v>
      </c>
      <c r="D2538">
        <f>IF(Skills!C4=1,60+Inputs!$B$25+Inputs!$B$29,IF(Skills!C4=2,90+Inputs!$B$26+Inputs!$B$29,IF(Skills!C4=3,120+Inputs!$B$27+Inputs!$B$29,MAX(0,(Inputs!$B$3-100)*3)+Inputs!$B$28+Inputs!$B$29)))</f>
        <v>168</v>
      </c>
      <c r="E2538">
        <f>INDEX(FactorTable!$B$2:$Y$301, MATCH(ROUND(MIN(300,MAX(1,D2538)),0), FactorTable!$A$2:$A$301,0), Skills!M4+1)</f>
        <v>1840</v>
      </c>
      <c r="F2538">
        <f>IF(Skills!N4=TRUE,(Skills!L4/10)*(E2538/1000),Skills!L4/10)+Skills!O4</f>
        <v>438</v>
      </c>
      <c r="G2538">
        <f>Calc!G4</f>
        <v>3</v>
      </c>
      <c r="H2538">
        <f>Calc!H4</f>
        <v>1</v>
      </c>
      <c r="I2538">
        <f>IF(Skills!X4&lt;&gt;"",1+(Skills!X4/10)*(Z2537/1000)/100,1)</f>
        <v>7.12</v>
      </c>
      <c r="J2538">
        <f>((Inputs!$B$6*(1+Inputs!$B$7/100))+(((Inputs!$B$12*(1+Inputs!$B$13/100))-(Inputs!$B$12*(1+Inputs!$B$13/100)))+0.25*(Inputs!$B$14-Inputs!$B$14))*(1+Inputs!$B$7/100))*(F2538/100)</f>
        <v>1581769203.69258</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60833742912319.227</v>
      </c>
      <c r="L2538">
        <f>K2538*(MIN(Inputs!$B$22+(F2556-Calc!F22),(Inputs!$B$23+(IF(ArtifactsInput!$M$15,CHOOSE(ArtifactsInput!$N$15+1,25,30,35,40,45,50)/100*(Inputs!$B$11-Inputs!$B$11),0))))/100+(Inputs!$B$23+(IF(ArtifactsInput!$M$15,CHOOSE(ArtifactsInput!$N$15+1,25,30,35,40,45,50)/100*(Inputs!$B$11-Inputs!$B$11),0)))/100)/2</f>
        <v>202272195183461.44</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954522489070754.38</v>
      </c>
      <c r="N2538">
        <f>L2538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954522489070754.38</v>
      </c>
      <c r="O2538">
        <f>(1-Summary!$B$11)*S2538+Summary!$B$11*U2538</f>
        <v>2279757649834363</v>
      </c>
      <c r="P2538">
        <f>IF(B2575=0,0,O2538/B2575)</f>
        <v>6.4095103286790717E-2</v>
      </c>
      <c r="Q2538">
        <f>IFERROR(1/(IF(Inputs!$B$38="pvp",15,MAX(0.1,Skills!E4-IF(TRUE=TRUE,Inputs!$B$32,0)))*(1-IF(AND(ArtifactsInput!$M$27,Inputs!$B$4="Chapter Hunt"),CHOOSE(ArtifactsInput!$N$27+1,20,24,28,32,36,40),0)/100)),0)</f>
        <v>5.5555555555555552E-2</v>
      </c>
      <c r="R2538">
        <f>IF(AND(Inputs!$B$38&lt;&gt;"pvp",Inputs!$B$43&gt;0),IF(MAX(0,Inputs!$B$43-B2572)&lt;=0,0,(INT(MAX(0,Inputs!$B$43-B2572)/(IF(Inputs!$B$38="pvp",15,MAX(0.1,Skills!E4-IF(TRUE=TRUE,Inputs!$B$32,0)))*(1-IF(AND(ArtifactsInput!$M$27,Inputs!$B$4="Chapter Hunt"),CHOOSE(ArtifactsInput!$N$27+1,20,24,28,32,36,40),0)/100)))+1)),0)</f>
        <v>3</v>
      </c>
      <c r="S2538">
        <f>IF(C2538,(H2538*N2538*IF(AND(Inputs!$B$38&lt;&gt;"pvp",Inputs!$B$43&gt;0),((Skills!G4*((R2538-1)*IF(Skills!H4&gt;0,Skills!I4/Skills!H4,1)+IF(Skills!H4&gt;0,MIN(Skills!I4,MAX(0,MAX(0,Inputs!$B$43-B2572)-((R2538-1)*(IF(Inputs!$B$38="pvp",15,MAX(0.1,Skills!E4-IF(TRUE=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680813165329715.62</v>
      </c>
      <c r="T2538">
        <f>290*T2537/1000</f>
        <v>504.6</v>
      </c>
      <c r="U2538">
        <f>IF(C2538,(H2538*N2538*IF(AND(Inputs!$B$38&lt;&gt;"pvp",Inputs!$B$43&gt;0),((Skills!G4*((R2538-1)*IF(Skills!H4&gt;0,Skills!I4/Skills!H4,1)+IF(Skills!H4&gt;0,MIN(Skills!I4,MAX(0,MAX(0,Inputs!$B$43-B2572)-((R2538-1)*(IF(Inputs!$B$38="pvp",15,MAX(0.1,Skills!E4-IF(TRUE=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3878702134339010.5</v>
      </c>
    </row>
    <row r="2539" spans="1:26" x14ac:dyDescent="0.2">
      <c r="A2539" t="str">
        <f>Skills!A5</f>
        <v>ELEMENTAL_DRAIN</v>
      </c>
      <c r="B2539" t="str">
        <f>Skills!B5</f>
        <v>Elemental Drain</v>
      </c>
      <c r="C2539" t="b">
        <f>TRUE</f>
        <v>1</v>
      </c>
      <c r="D2539">
        <f>IF(Skills!C5=1,60+Inputs!$B$25+Inputs!$B$29,IF(Skills!C5=2,90+Inputs!$B$26+Inputs!$B$29,IF(Skills!C5=3,120+Inputs!$B$27+Inputs!$B$29,MAX(0,(Inputs!$B$3-100)*3)+Inputs!$B$28+Inputs!$B$29)))</f>
        <v>168</v>
      </c>
      <c r="E2539">
        <f>INDEX(FactorTable!$B$2:$Y$301, MATCH(ROUND(MIN(300,MAX(1,D2539)),0), FactorTable!$A$2:$A$301,0), Skills!M5+1)</f>
        <v>1672</v>
      </c>
      <c r="F2539">
        <f>IF(Skills!N5=TRUE,(Skills!L5/10)*(E2539/1000),Skills!L5/10)+Skills!O5</f>
        <v>20.064</v>
      </c>
      <c r="G2539">
        <f>Calc!G5</f>
        <v>5</v>
      </c>
      <c r="H2539">
        <f>Calc!H5</f>
        <v>1</v>
      </c>
      <c r="I2539">
        <f>IF(Skills!X5&lt;&gt;"",1+(Skills!X5/10)*(Z2537/1000)/100,1)</f>
        <v>12.475</v>
      </c>
      <c r="J2539">
        <f>((Inputs!$B$6*(1+Inputs!$B$7/100))+(((Inputs!$B$12*(1+Inputs!$B$13/100))-(Inputs!$B$12*(1+Inputs!$B$13/100)))+0.25*(Inputs!$B$14-Inputs!$B$14))*(1+Inputs!$B$7/100))*(F2539/100)</f>
        <v>72458030.371890247</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4882570326357.3076</v>
      </c>
      <c r="L2539">
        <f>K2539*(MIN(Inputs!$B$22+(F2556-Calc!F22),(Inputs!$B$23+(IF(ArtifactsInput!$M$15,CHOOSE(ArtifactsInput!$N$15+1,25,30,35,40,45,50)/100*(Inputs!$B$11-Inputs!$B$11),0))))/100+(Inputs!$B$23+(IF(ArtifactsInput!$M$15,CHOOSE(ArtifactsInput!$N$15+1,25,30,35,40,45,50)/100*(Inputs!$B$11-Inputs!$B$11),0)))/100)/2</f>
        <v>16234546335138.049</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76610824155516.438</v>
      </c>
      <c r="N2539">
        <f>L2539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76610824155516.438</v>
      </c>
      <c r="O2539">
        <f>(1-Summary!$B$11)*S2539+Summary!$B$11*U2539</f>
        <v>1124455371542592.5</v>
      </c>
      <c r="P2539">
        <f>IF(B2575=0,0,O2539/B2575)</f>
        <v>3.1613923166633758E-2</v>
      </c>
      <c r="Q2539">
        <f>IFERROR(1/(IF(Inputs!$B$38="pvp",15,MAX(0.1,Skills!E5-IF(FALSE=TRUE,Inputs!$B$32,0)))*(1-IF(AND(ArtifactsInput!$M$27,Inputs!$B$4="Chapter Hunt"),CHOOSE(ArtifactsInput!$N$27+1,20,24,28,32,36,40),0)/100)),0)</f>
        <v>1</v>
      </c>
      <c r="R2539">
        <f>IF(AND(Inputs!$B$38&lt;&gt;"pvp",Inputs!$B$43&gt;0),IF(MAX(0,Inputs!$B$43-B2572)&lt;=0,0,(INT(MAX(0,Inputs!$B$43-B2572)/(IF(Inputs!$B$38="pvp",15,MAX(0.1,Skills!E5-IF(FALSE=TRUE,Inputs!$B$32,0)))*(1-IF(AND(ArtifactsInput!$M$27,Inputs!$B$4="Chapter Hunt"),CHOOSE(ArtifactsInput!$N$27+1,20,24,28,32,36,40),0)/100)))+1)),0)</f>
        <v>38</v>
      </c>
      <c r="S2539">
        <f>IF(C2539,(H2539*N2539*IF(AND(Inputs!$B$38&lt;&gt;"pvp",Inputs!$B$43&gt;0),((Skills!G5*((R2539-1)*IF(Skills!H5&gt;0,Skills!I5/Skills!H5,1)+IF(Skills!H5&gt;0,MIN(Skills!I5,MAX(0,MAX(0,Inputs!$B$43-B2572)-((R2539-1)*(IF(Inputs!$B$38="pvp",15,MAX(0.1,Skills!E5-IF(FALSE=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1153567484721688.8</v>
      </c>
      <c r="U2539">
        <f>IF(C2539,(H2539*N2539*IF(AND(Inputs!$B$38&lt;&gt;"pvp",Inputs!$B$43&gt;0),((Skills!G5*((R2539-1)*IF(Skills!H5&gt;0,Skills!I5/Skills!H5,1)+IF(Skills!H5&gt;0,MIN(Skills!I5,MAX(0,MAX(0,Inputs!$B$43-B2572)-((R2539-1)*(IF(Inputs!$B$38="pvp",15,MAX(0.1,Skills!E5-IF(FALSE=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1095343258363496.1</v>
      </c>
    </row>
    <row r="2540" spans="1:26" x14ac:dyDescent="0.2">
      <c r="A2540" t="str">
        <f>Skills!A6</f>
        <v>MEDITATION</v>
      </c>
      <c r="B2540" t="str">
        <f>Skills!B6</f>
        <v>Meditation</v>
      </c>
      <c r="C2540" t="b">
        <f>TRUE</f>
        <v>1</v>
      </c>
      <c r="D2540">
        <f>IF(Skills!C6=1,60+Inputs!$B$25+Inputs!$B$29,IF(Skills!C6=2,90+Inputs!$B$26+Inputs!$B$29,IF(Skills!C6=3,120+Inputs!$B$27+Inputs!$B$29,MAX(0,(Inputs!$B$3-100)*3)+Inputs!$B$28+Inputs!$B$29)))</f>
        <v>168</v>
      </c>
      <c r="E2540">
        <f>INDEX(FactorTable!$B$2:$Y$301, MATCH(ROUND(MIN(300,MAX(1,D2540)),0), FactorTable!$A$2:$A$301,0), Skills!M6+1)</f>
        <v>1672</v>
      </c>
      <c r="F2540">
        <f>IF(Skills!N6=TRUE,(Skills!L6/10)*(E2540/1000),Skills!L6/10)+Skills!O6</f>
        <v>33.44</v>
      </c>
      <c r="G2540">
        <f>Calc!G6</f>
        <v>1</v>
      </c>
      <c r="H2540">
        <f>Calc!H6</f>
        <v>1</v>
      </c>
      <c r="I2540">
        <f>IF(Skills!X6&lt;&gt;"",1+(Skills!X6/10)*(Z2537/1000)/100,1)</f>
        <v>1</v>
      </c>
      <c r="O2540">
        <f>(1-Summary!$B$11)*S2540+Summary!$B$11*U2540</f>
        <v>0</v>
      </c>
      <c r="P2540">
        <f>IF(B2575=0,0,O2540/B2575)</f>
        <v>0</v>
      </c>
      <c r="Q2540">
        <f>IFERROR(1/(IF(Inputs!$B$38="pvp",15,MAX(0.1,Skills!E6-IF(TRUE=TRUE,Inputs!$B$32,0)))*(1-IF(AND(ArtifactsInput!$M$27,Inputs!$B$4="Chapter Hunt"),CHOOSE(ArtifactsInput!$N$27+1,20,24,28,32,36,40),0)/100)),0)</f>
        <v>3.3333333333333333E-2</v>
      </c>
      <c r="R2540">
        <f>IF(AND(Inputs!$B$38&lt;&gt;"pvp",Inputs!$B$43&gt;0),IF(Inputs!$B$43&lt;=0,0,(INT(Inputs!$B$43/(IF(Inputs!$B$38="pvp",15,MAX(0.1,Skills!E6-IF(TRUE=TRUE,Inputs!$B$32,0)))*(1-IF(AND(ArtifactsInput!$M$27,Inputs!$B$4="Chapter Hunt"),CHOOSE(ArtifactsInput!$N$27+1,20,24,28,32,36,40),0)/100)))+1)),0)</f>
        <v>2</v>
      </c>
      <c r="S2540">
        <v>0</v>
      </c>
      <c r="U2540">
        <v>0</v>
      </c>
    </row>
    <row r="2541" spans="1:26" x14ac:dyDescent="0.2">
      <c r="A2541" t="str">
        <f>Skills!A7</f>
        <v>POISON_MIST_BURST</v>
      </c>
      <c r="B2541" t="str">
        <f>Skills!B7</f>
        <v>Poison Mist (burst)</v>
      </c>
      <c r="C2541" t="b">
        <f>TRUE</f>
        <v>1</v>
      </c>
      <c r="D2541">
        <f>IF(Skills!C7=1,60+Inputs!$B$25+Inputs!$B$29,IF(Skills!C7=2,90+Inputs!$B$26+Inputs!$B$29,IF(Skills!C7=3,120+Inputs!$B$27+Inputs!$B$29,MAX(0,(Inputs!$B$3-100)*3)+Inputs!$B$28+Inputs!$B$29)))</f>
        <v>184</v>
      </c>
      <c r="E2541">
        <f>INDEX(FactorTable!$B$2:$Y$301, MATCH(ROUND(MIN(300,MAX(1,D2541)),0), FactorTable!$A$2:$A$301,0), Skills!M7+1)</f>
        <v>1920</v>
      </c>
      <c r="F2541">
        <f>IF(Skills!N7=TRUE,(Skills!L7/10)*(E2541/1000),Skills!L7/10)+Skills!O7</f>
        <v>357.2</v>
      </c>
      <c r="G2541">
        <f>Calc!G7</f>
        <v>3</v>
      </c>
      <c r="H2541">
        <f>Calc!H7</f>
        <v>1</v>
      </c>
      <c r="I2541">
        <f>IF(Skills!X7&lt;&gt;"",1+(Skills!X7/10)*(Z2537/1000)/100,1)</f>
        <v>1.7650000000000001</v>
      </c>
      <c r="J2541">
        <f>((Inputs!$B$6*(1+Inputs!$B$7/100))+(((Inputs!$B$12*(1+Inputs!$B$13/100))-(Inputs!$B$12*(1+Inputs!$B$13/100)))+0.25*(Inputs!$B$14-Inputs!$B$14))*(1+Inputs!$B$7/100))*(F2541/100)</f>
        <v>1289972510.4086521</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12298342789304.99</v>
      </c>
      <c r="L2541">
        <f>K2541*(MIN(Inputs!$B$22+(F2556-Calc!F22),(Inputs!$B$23+(IF(ArtifactsInput!$M$15,CHOOSE(ArtifactsInput!$N$15+1,25,30,35,40,45,50)/100*(Inputs!$B$11-Inputs!$B$11),0))))/100+(Inputs!$B$23+(IF(ArtifactsInput!$M$15,CHOOSE(ArtifactsInput!$N$15+1,25,30,35,40,45,50)/100*(Inputs!$B$11-Inputs!$B$11),0)))/100)/2</f>
        <v>40891989774439.094</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192969299745578.06</v>
      </c>
      <c r="N2541">
        <f>L2541*(1-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192969299745578.06</v>
      </c>
      <c r="O2541">
        <f>(1-Summary!$B$11)*S2541+Summary!$B$11*U2541</f>
        <v>481506645190153.62</v>
      </c>
      <c r="P2541">
        <f>IF(B2575=0,0,O2541/B2575)</f>
        <v>1.3537499549121503E-2</v>
      </c>
      <c r="Q2541">
        <f>IFERROR(1/(IF(Inputs!$B$38="pvp",15,MAX(0.1,Skills!E7-IF(TRUE=TRUE,Inputs!$B$32,0)))*(1-IF(AND(ArtifactsInput!$M$27,Inputs!$B$4="Chapter Hunt"),CHOOSE(ArtifactsInput!$N$27+1,20,24,28,32,36,40),0)/100)),0)</f>
        <v>4.0816326530612242E-2</v>
      </c>
      <c r="R2541">
        <f>IF(AND(Inputs!$B$38&lt;&gt;"pvp",Inputs!$B$43&gt;0),IF(MAX(0,Inputs!$B$43-B2572)&lt;=0,0,(INT(MAX(0,Inputs!$B$43-B2572)/(IF(Inputs!$B$38="pvp",15,MAX(0.1,Skills!E7-IF(TRUE=TRUE,Inputs!$B$32,0)))*(1-IF(AND(ArtifactsInput!$M$27,Inputs!$B$4="Chapter Hunt"),CHOOSE(ArtifactsInput!$N$27+1,20,24,28,32,36,40),0)/100)))+1)),0)</f>
        <v>2</v>
      </c>
      <c r="S2541">
        <f>IF(C2541,(H2541*N2541*IF(AND(Inputs!$B$38&lt;&gt;"pvp",Inputs!$B$43&gt;0),((Skills!G7*((R2541-1)*IF(Skills!H7&gt;0,Skills!I7/Skills!H7,1)+IF(Skills!H7&gt;0,MIN(Skills!I7,MAX(0,MAX(0,Inputs!$B$43-B2572)-((R2541-1)*(IF(Inputs!$B$38="pvp",15,MAX(0.1,Skills!E7-IF(TRUE=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91756902029022.359</v>
      </c>
      <c r="U2541">
        <f>IF(C2541,(H2541*N2541*IF(AND(Inputs!$B$38&lt;&gt;"pvp",Inputs!$B$43&gt;0),((Skills!G7*((R2541-1)*IF(Skills!H7&gt;0,Skills!I7/Skills!H7,1)+IF(Skills!H7&gt;0,MIN(Skills!I7,MAX(0,MAX(0,Inputs!$B$43-B2572)-((R2541-1)*(IF(Inputs!$B$38="pvp",15,MAX(0.1,Skills!E7-IF(TRUE=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871256388351284.88</v>
      </c>
    </row>
    <row r="2542" spans="1:26" x14ac:dyDescent="0.2">
      <c r="A2542" t="str">
        <f>Skills!A8</f>
        <v>POISON_MIST_DOT</v>
      </c>
      <c r="B2542" t="str">
        <f>Skills!B8</f>
        <v>Poison Mist (fog DoT)</v>
      </c>
      <c r="C2542" t="b">
        <f>TRUE</f>
        <v>1</v>
      </c>
      <c r="D2542">
        <f>IF(Skills!C8=1,60+Inputs!$B$25+Inputs!$B$29,IF(Skills!C8=2,90+Inputs!$B$26+Inputs!$B$29,IF(Skills!C8=3,120+Inputs!$B$27+Inputs!$B$29,MAX(0,(Inputs!$B$3-100)*3)+Inputs!$B$28+Inputs!$B$29)))</f>
        <v>184</v>
      </c>
      <c r="E2542">
        <f>INDEX(FactorTable!$B$2:$Y$301, MATCH(ROUND(MIN(300,MAX(1,D2542)),0), FactorTable!$A$2:$A$301,0), Skills!M8+1)</f>
        <v>1920</v>
      </c>
      <c r="F2542">
        <f>IF(Skills!N8=TRUE,(Skills!L8/10)*(E2542/1000),Skills!L8/10)+Skills!O8</f>
        <v>134.4</v>
      </c>
      <c r="G2542">
        <f>Calc!G8</f>
        <v>50</v>
      </c>
      <c r="H2542">
        <f>Calc!H8</f>
        <v>1</v>
      </c>
      <c r="I2542">
        <f>IF(Skills!X8&lt;&gt;"",1+(Skills!X8/10)*(Z2537/1000)/100,1)</f>
        <v>1.7650000000000001</v>
      </c>
      <c r="J2542">
        <f>((Inputs!$B$6*(1+Inputs!$B$7/100))+(((Inputs!$B$12*(1+Inputs!$B$13/100))-(Inputs!$B$12*(1+Inputs!$B$13/100)))+0.25*(Inputs!$B$14-Inputs!$B$14))*(1+Inputs!$B$7/100))*(F2542/100)</f>
        <v>485364796.74950409</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4627371978954.6211</v>
      </c>
      <c r="L2542">
        <f>K2542*(MIN(Inputs!$B$22+(F2556-Calc!F22),(Inputs!$B$23+(IF(ArtifactsInput!$M$15,CHOOSE(ArtifactsInput!$N$15+1,25,30,35,40,45,50)/100*(Inputs!$B$11-Inputs!$B$11),0))))/100+(Inputs!$B$23+(IF(ArtifactsInput!$M$15,CHOOSE(ArtifactsInput!$N$15+1,25,30,35,40,45,50)/100*(Inputs!$B$11-Inputs!$B$11),0)))/100)/2</f>
        <v>15386011830024.115</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72606589825883.797</v>
      </c>
      <c r="N2542">
        <f>L2542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72606589825883.797</v>
      </c>
      <c r="O2542">
        <f>(1-Summary!$B$11)*S2542+Summary!$B$11*U2542</f>
        <v>2502032379076146.5</v>
      </c>
      <c r="P2542">
        <f>IF(B2575=0,0,O2542/B2575)</f>
        <v>7.0344329703392786E-2</v>
      </c>
      <c r="Q2542">
        <f>IFERROR(1/(IF(Inputs!$B$38="pvp",15,MAX(0.1,Skills!E8-IF(TRUE=TRUE,Inputs!$B$32,0)))*(1-IF(AND(ArtifactsInput!$M$27,Inputs!$B$4="Chapter Hunt"),CHOOSE(ArtifactsInput!$N$27+1,20,24,28,32,36,40),0)/100)),0)</f>
        <v>4.0816326530612242E-2</v>
      </c>
      <c r="R2542">
        <f>IF(AND(Inputs!$B$38&lt;&gt;"pvp",Inputs!$B$43&gt;0),IF(MAX(0,Inputs!$B$43-B2572)&lt;=0,0,(INT(MAX(0,Inputs!$B$43-B2572)/(IF(Inputs!$B$38="pvp",15,MAX(0.1,Skills!E8-IF(TRUE=TRUE,Inputs!$B$32,0)))*(1-IF(AND(ArtifactsInput!$M$27,Inputs!$B$4="Chapter Hunt"),CHOOSE(ArtifactsInput!$N$27+1,20,24,28,32,36,40),0)/100)))+1)),0)</f>
        <v>2</v>
      </c>
      <c r="S2542">
        <f>IF(C2542,(H2542*N2542*IF(AND(Inputs!$B$38&lt;&gt;"pvp",Inputs!$B$43&gt;0),((Skills!G8*((R2542-1)*IF(Skills!H8&gt;0,Skills!I8/Skills!H8,1)+IF(Skills!H8&gt;0,MIN(Skills!I8,MAX(0,MAX(0,Inputs!$B$43-B2572)-((R2542-1)*(IF(Inputs!$B$38="pvp",15,MAX(0.1,Skills!E8-IF(TRUE=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476792464182229.38</v>
      </c>
      <c r="U2542">
        <f>IF(C2542,(H2542*N2542*IF(AND(Inputs!$B$38&lt;&gt;"pvp",Inputs!$B$43&gt;0),((Skills!G8*((R2542-1)*IF(Skills!H8&gt;0,Skills!I8/Skills!H8,1)+IF(Skills!H8&gt;0,MIN(Skills!I8,MAX(0,MAX(0,Inputs!$B$43-B2572)-((R2542-1)*(IF(Inputs!$B$38="pvp",15,MAX(0.1,Skills!E8-IF(TRUE=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4527272293970064</v>
      </c>
    </row>
    <row r="2543" spans="1:26" x14ac:dyDescent="0.2">
      <c r="A2543" t="str">
        <f>Skills!A9</f>
        <v>MIST_ERUPTION</v>
      </c>
      <c r="B2543" t="str">
        <f>Skills!B9</f>
        <v>Mist Eruption</v>
      </c>
      <c r="C2543" t="b">
        <f>Inputs!$B$3&gt;=103</f>
        <v>1</v>
      </c>
      <c r="D2543">
        <f>IF(Skills!C9=1,60+Inputs!$B$25+Inputs!$B$29,IF(Skills!C9=2,90+Inputs!$B$26+Inputs!$B$29,IF(Skills!C9=3,120+Inputs!$B$27+Inputs!$B$29,MAX(0,(Inputs!$B$3-100)*3)+Inputs!$B$28+Inputs!$B$29)))</f>
        <v>185</v>
      </c>
      <c r="E2543">
        <f>INDEX(FactorTable!$B$2:$Y$301, MATCH(ROUND(MIN(300,MAX(1,D2543)),0), FactorTable!$A$2:$A$301,0), Skills!M9+1)</f>
        <v>1925</v>
      </c>
      <c r="F2543">
        <f>IF(Skills!N9=TRUE,(Skills!L9/10)*(E2543/1000),Skills!L9/10)+Skills!O9</f>
        <v>5775</v>
      </c>
      <c r="G2543">
        <f>Calc!G9</f>
        <v>2.5</v>
      </c>
      <c r="H2543">
        <f>Calc!H9</f>
        <v>1</v>
      </c>
      <c r="I2543">
        <f>IF(Skills!X9&lt;&gt;"",1+(Skills!X9/10)*(Z2537/1000)/100,1)</f>
        <v>1</v>
      </c>
      <c r="J2543">
        <f>((Inputs!$B$6*(1+Inputs!$B$7/100))+(((Inputs!$B$12*(1+Inputs!$B$13/100))-(Inputs!$B$12*(1+Inputs!$B$13/100)))+0.25*(Inputs!$B$14-Inputs!$B$14))*(1+Inputs!$B$7/100))*(F2543/100)</f>
        <v>20855518610.330254</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112652912023063.09</v>
      </c>
      <c r="L2543">
        <f>K2543*(MIN(Inputs!$B$22+(F2556-Calc!F22),(Inputs!$B$23+(IF(ArtifactsInput!$M$15,CHOOSE(ArtifactsInput!$N$15+1,25,30,35,40,45,50)/100*(Inputs!$B$11-Inputs!$B$11),0))))/100+(Inputs!$B$23+(IF(ArtifactsInput!$M$15,CHOOSE(ArtifactsInput!$N$15+1,25,30,35,40,45,50)/100*(Inputs!$B$11-Inputs!$B$11),0)))/100)/2</f>
        <v>374570932476684.81</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1767600230357475.5</v>
      </c>
      <c r="N2543">
        <f>L2543*(1-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1767600230357475.5</v>
      </c>
      <c r="O2543">
        <f>(1-Summary!$B$11)*S2543+Summary!$B$11*U2543</f>
        <v>3675503728999575.5</v>
      </c>
      <c r="P2543">
        <f>IF(B2575=0,0,O2543/B2575)</f>
        <v>0.10333633101673265</v>
      </c>
      <c r="Q2543">
        <f>IFERROR(1/(IF(Inputs!$B$38="pvp",15,MAX(0.1,Skills!E9-IF(TRUE=TRUE,Inputs!$B$32,0)))*(1-IF(AND(ArtifactsInput!$M$27,Inputs!$B$4="Chapter Hunt"),CHOOSE(ArtifactsInput!$N$27+1,20,24,28,32,36,40),0)/100)),0)</f>
        <v>4.0816326530612242E-2</v>
      </c>
      <c r="R2543">
        <f>IF(AND(Inputs!$B$38&lt;&gt;"pvp",Inputs!$B$43&gt;0),IF(MAX(0,Inputs!$B$43-B2572)&lt;=0,0,(INT(MAX(0,Inputs!$B$43-B2572)/(IF(Inputs!$B$38="pvp",15,MAX(0.1,Skills!E9-IF(TRUE=TRUE,Inputs!$B$32,0)))*(1-IF(AND(ArtifactsInput!$M$27,Inputs!$B$4="Chapter Hunt"),CHOOSE(ArtifactsInput!$N$27+1,20,24,28,32,36,40),0)/100)))+1)),0)</f>
        <v>2</v>
      </c>
      <c r="S2543">
        <f>IF(C2543,(H2543*N2543*IF(AND(Inputs!$B$38&lt;&gt;"pvp",Inputs!$B$43&gt;0),((Skills!G9*((R2543-1)*IF(Skills!H9&gt;0,Skills!I9/Skills!H9,1)+IF(Skills!H9&gt;0,MIN(Skills!I9,MAX(0,MAX(0,Inputs!$B$43-B2572)-((R2543-1)*(IF(Inputs!$B$38="pvp",15,MAX(0.1,Skills!E9-IF(TRUE=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700411591279149.62</v>
      </c>
      <c r="U2543">
        <f>IF(C2543,(H2543*N2543*IF(AND(Inputs!$B$38&lt;&gt;"pvp",Inputs!$B$43&gt;0),((Skills!G9*((R2543-1)*IF(Skills!H9&gt;0,Skills!I9/Skills!H9,1)+IF(Skills!H9&gt;0,MIN(Skills!I9,MAX(0,MAX(0,Inputs!$B$43-B2572)-((R2543-1)*(IF(Inputs!$B$38="pvp",15,MAX(0.1,Skills!E9-IF(TRUE=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6650595866720001</v>
      </c>
    </row>
    <row r="2544" spans="1:26" x14ac:dyDescent="0.2">
      <c r="A2544" t="str">
        <f>Skills!A10</f>
        <v>CREEPING_TOXIN</v>
      </c>
      <c r="B2544" t="str">
        <f>Skills!B10</f>
        <v>Creeping Toxin</v>
      </c>
      <c r="C2544" t="b">
        <f>TRUE</f>
        <v>1</v>
      </c>
      <c r="D2544">
        <f>IF(Skills!C10=1,60+Inputs!$B$25+Inputs!$B$29,IF(Skills!C10=2,90+Inputs!$B$26+Inputs!$B$29,IF(Skills!C10=3,120+Inputs!$B$27+Inputs!$B$29,MAX(0,(Inputs!$B$3-100)*3)+Inputs!$B$28+Inputs!$B$29)))</f>
        <v>184</v>
      </c>
      <c r="E2544">
        <f>INDEX(FactorTable!$B$2:$Y$301, MATCH(ROUND(MIN(300,MAX(1,D2544)),0), FactorTable!$A$2:$A$301,0), Skills!M10+1)</f>
        <v>1920</v>
      </c>
      <c r="F2544">
        <f>IF(Skills!N10=TRUE,(Skills!L10/10)*(E2544/1000),Skills!L10/10)+Skills!O10</f>
        <v>280.39999999999998</v>
      </c>
      <c r="G2544">
        <f>Calc!G10</f>
        <v>15</v>
      </c>
      <c r="H2544">
        <f>Calc!H10</f>
        <v>1</v>
      </c>
      <c r="I2544">
        <f>IF(Skills!X10&lt;&gt;"",1+(Skills!X10/10)*(Z2537/1000)/100,1)</f>
        <v>1.7650000000000001</v>
      </c>
      <c r="J2544">
        <f>((Inputs!$B$6*(1+Inputs!$B$7/100))+(((Inputs!$B$12*(1+Inputs!$B$13/100))-(Inputs!$B$12*(1+Inputs!$B$13/100)))+0.25*(Inputs!$B$14-Inputs!$B$14))*(1+Inputs!$B$7/100))*(F2544/100)</f>
        <v>1012621197.9803641</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9654130229902.3496</v>
      </c>
      <c r="L2544">
        <f>K2544*(MIN(Inputs!$B$22+(F2556-Calc!F22),(Inputs!$B$23+(IF(ArtifactsInput!$M$15,CHOOSE(ArtifactsInput!$N$15+1,25,30,35,40,45,50)/100*(Inputs!$B$11-Inputs!$B$11),0))))/100+(Inputs!$B$23+(IF(ArtifactsInput!$M$15,CHOOSE(ArtifactsInput!$N$15+1,25,30,35,40,45,50)/100*(Inputs!$B$11-Inputs!$B$11),0)))/100)/2</f>
        <v>32099983014425.312</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151479819845073.03</v>
      </c>
      <c r="N2544">
        <f>L2544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151479819845073.03</v>
      </c>
      <c r="O2544">
        <f>(1-Summary!$B$11)*S2544+Summary!$B$11*U2544</f>
        <v>348647714779762.75</v>
      </c>
      <c r="P2544">
        <f>IF(B2575=0,0,O2544/B2575)</f>
        <v>9.8021872154419772E-3</v>
      </c>
      <c r="Q2544">
        <f>IFERROR(1/(IF(Inputs!$B$38="pvp",15,MAX(0.1,Skills!E10-IF(TRUE=TRUE,Inputs!$B$32,0)))*(1-IF(AND(ArtifactsInput!$M$27,Inputs!$B$4="Chapter Hunt"),CHOOSE(ArtifactsInput!$N$27+1,20,24,28,32,36,40),0)/100)),0)</f>
        <v>3.7037037037037035E-2</v>
      </c>
      <c r="R2544">
        <f>IF(AND(Inputs!$B$38&lt;&gt;"pvp",Inputs!$B$43&gt;0),IF(MAX(0,Inputs!$B$43-B2572)&lt;=0,0,(INT(MAX(0,Inputs!$B$43-B2572)/(IF(Inputs!$B$38="pvp",15,MAX(0.1,Skills!E10-IF(TRUE=TRUE,Inputs!$B$32,0)))*(1-IF(AND(ArtifactsInput!$M$27,Inputs!$B$4="Chapter Hunt"),CHOOSE(ArtifactsInput!$N$27+1,20,24,28,32,36,40),0)/100)))+1)),0)</f>
        <v>2</v>
      </c>
      <c r="S2544">
        <f>IF(C2544,(H2544*N2544*IF(AND(Inputs!$B$38&lt;&gt;"pvp",Inputs!$B$43&gt;0),((Skills!G10*((R2544-1)*IF(Skills!H10&gt;0,Skills!I10/Skills!H10,1)+IF(Skills!H10&gt;0,MIN(Skills!I10,MAX(0,MAX(0,Inputs!$B$43-B2572)-((R2544-1)*(IF(Inputs!$B$38="pvp",15,MAX(0.1,Skills!E10-IF(TRUE=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307858845641183.25</v>
      </c>
      <c r="U2544">
        <f>IF(C2544,(H2544*N2544*IF(AND(Inputs!$B$38&lt;&gt;"pvp",Inputs!$B$43&gt;0),((Skills!G10*((R2544-1)*IF(Skills!H10&gt;0,Skills!I10/Skills!H10,1)+IF(Skills!H10&gt;0,MIN(Skills!I10,MAX(0,MAX(0,Inputs!$B$43-B2572)-((R2544-1)*(IF(Inputs!$B$38="pvp",15,MAX(0.1,Skills!E10-IF(TRUE=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389436583918342.25</v>
      </c>
    </row>
    <row r="2545" spans="1:21" x14ac:dyDescent="0.2">
      <c r="A2545" t="str">
        <f>Skills!A11</f>
        <v>BURNING_MAGIC</v>
      </c>
      <c r="B2545" t="str">
        <f>Skills!B11</f>
        <v>Burning Magic</v>
      </c>
      <c r="C2545" t="b">
        <f>TRUE</f>
        <v>1</v>
      </c>
      <c r="D2545">
        <f>IF(Skills!C11=1,60+Inputs!$B$25+Inputs!$B$29,IF(Skills!C11=2,90+Inputs!$B$26+Inputs!$B$29,IF(Skills!C11=3,120+Inputs!$B$27+Inputs!$B$29,MAX(0,(Inputs!$B$3-100)*3)+Inputs!$B$28+Inputs!$B$29)))</f>
        <v>184</v>
      </c>
      <c r="E2545">
        <f>INDEX(FactorTable!$B$2:$Y$301, MATCH(ROUND(MIN(300,MAX(1,D2545)),0), FactorTable!$A$2:$A$301,0), Skills!M11+1)</f>
        <v>0</v>
      </c>
      <c r="F2545">
        <f>IF(Skills!N11=TRUE,(Skills!L11/10)*(E2545/1000),Skills!L11/10)+Skills!O11</f>
        <v>5</v>
      </c>
      <c r="G2545">
        <f>Calc!G11</f>
        <v>1</v>
      </c>
      <c r="H2545">
        <f>Calc!H11</f>
        <v>1</v>
      </c>
      <c r="I2545">
        <f>IF(Skills!X11&lt;&gt;"",1+(Skills!X11/10)*(Z2537/1000)/100,1)</f>
        <v>1</v>
      </c>
      <c r="O2545">
        <f>(1-Summary!$B$11)*S2545+Summary!$B$11*U2545</f>
        <v>0</v>
      </c>
      <c r="P2545">
        <f>IF(B2575=0,0,O2545/B2575)</f>
        <v>0</v>
      </c>
      <c r="Q2545">
        <f>IFERROR(1/(IF(Inputs!$B$38="pvp",15,MAX(0.1,Skills!E11-IF(TRUE=TRUE,Inputs!$B$32,0)))*(1-IF(AND(ArtifactsInput!$M$27,Inputs!$B$4="Chapter Hunt"),CHOOSE(ArtifactsInput!$N$27+1,20,24,28,32,36,40),0)/100)),0)</f>
        <v>10</v>
      </c>
      <c r="R2545">
        <v>0</v>
      </c>
      <c r="S2545">
        <v>0</v>
      </c>
      <c r="U2545">
        <v>0</v>
      </c>
    </row>
    <row r="2546" spans="1:21" x14ac:dyDescent="0.2">
      <c r="A2546" t="str">
        <f>Skills!A12</f>
        <v>ELEMENTAL_DECREASE</v>
      </c>
      <c r="B2546" t="str">
        <f>Skills!B12</f>
        <v>Elemental Decrease</v>
      </c>
      <c r="C2546" t="b">
        <f>TRUE</f>
        <v>1</v>
      </c>
      <c r="D2546">
        <f>IF(Skills!C12=1,60+Inputs!$B$25+Inputs!$B$29,IF(Skills!C12=2,90+Inputs!$B$26+Inputs!$B$29,IF(Skills!C12=3,120+Inputs!$B$27+Inputs!$B$29,MAX(0,(Inputs!$B$3-100)*3)+Inputs!$B$28+Inputs!$B$29)))</f>
        <v>184</v>
      </c>
      <c r="E2546">
        <f>INDEX(FactorTable!$B$2:$Y$301, MATCH(ROUND(MIN(300,MAX(1,D2546)),0), FactorTable!$A$2:$A$301,0), Skills!M12+1)</f>
        <v>1552</v>
      </c>
      <c r="F2546">
        <f>IF(Skills!N12=TRUE,(Skills!L12/10)*(E2546/1000),Skills!L12/10)+Skills!O12</f>
        <v>18.624000000000002</v>
      </c>
      <c r="G2546">
        <f>Calc!G12</f>
        <v>1</v>
      </c>
      <c r="H2546">
        <f>Calc!H12</f>
        <v>0.5</v>
      </c>
      <c r="I2546">
        <f>IF(Skills!X12&lt;&gt;"",1+(Skills!X12/10)*(Z2537/1000)/100,1)</f>
        <v>1</v>
      </c>
      <c r="O2546">
        <f>(1-Summary!$B$11)*S2546+Summary!$B$11*U2546</f>
        <v>0</v>
      </c>
      <c r="P2546">
        <f>IF(B2575=0,0,O2546/B2575)</f>
        <v>0</v>
      </c>
      <c r="Q2546">
        <f>IFERROR(1/(IF(Inputs!$B$38="pvp",15,MAX(0.1,Skills!E12-IF(TRUE=TRUE,Inputs!$B$32,0)))*(1-IF(AND(ArtifactsInput!$M$27,Inputs!$B$4="Chapter Hunt"),CHOOSE(ArtifactsInput!$N$27+1,20,24,28,32,36,40),0)/100)),0)</f>
        <v>10</v>
      </c>
      <c r="R2546">
        <v>0</v>
      </c>
      <c r="S2546">
        <v>0</v>
      </c>
      <c r="U2546">
        <v>0</v>
      </c>
    </row>
    <row r="2547" spans="1:21" x14ac:dyDescent="0.2">
      <c r="A2547" t="str">
        <f>Skills!A13</f>
        <v>METEOR_SHOWER_BURST</v>
      </c>
      <c r="B2547" t="str">
        <f>Skills!B13</f>
        <v>Meteor Shower (burst)</v>
      </c>
      <c r="C2547" t="b">
        <f>Inputs!$B$3&gt;=105</f>
        <v>1</v>
      </c>
      <c r="D2547">
        <f>IF(Skills!C13=1,60+Inputs!$B$25+Inputs!$B$29,IF(Skills!C13=2,90+Inputs!$B$26+Inputs!$B$29,IF(Skills!C13=3,120+Inputs!$B$27+Inputs!$B$29,MAX(0,(Inputs!$B$3-100)*3)+Inputs!$B$28+Inputs!$B$29)))</f>
        <v>185</v>
      </c>
      <c r="E2547">
        <f>INDEX(FactorTable!$B$2:$Y$301, MATCH(ROUND(MIN(300,MAX(1,D2547)),0), FactorTable!$A$2:$A$301,0), Skills!M13+1)</f>
        <v>1925</v>
      </c>
      <c r="F2547">
        <f>IF(Skills!N13=TRUE,(Skills!L13/10)*(E2547/1000),Skills!L13/10)+Skills!O13</f>
        <v>1155</v>
      </c>
      <c r="G2547">
        <f>Calc!G13</f>
        <v>9</v>
      </c>
      <c r="H2547">
        <f>Calc!H13</f>
        <v>1</v>
      </c>
      <c r="I2547">
        <f>IF(Skills!X13&lt;&gt;"",1+(Skills!X13/10)*(Z2537/1000)/100,1)</f>
        <v>1</v>
      </c>
      <c r="J2547">
        <f>((Inputs!$B$6*(1+Inputs!$B$7/100))+(((Inputs!$B$12*(1+Inputs!$B$13/100))-(Inputs!$B$12*(1+Inputs!$B$13/100)))+0.25*(Inputs!$B$14-Inputs!$B$14))*(1+Inputs!$B$7/100))*(F2547/100)</f>
        <v>4171103722.0660505</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22530582404612.621</v>
      </c>
      <c r="L2547">
        <f>K2547*(MIN(Inputs!$B$22+(F2556-Calc!F22),(Inputs!$B$23+(IF(ArtifactsInput!$M$15,CHOOSE(ArtifactsInput!$N$15+1,25,30,35,40,45,50)/100*(Inputs!$B$11-Inputs!$B$11),0))))/100+(Inputs!$B$23+(IF(ArtifactsInput!$M$15,CHOOSE(ArtifactsInput!$N$15+1,25,30,35,40,45,50)/100*(Inputs!$B$11-Inputs!$B$11),0)))/100)/2</f>
        <v>74914186495336.969</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353520046071495.12</v>
      </c>
      <c r="N2547">
        <f>L2547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353520046071495.12</v>
      </c>
      <c r="O2547">
        <f>(1-Summary!$B$11)*S2547+Summary!$B$11*U2547</f>
        <v>1928098331273934.5</v>
      </c>
      <c r="P2547">
        <f>IF(B2575=0,0,O2547/B2575)</f>
        <v>5.4208245204954368E-2</v>
      </c>
      <c r="Q2547">
        <f>IFERROR(1/(IF(Inputs!$B$38="pvp",15,MAX(0.1,Skills!E13-IF(TRUE=TRUE,Inputs!$B$32,0)))*(1-IF(AND(ArtifactsInput!$M$27,Inputs!$B$4="Chapter Hunt"),CHOOSE(ArtifactsInput!$N$27+1,20,24,28,32,36,40),0)/100)),0)</f>
        <v>3.0303030303030304E-2</v>
      </c>
      <c r="R2547">
        <f>IF(AND(Inputs!$B$38&lt;&gt;"pvp",Inputs!$B$43&gt;0),IF(MAX(0,Inputs!$B$43-B2572)&lt;=0,0,(INT(MAX(0,Inputs!$B$43-B2572)/(IF(Inputs!$B$38="pvp",15,MAX(0.1,Skills!E13-IF(TRUE=TRUE,Inputs!$B$32,0)))*(1-IF(AND(ArtifactsInput!$M$27,Inputs!$B$4="Chapter Hunt"),CHOOSE(ArtifactsInput!$N$27+1,20,24,28,32,36,40),0)/100)))+1)),0)</f>
        <v>2</v>
      </c>
      <c r="S2547">
        <f>IF(C2547,(H2547*N2547*IF(AND(Inputs!$B$38&lt;&gt;"pvp",Inputs!$B$43&gt;0),((Skills!G13*((R2547-1)*IF(Skills!H13&gt;0,Skills!I13/Skills!H13,1)+IF(Skills!H13&gt;0,MIN(Skills!I13,MAX(0,MAX(0,Inputs!$B$43-B2572)-((R2547-1)*(IF(Inputs!$B$38="pvp",15,MAX(0.1,Skills!E13-IF(TRUE=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504296345720987.81</v>
      </c>
      <c r="U2547">
        <f>IF(C2547,(H2547*N2547*IF(AND(Inputs!$B$38&lt;&gt;"pvp",Inputs!$B$43&gt;0),((Skills!G13*((R2547-1)*IF(Skills!H13&gt;0,Skills!I13/Skills!H13,1)+IF(Skills!H13&gt;0,MIN(Skills!I13,MAX(0,MAX(0,Inputs!$B$43-B2572)-((R2547-1)*(IF(Inputs!$B$38="pvp",15,MAX(0.1,Skills!E13-IF(TRUE=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3351900316826881</v>
      </c>
    </row>
    <row r="2548" spans="1:21" x14ac:dyDescent="0.2">
      <c r="A2548" t="str">
        <f>Skills!A14</f>
        <v>METEOR_PROC</v>
      </c>
      <c r="B2548" t="str">
        <f>Skills!B14</f>
        <v>Meteor Proc (30% on-hit, 1s ICD)</v>
      </c>
      <c r="C2548" t="b">
        <f>Inputs!$B$3&gt;=113</f>
        <v>1</v>
      </c>
      <c r="D2548">
        <f>IF(Skills!C14=1,60+Inputs!$B$25+Inputs!$B$29,IF(Skills!C14=2,90+Inputs!$B$26+Inputs!$B$29,IF(Skills!C14=3,120+Inputs!$B$27+Inputs!$B$29,MAX(0,(Inputs!$B$3-100)*3)+Inputs!$B$28+Inputs!$B$29)))</f>
        <v>185</v>
      </c>
      <c r="E2548">
        <f>INDEX(FactorTable!$B$2:$Y$301, MATCH(ROUND(MIN(300,MAX(1,D2548)),0), FactorTable!$A$2:$A$301,0), Skills!M14+1)</f>
        <v>1740</v>
      </c>
      <c r="F2548">
        <f>IF(Skills!N14=TRUE,(Skills!L14/10)*(E2548/1000),Skills!L14/10)+Skills!O14</f>
        <v>1653</v>
      </c>
      <c r="G2548">
        <f>Calc!G14</f>
        <v>0</v>
      </c>
      <c r="H2548">
        <f>Calc!H14</f>
        <v>0.30000000000000004</v>
      </c>
      <c r="I2548">
        <f>IF(Skills!X14&lt;&gt;"",1+(Skills!X14/10)*(Z2537/1000)/100,1)</f>
        <v>1</v>
      </c>
      <c r="J2548">
        <f>((Inputs!$B$6*(1+Inputs!$B$7/100))+(((Inputs!$B$12*(1+Inputs!$B$13/100))-(Inputs!$B$12*(1+Inputs!$B$13/100)))+0.25*(Inputs!$B$14-Inputs!$B$14))*(1+Inputs!$B$7/100))*(F2548/100)</f>
        <v>5969553638.5932312</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32245067285562.465</v>
      </c>
      <c r="L2548">
        <f>K2548*(MIN(Inputs!$B$22+(F2556-Calc!F22),(Inputs!$B$23+(IF(ArtifactsInput!$M$15,CHOOSE(ArtifactsInput!$N$15+1,25,30,35,40,45,50)/100*(Inputs!$B$11-Inputs!$B$11),0))))/100+(Inputs!$B$23+(IF(ArtifactsInput!$M$15,CHOOSE(ArtifactsInput!$N$15+1,25,30,35,40,45,50)/100*(Inputs!$B$11-Inputs!$B$11),0)))/100)/2</f>
        <v>107214848724495.2</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505946871130892.81</v>
      </c>
      <c r="N2548">
        <f>L2548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505946871130892.81</v>
      </c>
      <c r="O2548">
        <f>(1-Summary!$B$11)*S2548+Summary!$B$11*U2548</f>
        <v>495852562359703.44</v>
      </c>
      <c r="P2548">
        <f>IF(B2575=0,0,O2548/B2575)</f>
        <v>1.3940833229257567E-2</v>
      </c>
      <c r="Q2548">
        <f>IFERROR(1/(IF(Inputs!$B$38="pvp",15,MAX(0.1,Skills!E14-IF(TRUE=TRUE,Inputs!$B$32,0)))*(1-IF(AND(ArtifactsInput!$M$27,Inputs!$B$4="Chapter Hunt"),CHOOSE(ArtifactsInput!$N$27+1,20,24,28,32,36,40),0)/100)),0)</f>
        <v>10</v>
      </c>
      <c r="R2548">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508690169152187.69</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483014955567219.19</v>
      </c>
    </row>
    <row r="2549" spans="1:21" x14ac:dyDescent="0.2">
      <c r="A2549" t="str">
        <f>Skills!A15</f>
        <v>FLAME_HAZE_BURST</v>
      </c>
      <c r="B2549" t="str">
        <f>Skills!B15</f>
        <v>Flame Haze (burst)</v>
      </c>
      <c r="C2549" t="b">
        <f>Inputs!$B$3&gt;=107</f>
        <v>1</v>
      </c>
      <c r="D2549">
        <f>IF(Skills!C15=1,60+Inputs!$B$25+Inputs!$B$29,IF(Skills!C15=2,90+Inputs!$B$26+Inputs!$B$29,IF(Skills!C15=3,120+Inputs!$B$27+Inputs!$B$29,MAX(0,(Inputs!$B$3-100)*3)+Inputs!$B$28+Inputs!$B$29)))</f>
        <v>185</v>
      </c>
      <c r="E2549">
        <f>INDEX(FactorTable!$B$2:$Y$301, MATCH(ROUND(MIN(300,MAX(1,D2549)),0), FactorTable!$A$2:$A$301,0), Skills!M15+1)</f>
        <v>1925</v>
      </c>
      <c r="F2549">
        <f>IF(Skills!N15=TRUE,(Skills!L15/10)*(E2549/1000),Skills!L15/10)+Skills!O15</f>
        <v>2310</v>
      </c>
      <c r="G2549">
        <f>Calc!G15</f>
        <v>3</v>
      </c>
      <c r="H2549">
        <f>Calc!H15</f>
        <v>1</v>
      </c>
      <c r="I2549">
        <f>IF(Skills!X15&lt;&gt;"",1+(Skills!X15/10)*(Z2537/1000)/100,1)</f>
        <v>1</v>
      </c>
      <c r="J2549">
        <f>((Inputs!$B$6*(1+Inputs!$B$7/100))+(((Inputs!$B$12*(1+Inputs!$B$13/100))-(Inputs!$B$12*(1+Inputs!$B$13/100)))+0.25*(Inputs!$B$14-Inputs!$B$14))*(1+Inputs!$B$7/100))*(F2549/100)</f>
        <v>8342207444.1321011</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45061164809225.242</v>
      </c>
      <c r="L2549">
        <f>K2549*(MIN(Inputs!$B$22+(F2556-Calc!F22),(Inputs!$B$23+(IF(ArtifactsInput!$M$15,CHOOSE(ArtifactsInput!$N$15+1,25,30,35,40,45,50)/100*(Inputs!$B$11-Inputs!$B$11),0))))/100+(Inputs!$B$23+(IF(ArtifactsInput!$M$15,CHOOSE(ArtifactsInput!$N$15+1,25,30,35,40,45,50)/100*(Inputs!$B$11-Inputs!$B$11),0)))/100)/2</f>
        <v>149828372990673.94</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707040092142990.25</v>
      </c>
      <c r="N2549">
        <f>L2549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707040092142990.25</v>
      </c>
      <c r="O2549">
        <f>(1-Summary!$B$11)*S2549+Summary!$B$11*U2549</f>
        <v>1764241789919796.2</v>
      </c>
      <c r="P2549">
        <f>IF(B2575=0,0,O2549/B2575)</f>
        <v>4.9601438888031674E-2</v>
      </c>
      <c r="Q2549">
        <f>IFERROR(1/(IF(Inputs!$B$38="pvp",15,MAX(0.1,Skills!E15-IF(TRUE=TRUE,Inputs!$B$32,0)))*(1-IF(AND(ArtifactsInput!$M$27,Inputs!$B$4="Chapter Hunt"),CHOOSE(ArtifactsInput!$N$27+1,20,24,28,32,36,40),0)/100)),0)</f>
        <v>0.04</v>
      </c>
      <c r="R2549">
        <f>IF(AND(Inputs!$B$38&lt;&gt;"pvp",Inputs!$B$43&gt;0),IF(MAX(0,Inputs!$B$43-B2572)&lt;=0,0,(INT(MAX(0,Inputs!$B$43-B2572)/(IF(Inputs!$B$38="pvp",15,MAX(0.1,Skills!E15-IF(TRUE=TRUE,Inputs!$B$32,0)))*(1-IF(AND(ArtifactsInput!$M$27,Inputs!$B$4="Chapter Hunt"),CHOOSE(ArtifactsInput!$N$27+1,20,24,28,32,36,40),0)/100)))+1)),0)</f>
        <v>2</v>
      </c>
      <c r="S2549">
        <f>IF(C2549,(H2549*N2549*IF(AND(Inputs!$B$38&lt;&gt;"pvp",Inputs!$B$43&gt;0),((Skills!G15*((R2549-1)*IF(Skills!H15&gt;0,Skills!I15/Skills!H15,1)+IF(Skills!H15&gt;0,MIN(Skills!I15,MAX(0,MAX(0,Inputs!$B$43-B2572)-((R2549-1)*(IF(Inputs!$B$38="pvp",15,MAX(0.1,Skills!E15-IF(TRUE=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336197563813991.81</v>
      </c>
      <c r="U2549">
        <f>IF(C2549,(H2549*N2549*IF(AND(Inputs!$B$38&lt;&gt;"pvp",Inputs!$B$43&gt;0),((Skills!G15*((R2549-1)*IF(Skills!H15&gt;0,Skills!I15/Skills!H15,1)+IF(Skills!H15&gt;0,MIN(Skills!I15,MAX(0,MAX(0,Inputs!$B$43-B2572)-((R2549-1)*(IF(Inputs!$B$38="pvp",15,MAX(0.1,Skills!E15-IF(TRUE=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3192286016025600.5</v>
      </c>
    </row>
    <row r="2550" spans="1:21" x14ac:dyDescent="0.2">
      <c r="A2550" t="str">
        <f>Skills!A16</f>
        <v>FLAME_HAZE_DOT</v>
      </c>
      <c r="B2550" t="str">
        <f>Skills!B16</f>
        <v>Flame Haze (burn DoT)</v>
      </c>
      <c r="C2550" t="b">
        <f>Inputs!$B$3&gt;=107</f>
        <v>1</v>
      </c>
      <c r="D2550">
        <f>IF(Skills!C16=1,60+Inputs!$B$25+Inputs!$B$29,IF(Skills!C16=2,90+Inputs!$B$26+Inputs!$B$29,IF(Skills!C16=3,120+Inputs!$B$27+Inputs!$B$29,MAX(0,(Inputs!$B$3-100)*3)+Inputs!$B$28+Inputs!$B$29)))</f>
        <v>185</v>
      </c>
      <c r="E2550">
        <f>INDEX(FactorTable!$B$2:$Y$301, MATCH(ROUND(MIN(300,MAX(1,D2550)),0), FactorTable!$A$2:$A$301,0), Skills!M16+1)</f>
        <v>1925</v>
      </c>
      <c r="F2550">
        <f>IF(Skills!N16=TRUE,(Skills!L16/10)*(E2550/1000),Skills!L16/10)+Skills!O16</f>
        <v>288.75</v>
      </c>
      <c r="G2550">
        <f>Calc!G16</f>
        <v>30</v>
      </c>
      <c r="H2550">
        <f>Calc!H16</f>
        <v>1</v>
      </c>
      <c r="I2550">
        <f>IF(Skills!X16&lt;&gt;"",1+(Skills!X16/10)*(Z2537/1000)/100,1)</f>
        <v>1</v>
      </c>
      <c r="J2550">
        <f>((Inputs!$B$6*(1+Inputs!$B$7/100))+(((Inputs!$B$12*(1+Inputs!$B$13/100))-(Inputs!$B$12*(1+Inputs!$B$13/100)))+0.25*(Inputs!$B$14-Inputs!$B$14))*(1+Inputs!$B$7/100))*(F2550/100)</f>
        <v>1042775930.5165126</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5632645601153.1553</v>
      </c>
      <c r="L2550">
        <f>K2550*(MIN(Inputs!$B$22+(F2556-Calc!F22),(Inputs!$B$23+(IF(ArtifactsInput!$M$15,CHOOSE(ArtifactsInput!$N$15+1,25,30,35,40,45,50)/100*(Inputs!$B$11-Inputs!$B$11),0))))/100+(Inputs!$B$23+(IF(ArtifactsInput!$M$15,CHOOSE(ArtifactsInput!$N$15+1,25,30,35,40,45,50)/100*(Inputs!$B$11-Inputs!$B$11),0)))/100)/2</f>
        <v>18728546623834.242</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88380011517873.781</v>
      </c>
      <c r="N2550">
        <f>L2550*(1-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88380011517873.781</v>
      </c>
      <c r="O2550">
        <f>(1-Summary!$B$11)*S2550+Summary!$B$11*U2550</f>
        <v>2032163797479807.5</v>
      </c>
      <c r="P2550">
        <f>IF(B2575=0,0,O2550/B2575)</f>
        <v>5.713403286731316E-2</v>
      </c>
      <c r="Q2550">
        <f>IFERROR(1/(IF(Inputs!$B$38="pvp",15,MAX(0.1,Skills!E16-IF(TRUE=TRUE,Inputs!$B$32,0)))*(1-IF(AND(ArtifactsInput!$M$27,Inputs!$B$4="Chapter Hunt"),CHOOSE(ArtifactsInput!$N$27+1,20,24,28,32,36,40),0)/100)),0)</f>
        <v>0.04</v>
      </c>
      <c r="R2550">
        <f>IF(AND(Inputs!$B$38&lt;&gt;"pvp",Inputs!$B$43&gt;0),IF(MAX(0,Inputs!$B$43-B2572)&lt;=0,0,(INT(MAX(0,Inputs!$B$43-B2572)/(IF(Inputs!$B$38="pvp",15,MAX(0.1,Skills!E16-IF(TRUE=TRUE,Inputs!$B$32,0)))*(1-IF(AND(ArtifactsInput!$M$27,Inputs!$B$4="Chapter Hunt"),CHOOSE(ArtifactsInput!$N$27+1,20,24,28,32,36,40),0)/100)))+1)),0)</f>
        <v>2</v>
      </c>
      <c r="S2550">
        <f>IF(C2550,(H2550*N2550*IF(AND(Inputs!$B$38&lt;&gt;"pvp",Inputs!$B$43&gt;0),((Skills!G16*((R2550-1)*IF(Skills!H16&gt;0,Skills!I16/Skills!H16,1)+IF(Skills!H16&gt;0,MIN(Skills!I16,MAX(0,MAX(0,Inputs!$B$43-B2572)-((R2550-1)*(IF(Inputs!$B$38="pvp",15,MAX(0.1,Skills!E16-IF(TRUE=TRUE,Inputs!$B$32,0)))*(1-IF(AND(ArtifactsInput!$M$27,Inputs!$B$4="Chapter Hunt"),CHOOSE(ArtifactsInput!$N$27+1,20,24,28,32,36,40),0)/100)))))/Skills!H16,1)))/Inputs!$B$43),G2550*Q2550)*(1+IF(Inputs!$B$3&gt;=126,0.05*(B2570+Q2547+(H2548*B2571)/(1+Skills!H14*H2548*B2571)+Q2558),0)*(1/Q2549)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387253335618334.25</v>
      </c>
      <c r="U2550">
        <f>IF(C2550,(H2550*N2550*IF(AND(Inputs!$B$38&lt;&gt;"pvp",Inputs!$B$43&gt;0),((Skills!G16*((R2550-1)*IF(Skills!H16&gt;0,Skills!I16/Skills!H16,1)+IF(Skills!H16&gt;0,MIN(Skills!I16,MAX(0,MAX(0,Inputs!$B$43-B2572)-((R2550-1)*(IF(Inputs!$B$38="pvp",15,MAX(0.1,Skills!E16-IF(TRUE=TRUE,Inputs!$B$32,0)))*(1-IF(AND(ArtifactsInput!$M$27,Inputs!$B$4="Chapter Hunt"),CHOOSE(ArtifactsInput!$N$27+1,20,24,28,32,36,40),0)/100)))))/Skills!H16,1)))/Inputs!$B$43),G2550*Q2550)*(1+IF(Inputs!$B$3&gt;=126,0.05*(B2570+Q2547+(H2548*B2571)/(1+Skills!H14*H2548*B2571)+Q2558),0)*(1/Q2549)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3677074259341281</v>
      </c>
    </row>
    <row r="2551" spans="1:21" x14ac:dyDescent="0.2">
      <c r="A2551" t="str">
        <f>Skills!A17</f>
        <v>MAGIC_GUARD</v>
      </c>
      <c r="B2551" t="str">
        <f>Skills!B17</f>
        <v>Magic Guard</v>
      </c>
      <c r="C2551" t="b">
        <f>TRUE</f>
        <v>1</v>
      </c>
      <c r="D2551">
        <f>IF(Skills!C17=1,60+Inputs!$B$25+Inputs!$B$29,IF(Skills!C17=2,90+Inputs!$B$26+Inputs!$B$29,IF(Skills!C17=3,120+Inputs!$B$27+Inputs!$B$29,MAX(0,(Inputs!$B$3-100)*3)+Inputs!$B$28+Inputs!$B$29)))</f>
        <v>127</v>
      </c>
      <c r="E2551">
        <f>INDEX(FactorTable!$B$2:$Y$301, MATCH(ROUND(MIN(300,MAX(1,D2551)),0), FactorTable!$A$2:$A$301,0), Skills!M17+1)</f>
        <v>1508</v>
      </c>
      <c r="F2551">
        <f>IF(Skills!N17=TRUE,(Skills!L17/10)*(E2551/1000),Skills!L17/10)+Skills!O17</f>
        <v>18.096</v>
      </c>
      <c r="G2551">
        <f>Calc!G17</f>
        <v>1</v>
      </c>
      <c r="H2551">
        <f>Calc!H17</f>
        <v>1</v>
      </c>
      <c r="I2551">
        <f>IF(Skills!X17&lt;&gt;"",1+(Skills!X17/10)*(Z2537/1000)/100,1)</f>
        <v>1</v>
      </c>
      <c r="O2551">
        <f>(1-Summary!$B$11)*S2551+Summary!$B$11*U2551</f>
        <v>0</v>
      </c>
      <c r="P2551">
        <f>IF(B2575=0,0,O2551/B2575)</f>
        <v>0</v>
      </c>
      <c r="Q2551">
        <f>IFERROR(1/(IF(Inputs!$B$38="pvp",15,MAX(0.1,Skills!E17-IF(TRUE=TRUE,Inputs!$B$32,0)))*(1-IF(AND(ArtifactsInput!$M$27,Inputs!$B$4="Chapter Hunt"),CHOOSE(ArtifactsInput!$N$27+1,20,24,28,32,36,40),0)/100)),0)</f>
        <v>4.7619047619047616E-2</v>
      </c>
      <c r="R2551">
        <f>IF(AND(Inputs!$B$38&lt;&gt;"pvp",Inputs!$B$43&gt;0),IF(Inputs!$B$43&lt;=0,0,(INT(Inputs!$B$43/(IF(Inputs!$B$38="pvp",15,MAX(0.1,Skills!E17-IF(TRUE=TRUE,Inputs!$B$32,0)))*(1-IF(AND(ArtifactsInput!$M$27,Inputs!$B$4="Chapter Hunt"),CHOOSE(ArtifactsInput!$N$27+1,20,24,28,32,36,40),0)/100)))+1)),0)</f>
        <v>2</v>
      </c>
      <c r="S2551">
        <v>0</v>
      </c>
      <c r="U2551">
        <v>0</v>
      </c>
    </row>
    <row r="2552" spans="1:21" x14ac:dyDescent="0.2">
      <c r="A2552" t="str">
        <f>Skills!A18</f>
        <v>NIMBLE_FEET</v>
      </c>
      <c r="B2552" t="str">
        <f>Skills!B18</f>
        <v>Nimble Feet</v>
      </c>
      <c r="C2552" t="b">
        <f>TRUE</f>
        <v>1</v>
      </c>
      <c r="D2552">
        <f>IF(Skills!C18=1,60+Inputs!$B$25+Inputs!$B$29,IF(Skills!C18=2,90+Inputs!$B$26+Inputs!$B$29,IF(Skills!C18=3,120+Inputs!$B$27+Inputs!$B$29,MAX(0,(Inputs!$B$3-100)*3)+Inputs!$B$28+Inputs!$B$29)))</f>
        <v>127</v>
      </c>
      <c r="E2552">
        <f>INDEX(FactorTable!$B$2:$Y$301, MATCH(ROUND(MIN(300,MAX(1,D2552)),0), FactorTable!$A$2:$A$301,0), Skills!M18+1)</f>
        <v>0</v>
      </c>
      <c r="F2552">
        <f>IF(Skills!N18=TRUE,(Skills!L18/10)*(E2552/1000),Skills!L18/10)+Skills!O18</f>
        <v>15</v>
      </c>
      <c r="G2552">
        <f>Calc!G18</f>
        <v>1</v>
      </c>
      <c r="H2552">
        <f>Calc!H18</f>
        <v>1</v>
      </c>
      <c r="I2552">
        <f>IF(Skills!X18&lt;&gt;"",1+(Skills!X18/10)*(Z2537/1000)/100,1)</f>
        <v>1</v>
      </c>
      <c r="O2552">
        <f>(1-Summary!$B$11)*S2552+Summary!$B$11*U2552</f>
        <v>0</v>
      </c>
      <c r="P2552">
        <f>IF(B2575=0,0,O2552/B2575)</f>
        <v>0</v>
      </c>
      <c r="Q2552">
        <f>IFERROR(1/(IF(Inputs!$B$38="pvp",15,MAX(0.1,Skills!E18-IF(TRUE=TRUE,Inputs!$B$32,0)))*(1-IF(AND(ArtifactsInput!$M$27,Inputs!$B$4="Chapter Hunt"),CHOOSE(ArtifactsInput!$N$27+1,20,24,28,32,36,40),0)/100)),0)</f>
        <v>1.6666666666666666E-2</v>
      </c>
      <c r="R2552">
        <f>IF(AND(Inputs!$B$38&lt;&gt;"pvp",Inputs!$B$43&gt;0),IF(Inputs!$B$43&lt;=0,0,(INT(Inputs!$B$43/(IF(Inputs!$B$38="pvp",15,MAX(0.1,Skills!E18-IF(TRUE=TRUE,Inputs!$B$32,0)))*(1-IF(AND(ArtifactsInput!$M$27,Inputs!$B$4="Chapter Hunt"),CHOOSE(ArtifactsInput!$N$27+1,20,24,28,32,36,40),0)/100)))+1)),0)</f>
        <v>1</v>
      </c>
      <c r="S2552">
        <v>0</v>
      </c>
      <c r="U2552">
        <v>0</v>
      </c>
    </row>
    <row r="2553" spans="1:21" x14ac:dyDescent="0.2">
      <c r="A2553" t="str">
        <f>Skills!A19</f>
        <v>INFINITY</v>
      </c>
      <c r="B2553" t="str">
        <f>Skills!B19</f>
        <v>Infinity</v>
      </c>
      <c r="C2553" t="b">
        <f>Inputs!$B$3&gt;=110</f>
        <v>1</v>
      </c>
      <c r="D2553">
        <f>IF(Skills!C19=1,60+Inputs!$B$25+Inputs!$B$29,IF(Skills!C19=2,90+Inputs!$B$26+Inputs!$B$29,IF(Skills!C19=3,120+Inputs!$B$27+Inputs!$B$29,MAX(0,(Inputs!$B$3-100)*3)+Inputs!$B$28+Inputs!$B$29)))</f>
        <v>185</v>
      </c>
      <c r="E2553">
        <f>INDEX(FactorTable!$B$2:$Y$301, MATCH(ROUND(MIN(300,MAX(1,D2553)),0), FactorTable!$A$2:$A$301,0), Skills!M19+1)</f>
        <v>1740</v>
      </c>
      <c r="F2553">
        <f>IF(Skills!N19=TRUE,(Skills!L19/10)*(E2553/1000),Skills!L19/10)+Skills!O19</f>
        <v>37.700579999999995</v>
      </c>
      <c r="G2553">
        <f>Calc!G19</f>
        <v>1</v>
      </c>
      <c r="H2553">
        <f>Calc!H19</f>
        <v>1</v>
      </c>
      <c r="I2553">
        <f>IF(Skills!X19&lt;&gt;"",1+(Skills!X19/10)*(Z2537/1000)/100,1)</f>
        <v>1</v>
      </c>
      <c r="O2553">
        <f>(1-Summary!$B$11)*S2553+Summary!$B$11*U2553</f>
        <v>0</v>
      </c>
      <c r="P2553">
        <f>IF(B2575=0,0,O2553/B2575)</f>
        <v>0</v>
      </c>
      <c r="Q2553">
        <f>IFERROR(1/(IF(Inputs!$B$38="pvp",15,MAX(0.1,Skills!E19-IF(TRUE=TRUE,Inputs!$B$32,0)))*(1-IF(AND(ArtifactsInput!$M$27,Inputs!$B$4="Chapter Hunt"),CHOOSE(ArtifactsInput!$N$27+1,20,24,28,32,36,40),0)/100)),0)</f>
        <v>3.3333333333333333E-2</v>
      </c>
      <c r="R2553">
        <f>IF(AND(Inputs!$B$38&lt;&gt;"pvp",Inputs!$B$43&gt;0),IF(Inputs!$B$43&lt;=0,0,(INT(Inputs!$B$43/(IF(Inputs!$B$38="pvp",15,MAX(0.1,Skills!E19-IF(TRUE=TRUE,Inputs!$B$32,0)))*(1-IF(AND(ArtifactsInput!$M$27,Inputs!$B$4="Chapter Hunt"),CHOOSE(ArtifactsInput!$N$27+1,20,24,28,32,36,40),0)/100)))+1)),0)</f>
        <v>2</v>
      </c>
      <c r="S2553">
        <v>0</v>
      </c>
      <c r="U2553">
        <v>0</v>
      </c>
    </row>
    <row r="2554" spans="1:21" x14ac:dyDescent="0.2">
      <c r="A2554" t="str">
        <f>Skills!A20</f>
        <v>MAGIC_CRITICAL_RATE</v>
      </c>
      <c r="B2554" t="str">
        <f>Skills!B20</f>
        <v>Magic Critical (Crit Rate)</v>
      </c>
      <c r="C2554" t="b">
        <f>TRUE</f>
        <v>1</v>
      </c>
      <c r="D2554">
        <f>IF(Skills!C20=1,60+Inputs!$B$25+Inputs!$B$29,IF(Skills!C20=2,90+Inputs!$B$26+Inputs!$B$29,IF(Skills!C20=3,120+Inputs!$B$27+Inputs!$B$29,MAX(0,(Inputs!$B$3-100)*3)+Inputs!$B$28+Inputs!$B$29)))</f>
        <v>184</v>
      </c>
      <c r="E2554">
        <f>INDEX(FactorTable!$B$2:$Y$301, MATCH(ROUND(MIN(300,MAX(1,D2554)),0), FactorTable!$A$2:$A$301,0), Skills!M20+1)</f>
        <v>1552</v>
      </c>
      <c r="F2554">
        <f>IF(Skills!N20=TRUE,(Skills!L20/10)*(E2554/1000),Skills!L20/10)+Skills!O20</f>
        <v>12.416</v>
      </c>
      <c r="G2554">
        <f>Calc!G20</f>
        <v>1</v>
      </c>
      <c r="H2554">
        <f>Calc!H20</f>
        <v>1</v>
      </c>
      <c r="I2554">
        <f>IF(Skills!X20&lt;&gt;"",1+(Skills!X20/10)*(Z2537/1000)/100,1)</f>
        <v>1</v>
      </c>
      <c r="O2554">
        <f>(1-Summary!$B$11)*S2554+Summary!$B$11*U2554</f>
        <v>0</v>
      </c>
      <c r="P2554">
        <f>IF(B2575=0,0,O2554/B2575)</f>
        <v>0</v>
      </c>
      <c r="Q2554">
        <f>IFERROR(1/(IF(Inputs!$B$38="pvp",15,MAX(0.1,Skills!E20-IF(TRUE=TRUE,Inputs!$B$32,0)))*(1-IF(AND(ArtifactsInput!$M$27,Inputs!$B$4="Chapter Hunt"),CHOOSE(ArtifactsInput!$N$27+1,20,24,28,32,36,40),0)/100)),0)</f>
        <v>10</v>
      </c>
      <c r="R2554">
        <v>0</v>
      </c>
      <c r="S2554">
        <v>0</v>
      </c>
      <c r="U2554">
        <v>0</v>
      </c>
    </row>
    <row r="2555" spans="1:21" x14ac:dyDescent="0.2">
      <c r="A2555" t="str">
        <f>Skills!A21</f>
        <v>MAGIC_CRITICAL_DAMAGE</v>
      </c>
      <c r="B2555" t="str">
        <f>Skills!B21</f>
        <v>Magic Critical (Crit Damage)</v>
      </c>
      <c r="C2555" t="b">
        <f>TRUE</f>
        <v>1</v>
      </c>
      <c r="D2555">
        <f>IF(Skills!C21=1,60+Inputs!$B$25+Inputs!$B$29,IF(Skills!C21=2,90+Inputs!$B$26+Inputs!$B$29,IF(Skills!C21=3,120+Inputs!$B$27+Inputs!$B$29,MAX(0,(Inputs!$B$3-100)*3)+Inputs!$B$28+Inputs!$B$29)))</f>
        <v>184</v>
      </c>
      <c r="E2555">
        <f>INDEX(FactorTable!$B$2:$Y$301, MATCH(ROUND(MIN(300,MAX(1,D2555)),0), FactorTable!$A$2:$A$301,0), Skills!M21+1)</f>
        <v>1552</v>
      </c>
      <c r="F2555">
        <f>IF(Skills!N21=TRUE,(Skills!L21/10)*(E2555/1000),Skills!L21/10)+Skills!O21</f>
        <v>18.624000000000002</v>
      </c>
      <c r="G2555">
        <f>Calc!G21</f>
        <v>1</v>
      </c>
      <c r="H2555">
        <f>Calc!H21</f>
        <v>1</v>
      </c>
      <c r="I2555">
        <f>IF(Skills!X21&lt;&gt;"",1+(Skills!X21/10)*(Z2537/1000)/100,1)</f>
        <v>1</v>
      </c>
      <c r="O2555">
        <f>(1-Summary!$B$11)*S2555+Summary!$B$11*U2555</f>
        <v>0</v>
      </c>
      <c r="P2555">
        <f>IF(B2575=0,0,O2555/B2575)</f>
        <v>0</v>
      </c>
      <c r="Q2555">
        <f>IFERROR(1/(IF(Inputs!$B$38="pvp",15,MAX(0.1,Skills!E21-IF(TRUE=TRUE,Inputs!$B$32,0)))*(1-IF(AND(ArtifactsInput!$M$27,Inputs!$B$4="Chapter Hunt"),CHOOSE(ArtifactsInput!$N$27+1,20,24,28,32,36,40),0)/100)),0)</f>
        <v>10</v>
      </c>
      <c r="R2555">
        <v>0</v>
      </c>
      <c r="S2555">
        <v>0</v>
      </c>
      <c r="U2555">
        <v>0</v>
      </c>
    </row>
    <row r="2556" spans="1:21" x14ac:dyDescent="0.2">
      <c r="A2556" t="str">
        <f>Skills!A22</f>
        <v>SPELL_MASTERY</v>
      </c>
      <c r="B2556" t="str">
        <f>Skills!B22</f>
        <v>Spell Mastery</v>
      </c>
      <c r="C2556" t="b">
        <f>TRUE</f>
        <v>1</v>
      </c>
      <c r="D2556">
        <f>IF(Skills!C22=1,60+Inputs!$B$25+Inputs!$B$29,IF(Skills!C22=2,90+Inputs!$B$26+Inputs!$B$29,IF(Skills!C22=3,120+Inputs!$B$27+Inputs!$B$29,MAX(0,(Inputs!$B$3-100)*3)+Inputs!$B$28+Inputs!$B$29)))</f>
        <v>168</v>
      </c>
      <c r="E2556">
        <f>INDEX(FactorTable!$B$2:$Y$301, MATCH(ROUND(MIN(300,MAX(1,D2556)),0), FactorTable!$A$2:$A$301,0), Skills!M22+1)</f>
        <v>1504</v>
      </c>
      <c r="F2556">
        <f>IF(Skills!N22=TRUE,(Skills!L22/10)*(E2556/1000),Skills!L22/10)+Skills!O22</f>
        <v>22.56</v>
      </c>
      <c r="G2556">
        <f>Calc!G22</f>
        <v>1</v>
      </c>
      <c r="H2556">
        <f>Calc!H22</f>
        <v>1</v>
      </c>
      <c r="I2556">
        <f>IF(Skills!X22&lt;&gt;"",1+(Skills!X22/10)*(Z2537/1000)/100,1)</f>
        <v>1</v>
      </c>
      <c r="O2556">
        <f>(1-Summary!$B$11)*S2556+Summary!$B$11*U2556</f>
        <v>0</v>
      </c>
      <c r="P2556">
        <f>IF(B2575=0,0,O2556/B2575)</f>
        <v>0</v>
      </c>
      <c r="Q2556">
        <f>IFERROR(1/(IF(Inputs!$B$38="pvp",15,MAX(0.1,Skills!E22-IF(TRUE=TRUE,Inputs!$B$32,0)))*(1-IF(AND(ArtifactsInput!$M$27,Inputs!$B$4="Chapter Hunt"),CHOOSE(ArtifactsInput!$N$27+1,20,24,28,32,36,40),0)/100)),0)</f>
        <v>10</v>
      </c>
      <c r="R2556">
        <v>0</v>
      </c>
      <c r="S2556">
        <v>0</v>
      </c>
      <c r="U2556">
        <v>0</v>
      </c>
    </row>
    <row r="2557" spans="1:21" x14ac:dyDescent="0.2">
      <c r="A2557" t="str">
        <f>Skills!A23</f>
        <v>ELEMENT_AMPLIFICATION</v>
      </c>
      <c r="B2557" t="str">
        <f>Skills!B23</f>
        <v>Element Amplification</v>
      </c>
      <c r="C2557" t="b">
        <f>TRUE</f>
        <v>1</v>
      </c>
      <c r="D2557">
        <f>IF(Skills!C23=1,60+Inputs!$B$25+Inputs!$B$29,IF(Skills!C23=2,90+Inputs!$B$26+Inputs!$B$29,IF(Skills!C23=3,120+Inputs!$B$27+Inputs!$B$29,MAX(0,(Inputs!$B$3-100)*3)+Inputs!$B$28+Inputs!$B$29)))</f>
        <v>185</v>
      </c>
      <c r="E2557">
        <f>INDEX(FactorTable!$B$2:$Y$301, MATCH(ROUND(MIN(300,MAX(1,D2557)),0), FactorTable!$A$2:$A$301,0), Skills!M23+1)</f>
        <v>1555</v>
      </c>
      <c r="F2557">
        <f>IF(Skills!N23=TRUE,(Skills!L23/10)*(E2557/1000),Skills!L23/10)+Skills!O23</f>
        <v>23.324999999999999</v>
      </c>
      <c r="G2557">
        <f>Calc!G23</f>
        <v>1</v>
      </c>
      <c r="H2557">
        <f>Calc!H23</f>
        <v>1</v>
      </c>
      <c r="I2557">
        <f>IF(Skills!X23&lt;&gt;"",1+(Skills!X23/10)*(Z2537/1000)/100,1)</f>
        <v>1</v>
      </c>
      <c r="O2557">
        <f>(1-Summary!$B$11)*S2557+Summary!$B$11*U2557</f>
        <v>0</v>
      </c>
      <c r="P2557">
        <f>IF(B2575=0,0,O2557/B2575)</f>
        <v>0</v>
      </c>
      <c r="Q2557">
        <f>IFERROR(1/(IF(Inputs!$B$38="pvp",15,MAX(0.1,Skills!E23-IF(TRUE=TRUE,Inputs!$B$32,0)))*(1-IF(AND(ArtifactsInput!$M$27,Inputs!$B$4="Chapter Hunt"),CHOOSE(ArtifactsInput!$N$27+1,20,24,28,32,36,40),0)/100)),0)</f>
        <v>10</v>
      </c>
      <c r="R2557">
        <v>0</v>
      </c>
      <c r="S2557">
        <v>0</v>
      </c>
      <c r="U2557">
        <v>0</v>
      </c>
    </row>
    <row r="2558" spans="1:21" x14ac:dyDescent="0.2">
      <c r="A2558" t="str">
        <f>Skills!A24</f>
        <v>IFRIT</v>
      </c>
      <c r="B2558" t="str">
        <f>Skills!B24</f>
        <v>Ifrit</v>
      </c>
      <c r="C2558" t="b">
        <f>Inputs!$B$3&gt;=115</f>
        <v>1</v>
      </c>
      <c r="D2558">
        <f>IF(Skills!C24=1,60+Inputs!$B$25+Inputs!$B$29,IF(Skills!C24=2,90+Inputs!$B$26+Inputs!$B$29,IF(Skills!C24=3,120+Inputs!$B$27+Inputs!$B$29,MAX(0,(Inputs!$B$3-100)*3)+Inputs!$B$28+Inputs!$B$29)))</f>
        <v>185</v>
      </c>
      <c r="E2558">
        <f>INDEX(FactorTable!$B$2:$Y$301, MATCH(ROUND(MIN(300,MAX(1,D2558)),0), FactorTable!$A$2:$A$301,0), Skills!M24+1)</f>
        <v>1925</v>
      </c>
      <c r="F2558">
        <f>IF(Skills!N24=TRUE,(Skills!L24/10)*(E2558/1000),Skills!L24/10)+Skills!O24</f>
        <v>6737.5</v>
      </c>
      <c r="G2558">
        <f>Calc!G24</f>
        <v>7.5</v>
      </c>
      <c r="H2558">
        <f>Calc!H24</f>
        <v>1</v>
      </c>
      <c r="I2558">
        <f>IF(Skills!X24&lt;&gt;"",1+(Skills!X24/10)*(Z2537/1000)/100,1)</f>
        <v>1</v>
      </c>
      <c r="J2558">
        <f>((Inputs!$B$6*(1+Inputs!$B$7/100))+(((Inputs!$B$12*(1+Inputs!$B$13/100))-(Inputs!$B$12*(1+Inputs!$B$13/100)))+0.25*(Inputs!$B$14-Inputs!$B$14))*(1+Inputs!$B$7/100))*(F2558/100)</f>
        <v>24331438378.718628</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131428397360240.28</v>
      </c>
      <c r="L2558">
        <f>K2558*(MIN(Inputs!$B$22+(F2556-Calc!F22),(Inputs!$B$23+(IF(ArtifactsInput!$M$15,CHOOSE(ArtifactsInput!$N$15+1,25,30,35,40,45,50)/100*(Inputs!$B$11-Inputs!$B$11),0))))/100+(Inputs!$B$23+(IF(ArtifactsInput!$M$15,CHOOSE(ArtifactsInput!$N$15+1,25,30,35,40,45,50)/100*(Inputs!$B$11-Inputs!$B$11),0)))/100)/2</f>
        <v>436999421222798.94</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2062200268750388</v>
      </c>
      <c r="N2558">
        <f>L2558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2062200268750388</v>
      </c>
      <c r="O2558">
        <f>(1-Summary!$B$11)*S2558+Summary!$B$11*U2558</f>
        <v>2358641557383256</v>
      </c>
      <c r="P2558">
        <f>IF(B2575=0,0,O2558/B2575)</f>
        <v>6.6312914553869604E-2</v>
      </c>
      <c r="Q2558">
        <f>IFERROR(1/(IF(Inputs!$B$38="pvp",15,MAX(0.1,Skills!E24-IF(TRUE=TRUE,Inputs!$B$32,0)))*(1-IF(AND(ArtifactsInput!$M$27,Inputs!$B$4="Chapter Hunt"),CHOOSE(ArtifactsInput!$N$27+1,20,24,28,32,36,40),0)/100)),0)</f>
        <v>1.2500000000000001E-2</v>
      </c>
      <c r="R2558">
        <f>IF(AND(Inputs!$B$38&lt;&gt;"pvp",Inputs!$B$43&gt;0),IF(MAX(0,Inputs!$B$43-B2572)&lt;=0,0,(INT(MAX(0,Inputs!$B$43-B2572)/(IF(Inputs!$B$38="pvp",15,MAX(0.1,Skills!E24-IF(TRUE=TRUE,Inputs!$B$32,0)))*(1-IF(AND(ArtifactsInput!$M$27,Inputs!$B$4="Chapter Hunt"),CHOOSE(ArtifactsInput!$N$27+1,20,24,28,32,36,40),0)/100)))+1)),0)</f>
        <v>1</v>
      </c>
      <c r="S2558">
        <f>IF(C2558,(H2558*N2558*IF(AND(Inputs!$B$38&lt;&gt;"pvp",Inputs!$B$43&gt;0),((Skills!G24*((R2558-1)*IF(Skills!H24&gt;0,Skills!I24/Skills!H24,1)+IF(Skills!H24&gt;0,MIN(Skills!I24,MAX(0,MAX(0,Inputs!$B$43-B2572)-((R2558-1)*(IF(Inputs!$B$38="pvp",15,MAX(0.1,Skills!E24-IF(TRUE=TRUE,Inputs!$B$32,0)))*(1-IF(AND(ArtifactsInput!$M$27,Inputs!$B$4="Chapter Hunt"),CHOOSE(ArtifactsInput!$N$27+1,20,24,28,32,36,40),0)/100)))))/Skills!H24,1)))/Inputs!$B$43),G2558*Q2558)*(1+IF(Inputs!$B$3&gt;=130,0.2*(Skills!I16/(1/Q2549)+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1225720284738511.8</v>
      </c>
      <c r="U2558">
        <f>IF(C2558,(H2558*N2558*IF(AND(Inputs!$B$38&lt;&gt;"pvp",Inputs!$B$43&gt;0),((Skills!G24*((R2558-1)*IF(Skills!H24&gt;0,Skills!I24/Skills!H24,1)+IF(Skills!H24&gt;0,MIN(Skills!I24,MAX(0,MAX(0,Inputs!$B$43-B2572)-((R2558-1)*(IF(Inputs!$B$38="pvp",15,MAX(0.1,Skills!E24-IF(TRUE=TRUE,Inputs!$B$32,0)))*(1-IF(AND(ArtifactsInput!$M$27,Inputs!$B$4="Chapter Hunt"),CHOOSE(ArtifactsInput!$N$27+1,20,24,28,32,36,40),0)/100)))))/Skills!H24,1)))/Inputs!$B$43),G2558*Q2558)*(1+IF(Inputs!$B$3&gt;=130,0.2*(Skills!I16/(1/Q2549)+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3491562830028000.5</v>
      </c>
    </row>
    <row r="2559" spans="1:21" x14ac:dyDescent="0.2">
      <c r="A2559" t="str">
        <f>Skills!A25</f>
        <v>BUFF_MASTERY</v>
      </c>
      <c r="B2559" t="str">
        <f>Skills!B25</f>
        <v>Buff Mastery</v>
      </c>
      <c r="C2559" t="b">
        <f>Inputs!$B$3&gt;=117</f>
        <v>1</v>
      </c>
      <c r="D2559">
        <f>IF(Skills!C25=1,60+Inputs!$B$25+Inputs!$B$29,IF(Skills!C25=2,90+Inputs!$B$26+Inputs!$B$29,IF(Skills!C25=3,120+Inputs!$B$27+Inputs!$B$29,MAX(0,(Inputs!$B$3-100)*3)+Inputs!$B$28+Inputs!$B$29)))</f>
        <v>185</v>
      </c>
      <c r="E2559">
        <f>INDEX(FactorTable!$B$2:$Y$301, MATCH(ROUND(MIN(300,MAX(1,D2559)),0), FactorTable!$A$2:$A$301,0), Skills!M25+1)</f>
        <v>1555</v>
      </c>
      <c r="F2559">
        <f>IF(Skills!N25=TRUE,(Skills!L25/10)*(E2559/1000),Skills!L25/10)+Skills!O25</f>
        <v>15.549999999999999</v>
      </c>
      <c r="G2559">
        <f>Calc!G25</f>
        <v>1</v>
      </c>
      <c r="H2559">
        <f>Calc!H25</f>
        <v>1</v>
      </c>
      <c r="I2559">
        <f>IF(Skills!X25&lt;&gt;"",1+(Skills!X25/10)*(Z2537/1000)/100,1)</f>
        <v>1</v>
      </c>
      <c r="O2559">
        <f>(1-Summary!$B$11)*S2559+Summary!$B$11*U2559</f>
        <v>0</v>
      </c>
      <c r="P2559">
        <f>IF(B2575=0,0,O2559/B2575)</f>
        <v>0</v>
      </c>
      <c r="Q2559">
        <f>IFERROR(1/(IF(Inputs!$B$38="pvp",15,MAX(0.1,Skills!E25-IF(TRUE=TRUE,Inputs!$B$32,0)))*(1-IF(AND(ArtifactsInput!$M$27,Inputs!$B$4="Chapter Hunt"),CHOOSE(ArtifactsInput!$N$27+1,20,24,28,32,36,40),0)/100)),0)</f>
        <v>10</v>
      </c>
      <c r="R2559">
        <v>0</v>
      </c>
      <c r="S2559">
        <v>0</v>
      </c>
      <c r="U2559">
        <v>0</v>
      </c>
    </row>
    <row r="2560" spans="1:21" x14ac:dyDescent="0.2">
      <c r="A2560" t="str">
        <f>Skills!A26</f>
        <v>ARCANE_AIM</v>
      </c>
      <c r="B2560" t="str">
        <f>Skills!B26</f>
        <v>Arcane Aim</v>
      </c>
      <c r="C2560" t="b">
        <f>Inputs!$B$3&gt;=120</f>
        <v>0</v>
      </c>
      <c r="D2560">
        <f>IF(Skills!C26=1,60+Inputs!$B$25+Inputs!$B$29,IF(Skills!C26=2,90+Inputs!$B$26+Inputs!$B$29,IF(Skills!C26=3,120+Inputs!$B$27+Inputs!$B$29,MAX(0,(Inputs!$B$3-100)*3)+Inputs!$B$28+Inputs!$B$29)))</f>
        <v>185</v>
      </c>
      <c r="E2560">
        <f>INDEX(FactorTable!$B$2:$Y$301, MATCH(ROUND(MIN(300,MAX(1,D2560)),0), FactorTable!$A$2:$A$301,0), Skills!M26+1)</f>
        <v>1555</v>
      </c>
      <c r="F2560">
        <f>IF(Skills!N26=TRUE,(Skills!L26/10)*(E2560/1000),Skills!L26/10)+Skills!O26</f>
        <v>4.665</v>
      </c>
      <c r="G2560">
        <f>Calc!G26</f>
        <v>1</v>
      </c>
      <c r="H2560">
        <f>Calc!H26</f>
        <v>1</v>
      </c>
      <c r="I2560">
        <f>IF(Skills!X26&lt;&gt;"",1+(Skills!X26/10)*(Z2537/1000)/100,1)</f>
        <v>1</v>
      </c>
      <c r="O2560">
        <f>(1-Summary!$B$11)*S2560+Summary!$B$11*U2560</f>
        <v>0</v>
      </c>
      <c r="P2560">
        <f>IF(B2575=0,0,O2560/B2575)</f>
        <v>0</v>
      </c>
      <c r="Q2560">
        <f>IFERROR(1/(IF(Inputs!$B$38="pvp",15,MAX(0.1,Skills!E26-IF(TRUE=TRUE,Inputs!$B$32,0)))*(1-IF(AND(ArtifactsInput!$M$27,Inputs!$B$4="Chapter Hunt"),CHOOSE(ArtifactsInput!$N$27+1,20,24,28,32,36,40),0)/100)),0)</f>
        <v>10</v>
      </c>
      <c r="R2560">
        <v>0</v>
      </c>
      <c r="S2560">
        <v>0</v>
      </c>
      <c r="U2560">
        <v>0</v>
      </c>
    </row>
    <row r="2561" spans="1:21" x14ac:dyDescent="0.2">
      <c r="A2561" t="str">
        <f>Skills!A27</f>
        <v>FERVENT_DRAIN</v>
      </c>
      <c r="B2561" t="str">
        <f>Skills!B27</f>
        <v>Fervent Drain</v>
      </c>
      <c r="C2561" t="b">
        <f>Inputs!$B$3&gt;=125</f>
        <v>0</v>
      </c>
      <c r="D2561">
        <f>IF(Skills!C27=1,60+Inputs!$B$25+Inputs!$B$29,IF(Skills!C27=2,90+Inputs!$B$26+Inputs!$B$29,IF(Skills!C27=3,120+Inputs!$B$27+Inputs!$B$29,MAX(0,(Inputs!$B$3-100)*3)+Inputs!$B$28+Inputs!$B$29)))</f>
        <v>185</v>
      </c>
      <c r="E2561">
        <f>INDEX(FactorTable!$B$2:$Y$301, MATCH(ROUND(MIN(300,MAX(1,D2561)),0), FactorTable!$A$2:$A$301,0), Skills!M27+1)</f>
        <v>1555</v>
      </c>
      <c r="F2561">
        <f>IF(Skills!N27=TRUE,(Skills!L27/10)*(E2561/1000),Skills!L27/10)+Skills!O27</f>
        <v>6.22</v>
      </c>
      <c r="G2561">
        <f>Calc!G27</f>
        <v>1</v>
      </c>
      <c r="H2561">
        <f>Calc!H27</f>
        <v>1</v>
      </c>
      <c r="I2561">
        <f>IF(Skills!X27&lt;&gt;"",1+(Skills!X27/10)*(Z2537/1000)/100,1)</f>
        <v>1</v>
      </c>
      <c r="O2561">
        <f>(1-Summary!$B$11)*S2561+Summary!$B$11*U2561</f>
        <v>0</v>
      </c>
      <c r="P2561">
        <f>IF(B2575=0,0,O2561/B2575)</f>
        <v>0</v>
      </c>
      <c r="Q2561">
        <f>IFERROR(1/(IF(Inputs!$B$38="pvp",15,MAX(0.1,Skills!E27-IF(TRUE=TRUE,Inputs!$B$32,0)))*(1-IF(AND(ArtifactsInput!$M$27,Inputs!$B$4="Chapter Hunt"),CHOOSE(ArtifactsInput!$N$27+1,20,24,28,32,36,40),0)/100)),0)</f>
        <v>10</v>
      </c>
      <c r="R2561">
        <v>0</v>
      </c>
      <c r="S2561">
        <v>0</v>
      </c>
      <c r="U2561">
        <v>0</v>
      </c>
    </row>
    <row r="2562" spans="1:21" x14ac:dyDescent="0.2">
      <c r="A2562" t="str">
        <f>Skills!A28</f>
        <v>FLAME_HAZE_FOG</v>
      </c>
      <c r="B2562" t="str">
        <f>Skills!B28</f>
        <v>Flame Haze (poison fog DoT)</v>
      </c>
      <c r="C2562" t="b">
        <f>Inputs!$B$3&gt;=118</f>
        <v>0</v>
      </c>
      <c r="D2562">
        <f>IF(Skills!C28=1,60+Inputs!$B$25+Inputs!$B$29,IF(Skills!C28=2,90+Inputs!$B$26+Inputs!$B$29,IF(Skills!C28=3,120+Inputs!$B$27+Inputs!$B$29,MAX(0,(Inputs!$B$3-100)*3)+Inputs!$B$28+Inputs!$B$29)))</f>
        <v>185</v>
      </c>
      <c r="E2562">
        <f>INDEX(FactorTable!$B$2:$Y$301, MATCH(ROUND(MIN(300,MAX(1,D2562)),0), FactorTable!$A$2:$A$301,0), Skills!M28+1)</f>
        <v>1925</v>
      </c>
      <c r="F2562">
        <f>IF(Skills!N28=TRUE,(Skills!L28/10)*(E2562/1000),Skills!L28/10)+Skills!O28</f>
        <v>134.75</v>
      </c>
      <c r="G2562">
        <f>Calc!G28</f>
        <v>50</v>
      </c>
      <c r="H2562">
        <f>Calc!H28</f>
        <v>1</v>
      </c>
      <c r="I2562">
        <f>IF(Skills!X28&lt;&gt;"",1+(Skills!X28/10)*(Z2537/1000)/100,1)</f>
        <v>1</v>
      </c>
      <c r="J2562">
        <f>((Inputs!$B$6*(1+Inputs!$B$7/100))+(((Inputs!$B$12*(1+Inputs!$B$13/100))-(Inputs!$B$12*(1+Inputs!$B$13/100)))+0.25*(Inputs!$B$14-Inputs!$B$14))*(1+Inputs!$B$7/100))*(F2562/100)</f>
        <v>486628767.57437253</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2628567947204.8047</v>
      </c>
      <c r="L2562">
        <f>K2562*(MIN(Inputs!$B$22+(F2556-Calc!F22),(Inputs!$B$23+(IF(ArtifactsInput!$M$15,CHOOSE(ArtifactsInput!$N$15+1,25,30,35,40,45,50)/100*(Inputs!$B$11-Inputs!$B$11),0))))/100+(Inputs!$B$23+(IF(ArtifactsInput!$M$15,CHOOSE(ArtifactsInput!$N$15+1,25,30,35,40,45,50)/100*(Inputs!$B$11-Inputs!$B$11),0)))/100)/2</f>
        <v>8739988424455.9756</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41244005375007.742</v>
      </c>
      <c r="N2562">
        <f>L2562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41244005375007.742</v>
      </c>
      <c r="O2562">
        <f>(1-Summary!$B$11)*S2562+Summary!$B$11*U2562</f>
        <v>0</v>
      </c>
      <c r="P2562">
        <f>IF(B2575=0,0,O2562/B2575)</f>
        <v>0</v>
      </c>
      <c r="Q2562">
        <f>IFERROR(1/(IF(Inputs!$B$38="pvp",15,MAX(0.1,Skills!E28-IF(TRUE=TRUE,Inputs!$B$32,0)))*(1-IF(AND(ArtifactsInput!$M$27,Inputs!$B$4="Chapter Hunt"),CHOOSE(ArtifactsInput!$N$27+1,20,24,28,32,36,40),0)/100)),0)</f>
        <v>0.04</v>
      </c>
      <c r="R2562">
        <f>IF(AND(Inputs!$B$38&lt;&gt;"pvp",Inputs!$B$43&gt;0),IF(MAX(0,Inputs!$B$43-B2572)&lt;=0,0,(INT(MAX(0,Inputs!$B$43-B2572)/(IF(Inputs!$B$38="pvp",15,MAX(0.1,Skills!E28-IF(TRUE=TRUE,Inputs!$B$32,0)))*(1-IF(AND(ArtifactsInput!$M$27,Inputs!$B$4="Chapter Hunt"),CHOOSE(ArtifactsInput!$N$27+1,20,24,28,32,36,40),0)/100)))+1)),0)</f>
        <v>2</v>
      </c>
      <c r="S2562">
        <f>IF(C2562,(H2562*N2562*IF(AND(Inputs!$B$38&lt;&gt;"pvp",Inputs!$B$43&gt;0),((Skills!G28*((R2562-1)*IF(Skills!H28&gt;0,Skills!I28/Skills!H28,1)+IF(Skills!H28&gt;0,MIN(Skills!I28,MAX(0,MAX(0,Inputs!$B$43-B2572)-((R2562-1)*(IF(Inputs!$B$38="pvp",15,MAX(0.1,Skills!E28-IF(TRUE=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562">
        <f>IF(C2562,(H2562*N2562*IF(AND(Inputs!$B$38&lt;&gt;"pvp",Inputs!$B$43&gt;0),((Skills!G28*((R2562-1)*IF(Skills!H28&gt;0,Skills!I28/Skills!H28,1)+IF(Skills!H28&gt;0,MIN(Skills!I28,MAX(0,MAX(0,Inputs!$B$43-B2572)-((R2562-1)*(IF(Inputs!$B$38="pvp",15,MAX(0.1,Skills!E28-IF(TRUE=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564" spans="1:21" x14ac:dyDescent="0.2">
      <c r="A2564" t="s">
        <v>356</v>
      </c>
      <c r="B2564">
        <f>1+(F2545*Skills!Z11)/100</f>
        <v>1.25</v>
      </c>
    </row>
    <row r="2565" spans="1:21" x14ac:dyDescent="0.2">
      <c r="A2565" t="s">
        <v>435</v>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1.18624</v>
      </c>
    </row>
    <row r="2566" spans="1:21" x14ac:dyDescent="0.2">
      <c r="A2566" t="s">
        <v>358</v>
      </c>
      <c r="B2566">
        <f>(1+(F2540*IF(AND(Inputs!$B$38&lt;&gt;"pvp",Inputs!$B$43&gt;0),(((R2540-1)*MIN((Skills!T6*(1+((Inputs!$B$34+(ArtifactsInput!$M$7-ArtifactsInput!$M$7)*CHOOSE(ArtifactsInput!$N$7+1,6,7.2,8.4,9.6,10.8,12)))/100)),(1/Q2540))+MIN((Skills!T6*(1+((Inputs!$B$34+(ArtifactsInput!$M$7-ArtifactsInput!$M$7)*CHOOSE(ArtifactsInput!$N$7+1,6,7.2,8.4,9.6,10.8,12)))/100)),MAX(0,Inputs!$B$43-((R2540-1)*(1/Q2540)))))/Inputs!$B$43),IF(Inputs!$B$38="pvp",MIN((Skills!T6*(1+((Inputs!$B$34+(ArtifactsInput!$M$7-ArtifactsInput!$M$7)*CHOOSE(ArtifactsInput!$N$7+1,6,7.2,8.4,9.6,10.8,12)))/100)),15)/15,MIN(1,(Skills!T6*(1+((Inputs!$B$34+(ArtifactsInput!$M$7-ArtifactsInput!$M$7)*CHOOSE(ArtifactsInput!$N$7+1,6,7.2,8.4,9.6,10.8,12)))/100))/(1/Q2540))))+F2551*IF(AND(Inputs!$B$38&lt;&gt;"pvp",Inputs!$B$43&gt;0),(((R2551-1)*MIN((Skills!T17*(1+((Inputs!$B$34+(ArtifactsInput!$M$7-ArtifactsInput!$M$7)*CHOOSE(ArtifactsInput!$N$7+1,6,7.2,8.4,9.6,10.8,12)))/100)),(1/Q2551))+MIN((Skills!T17*(1+((Inputs!$B$34+(ArtifactsInput!$M$7-ArtifactsInput!$M$7)*CHOOSE(ArtifactsInput!$N$7+1,6,7.2,8.4,9.6,10.8,12)))/100)),MAX(0,Inputs!$B$43-((R2551-1)*(1/Q2551)))))/Inputs!$B$43),IF(Inputs!$B$38="pvp",MIN((Skills!T17*(1+((Inputs!$B$34+(ArtifactsInput!$M$7-ArtifactsInput!$M$7)*CHOOSE(ArtifactsInput!$N$7+1,6,7.2,8.4,9.6,10.8,12)))/100)),15)/15,MIN(1,(Skills!T17*(1+((Inputs!$B$34+(ArtifactsInput!$M$7-ArtifactsInput!$M$7)*CHOOSE(ArtifactsInput!$N$7+1,6,7.2,8.4,9.6,10.8,12)))/100))/(1/Q2551)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MIN((Skills!T19*(1+((Inputs!$B$34+(ArtifactsInput!$M$7-ArtifactsInput!$M$7)*CHOOSE(ArtifactsInput!$N$7+1,6,7.2,8.4,9.6,10.8,12)))/100)),(1/Q2553))+MIN((Skills!T19*(1+((Inputs!$B$34+(ArtifactsInput!$M$7-ArtifactsInput!$M$7)*CHOOSE(ArtifactsInput!$N$7+1,6,7.2,8.4,9.6,10.8,12)))/100)),MAX(0,Inputs!$B$43-((R2553-1)*(1/Q2553)))))/Inputs!$B$43),IF(Inputs!$B$38="pvp",MIN((Skills!T19*(1+((Inputs!$B$34+(ArtifactsInput!$M$7-ArtifactsInput!$M$7)*CHOOSE(ArtifactsInput!$N$7+1,6,7.2,8.4,9.6,10.8,12)))/100)),15)/15,MIN(1,(Skills!T19*(1+((Inputs!$B$34+(ArtifactsInput!$M$7-ArtifactsInput!$M$7)*CHOOSE(ArtifactsInput!$N$7+1,6,7.2,8.4,9.6,10.8,12)))/100))/(1/Q2553))))/100),1)</f>
        <v>1.7965808377980694</v>
      </c>
    </row>
    <row r="2567" spans="1:21" x14ac:dyDescent="0.2">
      <c r="A2567" t="s">
        <v>359</v>
      </c>
      <c r="B2567">
        <f>F2552*IF(AND(Inputs!$B$38&lt;&gt;"pvp",Inputs!$B$43&gt;0),(((R2552-1)*MIN((Skills!T18*(1+((Inputs!$B$34+(ArtifactsInput!$M$7-ArtifactsInput!$M$7)*CHOOSE(ArtifactsInput!$N$7+1,6,7.2,8.4,9.6,10.8,12)))/100)),(1/Q2552))+MIN((Skills!T18*(1+((Inputs!$B$34+(ArtifactsInput!$M$7-ArtifactsInput!$M$7)*CHOOSE(ArtifactsInput!$N$7+1,6,7.2,8.4,9.6,10.8,12)))/100)),MAX(0,Inputs!$B$43-((R2552-1)*(1/Q2552)))))/Inputs!$B$43),IF(Inputs!$B$38="pvp",MIN((Skills!T18*(1+((Inputs!$B$34+(ArtifactsInput!$M$7-ArtifactsInput!$M$7)*CHOOSE(ArtifactsInput!$N$7+1,6,7.2,8.4,9.6,10.8,12)))/100)),15)/15,MIN(1,(Skills!T18*(1+((Inputs!$B$34+(ArtifactsInput!$M$7-ArtifactsInput!$M$7)*CHOOSE(ArtifactsInput!$N$7+1,6,7.2,8.4,9.6,10.8,12)))/100))/(1/Q2552))))</f>
        <v>6.4968749999999993</v>
      </c>
    </row>
    <row r="2568" spans="1:21" x14ac:dyDescent="0.2">
      <c r="A2568" t="s">
        <v>436</v>
      </c>
      <c r="B2568">
        <f>1+MIN(150,150*(1-(1-(Inputs!$B$11+(ArtifactsInput!$M$15-ArtifactsInput!$M$15)*CHOOSE(ArtifactsInput!$N$15+1,8,9.6,11.2,12.8,14.4,16))/150)*(1-B2567/150)))/100</f>
        <v>1.6982958749999999</v>
      </c>
    </row>
    <row r="2569" spans="1:21" x14ac:dyDescent="0.2">
      <c r="A2569" t="s">
        <v>437</v>
      </c>
      <c r="B2569">
        <f>IF(AND(Inputs!$B$38&lt;&gt;"pvp",Inputs!$B$43&gt;0),SUMPRODUCT((Skills!F2:F28=TRUE)*(C2536:C2562=TRUE)*R2536:R2562)/Inputs!$B$43,SUMPRODUCT((Skills!F2:F28=TRUE)*(C2536:C2562=TRUE)*Q2536:Q2562))</f>
        <v>0.47499999999999998</v>
      </c>
    </row>
    <row r="2570" spans="1:21" x14ac:dyDescent="0.2">
      <c r="A2570" t="s">
        <v>362</v>
      </c>
      <c r="B2570">
        <f>MAX(0,B2568-B2569)</f>
        <v>1.2232958749999998</v>
      </c>
    </row>
    <row r="2571" spans="1:21" x14ac:dyDescent="0.2">
      <c r="A2571" t="s">
        <v>438</v>
      </c>
      <c r="B2571">
        <f>IF(AND(Inputs!$B$38&lt;&gt;"pvp",Inputs!$B$43&gt;0),SUMPRODUCT((Skills!V2:V28=TRUE)*(C2536:C2562=TRUE)*R2536:R2562*Skills!W2:W28)/Inputs!$B$43,SUMPRODUCT((Skills!V2:V28=TRUE)*(C2536:C2562=TRUE)*Q2536:Q2562*Skills!W2:W28))+B2570</f>
        <v>1.5482958749999998</v>
      </c>
    </row>
    <row r="2572" spans="1:21" x14ac:dyDescent="0.2">
      <c r="A2572" t="s">
        <v>439</v>
      </c>
      <c r="B2572">
        <f>IF(AND(Inputs!$B$38&lt;&gt;"pvp",Inputs!$B$43&gt;0),SUMPRODUCT((Skills!T2:T28&gt;0)*(Skills!F2:F28=TRUE)*(C2536:C2562=TRUE))/B2568,0)</f>
        <v>2.3553021937358238</v>
      </c>
    </row>
    <row r="2573" spans="1:21" x14ac:dyDescent="0.2">
      <c r="A2573" t="s">
        <v>440</v>
      </c>
      <c r="B2573">
        <f>SUM(S2536:S2562)</f>
        <v>1.023105780985329E+16</v>
      </c>
    </row>
    <row r="2574" spans="1:21" x14ac:dyDescent="0.2">
      <c r="A2574" t="s">
        <v>441</v>
      </c>
      <c r="B2574">
        <f>SUM(U2536:U2562)</f>
        <v>6.0905660376985024E+16</v>
      </c>
    </row>
    <row r="2575" spans="1:21" x14ac:dyDescent="0.2">
      <c r="A2575" s="6" t="s">
        <v>348</v>
      </c>
      <c r="B2575" s="6">
        <f>SUM(O2536:O2562)</f>
        <v>3.5568359093419164E+16</v>
      </c>
    </row>
    <row r="2578" spans="1:26" x14ac:dyDescent="0.2">
      <c r="A2578" s="6" t="s">
        <v>498</v>
      </c>
    </row>
    <row r="2579" spans="1:26" x14ac:dyDescent="0.2">
      <c r="A2579" s="5" t="s">
        <v>136</v>
      </c>
      <c r="B2579" s="5" t="s">
        <v>137</v>
      </c>
      <c r="C2579" s="5" t="s">
        <v>328</v>
      </c>
      <c r="D2579" s="5" t="s">
        <v>329</v>
      </c>
      <c r="E2579" s="5" t="s">
        <v>330</v>
      </c>
      <c r="F2579" s="5" t="s">
        <v>331</v>
      </c>
      <c r="G2579" s="5" t="s">
        <v>332</v>
      </c>
      <c r="H2579" s="5" t="s">
        <v>333</v>
      </c>
      <c r="I2579" s="5" t="s">
        <v>334</v>
      </c>
      <c r="J2579" s="5" t="s">
        <v>335</v>
      </c>
      <c r="K2579" s="5" t="s">
        <v>336</v>
      </c>
      <c r="L2579" s="5" t="s">
        <v>337</v>
      </c>
      <c r="M2579" s="5" t="s">
        <v>338</v>
      </c>
      <c r="N2579" s="5" t="s">
        <v>339</v>
      </c>
      <c r="O2579" s="5" t="s">
        <v>340</v>
      </c>
      <c r="P2579" s="5" t="s">
        <v>341</v>
      </c>
      <c r="R2579" t="s">
        <v>434</v>
      </c>
    </row>
    <row r="2580" spans="1:26" x14ac:dyDescent="0.2">
      <c r="A2580" t="str">
        <f>Skills!A2</f>
        <v>BASIC_ATTACK</v>
      </c>
      <c r="B2580" t="str">
        <f>Skills!B2</f>
        <v>Basic Attack</v>
      </c>
      <c r="C2580" t="b">
        <f>TRUE</f>
        <v>1</v>
      </c>
      <c r="F2580">
        <f>T2582+Skills!O2</f>
        <v>537.6</v>
      </c>
      <c r="G2580">
        <f>Calc!G2</f>
        <v>5</v>
      </c>
      <c r="H2580">
        <f>Calc!H2</f>
        <v>1</v>
      </c>
      <c r="I2580">
        <f>IF(Skills!X2&lt;&gt;"",1+(Skills!X2/10)*(Z2581/1000)/100,1)</f>
        <v>1</v>
      </c>
      <c r="J2580">
        <f>((Inputs!$B$6*(1+Inputs!$B$7/100))+(((Inputs!$B$12*(1+Inputs!$B$13/100))-(Inputs!$B$12*(1+Inputs!$B$13/100)))+0.25*(Inputs!$B$14-Inputs!$B$14))*(1+Inputs!$B$7/100))*(F2580/100)</f>
        <v>1941459186.9980164</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7083711061268.7354</v>
      </c>
      <c r="L2580">
        <f>K2580*(MIN(Inputs!$B$22+(F2600-Calc!F22),(Inputs!$B$23+(IF(ArtifactsInput!$M$15,CHOOSE(ArtifactsInput!$N$15+1,25,30,35,40,45,50)/100*(Inputs!$B$11-Inputs!$B$11),0))))/100+(Inputs!$B$23+(IF(ArtifactsInput!$M$15,CHOOSE(ArtifactsInput!$N$15+1,25,30,35,40,45,50)/100*(Inputs!$B$11-Inputs!$B$11),0)))/100)/2</f>
        <v>23553339278718.547</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111148208056272.81</v>
      </c>
      <c r="N2580">
        <f>L2580*(1-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111148208056272.81</v>
      </c>
      <c r="O2580">
        <f>(1-Summary!$B$11)*S2580+Summary!$B$11*U2580</f>
        <v>1.3389364547633984E+16</v>
      </c>
      <c r="P2580">
        <f>IF(B2619=0,0,O2580/B2619)</f>
        <v>0.378199388854495</v>
      </c>
      <c r="Q2580">
        <f>IFERROR(1/(IF(Inputs!$B$38="pvp",15,MAX(0.1,Skills!E2-IF(TRUE=TRUE,Inputs!$B$32,0)))*(1-IF(AND(ArtifactsInput!$M$27,Inputs!$B$4="Chapter Hunt"),CHOOSE(ArtifactsInput!$N$27+1,20,24,28,32,36,40),0)/100)),0)</f>
        <v>10</v>
      </c>
      <c r="R2580">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2223062811412192.5</v>
      </c>
      <c r="T2580">
        <f>MAX(0,(Inputs!$B$3-100)*3)+Inputs!$B$28+Inputs!$B$29</f>
        <v>185</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2.4555666283855776E+16</v>
      </c>
      <c r="Z2580">
        <f>MAX(0,(Inputs!$B$3-100)*3)+Inputs!$B$28+Inputs!$B$29</f>
        <v>185</v>
      </c>
    </row>
    <row r="2581" spans="1:26" x14ac:dyDescent="0.2">
      <c r="A2581" t="str">
        <f>Skills!A3</f>
        <v>IGNITE</v>
      </c>
      <c r="B2581" t="str">
        <f>Skills!B3</f>
        <v>Ignite</v>
      </c>
      <c r="C2581" t="b">
        <f>TRUE</f>
        <v>1</v>
      </c>
      <c r="D2581">
        <f>IF(Skills!C3=1,60+Inputs!$B$25+Inputs!$B$29,IF(Skills!C3=2,90+Inputs!$B$26+Inputs!$B$29,IF(Skills!C3=3,120+Inputs!$B$27+Inputs!$B$29,MAX(0,(Inputs!$B$3-100)*3)+Inputs!$B$28+Inputs!$B$29)))</f>
        <v>168</v>
      </c>
      <c r="E2581">
        <f>INDEX(FactorTable!$B$2:$Y$301, MATCH(ROUND(MIN(300,MAX(1,D2581)),0), FactorTable!$A$2:$A$301,0), Skills!M3+1)</f>
        <v>1672</v>
      </c>
      <c r="F2581">
        <f>IF(Skills!N3=TRUE,(Skills!L3/10)*(E2581/1000),Skills!L3/10)+Skills!O3</f>
        <v>121.736</v>
      </c>
      <c r="G2581">
        <f>Calc!G3</f>
        <v>3</v>
      </c>
      <c r="H2581">
        <f>Calc!H3</f>
        <v>1</v>
      </c>
      <c r="I2581">
        <f>IF(Skills!X3&lt;&gt;"",1+(Skills!X3/10)*(Z2581/1000)/100,1)</f>
        <v>4.8250000000000002</v>
      </c>
      <c r="J2581">
        <f>((Inputs!$B$6*(1+Inputs!$B$7/100))+(((Inputs!$B$12*(1+Inputs!$B$13/100))-(Inputs!$B$12*(1+Inputs!$B$13/100)))+0.25*(Inputs!$B$14-Inputs!$B$14))*(1+Inputs!$B$7/100))*(F2581/100)</f>
        <v>439630720.9605478</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11404653440427.502</v>
      </c>
      <c r="L2581">
        <f>K2581*(MIN(Inputs!$B$22+(F2600-Calc!F22),(Inputs!$B$23+(IF(ArtifactsInput!$M$15,CHOOSE(ArtifactsInput!$N$15+1,25,30,35,40,45,50)/100*(Inputs!$B$11-Inputs!$B$11),0))))/100+(Inputs!$B$23+(IF(ArtifactsInput!$M$15,CHOOSE(ArtifactsInput!$N$15+1,25,30,35,40,45,50)/100*(Inputs!$B$11-Inputs!$B$11),0)))/100)/2</f>
        <v>37920472689421.445</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178946710621379.78</v>
      </c>
      <c r="N2581">
        <f>L2581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178946710621379.78</v>
      </c>
      <c r="O2581">
        <f>(1-Summary!$B$11)*S2581+Summary!$B$11*U2581</f>
        <v>3110988564152687</v>
      </c>
      <c r="P2581">
        <f>IF(B2619=0,0,O2581/B2619)</f>
        <v>8.7873772463965064E-2</v>
      </c>
      <c r="Q2581">
        <f>IFERROR(1/(IF(Inputs!$B$38="pvp",15,MAX(0.1,Skills!E3-IF(FALSE=TRUE,Inputs!$B$32,0)))*(1-IF(AND(ArtifactsInput!$M$27,Inputs!$B$4="Chapter Hunt"),CHOOSE(ArtifactsInput!$N$27+1,20,24,28,32,36,40),0)/100)),0)</f>
        <v>1</v>
      </c>
      <c r="R2581">
        <f>IF(AND(Inputs!$B$38&lt;&gt;"pvp",Inputs!$B$43&gt;0),IF(MAX(0,Inputs!$B$43-B2616)&lt;=0,0,(INT(MAX(0,Inputs!$B$43-B2616)/(IF(Inputs!$B$38="pvp",15,MAX(0.1,Skills!E3-IF(FALSE=TRUE,Inputs!$B$32,0)))*(1-IF(AND(ArtifactsInput!$M$27,Inputs!$B$4="Chapter Hunt"),CHOOSE(ArtifactsInput!$N$27+1,20,24,28,32,36,40),0)/100)))+1)),0)</f>
        <v>38</v>
      </c>
      <c r="S2581">
        <f>IF(C2581,(H2581*N2581*IF(AND(Inputs!$B$38&lt;&gt;"pvp",Inputs!$B$43&gt;0),((Skills!G3*((R2581-1)*IF(Skills!H3&gt;0,Skills!I3/Skills!H3,1)+IF(Skills!H3&gt;0,MIN(Skills!I3,MAX(0,MAX(0,Inputs!$B$43-B2616)-((R2581-1)*(IF(Inputs!$B$38="pvp",15,MAX(0.1,Skills!E3-IF(FALSE=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1616694057108855.5</v>
      </c>
      <c r="T2581">
        <f>INDEX(FactorTable!$B$2:$Y$301, MATCH(ROUND(MIN(300,MAX(1,T2580)),0), FactorTable!$A$2:$A$301,0), 22)</f>
        <v>1740</v>
      </c>
      <c r="U2581">
        <f>IF(C2581,(H2581*N2581*IF(AND(Inputs!$B$38&lt;&gt;"pvp",Inputs!$B$43&gt;0),((Skills!G3*((R2581-1)*IF(Skills!H3&gt;0,Skills!I3/Skills!H3,1)+IF(Skills!H3&gt;0,MIN(Skills!I3,MAX(0,MAX(0,Inputs!$B$43-B2616)-((R2581-1)*(IF(Inputs!$B$38="pvp",15,MAX(0.1,Skills!E3-IF(FALSE=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4605283071196519</v>
      </c>
      <c r="Z2581">
        <f>INDEX(FactorTable!$B$2:$Y$301, MATCH(ROUND(MIN(300,MAX(1,Z2580)),0), FactorTable!$A$2:$A$301,0), 24)</f>
        <v>7650</v>
      </c>
    </row>
    <row r="2582" spans="1:26" x14ac:dyDescent="0.2">
      <c r="A2582" t="str">
        <f>Skills!A4</f>
        <v>POISON_BREATH</v>
      </c>
      <c r="B2582" t="str">
        <f>Skills!B4</f>
        <v>Poison Breath</v>
      </c>
      <c r="C2582" t="b">
        <f>TRUE</f>
        <v>1</v>
      </c>
      <c r="D2582">
        <f>IF(Skills!C4=1,60+Inputs!$B$25+Inputs!$B$29,IF(Skills!C4=2,90+Inputs!$B$26+Inputs!$B$29,IF(Skills!C4=3,120+Inputs!$B$27+Inputs!$B$29,MAX(0,(Inputs!$B$3-100)*3)+Inputs!$B$28+Inputs!$B$29)))</f>
        <v>168</v>
      </c>
      <c r="E2582">
        <f>INDEX(FactorTable!$B$2:$Y$301, MATCH(ROUND(MIN(300,MAX(1,D2582)),0), FactorTable!$A$2:$A$301,0), Skills!M4+1)</f>
        <v>1840</v>
      </c>
      <c r="F2582">
        <f>IF(Skills!N4=TRUE,(Skills!L4/10)*(E2582/1000),Skills!L4/10)+Skills!O4</f>
        <v>438</v>
      </c>
      <c r="G2582">
        <f>Calc!G4</f>
        <v>3</v>
      </c>
      <c r="H2582">
        <f>Calc!H4</f>
        <v>1</v>
      </c>
      <c r="I2582">
        <f>IF(Skills!X4&lt;&gt;"",1+(Skills!X4/10)*(Z2581/1000)/100,1)</f>
        <v>7.12</v>
      </c>
      <c r="J2582">
        <f>((Inputs!$B$6*(1+Inputs!$B$7/100))+(((Inputs!$B$12*(1+Inputs!$B$13/100))-(Inputs!$B$12*(1+Inputs!$B$13/100)))+0.25*(Inputs!$B$14-Inputs!$B$14))*(1+Inputs!$B$7/100))*(F2582/100)</f>
        <v>1581769203.69258</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60550795270866.602</v>
      </c>
      <c r="L2582">
        <f>K2582*(MIN(Inputs!$B$22+(F2600-Calc!F22),(Inputs!$B$23+(IF(ArtifactsInput!$M$15,CHOOSE(ArtifactsInput!$N$15+1,25,30,35,40,45,50)/100*(Inputs!$B$11-Inputs!$B$11),0))))/100+(Inputs!$B$23+(IF(ArtifactsInput!$M$15,CHOOSE(ArtifactsInput!$N$15+1,25,30,35,40,45,50)/100*(Inputs!$B$11-Inputs!$B$11),0)))/100)/2</f>
        <v>201331394275631.47</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950082849586704.75</v>
      </c>
      <c r="N2582">
        <f>L2582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950082849586704.75</v>
      </c>
      <c r="O2582">
        <f>(1-Summary!$B$11)*S2582+Summary!$B$11*U2582</f>
        <v>2269154125881646</v>
      </c>
      <c r="P2582">
        <f>IF(B2619=0,0,O2582/B2619)</f>
        <v>6.4095103286790744E-2</v>
      </c>
      <c r="Q2582">
        <f>IFERROR(1/(IF(Inputs!$B$38="pvp",15,MAX(0.1,Skills!E4-IF(TRUE=TRUE,Inputs!$B$32,0)))*(1-IF(AND(ArtifactsInput!$M$27,Inputs!$B$4="Chapter Hunt"),CHOOSE(ArtifactsInput!$N$27+1,20,24,28,32,36,40),0)/100)),0)</f>
        <v>5.5555555555555552E-2</v>
      </c>
      <c r="R2582">
        <f>IF(AND(Inputs!$B$38&lt;&gt;"pvp",Inputs!$B$43&gt;0),IF(MAX(0,Inputs!$B$43-B2616)&lt;=0,0,(INT(MAX(0,Inputs!$B$43-B2616)/(IF(Inputs!$B$38="pvp",15,MAX(0.1,Skills!E4-IF(TRUE=TRUE,Inputs!$B$32,0)))*(1-IF(AND(ArtifactsInput!$M$27,Inputs!$B$4="Chapter Hunt"),CHOOSE(ArtifactsInput!$N$27+1,20,24,28,32,36,40),0)/100)))+1)),0)</f>
        <v>3</v>
      </c>
      <c r="S2582">
        <f>IF(C2582,(H2582*N2582*IF(AND(Inputs!$B$38&lt;&gt;"pvp",Inputs!$B$43&gt;0),((Skills!G4*((R2582-1)*IF(Skills!H4&gt;0,Skills!I4/Skills!H4,1)+IF(Skills!H4&gt;0,MIN(Skills!I4,MAX(0,MAX(0,Inputs!$B$43-B2616)-((R2582-1)*(IF(Inputs!$B$38="pvp",15,MAX(0.1,Skills!E4-IF(TRUE=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677646592467717.12</v>
      </c>
      <c r="T2582">
        <f>290*T2581/1000</f>
        <v>504.6</v>
      </c>
      <c r="U2582">
        <f>IF(C2582,(H2582*N2582*IF(AND(Inputs!$B$38&lt;&gt;"pvp",Inputs!$B$43&gt;0),((Skills!G4*((R2582-1)*IF(Skills!H4&gt;0,Skills!I4/Skills!H4,1)+IF(Skills!H4&gt;0,MIN(Skills!I4,MAX(0,MAX(0,Inputs!$B$43-B2616)-((R2582-1)*(IF(Inputs!$B$38="pvp",15,MAX(0.1,Skills!E4-IF(TRUE=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3860661659295574.5</v>
      </c>
    </row>
    <row r="2583" spans="1:26" x14ac:dyDescent="0.2">
      <c r="A2583" t="str">
        <f>Skills!A5</f>
        <v>ELEMENTAL_DRAIN</v>
      </c>
      <c r="B2583" t="str">
        <f>Skills!B5</f>
        <v>Elemental Drain</v>
      </c>
      <c r="C2583" t="b">
        <f>TRUE</f>
        <v>1</v>
      </c>
      <c r="D2583">
        <f>IF(Skills!C5=1,60+Inputs!$B$25+Inputs!$B$29,IF(Skills!C5=2,90+Inputs!$B$26+Inputs!$B$29,IF(Skills!C5=3,120+Inputs!$B$27+Inputs!$B$29,MAX(0,(Inputs!$B$3-100)*3)+Inputs!$B$28+Inputs!$B$29)))</f>
        <v>168</v>
      </c>
      <c r="E2583">
        <f>INDEX(FactorTable!$B$2:$Y$301, MATCH(ROUND(MIN(300,MAX(1,D2583)),0), FactorTable!$A$2:$A$301,0), Skills!M5+1)</f>
        <v>1672</v>
      </c>
      <c r="F2583">
        <f>IF(Skills!N5=TRUE,(Skills!L5/10)*(E2583/1000),Skills!L5/10)+Skills!O5</f>
        <v>20.064</v>
      </c>
      <c r="G2583">
        <f>Calc!G5</f>
        <v>5</v>
      </c>
      <c r="H2583">
        <f>Calc!H5</f>
        <v>1</v>
      </c>
      <c r="I2583">
        <f>IF(Skills!X5&lt;&gt;"",1+(Skills!X5/10)*(Z2581/1000)/100,1)</f>
        <v>12.475</v>
      </c>
      <c r="J2583">
        <f>((Inputs!$B$6*(1+Inputs!$B$7/100))+(((Inputs!$B$12*(1+Inputs!$B$13/100))-(Inputs!$B$12*(1+Inputs!$B$13/100)))+0.25*(Inputs!$B$14-Inputs!$B$14))*(1+Inputs!$B$7/100))*(F2583/100)</f>
        <v>72458030.371890247</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4859860696932.3906</v>
      </c>
      <c r="L2583">
        <f>K2583*(MIN(Inputs!$B$22+(F2600-Calc!F22),(Inputs!$B$23+(IF(ArtifactsInput!$M$15,CHOOSE(ArtifactsInput!$N$15+1,25,30,35,40,45,50)/100*(Inputs!$B$11-Inputs!$B$11),0))))/100+(Inputs!$B$23+(IF(ArtifactsInput!$M$15,CHOOSE(ArtifactsInput!$N$15+1,25,30,35,40,45,50)/100*(Inputs!$B$11-Inputs!$B$11),0)))/100)/2</f>
        <v>16159036817300.199</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76254494740839.625</v>
      </c>
      <c r="N2583">
        <f>L2583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76254494740839.625</v>
      </c>
      <c r="O2583">
        <f>(1-Summary!$B$11)*S2583+Summary!$B$11*U2583</f>
        <v>1119225346558673.6</v>
      </c>
      <c r="P2583">
        <f>IF(B2619=0,0,O2583/B2619)</f>
        <v>3.1613923166633758E-2</v>
      </c>
      <c r="Q2583">
        <f>IFERROR(1/(IF(Inputs!$B$38="pvp",15,MAX(0.1,Skills!E5-IF(FALSE=TRUE,Inputs!$B$32,0)))*(1-IF(AND(ArtifactsInput!$M$27,Inputs!$B$4="Chapter Hunt"),CHOOSE(ArtifactsInput!$N$27+1,20,24,28,32,36,40),0)/100)),0)</f>
        <v>1</v>
      </c>
      <c r="R2583">
        <f>IF(AND(Inputs!$B$38&lt;&gt;"pvp",Inputs!$B$43&gt;0),IF(MAX(0,Inputs!$B$43-B2616)&lt;=0,0,(INT(MAX(0,Inputs!$B$43-B2616)/(IF(Inputs!$B$38="pvp",15,MAX(0.1,Skills!E5-IF(FALSE=TRUE,Inputs!$B$32,0)))*(1-IF(AND(ArtifactsInput!$M$27,Inputs!$B$4="Chapter Hunt"),CHOOSE(ArtifactsInput!$N$27+1,20,24,28,32,36,40),0)/100)))+1)),0)</f>
        <v>38</v>
      </c>
      <c r="S2583">
        <f>IF(C2583,(H2583*N2583*IF(AND(Inputs!$B$38&lt;&gt;"pvp",Inputs!$B$43&gt;0),((Skills!G5*((R2583-1)*IF(Skills!H5&gt;0,Skills!I5/Skills!H5,1)+IF(Skills!H5&gt;0,MIN(Skills!I5,MAX(0,MAX(0,Inputs!$B$43-B2616)-((R2583-1)*(IF(Inputs!$B$38="pvp",15,MAX(0.1,Skills!E5-IF(FALSE=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1148202054560192.8</v>
      </c>
      <c r="U2583">
        <f>IF(C2583,(H2583*N2583*IF(AND(Inputs!$B$38&lt;&gt;"pvp",Inputs!$B$43&gt;0),((Skills!G5*((R2583-1)*IF(Skills!H5&gt;0,Skills!I5/Skills!H5,1)+IF(Skills!H5&gt;0,MIN(Skills!I5,MAX(0,MAX(0,Inputs!$B$43-B2616)-((R2583-1)*(IF(Inputs!$B$38="pvp",15,MAX(0.1,Skills!E5-IF(FALSE=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1090248638557154.5</v>
      </c>
    </row>
    <row r="2584" spans="1:26" x14ac:dyDescent="0.2">
      <c r="A2584" t="str">
        <f>Skills!A6</f>
        <v>MEDITATION</v>
      </c>
      <c r="B2584" t="str">
        <f>Skills!B6</f>
        <v>Meditation</v>
      </c>
      <c r="C2584" t="b">
        <f>TRUE</f>
        <v>1</v>
      </c>
      <c r="D2584">
        <f>IF(Skills!C6=1,60+Inputs!$B$25+Inputs!$B$29,IF(Skills!C6=2,90+Inputs!$B$26+Inputs!$B$29,IF(Skills!C6=3,120+Inputs!$B$27+Inputs!$B$29,MAX(0,(Inputs!$B$3-100)*3)+Inputs!$B$28+Inputs!$B$29)))</f>
        <v>168</v>
      </c>
      <c r="E2584">
        <f>INDEX(FactorTable!$B$2:$Y$301, MATCH(ROUND(MIN(300,MAX(1,D2584)),0), FactorTable!$A$2:$A$301,0), Skills!M6+1)</f>
        <v>1672</v>
      </c>
      <c r="F2584">
        <f>IF(Skills!N6=TRUE,(Skills!L6/10)*(E2584/1000),Skills!L6/10)+Skills!O6</f>
        <v>33.44</v>
      </c>
      <c r="G2584">
        <f>Calc!G6</f>
        <v>1</v>
      </c>
      <c r="H2584">
        <f>Calc!H6</f>
        <v>1</v>
      </c>
      <c r="I2584">
        <f>IF(Skills!X6&lt;&gt;"",1+(Skills!X6/10)*(Z2581/1000)/100,1)</f>
        <v>1</v>
      </c>
      <c r="O2584">
        <f>(1-Summary!$B$11)*S2584+Summary!$B$11*U2584</f>
        <v>0</v>
      </c>
      <c r="P2584">
        <f>IF(B2619=0,0,O2584/B2619)</f>
        <v>0</v>
      </c>
      <c r="Q2584">
        <f>IFERROR(1/(IF(Inputs!$B$38="pvp",15,MAX(0.1,Skills!E6-IF(TRUE=TRUE,Inputs!$B$32,0)))*(1-IF(AND(ArtifactsInput!$M$27,Inputs!$B$4="Chapter Hunt"),CHOOSE(ArtifactsInput!$N$27+1,20,24,28,32,36,40),0)/100)),0)</f>
        <v>3.3333333333333333E-2</v>
      </c>
      <c r="R2584">
        <f>IF(AND(Inputs!$B$38&lt;&gt;"pvp",Inputs!$B$43&gt;0),IF(Inputs!$B$43&lt;=0,0,(INT(Inputs!$B$43/(IF(Inputs!$B$38="pvp",15,MAX(0.1,Skills!E6-IF(TRUE=TRUE,Inputs!$B$32,0)))*(1-IF(AND(ArtifactsInput!$M$27,Inputs!$B$4="Chapter Hunt"),CHOOSE(ArtifactsInput!$N$27+1,20,24,28,32,36,40),0)/100)))+1)),0)</f>
        <v>2</v>
      </c>
      <c r="S2584">
        <v>0</v>
      </c>
      <c r="U2584">
        <v>0</v>
      </c>
    </row>
    <row r="2585" spans="1:26" x14ac:dyDescent="0.2">
      <c r="A2585" t="str">
        <f>Skills!A7</f>
        <v>POISON_MIST_BURST</v>
      </c>
      <c r="B2585" t="str">
        <f>Skills!B7</f>
        <v>Poison Mist (burst)</v>
      </c>
      <c r="C2585" t="b">
        <f>TRUE</f>
        <v>1</v>
      </c>
      <c r="D2585">
        <f>IF(Skills!C7=1,60+Inputs!$B$25+Inputs!$B$29,IF(Skills!C7=2,90+Inputs!$B$26+Inputs!$B$29,IF(Skills!C7=3,120+Inputs!$B$27+Inputs!$B$29,MAX(0,(Inputs!$B$3-100)*3)+Inputs!$B$28+Inputs!$B$29)))</f>
        <v>184</v>
      </c>
      <c r="E2585">
        <f>INDEX(FactorTable!$B$2:$Y$301, MATCH(ROUND(MIN(300,MAX(1,D2585)),0), FactorTable!$A$2:$A$301,0), Skills!M7+1)</f>
        <v>1920</v>
      </c>
      <c r="F2585">
        <f>IF(Skills!N7=TRUE,(Skills!L7/10)*(E2585/1000),Skills!L7/10)+Skills!O7</f>
        <v>357.2</v>
      </c>
      <c r="G2585">
        <f>Calc!G7</f>
        <v>3</v>
      </c>
      <c r="H2585">
        <f>Calc!H7</f>
        <v>1</v>
      </c>
      <c r="I2585">
        <f>IF(Skills!X7&lt;&gt;"",1+(Skills!X7/10)*(Z2581/1000)/100,1)</f>
        <v>1.7650000000000001</v>
      </c>
      <c r="J2585">
        <f>((Inputs!$B$6*(1+Inputs!$B$7/100))+(((Inputs!$B$12*(1+Inputs!$B$13/100))-(Inputs!$B$12*(1+Inputs!$B$13/100)))+0.25*(Inputs!$B$14-Inputs!$B$14))*(1+Inputs!$B$7/100))*(F2585/100)</f>
        <v>1289972510.4086521</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12241141194936.131</v>
      </c>
      <c r="L2585">
        <f>K2585*(MIN(Inputs!$B$22+(F2600-Calc!F22),(Inputs!$B$23+(IF(ArtifactsInput!$M$15,CHOOSE(ArtifactsInput!$N$15+1,25,30,35,40,45,50)/100*(Inputs!$B$11-Inputs!$B$11),0))))/100+(Inputs!$B$23+(IF(ArtifactsInput!$M$15,CHOOSE(ArtifactsInput!$N$15+1,25,30,35,40,45,50)/100*(Inputs!$B$11-Inputs!$B$11),0)))/100)/2</f>
        <v>40701794473162.641</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192071768118854.47</v>
      </c>
      <c r="N2585">
        <f>L2585*(1-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192071768118854.47</v>
      </c>
      <c r="O2585">
        <f>(1-Summary!$B$11)*S2585+Summary!$B$11*U2585</f>
        <v>479267079398571.5</v>
      </c>
      <c r="P2585">
        <f>IF(B2619=0,0,O2585/B2619)</f>
        <v>1.3537499549121501E-2</v>
      </c>
      <c r="Q2585">
        <f>IFERROR(1/(IF(Inputs!$B$38="pvp",15,MAX(0.1,Skills!E7-IF(TRUE=TRUE,Inputs!$B$32,0)))*(1-IF(AND(ArtifactsInput!$M$27,Inputs!$B$4="Chapter Hunt"),CHOOSE(ArtifactsInput!$N$27+1,20,24,28,32,36,40),0)/100)),0)</f>
        <v>4.0816326530612242E-2</v>
      </c>
      <c r="R2585">
        <f>IF(AND(Inputs!$B$38&lt;&gt;"pvp",Inputs!$B$43&gt;0),IF(MAX(0,Inputs!$B$43-B2616)&lt;=0,0,(INT(MAX(0,Inputs!$B$43-B2616)/(IF(Inputs!$B$38="pvp",15,MAX(0.1,Skills!E7-IF(TRUE=TRUE,Inputs!$B$32,0)))*(1-IF(AND(ArtifactsInput!$M$27,Inputs!$B$4="Chapter Hunt"),CHOOSE(ArtifactsInput!$N$27+1,20,24,28,32,36,40),0)/100)))+1)),0)</f>
        <v>2</v>
      </c>
      <c r="S2585">
        <f>IF(C2585,(H2585*N2585*IF(AND(Inputs!$B$38&lt;&gt;"pvp",Inputs!$B$43&gt;0),((Skills!G7*((R2585-1)*IF(Skills!H7&gt;0,Skills!I7/Skills!H7,1)+IF(Skills!H7&gt;0,MIN(Skills!I7,MAX(0,MAX(0,Inputs!$B$43-B2616)-((R2585-1)*(IF(Inputs!$B$38="pvp",15,MAX(0.1,Skills!E7-IF(TRUE=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91330125740515.297</v>
      </c>
      <c r="U2585">
        <f>IF(C2585,(H2585*N2585*IF(AND(Inputs!$B$38&lt;&gt;"pvp",Inputs!$B$43&gt;0),((Skills!G7*((R2585-1)*IF(Skills!H7&gt;0,Skills!I7/Skills!H7,1)+IF(Skills!H7&gt;0,MIN(Skills!I7,MAX(0,MAX(0,Inputs!$B$43-B2616)-((R2585-1)*(IF(Inputs!$B$38="pvp",15,MAX(0.1,Skills!E7-IF(TRUE=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867204033056627.75</v>
      </c>
    </row>
    <row r="2586" spans="1:26" x14ac:dyDescent="0.2">
      <c r="A2586" t="str">
        <f>Skills!A8</f>
        <v>POISON_MIST_DOT</v>
      </c>
      <c r="B2586" t="str">
        <f>Skills!B8</f>
        <v>Poison Mist (fog DoT)</v>
      </c>
      <c r="C2586" t="b">
        <f>TRUE</f>
        <v>1</v>
      </c>
      <c r="D2586">
        <f>IF(Skills!C8=1,60+Inputs!$B$25+Inputs!$B$29,IF(Skills!C8=2,90+Inputs!$B$26+Inputs!$B$29,IF(Skills!C8=3,120+Inputs!$B$27+Inputs!$B$29,MAX(0,(Inputs!$B$3-100)*3)+Inputs!$B$28+Inputs!$B$29)))</f>
        <v>184</v>
      </c>
      <c r="E2586">
        <f>INDEX(FactorTable!$B$2:$Y$301, MATCH(ROUND(MIN(300,MAX(1,D2586)),0), FactorTable!$A$2:$A$301,0), Skills!M8+1)</f>
        <v>1920</v>
      </c>
      <c r="F2586">
        <f>IF(Skills!N8=TRUE,(Skills!L8/10)*(E2586/1000),Skills!L8/10)+Skills!O8</f>
        <v>134.4</v>
      </c>
      <c r="G2586">
        <f>Calc!G8</f>
        <v>50</v>
      </c>
      <c r="H2586">
        <f>Calc!H8</f>
        <v>1</v>
      </c>
      <c r="I2586">
        <f>IF(Skills!X8&lt;&gt;"",1+(Skills!X8/10)*(Z2581/1000)/100,1)</f>
        <v>1.7650000000000001</v>
      </c>
      <c r="J2586">
        <f>((Inputs!$B$6*(1+Inputs!$B$7/100))+(((Inputs!$B$12*(1+Inputs!$B$13/100))-(Inputs!$B$12*(1+Inputs!$B$13/100)))+0.25*(Inputs!$B$14-Inputs!$B$14))*(1+Inputs!$B$7/100))*(F2586/100)</f>
        <v>485364796.74950409</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4605849318587.3906</v>
      </c>
      <c r="L2586">
        <f>K2586*(MIN(Inputs!$B$22+(F2600-Calc!F22),(Inputs!$B$23+(IF(ArtifactsInput!$M$15,CHOOSE(ArtifactsInput!$N$15+1,25,30,35,40,45,50)/100*(Inputs!$B$11-Inputs!$B$11),0))))/100+(Inputs!$B$23+(IF(ArtifactsInput!$M$15,CHOOSE(ArtifactsInput!$N$15+1,25,30,35,40,45,50)/100*(Inputs!$B$11-Inputs!$B$11),0)))/100)/2</f>
        <v>15314448984303.074</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72268884756926.203</v>
      </c>
      <c r="N2586">
        <f>L2586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72268884756926.203</v>
      </c>
      <c r="O2586">
        <f>(1-Summary!$B$11)*S2586+Summary!$B$11*U2586</f>
        <v>2490395019173467.5</v>
      </c>
      <c r="P2586">
        <f>IF(B2619=0,0,O2586/B2619)</f>
        <v>7.0344329703392799E-2</v>
      </c>
      <c r="Q2586">
        <f>IFERROR(1/(IF(Inputs!$B$38="pvp",15,MAX(0.1,Skills!E8-IF(TRUE=TRUE,Inputs!$B$32,0)))*(1-IF(AND(ArtifactsInput!$M$27,Inputs!$B$4="Chapter Hunt"),CHOOSE(ArtifactsInput!$N$27+1,20,24,28,32,36,40),0)/100)),0)</f>
        <v>4.0816326530612242E-2</v>
      </c>
      <c r="R2586">
        <f>IF(AND(Inputs!$B$38&lt;&gt;"pvp",Inputs!$B$43&gt;0),IF(MAX(0,Inputs!$B$43-B2616)&lt;=0,0,(INT(MAX(0,Inputs!$B$43-B2616)/(IF(Inputs!$B$38="pvp",15,MAX(0.1,Skills!E8-IF(TRUE=TRUE,Inputs!$B$32,0)))*(1-IF(AND(ArtifactsInput!$M$27,Inputs!$B$4="Chapter Hunt"),CHOOSE(ArtifactsInput!$N$27+1,20,24,28,32,36,40),0)/100)))+1)),0)</f>
        <v>2</v>
      </c>
      <c r="S2586">
        <f>IF(C2586,(H2586*N2586*IF(AND(Inputs!$B$38&lt;&gt;"pvp",Inputs!$B$43&gt;0),((Skills!G8*((R2586-1)*IF(Skills!H8&gt;0,Skills!I8/Skills!H8,1)+IF(Skills!H8&gt;0,MIN(Skills!I8,MAX(0,MAX(0,Inputs!$B$43-B2616)-((R2586-1)*(IF(Inputs!$B$38="pvp",15,MAX(0.1,Skills!E8-IF(TRUE=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474574824813940</v>
      </c>
      <c r="U2586">
        <f>IF(C2586,(H2586*N2586*IF(AND(Inputs!$B$38&lt;&gt;"pvp",Inputs!$B$43&gt;0),((Skills!G8*((R2586-1)*IF(Skills!H8&gt;0,Skills!I8/Skills!H8,1)+IF(Skills!H8&gt;0,MIN(Skills!I8,MAX(0,MAX(0,Inputs!$B$43-B2616)-((R2586-1)*(IF(Inputs!$B$38="pvp",15,MAX(0.1,Skills!E8-IF(TRUE=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4506215213532995</v>
      </c>
    </row>
    <row r="2587" spans="1:26" x14ac:dyDescent="0.2">
      <c r="A2587" t="str">
        <f>Skills!A9</f>
        <v>MIST_ERUPTION</v>
      </c>
      <c r="B2587" t="str">
        <f>Skills!B9</f>
        <v>Mist Eruption</v>
      </c>
      <c r="C2587" t="b">
        <f>Inputs!$B$3&gt;=103</f>
        <v>1</v>
      </c>
      <c r="D2587">
        <f>IF(Skills!C9=1,60+Inputs!$B$25+Inputs!$B$29,IF(Skills!C9=2,90+Inputs!$B$26+Inputs!$B$29,IF(Skills!C9=3,120+Inputs!$B$27+Inputs!$B$29,MAX(0,(Inputs!$B$3-100)*3)+Inputs!$B$28+Inputs!$B$29)))</f>
        <v>185</v>
      </c>
      <c r="E2587">
        <f>INDEX(FactorTable!$B$2:$Y$301, MATCH(ROUND(MIN(300,MAX(1,D2587)),0), FactorTable!$A$2:$A$301,0), Skills!M9+1)</f>
        <v>1925</v>
      </c>
      <c r="F2587">
        <f>IF(Skills!N9=TRUE,(Skills!L9/10)*(E2587/1000),Skills!L9/10)+Skills!O9</f>
        <v>5775</v>
      </c>
      <c r="G2587">
        <f>Calc!G9</f>
        <v>2.5</v>
      </c>
      <c r="H2587">
        <f>Calc!H9</f>
        <v>1</v>
      </c>
      <c r="I2587">
        <f>IF(Skills!X9&lt;&gt;"",1+(Skills!X9/10)*(Z2581/1000)/100,1)</f>
        <v>1</v>
      </c>
      <c r="J2587">
        <f>((Inputs!$B$6*(1+Inputs!$B$7/100))+(((Inputs!$B$12*(1+Inputs!$B$13/100))-(Inputs!$B$12*(1+Inputs!$B$13/100)))+0.25*(Inputs!$B$14-Inputs!$B$14))*(1+Inputs!$B$7/100))*(F2587/100)</f>
        <v>20855518610.330254</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112128944990397.69</v>
      </c>
      <c r="L2587">
        <f>K2587*(MIN(Inputs!$B$22+(F2600-Calc!F22),(Inputs!$B$23+(IF(ArtifactsInput!$M$15,CHOOSE(ArtifactsInput!$N$15+1,25,30,35,40,45,50)/100*(Inputs!$B$11-Inputs!$B$11),0))))/100+(Inputs!$B$23+(IF(ArtifactsInput!$M$15,CHOOSE(ArtifactsInput!$N$15+1,25,30,35,40,45,50)/100*(Inputs!$B$11-Inputs!$B$11),0)))/100)/2</f>
        <v>372828742093072.31</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1759378833937208</v>
      </c>
      <c r="N2587">
        <f>L2587*(1-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1759378833937208</v>
      </c>
      <c r="O2587">
        <f>(1-Summary!$B$11)*S2587+Summary!$B$11*U2587</f>
        <v>3658408362818182</v>
      </c>
      <c r="P2587">
        <f>IF(B2619=0,0,O2587/B2619)</f>
        <v>0.10333633101673265</v>
      </c>
      <c r="Q2587">
        <f>IFERROR(1/(IF(Inputs!$B$38="pvp",15,MAX(0.1,Skills!E9-IF(TRUE=TRUE,Inputs!$B$32,0)))*(1-IF(AND(ArtifactsInput!$M$27,Inputs!$B$4="Chapter Hunt"),CHOOSE(ArtifactsInput!$N$27+1,20,24,28,32,36,40),0)/100)),0)</f>
        <v>4.0816326530612242E-2</v>
      </c>
      <c r="R2587">
        <f>IF(AND(Inputs!$B$38&lt;&gt;"pvp",Inputs!$B$43&gt;0),IF(MAX(0,Inputs!$B$43-B2616)&lt;=0,0,(INT(MAX(0,Inputs!$B$43-B2616)/(IF(Inputs!$B$38="pvp",15,MAX(0.1,Skills!E9-IF(TRUE=TRUE,Inputs!$B$32,0)))*(1-IF(AND(ArtifactsInput!$M$27,Inputs!$B$4="Chapter Hunt"),CHOOSE(ArtifactsInput!$N$27+1,20,24,28,32,36,40),0)/100)))+1)),0)</f>
        <v>2</v>
      </c>
      <c r="S2587">
        <f>IF(C2587,(H2587*N2587*IF(AND(Inputs!$B$38&lt;&gt;"pvp",Inputs!$B$43&gt;0),((Skills!G9*((R2587-1)*IF(Skills!H9&gt;0,Skills!I9/Skills!H9,1)+IF(Skills!H9&gt;0,MIN(Skills!I9,MAX(0,MAX(0,Inputs!$B$43-B2616)-((R2587-1)*(IF(Inputs!$B$38="pvp",15,MAX(0.1,Skills!E9-IF(TRUE=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697153862947618.62</v>
      </c>
      <c r="U2587">
        <f>IF(C2587,(H2587*N2587*IF(AND(Inputs!$B$38&lt;&gt;"pvp",Inputs!$B$43&gt;0),((Skills!G9*((R2587-1)*IF(Skills!H9&gt;0,Skills!I9/Skills!H9,1)+IF(Skills!H9&gt;0,MIN(Skills!I9,MAX(0,MAX(0,Inputs!$B$43-B2616)-((R2587-1)*(IF(Inputs!$B$38="pvp",15,MAX(0.1,Skills!E9-IF(TRUE=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6619662862688745</v>
      </c>
    </row>
    <row r="2588" spans="1:26" x14ac:dyDescent="0.2">
      <c r="A2588" t="str">
        <f>Skills!A10</f>
        <v>CREEPING_TOXIN</v>
      </c>
      <c r="B2588" t="str">
        <f>Skills!B10</f>
        <v>Creeping Toxin</v>
      </c>
      <c r="C2588" t="b">
        <f>TRUE</f>
        <v>1</v>
      </c>
      <c r="D2588">
        <f>IF(Skills!C10=1,60+Inputs!$B$25+Inputs!$B$29,IF(Skills!C10=2,90+Inputs!$B$26+Inputs!$B$29,IF(Skills!C10=3,120+Inputs!$B$27+Inputs!$B$29,MAX(0,(Inputs!$B$3-100)*3)+Inputs!$B$28+Inputs!$B$29)))</f>
        <v>184</v>
      </c>
      <c r="E2588">
        <f>INDEX(FactorTable!$B$2:$Y$301, MATCH(ROUND(MIN(300,MAX(1,D2588)),0), FactorTable!$A$2:$A$301,0), Skills!M10+1)</f>
        <v>1920</v>
      </c>
      <c r="F2588">
        <f>IF(Skills!N10=TRUE,(Skills!L10/10)*(E2588/1000),Skills!L10/10)+Skills!O10</f>
        <v>280.39999999999998</v>
      </c>
      <c r="G2588">
        <f>Calc!G10</f>
        <v>15</v>
      </c>
      <c r="H2588">
        <f>Calc!H10</f>
        <v>1</v>
      </c>
      <c r="I2588">
        <f>IF(Skills!X10&lt;&gt;"",1+(Skills!X10/10)*(Z2581/1000)/100,1)</f>
        <v>1.7650000000000001</v>
      </c>
      <c r="J2588">
        <f>((Inputs!$B$6*(1+Inputs!$B$7/100))+(((Inputs!$B$12*(1+Inputs!$B$13/100))-(Inputs!$B$12*(1+Inputs!$B$13/100)))+0.25*(Inputs!$B$14-Inputs!$B$14))*(1+Inputs!$B$7/100))*(F2588/100)</f>
        <v>1012621197.9803641</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9609227298600.4805</v>
      </c>
      <c r="L2588">
        <f>K2588*(MIN(Inputs!$B$22+(F2600-Calc!F22),(Inputs!$B$23+(IF(ArtifactsInput!$M$15,CHOOSE(ArtifactsInput!$N$15+1,25,30,35,40,45,50)/100*(Inputs!$B$11-Inputs!$B$11),0))))/100+(Inputs!$B$23+(IF(ArtifactsInput!$M$15,CHOOSE(ArtifactsInput!$N$15+1,25,30,35,40,45,50)/100*(Inputs!$B$11-Inputs!$B$11),0)))/100)/2</f>
        <v>31950680767846.598</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150775262543468.06</v>
      </c>
      <c r="N2588">
        <f>L2588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150775262543468.06</v>
      </c>
      <c r="O2588">
        <f>(1-Summary!$B$11)*S2588+Summary!$B$11*U2588</f>
        <v>347026097501717.38</v>
      </c>
      <c r="P2588">
        <f>IF(B2619=0,0,O2588/B2619)</f>
        <v>9.8021872154419789E-3</v>
      </c>
      <c r="Q2588">
        <f>IFERROR(1/(IF(Inputs!$B$38="pvp",15,MAX(0.1,Skills!E10-IF(TRUE=TRUE,Inputs!$B$32,0)))*(1-IF(AND(ArtifactsInput!$M$27,Inputs!$B$4="Chapter Hunt"),CHOOSE(ArtifactsInput!$N$27+1,20,24,28,32,36,40),0)/100)),0)</f>
        <v>3.7037037037037035E-2</v>
      </c>
      <c r="R2588">
        <f>IF(AND(Inputs!$B$38&lt;&gt;"pvp",Inputs!$B$43&gt;0),IF(MAX(0,Inputs!$B$43-B2616)&lt;=0,0,(INT(MAX(0,Inputs!$B$43-B2616)/(IF(Inputs!$B$38="pvp",15,MAX(0.1,Skills!E10-IF(TRUE=TRUE,Inputs!$B$32,0)))*(1-IF(AND(ArtifactsInput!$M$27,Inputs!$B$4="Chapter Hunt"),CHOOSE(ArtifactsInput!$N$27+1,20,24,28,32,36,40),0)/100)))+1)),0)</f>
        <v>2</v>
      </c>
      <c r="S2588">
        <f>IF(C2588,(H2588*N2588*IF(AND(Inputs!$B$38&lt;&gt;"pvp",Inputs!$B$43&gt;0),((Skills!G10*((R2588-1)*IF(Skills!H10&gt;0,Skills!I10/Skills!H10,1)+IF(Skills!H10&gt;0,MIN(Skills!I10,MAX(0,MAX(0,Inputs!$B$43-B2616)-((R2588-1)*(IF(Inputs!$B$38="pvp",15,MAX(0.1,Skills!E10-IF(TRUE=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306426944033549.94</v>
      </c>
      <c r="U2588">
        <f>IF(C2588,(H2588*N2588*IF(AND(Inputs!$B$38&lt;&gt;"pvp",Inputs!$B$43&gt;0),((Skills!G10*((R2588-1)*IF(Skills!H10&gt;0,Skills!I10/Skills!H10,1)+IF(Skills!H10&gt;0,MIN(Skills!I10,MAX(0,MAX(0,Inputs!$B$43-B2616)-((R2588-1)*(IF(Inputs!$B$38="pvp",15,MAX(0.1,Skills!E10-IF(TRUE=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387625250969884.88</v>
      </c>
    </row>
    <row r="2589" spans="1:26" x14ac:dyDescent="0.2">
      <c r="A2589" t="str">
        <f>Skills!A11</f>
        <v>BURNING_MAGIC</v>
      </c>
      <c r="B2589" t="str">
        <f>Skills!B11</f>
        <v>Burning Magic</v>
      </c>
      <c r="C2589" t="b">
        <f>TRUE</f>
        <v>1</v>
      </c>
      <c r="D2589">
        <f>IF(Skills!C11=1,60+Inputs!$B$25+Inputs!$B$29,IF(Skills!C11=2,90+Inputs!$B$26+Inputs!$B$29,IF(Skills!C11=3,120+Inputs!$B$27+Inputs!$B$29,MAX(0,(Inputs!$B$3-100)*3)+Inputs!$B$28+Inputs!$B$29)))</f>
        <v>184</v>
      </c>
      <c r="E2589">
        <f>INDEX(FactorTable!$B$2:$Y$301, MATCH(ROUND(MIN(300,MAX(1,D2589)),0), FactorTable!$A$2:$A$301,0), Skills!M11+1)</f>
        <v>0</v>
      </c>
      <c r="F2589">
        <f>IF(Skills!N11=TRUE,(Skills!L11/10)*(E2589/1000),Skills!L11/10)+Skills!O11</f>
        <v>5</v>
      </c>
      <c r="G2589">
        <f>Calc!G11</f>
        <v>1</v>
      </c>
      <c r="H2589">
        <f>Calc!H11</f>
        <v>1</v>
      </c>
      <c r="I2589">
        <f>IF(Skills!X11&lt;&gt;"",1+(Skills!X11/10)*(Z2581/1000)/100,1)</f>
        <v>1</v>
      </c>
      <c r="O2589">
        <f>(1-Summary!$B$11)*S2589+Summary!$B$11*U2589</f>
        <v>0</v>
      </c>
      <c r="P2589">
        <f>IF(B2619=0,0,O2589/B2619)</f>
        <v>0</v>
      </c>
      <c r="Q2589">
        <f>IFERROR(1/(IF(Inputs!$B$38="pvp",15,MAX(0.1,Skills!E11-IF(TRUE=TRUE,Inputs!$B$32,0)))*(1-IF(AND(ArtifactsInput!$M$27,Inputs!$B$4="Chapter Hunt"),CHOOSE(ArtifactsInput!$N$27+1,20,24,28,32,36,40),0)/100)),0)</f>
        <v>10</v>
      </c>
      <c r="R2589">
        <v>0</v>
      </c>
      <c r="S2589">
        <v>0</v>
      </c>
      <c r="U2589">
        <v>0</v>
      </c>
    </row>
    <row r="2590" spans="1:26" x14ac:dyDescent="0.2">
      <c r="A2590" t="str">
        <f>Skills!A12</f>
        <v>ELEMENTAL_DECREASE</v>
      </c>
      <c r="B2590" t="str">
        <f>Skills!B12</f>
        <v>Elemental Decrease</v>
      </c>
      <c r="C2590" t="b">
        <f>TRUE</f>
        <v>1</v>
      </c>
      <c r="D2590">
        <f>IF(Skills!C12=1,60+Inputs!$B$25+Inputs!$B$29,IF(Skills!C12=2,90+Inputs!$B$26+Inputs!$B$29,IF(Skills!C12=3,120+Inputs!$B$27+Inputs!$B$29,MAX(0,(Inputs!$B$3-100)*3)+Inputs!$B$28+Inputs!$B$29)))</f>
        <v>184</v>
      </c>
      <c r="E2590">
        <f>INDEX(FactorTable!$B$2:$Y$301, MATCH(ROUND(MIN(300,MAX(1,D2590)),0), FactorTable!$A$2:$A$301,0), Skills!M12+1)</f>
        <v>1552</v>
      </c>
      <c r="F2590">
        <f>IF(Skills!N12=TRUE,(Skills!L12/10)*(E2590/1000),Skills!L12/10)+Skills!O12</f>
        <v>18.624000000000002</v>
      </c>
      <c r="G2590">
        <f>Calc!G12</f>
        <v>1</v>
      </c>
      <c r="H2590">
        <f>Calc!H12</f>
        <v>0.5</v>
      </c>
      <c r="I2590">
        <f>IF(Skills!X12&lt;&gt;"",1+(Skills!X12/10)*(Z2581/1000)/100,1)</f>
        <v>1</v>
      </c>
      <c r="O2590">
        <f>(1-Summary!$B$11)*S2590+Summary!$B$11*U2590</f>
        <v>0</v>
      </c>
      <c r="P2590">
        <f>IF(B2619=0,0,O2590/B2619)</f>
        <v>0</v>
      </c>
      <c r="Q2590">
        <f>IFERROR(1/(IF(Inputs!$B$38="pvp",15,MAX(0.1,Skills!E12-IF(TRUE=TRUE,Inputs!$B$32,0)))*(1-IF(AND(ArtifactsInput!$M$27,Inputs!$B$4="Chapter Hunt"),CHOOSE(ArtifactsInput!$N$27+1,20,24,28,32,36,40),0)/100)),0)</f>
        <v>10</v>
      </c>
      <c r="R2590">
        <v>0</v>
      </c>
      <c r="S2590">
        <v>0</v>
      </c>
      <c r="U2590">
        <v>0</v>
      </c>
    </row>
    <row r="2591" spans="1:26" x14ac:dyDescent="0.2">
      <c r="A2591" t="str">
        <f>Skills!A13</f>
        <v>METEOR_SHOWER_BURST</v>
      </c>
      <c r="B2591" t="str">
        <f>Skills!B13</f>
        <v>Meteor Shower (burst)</v>
      </c>
      <c r="C2591" t="b">
        <f>Inputs!$B$3&gt;=105</f>
        <v>1</v>
      </c>
      <c r="D2591">
        <f>IF(Skills!C13=1,60+Inputs!$B$25+Inputs!$B$29,IF(Skills!C13=2,90+Inputs!$B$26+Inputs!$B$29,IF(Skills!C13=3,120+Inputs!$B$27+Inputs!$B$29,MAX(0,(Inputs!$B$3-100)*3)+Inputs!$B$28+Inputs!$B$29)))</f>
        <v>185</v>
      </c>
      <c r="E2591">
        <f>INDEX(FactorTable!$B$2:$Y$301, MATCH(ROUND(MIN(300,MAX(1,D2591)),0), FactorTable!$A$2:$A$301,0), Skills!M13+1)</f>
        <v>1925</v>
      </c>
      <c r="F2591">
        <f>IF(Skills!N13=TRUE,(Skills!L13/10)*(E2591/1000),Skills!L13/10)+Skills!O13</f>
        <v>1155</v>
      </c>
      <c r="G2591">
        <f>Calc!G13</f>
        <v>9</v>
      </c>
      <c r="H2591">
        <f>Calc!H13</f>
        <v>1</v>
      </c>
      <c r="I2591">
        <f>IF(Skills!X13&lt;&gt;"",1+(Skills!X13/10)*(Z2581/1000)/100,1)</f>
        <v>1</v>
      </c>
      <c r="J2591">
        <f>((Inputs!$B$6*(1+Inputs!$B$7/100))+(((Inputs!$B$12*(1+Inputs!$B$13/100))-(Inputs!$B$12*(1+Inputs!$B$13/100)))+0.25*(Inputs!$B$14-Inputs!$B$14))*(1+Inputs!$B$7/100))*(F2591/100)</f>
        <v>4171103722.0660505</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22425788998079.539</v>
      </c>
      <c r="L2591">
        <f>K2591*(MIN(Inputs!$B$22+(F2600-Calc!F22),(Inputs!$B$23+(IF(ArtifactsInput!$M$15,CHOOSE(ArtifactsInput!$N$15+1,25,30,35,40,45,50)/100*(Inputs!$B$11-Inputs!$B$11),0))))/100+(Inputs!$B$23+(IF(ArtifactsInput!$M$15,CHOOSE(ArtifactsInput!$N$15+1,25,30,35,40,45,50)/100*(Inputs!$B$11-Inputs!$B$11),0)))/100)/2</f>
        <v>74565748418614.469</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351875766787441.62</v>
      </c>
      <c r="N2591">
        <f>L2591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351875766787441.62</v>
      </c>
      <c r="O2591">
        <f>(1-Summary!$B$11)*S2591+Summary!$B$11*U2591</f>
        <v>1919130432058706.8</v>
      </c>
      <c r="P2591">
        <f>IF(B2619=0,0,O2591/B2619)</f>
        <v>5.4208245204954361E-2</v>
      </c>
      <c r="Q2591">
        <f>IFERROR(1/(IF(Inputs!$B$38="pvp",15,MAX(0.1,Skills!E13-IF(TRUE=TRUE,Inputs!$B$32,0)))*(1-IF(AND(ArtifactsInput!$M$27,Inputs!$B$4="Chapter Hunt"),CHOOSE(ArtifactsInput!$N$27+1,20,24,28,32,36,40),0)/100)),0)</f>
        <v>3.0303030303030304E-2</v>
      </c>
      <c r="R2591">
        <f>IF(AND(Inputs!$B$38&lt;&gt;"pvp",Inputs!$B$43&gt;0),IF(MAX(0,Inputs!$B$43-B2616)&lt;=0,0,(INT(MAX(0,Inputs!$B$43-B2616)/(IF(Inputs!$B$38="pvp",15,MAX(0.1,Skills!E13-IF(TRUE=TRUE,Inputs!$B$32,0)))*(1-IF(AND(ArtifactsInput!$M$27,Inputs!$B$4="Chapter Hunt"),CHOOSE(ArtifactsInput!$N$27+1,20,24,28,32,36,40),0)/100)))+1)),0)</f>
        <v>2</v>
      </c>
      <c r="S2591">
        <f>IF(C2591,(H2591*N2591*IF(AND(Inputs!$B$38&lt;&gt;"pvp",Inputs!$B$43&gt;0),((Skills!G13*((R2591-1)*IF(Skills!H13&gt;0,Skills!I13/Skills!H13,1)+IF(Skills!H13&gt;0,MIN(Skills!I13,MAX(0,MAX(0,Inputs!$B$43-B2616)-((R2591-1)*(IF(Inputs!$B$38="pvp",15,MAX(0.1,Skills!E13-IF(TRUE=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501950781322285.5</v>
      </c>
      <c r="U2591">
        <f>IF(C2591,(H2591*N2591*IF(AND(Inputs!$B$38&lt;&gt;"pvp",Inputs!$B$43&gt;0),((Skills!G13*((R2591-1)*IF(Skills!H13&gt;0,Skills!I13/Skills!H13,1)+IF(Skills!H13&gt;0,MIN(Skills!I13,MAX(0,MAX(0,Inputs!$B$43-B2616)-((R2591-1)*(IF(Inputs!$B$38="pvp",15,MAX(0.1,Skills!E13-IF(TRUE=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3336310082795128</v>
      </c>
    </row>
    <row r="2592" spans="1:26" x14ac:dyDescent="0.2">
      <c r="A2592" t="str">
        <f>Skills!A14</f>
        <v>METEOR_PROC</v>
      </c>
      <c r="B2592" t="str">
        <f>Skills!B14</f>
        <v>Meteor Proc (30% on-hit, 1s ICD)</v>
      </c>
      <c r="C2592" t="b">
        <f>Inputs!$B$3&gt;=113</f>
        <v>1</v>
      </c>
      <c r="D2592">
        <f>IF(Skills!C14=1,60+Inputs!$B$25+Inputs!$B$29,IF(Skills!C14=2,90+Inputs!$B$26+Inputs!$B$29,IF(Skills!C14=3,120+Inputs!$B$27+Inputs!$B$29,MAX(0,(Inputs!$B$3-100)*3)+Inputs!$B$28+Inputs!$B$29)))</f>
        <v>185</v>
      </c>
      <c r="E2592">
        <f>INDEX(FactorTable!$B$2:$Y$301, MATCH(ROUND(MIN(300,MAX(1,D2592)),0), FactorTable!$A$2:$A$301,0), Skills!M14+1)</f>
        <v>1740</v>
      </c>
      <c r="F2592">
        <f>IF(Skills!N14=TRUE,(Skills!L14/10)*(E2592/1000),Skills!L14/10)+Skills!O14</f>
        <v>1653</v>
      </c>
      <c r="G2592">
        <f>Calc!G14</f>
        <v>0</v>
      </c>
      <c r="H2592">
        <f>Calc!H14</f>
        <v>0.30000000000000004</v>
      </c>
      <c r="I2592">
        <f>IF(Skills!X14&lt;&gt;"",1+(Skills!X14/10)*(Z2581/1000)/100,1)</f>
        <v>1</v>
      </c>
      <c r="J2592">
        <f>((Inputs!$B$6*(1+Inputs!$B$7/100))+(((Inputs!$B$12*(1+Inputs!$B$13/100))-(Inputs!$B$12*(1+Inputs!$B$13/100)))+0.25*(Inputs!$B$14-Inputs!$B$14))*(1+Inputs!$B$7/100))*(F2592/100)</f>
        <v>5969553638.5932312</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32095090228420.32</v>
      </c>
      <c r="L2592">
        <f>K2592*(MIN(Inputs!$B$22+(F2600-Calc!F22),(Inputs!$B$23+(IF(ArtifactsInput!$M$15,CHOOSE(ArtifactsInput!$N$15+1,25,30,35,40,45,50)/100*(Inputs!$B$11-Inputs!$B$11),0))))/100+(Inputs!$B$23+(IF(ArtifactsInput!$M$15,CHOOSE(ArtifactsInput!$N$15+1,25,30,35,40,45,50)/100*(Inputs!$B$11-Inputs!$B$11),0)))/100)/2</f>
        <v>106716175009497.58</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503593629869819</v>
      </c>
      <c r="N2592">
        <f>L2592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503593629869819</v>
      </c>
      <c r="O2592">
        <f>(1-Summary!$B$11)*S2592+Summary!$B$11*U2592</f>
        <v>493546271371984</v>
      </c>
      <c r="P2592">
        <f>IF(B2619=0,0,O2592/B2619)</f>
        <v>1.3940833229257571E-2</v>
      </c>
      <c r="Q2592">
        <f>IFERROR(1/(IF(Inputs!$B$38="pvp",15,MAX(0.1,Skills!E14-IF(TRUE=TRUE,Inputs!$B$32,0)))*(1-IF(AND(ArtifactsInput!$M$27,Inputs!$B$4="Chapter Hunt"),CHOOSE(ArtifactsInput!$N$27+1,20,24,28,32,36,40),0)/100)),0)</f>
        <v>10</v>
      </c>
      <c r="R2592">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506324168365433.44</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480768374378534.56</v>
      </c>
    </row>
    <row r="2593" spans="1:21" x14ac:dyDescent="0.2">
      <c r="A2593" t="str">
        <f>Skills!A15</f>
        <v>FLAME_HAZE_BURST</v>
      </c>
      <c r="B2593" t="str">
        <f>Skills!B15</f>
        <v>Flame Haze (burst)</v>
      </c>
      <c r="C2593" t="b">
        <f>Inputs!$B$3&gt;=107</f>
        <v>1</v>
      </c>
      <c r="D2593">
        <f>IF(Skills!C15=1,60+Inputs!$B$25+Inputs!$B$29,IF(Skills!C15=2,90+Inputs!$B$26+Inputs!$B$29,IF(Skills!C15=3,120+Inputs!$B$27+Inputs!$B$29,MAX(0,(Inputs!$B$3-100)*3)+Inputs!$B$28+Inputs!$B$29)))</f>
        <v>185</v>
      </c>
      <c r="E2593">
        <f>INDEX(FactorTable!$B$2:$Y$301, MATCH(ROUND(MIN(300,MAX(1,D2593)),0), FactorTable!$A$2:$A$301,0), Skills!M15+1)</f>
        <v>1925</v>
      </c>
      <c r="F2593">
        <f>IF(Skills!N15=TRUE,(Skills!L15/10)*(E2593/1000),Skills!L15/10)+Skills!O15</f>
        <v>2310</v>
      </c>
      <c r="G2593">
        <f>Calc!G15</f>
        <v>3</v>
      </c>
      <c r="H2593">
        <f>Calc!H15</f>
        <v>1</v>
      </c>
      <c r="I2593">
        <f>IF(Skills!X15&lt;&gt;"",1+(Skills!X15/10)*(Z2581/1000)/100,1)</f>
        <v>1</v>
      </c>
      <c r="J2593">
        <f>((Inputs!$B$6*(1+Inputs!$B$7/100))+(((Inputs!$B$12*(1+Inputs!$B$13/100))-(Inputs!$B$12*(1+Inputs!$B$13/100)))+0.25*(Inputs!$B$14-Inputs!$B$14))*(1+Inputs!$B$7/100))*(F2593/100)</f>
        <v>8342207444.1321011</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44851577996159.078</v>
      </c>
      <c r="L2593">
        <f>K2593*(MIN(Inputs!$B$22+(F2600-Calc!F22),(Inputs!$B$23+(IF(ArtifactsInput!$M$15,CHOOSE(ArtifactsInput!$N$15+1,25,30,35,40,45,50)/100*(Inputs!$B$11-Inputs!$B$11),0))))/100+(Inputs!$B$23+(IF(ArtifactsInput!$M$15,CHOOSE(ArtifactsInput!$N$15+1,25,30,35,40,45,50)/100*(Inputs!$B$11-Inputs!$B$11),0)))/100)/2</f>
        <v>149131496837228.94</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703751533574883.25</v>
      </c>
      <c r="N2593">
        <f>L2593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703751533574883.25</v>
      </c>
      <c r="O2593">
        <f>(1-Summary!$B$11)*S2593+Summary!$B$11*U2593</f>
        <v>1756036014152727.2</v>
      </c>
      <c r="P2593">
        <f>IF(B2619=0,0,O2593/B2619)</f>
        <v>4.9601438888031667E-2</v>
      </c>
      <c r="Q2593">
        <f>IFERROR(1/(IF(Inputs!$B$38="pvp",15,MAX(0.1,Skills!E15-IF(TRUE=TRUE,Inputs!$B$32,0)))*(1-IF(AND(ArtifactsInput!$M$27,Inputs!$B$4="Chapter Hunt"),CHOOSE(ArtifactsInput!$N$27+1,20,24,28,32,36,40),0)/100)),0)</f>
        <v>0.04</v>
      </c>
      <c r="R2593">
        <f>IF(AND(Inputs!$B$38&lt;&gt;"pvp",Inputs!$B$43&gt;0),IF(MAX(0,Inputs!$B$43-B2616)&lt;=0,0,(INT(MAX(0,Inputs!$B$43-B2616)/(IF(Inputs!$B$38="pvp",15,MAX(0.1,Skills!E15-IF(TRUE=TRUE,Inputs!$B$32,0)))*(1-IF(AND(ArtifactsInput!$M$27,Inputs!$B$4="Chapter Hunt"),CHOOSE(ArtifactsInput!$N$27+1,20,24,28,32,36,40),0)/100)))+1)),0)</f>
        <v>2</v>
      </c>
      <c r="S2593">
        <f>IF(C2593,(H2593*N2593*IF(AND(Inputs!$B$38&lt;&gt;"pvp",Inputs!$B$43&gt;0),((Skills!G15*((R2593-1)*IF(Skills!H15&gt;0,Skills!I15/Skills!H15,1)+IF(Skills!H15&gt;0,MIN(Skills!I15,MAX(0,MAX(0,Inputs!$B$43-B2616)-((R2593-1)*(IF(Inputs!$B$38="pvp",15,MAX(0.1,Skills!E15-IF(TRUE=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334633854214856.94</v>
      </c>
      <c r="U2593">
        <f>IF(C2593,(H2593*N2593*IF(AND(Inputs!$B$38&lt;&gt;"pvp",Inputs!$B$43&gt;0),((Skills!G15*((R2593-1)*IF(Skills!H15&gt;0,Skills!I15/Skills!H15,1)+IF(Skills!H15&gt;0,MIN(Skills!I15,MAX(0,MAX(0,Inputs!$B$43-B2616)-((R2593-1)*(IF(Inputs!$B$38="pvp",15,MAX(0.1,Skills!E15-IF(TRUE=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3177438174090597.5</v>
      </c>
    </row>
    <row r="2594" spans="1:21" x14ac:dyDescent="0.2">
      <c r="A2594" t="str">
        <f>Skills!A16</f>
        <v>FLAME_HAZE_DOT</v>
      </c>
      <c r="B2594" t="str">
        <f>Skills!B16</f>
        <v>Flame Haze (burn DoT)</v>
      </c>
      <c r="C2594" t="b">
        <f>Inputs!$B$3&gt;=107</f>
        <v>1</v>
      </c>
      <c r="D2594">
        <f>IF(Skills!C16=1,60+Inputs!$B$25+Inputs!$B$29,IF(Skills!C16=2,90+Inputs!$B$26+Inputs!$B$29,IF(Skills!C16=3,120+Inputs!$B$27+Inputs!$B$29,MAX(0,(Inputs!$B$3-100)*3)+Inputs!$B$28+Inputs!$B$29)))</f>
        <v>185</v>
      </c>
      <c r="E2594">
        <f>INDEX(FactorTable!$B$2:$Y$301, MATCH(ROUND(MIN(300,MAX(1,D2594)),0), FactorTable!$A$2:$A$301,0), Skills!M16+1)</f>
        <v>1925</v>
      </c>
      <c r="F2594">
        <f>IF(Skills!N16=TRUE,(Skills!L16/10)*(E2594/1000),Skills!L16/10)+Skills!O16</f>
        <v>288.75</v>
      </c>
      <c r="G2594">
        <f>Calc!G16</f>
        <v>30</v>
      </c>
      <c r="H2594">
        <f>Calc!H16</f>
        <v>1</v>
      </c>
      <c r="I2594">
        <f>IF(Skills!X16&lt;&gt;"",1+(Skills!X16/10)*(Z2581/1000)/100,1)</f>
        <v>1</v>
      </c>
      <c r="J2594">
        <f>((Inputs!$B$6*(1+Inputs!$B$7/100))+(((Inputs!$B$12*(1+Inputs!$B$13/100))-(Inputs!$B$12*(1+Inputs!$B$13/100)))+0.25*(Inputs!$B$14-Inputs!$B$14))*(1+Inputs!$B$7/100))*(F2594/100)</f>
        <v>1042775930.5165126</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5606447249519.8848</v>
      </c>
      <c r="L2594">
        <f>K2594*(MIN(Inputs!$B$22+(F2600-Calc!F22),(Inputs!$B$23+(IF(ArtifactsInput!$M$15,CHOOSE(ArtifactsInput!$N$15+1,25,30,35,40,45,50)/100*(Inputs!$B$11-Inputs!$B$11),0))))/100+(Inputs!$B$23+(IF(ArtifactsInput!$M$15,CHOOSE(ArtifactsInput!$N$15+1,25,30,35,40,45,50)/100*(Inputs!$B$11-Inputs!$B$11),0)))/100)/2</f>
        <v>18641437104653.617</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87968941696860.406</v>
      </c>
      <c r="N2594">
        <f>L2594*(1-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87968941696860.406</v>
      </c>
      <c r="O2594">
        <f>(1-Summary!$B$11)*S2594+Summary!$B$11*U2594</f>
        <v>2022711872840366.2</v>
      </c>
      <c r="P2594">
        <f>IF(B2619=0,0,O2594/B2619)</f>
        <v>5.7134032867313153E-2</v>
      </c>
      <c r="Q2594">
        <f>IFERROR(1/(IF(Inputs!$B$38="pvp",15,MAX(0.1,Skills!E16-IF(TRUE=TRUE,Inputs!$B$32,0)))*(1-IF(AND(ArtifactsInput!$M$27,Inputs!$B$4="Chapter Hunt"),CHOOSE(ArtifactsInput!$N$27+1,20,24,28,32,36,40),0)/100)),0)</f>
        <v>0.04</v>
      </c>
      <c r="R2594">
        <f>IF(AND(Inputs!$B$38&lt;&gt;"pvp",Inputs!$B$43&gt;0),IF(MAX(0,Inputs!$B$43-B2616)&lt;=0,0,(INT(MAX(0,Inputs!$B$43-B2616)/(IF(Inputs!$B$38="pvp",15,MAX(0.1,Skills!E16-IF(TRUE=TRUE,Inputs!$B$32,0)))*(1-IF(AND(ArtifactsInput!$M$27,Inputs!$B$4="Chapter Hunt"),CHOOSE(ArtifactsInput!$N$27+1,20,24,28,32,36,40),0)/100)))+1)),0)</f>
        <v>2</v>
      </c>
      <c r="S2594">
        <f>IF(C2594,(H2594*N2594*IF(AND(Inputs!$B$38&lt;&gt;"pvp",Inputs!$B$43&gt;0),((Skills!G16*((R2594-1)*IF(Skills!H16&gt;0,Skills!I16/Skills!H16,1)+IF(Skills!H16&gt;0,MIN(Skills!I16,MAX(0,MAX(0,Inputs!$B$43-B2616)-((R2594-1)*(IF(Inputs!$B$38="pvp",15,MAX(0.1,Skills!E16-IF(TRUE=TRUE,Inputs!$B$32,0)))*(1-IF(AND(ArtifactsInput!$M$27,Inputs!$B$4="Chapter Hunt"),CHOOSE(ArtifactsInput!$N$27+1,20,24,28,32,36,40),0)/100)))))/Skills!H16,1)))/Inputs!$B$43),G2594*Q2594)*(1+IF(Inputs!$B$3&gt;=126,0.05*(B2614+Q2591+(H2592*B2615)/(1+Skills!H14*H2592*B2615)+Q2602),0)*(1/Q2593)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385452157313132.62</v>
      </c>
      <c r="U2594">
        <f>IF(C2594,(H2594*N2594*IF(AND(Inputs!$B$38&lt;&gt;"pvp",Inputs!$B$43&gt;0),((Skills!G16*((R2594-1)*IF(Skills!H16&gt;0,Skills!I16/Skills!H16,1)+IF(Skills!H16&gt;0,MIN(Skills!I16,MAX(0,MAX(0,Inputs!$B$43-B2616)-((R2594-1)*(IF(Inputs!$B$38="pvp",15,MAX(0.1,Skills!E16-IF(TRUE=TRUE,Inputs!$B$32,0)))*(1-IF(AND(ArtifactsInput!$M$27,Inputs!$B$4="Chapter Hunt"),CHOOSE(ArtifactsInput!$N$27+1,20,24,28,32,36,40),0)/100)))))/Skills!H16,1)))/Inputs!$B$43),G2594*Q2594)*(1+IF(Inputs!$B$3&gt;=126,0.05*(B2614+Q2591+(H2592*B2615)/(1+Skills!H14*H2592*B2615)+Q2602),0)*(1/Q2593)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3659971588367600</v>
      </c>
    </row>
    <row r="2595" spans="1:21" x14ac:dyDescent="0.2">
      <c r="A2595" t="str">
        <f>Skills!A17</f>
        <v>MAGIC_GUARD</v>
      </c>
      <c r="B2595" t="str">
        <f>Skills!B17</f>
        <v>Magic Guard</v>
      </c>
      <c r="C2595" t="b">
        <f>TRUE</f>
        <v>1</v>
      </c>
      <c r="D2595">
        <f>IF(Skills!C17=1,60+Inputs!$B$25+Inputs!$B$29,IF(Skills!C17=2,90+Inputs!$B$26+Inputs!$B$29,IF(Skills!C17=3,120+Inputs!$B$27+Inputs!$B$29,MAX(0,(Inputs!$B$3-100)*3)+Inputs!$B$28+Inputs!$B$29)))</f>
        <v>127</v>
      </c>
      <c r="E2595">
        <f>INDEX(FactorTable!$B$2:$Y$301, MATCH(ROUND(MIN(300,MAX(1,D2595)),0), FactorTable!$A$2:$A$301,0), Skills!M17+1)</f>
        <v>1508</v>
      </c>
      <c r="F2595">
        <f>IF(Skills!N17=TRUE,(Skills!L17/10)*(E2595/1000),Skills!L17/10)+Skills!O17</f>
        <v>18.096</v>
      </c>
      <c r="G2595">
        <f>Calc!G17</f>
        <v>1</v>
      </c>
      <c r="H2595">
        <f>Calc!H17</f>
        <v>1</v>
      </c>
      <c r="I2595">
        <f>IF(Skills!X17&lt;&gt;"",1+(Skills!X17/10)*(Z2581/1000)/100,1)</f>
        <v>1</v>
      </c>
      <c r="O2595">
        <f>(1-Summary!$B$11)*S2595+Summary!$B$11*U2595</f>
        <v>0</v>
      </c>
      <c r="P2595">
        <f>IF(B2619=0,0,O2595/B2619)</f>
        <v>0</v>
      </c>
      <c r="Q2595">
        <f>IFERROR(1/(IF(Inputs!$B$38="pvp",15,MAX(0.1,Skills!E17-IF(TRUE=TRUE,Inputs!$B$32,0)))*(1-IF(AND(ArtifactsInput!$M$27,Inputs!$B$4="Chapter Hunt"),CHOOSE(ArtifactsInput!$N$27+1,20,24,28,32,36,40),0)/100)),0)</f>
        <v>4.7619047619047616E-2</v>
      </c>
      <c r="R2595">
        <f>IF(AND(Inputs!$B$38&lt;&gt;"pvp",Inputs!$B$43&gt;0),IF(Inputs!$B$43&lt;=0,0,(INT(Inputs!$B$43/(IF(Inputs!$B$38="pvp",15,MAX(0.1,Skills!E17-IF(TRUE=TRUE,Inputs!$B$32,0)))*(1-IF(AND(ArtifactsInput!$M$27,Inputs!$B$4="Chapter Hunt"),CHOOSE(ArtifactsInput!$N$27+1,20,24,28,32,36,40),0)/100)))+1)),0)</f>
        <v>2</v>
      </c>
      <c r="S2595">
        <v>0</v>
      </c>
      <c r="U2595">
        <v>0</v>
      </c>
    </row>
    <row r="2596" spans="1:21" x14ac:dyDescent="0.2">
      <c r="A2596" t="str">
        <f>Skills!A18</f>
        <v>NIMBLE_FEET</v>
      </c>
      <c r="B2596" t="str">
        <f>Skills!B18</f>
        <v>Nimble Feet</v>
      </c>
      <c r="C2596" t="b">
        <f>TRUE</f>
        <v>1</v>
      </c>
      <c r="D2596">
        <f>IF(Skills!C18=1,60+Inputs!$B$25+Inputs!$B$29,IF(Skills!C18=2,90+Inputs!$B$26+Inputs!$B$29,IF(Skills!C18=3,120+Inputs!$B$27+Inputs!$B$29,MAX(0,(Inputs!$B$3-100)*3)+Inputs!$B$28+Inputs!$B$29)))</f>
        <v>127</v>
      </c>
      <c r="E2596">
        <f>INDEX(FactorTable!$B$2:$Y$301, MATCH(ROUND(MIN(300,MAX(1,D2596)),0), FactorTable!$A$2:$A$301,0), Skills!M18+1)</f>
        <v>0</v>
      </c>
      <c r="F2596">
        <f>IF(Skills!N18=TRUE,(Skills!L18/10)*(E2596/1000),Skills!L18/10)+Skills!O18</f>
        <v>15</v>
      </c>
      <c r="G2596">
        <f>Calc!G18</f>
        <v>1</v>
      </c>
      <c r="H2596">
        <f>Calc!H18</f>
        <v>1</v>
      </c>
      <c r="I2596">
        <f>IF(Skills!X18&lt;&gt;"",1+(Skills!X18/10)*(Z2581/1000)/100,1)</f>
        <v>1</v>
      </c>
      <c r="O2596">
        <f>(1-Summary!$B$11)*S2596+Summary!$B$11*U2596</f>
        <v>0</v>
      </c>
      <c r="P2596">
        <f>IF(B2619=0,0,O2596/B2619)</f>
        <v>0</v>
      </c>
      <c r="Q2596">
        <f>IFERROR(1/(IF(Inputs!$B$38="pvp",15,MAX(0.1,Skills!E18-IF(TRUE=TRUE,Inputs!$B$32,0)))*(1-IF(AND(ArtifactsInput!$M$27,Inputs!$B$4="Chapter Hunt"),CHOOSE(ArtifactsInput!$N$27+1,20,24,28,32,36,40),0)/100)),0)</f>
        <v>1.6666666666666666E-2</v>
      </c>
      <c r="R2596">
        <f>IF(AND(Inputs!$B$38&lt;&gt;"pvp",Inputs!$B$43&gt;0),IF(Inputs!$B$43&lt;=0,0,(INT(Inputs!$B$43/(IF(Inputs!$B$38="pvp",15,MAX(0.1,Skills!E18-IF(TRUE=TRUE,Inputs!$B$32,0)))*(1-IF(AND(ArtifactsInput!$M$27,Inputs!$B$4="Chapter Hunt"),CHOOSE(ArtifactsInput!$N$27+1,20,24,28,32,36,40),0)/100)))+1)),0)</f>
        <v>1</v>
      </c>
      <c r="S2596">
        <v>0</v>
      </c>
      <c r="U2596">
        <v>0</v>
      </c>
    </row>
    <row r="2597" spans="1:21" x14ac:dyDescent="0.2">
      <c r="A2597" t="str">
        <f>Skills!A19</f>
        <v>INFINITY</v>
      </c>
      <c r="B2597" t="str">
        <f>Skills!B19</f>
        <v>Infinity</v>
      </c>
      <c r="C2597" t="b">
        <f>Inputs!$B$3&gt;=110</f>
        <v>1</v>
      </c>
      <c r="D2597">
        <f>IF(Skills!C19=1,60+Inputs!$B$25+Inputs!$B$29,IF(Skills!C19=2,90+Inputs!$B$26+Inputs!$B$29,IF(Skills!C19=3,120+Inputs!$B$27+Inputs!$B$29,MAX(0,(Inputs!$B$3-100)*3)+Inputs!$B$28+Inputs!$B$29)))</f>
        <v>185</v>
      </c>
      <c r="E2597">
        <f>INDEX(FactorTable!$B$2:$Y$301, MATCH(ROUND(MIN(300,MAX(1,D2597)),0), FactorTable!$A$2:$A$301,0), Skills!M19+1)</f>
        <v>1740</v>
      </c>
      <c r="F2597">
        <f>IF(Skills!N19=TRUE,(Skills!L19/10)*(E2597/1000),Skills!L19/10)+Skills!O19</f>
        <v>37.700579999999995</v>
      </c>
      <c r="G2597">
        <f>Calc!G19</f>
        <v>1</v>
      </c>
      <c r="H2597">
        <f>Calc!H19</f>
        <v>1</v>
      </c>
      <c r="I2597">
        <f>IF(Skills!X19&lt;&gt;"",1+(Skills!X19/10)*(Z2581/1000)/100,1)</f>
        <v>1</v>
      </c>
      <c r="O2597">
        <f>(1-Summary!$B$11)*S2597+Summary!$B$11*U2597</f>
        <v>0</v>
      </c>
      <c r="P2597">
        <f>IF(B2619=0,0,O2597/B2619)</f>
        <v>0</v>
      </c>
      <c r="Q2597">
        <f>IFERROR(1/(IF(Inputs!$B$38="pvp",15,MAX(0.1,Skills!E19-IF(TRUE=TRUE,Inputs!$B$32,0)))*(1-IF(AND(ArtifactsInput!$M$27,Inputs!$B$4="Chapter Hunt"),CHOOSE(ArtifactsInput!$N$27+1,20,24,28,32,36,40),0)/100)),0)</f>
        <v>3.3333333333333333E-2</v>
      </c>
      <c r="R2597">
        <f>IF(AND(Inputs!$B$38&lt;&gt;"pvp",Inputs!$B$43&gt;0),IF(Inputs!$B$43&lt;=0,0,(INT(Inputs!$B$43/(IF(Inputs!$B$38="pvp",15,MAX(0.1,Skills!E19-IF(TRUE=TRUE,Inputs!$B$32,0)))*(1-IF(AND(ArtifactsInput!$M$27,Inputs!$B$4="Chapter Hunt"),CHOOSE(ArtifactsInput!$N$27+1,20,24,28,32,36,40),0)/100)))+1)),0)</f>
        <v>2</v>
      </c>
      <c r="S2597">
        <v>0</v>
      </c>
      <c r="U2597">
        <v>0</v>
      </c>
    </row>
    <row r="2598" spans="1:21" x14ac:dyDescent="0.2">
      <c r="A2598" t="str">
        <f>Skills!A20</f>
        <v>MAGIC_CRITICAL_RATE</v>
      </c>
      <c r="B2598" t="str">
        <f>Skills!B20</f>
        <v>Magic Critical (Crit Rate)</v>
      </c>
      <c r="C2598" t="b">
        <f>TRUE</f>
        <v>1</v>
      </c>
      <c r="D2598">
        <f>IF(Skills!C20=1,60+Inputs!$B$25+Inputs!$B$29,IF(Skills!C20=2,90+Inputs!$B$26+Inputs!$B$29,IF(Skills!C20=3,120+Inputs!$B$27+Inputs!$B$29,MAX(0,(Inputs!$B$3-100)*3)+Inputs!$B$28+Inputs!$B$29)))</f>
        <v>184</v>
      </c>
      <c r="E2598">
        <f>INDEX(FactorTable!$B$2:$Y$301, MATCH(ROUND(MIN(300,MAX(1,D2598)),0), FactorTable!$A$2:$A$301,0), Skills!M20+1)</f>
        <v>1552</v>
      </c>
      <c r="F2598">
        <f>IF(Skills!N20=TRUE,(Skills!L20/10)*(E2598/1000),Skills!L20/10)+Skills!O20</f>
        <v>12.416</v>
      </c>
      <c r="G2598">
        <f>Calc!G20</f>
        <v>1</v>
      </c>
      <c r="H2598">
        <f>Calc!H20</f>
        <v>1</v>
      </c>
      <c r="I2598">
        <f>IF(Skills!X20&lt;&gt;"",1+(Skills!X20/10)*(Z2581/1000)/100,1)</f>
        <v>1</v>
      </c>
      <c r="O2598">
        <f>(1-Summary!$B$11)*S2598+Summary!$B$11*U2598</f>
        <v>0</v>
      </c>
      <c r="P2598">
        <f>IF(B2619=0,0,O2598/B2619)</f>
        <v>0</v>
      </c>
      <c r="Q2598">
        <f>IFERROR(1/(IF(Inputs!$B$38="pvp",15,MAX(0.1,Skills!E20-IF(TRUE=TRUE,Inputs!$B$32,0)))*(1-IF(AND(ArtifactsInput!$M$27,Inputs!$B$4="Chapter Hunt"),CHOOSE(ArtifactsInput!$N$27+1,20,24,28,32,36,40),0)/100)),0)</f>
        <v>10</v>
      </c>
      <c r="R2598">
        <v>0</v>
      </c>
      <c r="S2598">
        <v>0</v>
      </c>
      <c r="U2598">
        <v>0</v>
      </c>
    </row>
    <row r="2599" spans="1:21" x14ac:dyDescent="0.2">
      <c r="A2599" t="str">
        <f>Skills!A21</f>
        <v>MAGIC_CRITICAL_DAMAGE</v>
      </c>
      <c r="B2599" t="str">
        <f>Skills!B21</f>
        <v>Magic Critical (Crit Damage)</v>
      </c>
      <c r="C2599" t="b">
        <f>TRUE</f>
        <v>1</v>
      </c>
      <c r="D2599">
        <f>IF(Skills!C21=1,60+Inputs!$B$25+Inputs!$B$29,IF(Skills!C21=2,90+Inputs!$B$26+Inputs!$B$29,IF(Skills!C21=3,120+Inputs!$B$27+Inputs!$B$29,MAX(0,(Inputs!$B$3-100)*3)+Inputs!$B$28+Inputs!$B$29)))</f>
        <v>184</v>
      </c>
      <c r="E2599">
        <f>INDEX(FactorTable!$B$2:$Y$301, MATCH(ROUND(MIN(300,MAX(1,D2599)),0), FactorTable!$A$2:$A$301,0), Skills!M21+1)</f>
        <v>1552</v>
      </c>
      <c r="F2599">
        <f>IF(Skills!N21=TRUE,(Skills!L21/10)*(E2599/1000),Skills!L21/10)+Skills!O21</f>
        <v>18.624000000000002</v>
      </c>
      <c r="G2599">
        <f>Calc!G21</f>
        <v>1</v>
      </c>
      <c r="H2599">
        <f>Calc!H21</f>
        <v>1</v>
      </c>
      <c r="I2599">
        <f>IF(Skills!X21&lt;&gt;"",1+(Skills!X21/10)*(Z2581/1000)/100,1)</f>
        <v>1</v>
      </c>
      <c r="O2599">
        <f>(1-Summary!$B$11)*S2599+Summary!$B$11*U2599</f>
        <v>0</v>
      </c>
      <c r="P2599">
        <f>IF(B2619=0,0,O2599/B2619)</f>
        <v>0</v>
      </c>
      <c r="Q2599">
        <f>IFERROR(1/(IF(Inputs!$B$38="pvp",15,MAX(0.1,Skills!E21-IF(TRUE=TRUE,Inputs!$B$32,0)))*(1-IF(AND(ArtifactsInput!$M$27,Inputs!$B$4="Chapter Hunt"),CHOOSE(ArtifactsInput!$N$27+1,20,24,28,32,36,40),0)/100)),0)</f>
        <v>10</v>
      </c>
      <c r="R2599">
        <v>0</v>
      </c>
      <c r="S2599">
        <v>0</v>
      </c>
      <c r="U2599">
        <v>0</v>
      </c>
    </row>
    <row r="2600" spans="1:21" x14ac:dyDescent="0.2">
      <c r="A2600" t="str">
        <f>Skills!A22</f>
        <v>SPELL_MASTERY</v>
      </c>
      <c r="B2600" t="str">
        <f>Skills!B22</f>
        <v>Spell Mastery</v>
      </c>
      <c r="C2600" t="b">
        <f>TRUE</f>
        <v>1</v>
      </c>
      <c r="D2600">
        <f>IF(Skills!C22=1,60+Inputs!$B$25+Inputs!$B$29,IF(Skills!C22=2,90+Inputs!$B$26+Inputs!$B$29,IF(Skills!C22=3,120+Inputs!$B$27+Inputs!$B$29,MAX(0,(Inputs!$B$3-100)*3)+Inputs!$B$28+Inputs!$B$29)))</f>
        <v>168</v>
      </c>
      <c r="E2600">
        <f>INDEX(FactorTable!$B$2:$Y$301, MATCH(ROUND(MIN(300,MAX(1,D2600)),0), FactorTable!$A$2:$A$301,0), Skills!M22+1)</f>
        <v>1504</v>
      </c>
      <c r="F2600">
        <f>IF(Skills!N22=TRUE,(Skills!L22/10)*(E2600/1000),Skills!L22/10)+Skills!O22</f>
        <v>22.56</v>
      </c>
      <c r="G2600">
        <f>Calc!G22</f>
        <v>1</v>
      </c>
      <c r="H2600">
        <f>Calc!H22</f>
        <v>1</v>
      </c>
      <c r="I2600">
        <f>IF(Skills!X22&lt;&gt;"",1+(Skills!X22/10)*(Z2581/1000)/100,1)</f>
        <v>1</v>
      </c>
      <c r="O2600">
        <f>(1-Summary!$B$11)*S2600+Summary!$B$11*U2600</f>
        <v>0</v>
      </c>
      <c r="P2600">
        <f>IF(B2619=0,0,O2600/B2619)</f>
        <v>0</v>
      </c>
      <c r="Q2600">
        <f>IFERROR(1/(IF(Inputs!$B$38="pvp",15,MAX(0.1,Skills!E22-IF(TRUE=TRUE,Inputs!$B$32,0)))*(1-IF(AND(ArtifactsInput!$M$27,Inputs!$B$4="Chapter Hunt"),CHOOSE(ArtifactsInput!$N$27+1,20,24,28,32,36,40),0)/100)),0)</f>
        <v>10</v>
      </c>
      <c r="R2600">
        <v>0</v>
      </c>
      <c r="S2600">
        <v>0</v>
      </c>
      <c r="U2600">
        <v>0</v>
      </c>
    </row>
    <row r="2601" spans="1:21" x14ac:dyDescent="0.2">
      <c r="A2601" t="str">
        <f>Skills!A23</f>
        <v>ELEMENT_AMPLIFICATION</v>
      </c>
      <c r="B2601" t="str">
        <f>Skills!B23</f>
        <v>Element Amplification</v>
      </c>
      <c r="C2601" t="b">
        <f>TRUE</f>
        <v>1</v>
      </c>
      <c r="D2601">
        <f>IF(Skills!C23=1,60+Inputs!$B$25+Inputs!$B$29,IF(Skills!C23=2,90+Inputs!$B$26+Inputs!$B$29,IF(Skills!C23=3,120+Inputs!$B$27+Inputs!$B$29,MAX(0,(Inputs!$B$3-100)*3)+Inputs!$B$28+Inputs!$B$29)))</f>
        <v>185</v>
      </c>
      <c r="E2601">
        <f>INDEX(FactorTable!$B$2:$Y$301, MATCH(ROUND(MIN(300,MAX(1,D2601)),0), FactorTable!$A$2:$A$301,0), Skills!M23+1)</f>
        <v>1555</v>
      </c>
      <c r="F2601">
        <f>IF(Skills!N23=TRUE,(Skills!L23/10)*(E2601/1000),Skills!L23/10)+Skills!O23</f>
        <v>23.324999999999999</v>
      </c>
      <c r="G2601">
        <f>Calc!G23</f>
        <v>1</v>
      </c>
      <c r="H2601">
        <f>Calc!H23</f>
        <v>1</v>
      </c>
      <c r="I2601">
        <f>IF(Skills!X23&lt;&gt;"",1+(Skills!X23/10)*(Z2581/1000)/100,1)</f>
        <v>1</v>
      </c>
      <c r="O2601">
        <f>(1-Summary!$B$11)*S2601+Summary!$B$11*U2601</f>
        <v>0</v>
      </c>
      <c r="P2601">
        <f>IF(B2619=0,0,O2601/B2619)</f>
        <v>0</v>
      </c>
      <c r="Q2601">
        <f>IFERROR(1/(IF(Inputs!$B$38="pvp",15,MAX(0.1,Skills!E23-IF(TRUE=TRUE,Inputs!$B$32,0)))*(1-IF(AND(ArtifactsInput!$M$27,Inputs!$B$4="Chapter Hunt"),CHOOSE(ArtifactsInput!$N$27+1,20,24,28,32,36,40),0)/100)),0)</f>
        <v>10</v>
      </c>
      <c r="R2601">
        <v>0</v>
      </c>
      <c r="S2601">
        <v>0</v>
      </c>
      <c r="U2601">
        <v>0</v>
      </c>
    </row>
    <row r="2602" spans="1:21" x14ac:dyDescent="0.2">
      <c r="A2602" t="str">
        <f>Skills!A24</f>
        <v>IFRIT</v>
      </c>
      <c r="B2602" t="str">
        <f>Skills!B24</f>
        <v>Ifrit</v>
      </c>
      <c r="C2602" t="b">
        <f>Inputs!$B$3&gt;=115</f>
        <v>1</v>
      </c>
      <c r="D2602">
        <f>IF(Skills!C24=1,60+Inputs!$B$25+Inputs!$B$29,IF(Skills!C24=2,90+Inputs!$B$26+Inputs!$B$29,IF(Skills!C24=3,120+Inputs!$B$27+Inputs!$B$29,MAX(0,(Inputs!$B$3-100)*3)+Inputs!$B$28+Inputs!$B$29)))</f>
        <v>185</v>
      </c>
      <c r="E2602">
        <f>INDEX(FactorTable!$B$2:$Y$301, MATCH(ROUND(MIN(300,MAX(1,D2602)),0), FactorTable!$A$2:$A$301,0), Skills!M24+1)</f>
        <v>1925</v>
      </c>
      <c r="F2602">
        <f>IF(Skills!N24=TRUE,(Skills!L24/10)*(E2602/1000),Skills!L24/10)+Skills!O24</f>
        <v>6737.5</v>
      </c>
      <c r="G2602">
        <f>Calc!G24</f>
        <v>7.5</v>
      </c>
      <c r="H2602">
        <f>Calc!H24</f>
        <v>1</v>
      </c>
      <c r="I2602">
        <f>IF(Skills!X24&lt;&gt;"",1+(Skills!X24/10)*(Z2581/1000)/100,1)</f>
        <v>1</v>
      </c>
      <c r="J2602">
        <f>((Inputs!$B$6*(1+Inputs!$B$7/100))+(((Inputs!$B$12*(1+Inputs!$B$13/100))-(Inputs!$B$12*(1+Inputs!$B$13/100)))+0.25*(Inputs!$B$14-Inputs!$B$14))*(1+Inputs!$B$7/100))*(F2602/100)</f>
        <v>24331438378.718628</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130817102488797.3</v>
      </c>
      <c r="L2602">
        <f>K2602*(MIN(Inputs!$B$22+(F2600-Calc!F22),(Inputs!$B$23+(IF(ArtifactsInput!$M$15,CHOOSE(ArtifactsInput!$N$15+1,25,30,35,40,45,50)/100*(Inputs!$B$11-Inputs!$B$11),0))))/100+(Inputs!$B$23+(IF(ArtifactsInput!$M$15,CHOOSE(ArtifactsInput!$N$15+1,25,30,35,40,45,50)/100*(Inputs!$B$11-Inputs!$B$11),0)))/100)/2</f>
        <v>434966865775251.06</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2052608639593409.5</v>
      </c>
      <c r="N2602">
        <f>L2602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2052608639593409.5</v>
      </c>
      <c r="O2602">
        <f>(1-Summary!$B$11)*S2602+Summary!$B$11*U2602</f>
        <v>2347671131534962</v>
      </c>
      <c r="P2602">
        <f>IF(B2619=0,0,O2602/B2619)</f>
        <v>6.6312914553869604E-2</v>
      </c>
      <c r="Q2602">
        <f>IFERROR(1/(IF(Inputs!$B$38="pvp",15,MAX(0.1,Skills!E24-IF(TRUE=TRUE,Inputs!$B$32,0)))*(1-IF(AND(ArtifactsInput!$M$27,Inputs!$B$4="Chapter Hunt"),CHOOSE(ArtifactsInput!$N$27+1,20,24,28,32,36,40),0)/100)),0)</f>
        <v>1.2500000000000001E-2</v>
      </c>
      <c r="R2602">
        <f>IF(AND(Inputs!$B$38&lt;&gt;"pvp",Inputs!$B$43&gt;0),IF(MAX(0,Inputs!$B$43-B2616)&lt;=0,0,(INT(MAX(0,Inputs!$B$43-B2616)/(IF(Inputs!$B$38="pvp",15,MAX(0.1,Skills!E24-IF(TRUE=TRUE,Inputs!$B$32,0)))*(1-IF(AND(ArtifactsInput!$M$27,Inputs!$B$4="Chapter Hunt"),CHOOSE(ArtifactsInput!$N$27+1,20,24,28,32,36,40),0)/100)))+1)),0)</f>
        <v>1</v>
      </c>
      <c r="S2602">
        <f>IF(C2602,(H2602*N2602*IF(AND(Inputs!$B$38&lt;&gt;"pvp",Inputs!$B$43&gt;0),((Skills!G24*((R2602-1)*IF(Skills!H24&gt;0,Skills!I24/Skills!H24,1)+IF(Skills!H24&gt;0,MIN(Skills!I24,MAX(0,MAX(0,Inputs!$B$43-B2616)-((R2602-1)*(IF(Inputs!$B$38="pvp",15,MAX(0.1,Skills!E24-IF(TRUE=TRUE,Inputs!$B$32,0)))*(1-IF(AND(ArtifactsInput!$M$27,Inputs!$B$4="Chapter Hunt"),CHOOSE(ArtifactsInput!$N$27+1,20,24,28,32,36,40),0)/100)))))/Skills!H24,1)))/Inputs!$B$43),G2602*Q2602)*(1+IF(Inputs!$B$3&gt;=130,0.2*(Skills!I16/(1/Q2593)+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1220019260158332.8</v>
      </c>
      <c r="U2602">
        <f>IF(C2602,(H2602*N2602*IF(AND(Inputs!$B$38&lt;&gt;"pvp",Inputs!$B$43&gt;0),((Skills!G24*((R2602-1)*IF(Skills!H24&gt;0,Skills!I24/Skills!H24,1)+IF(Skills!H24&gt;0,MIN(Skills!I24,MAX(0,MAX(0,Inputs!$B$43-B2616)-((R2602-1)*(IF(Inputs!$B$38="pvp",15,MAX(0.1,Skills!E24-IF(TRUE=TRUE,Inputs!$B$32,0)))*(1-IF(AND(ArtifactsInput!$M$27,Inputs!$B$4="Chapter Hunt"),CHOOSE(ArtifactsInput!$N$27+1,20,24,28,32,36,40),0)/100)))))/Skills!H24,1)))/Inputs!$B$43),G2602*Q2602)*(1+IF(Inputs!$B$3&gt;=130,0.2*(Skills!I16/(1/Q2593)+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3475323002911591</v>
      </c>
    </row>
    <row r="2603" spans="1:21" x14ac:dyDescent="0.2">
      <c r="A2603" t="str">
        <f>Skills!A25</f>
        <v>BUFF_MASTERY</v>
      </c>
      <c r="B2603" t="str">
        <f>Skills!B25</f>
        <v>Buff Mastery</v>
      </c>
      <c r="C2603" t="b">
        <f>Inputs!$B$3&gt;=117</f>
        <v>1</v>
      </c>
      <c r="D2603">
        <f>IF(Skills!C25=1,60+Inputs!$B$25+Inputs!$B$29,IF(Skills!C25=2,90+Inputs!$B$26+Inputs!$B$29,IF(Skills!C25=3,120+Inputs!$B$27+Inputs!$B$29,MAX(0,(Inputs!$B$3-100)*3)+Inputs!$B$28+Inputs!$B$29)))</f>
        <v>185</v>
      </c>
      <c r="E2603">
        <f>INDEX(FactorTable!$B$2:$Y$301, MATCH(ROUND(MIN(300,MAX(1,D2603)),0), FactorTable!$A$2:$A$301,0), Skills!M25+1)</f>
        <v>1555</v>
      </c>
      <c r="F2603">
        <f>IF(Skills!N25=TRUE,(Skills!L25/10)*(E2603/1000),Skills!L25/10)+Skills!O25</f>
        <v>15.549999999999999</v>
      </c>
      <c r="G2603">
        <f>Calc!G25</f>
        <v>1</v>
      </c>
      <c r="H2603">
        <f>Calc!H25</f>
        <v>1</v>
      </c>
      <c r="I2603">
        <f>IF(Skills!X25&lt;&gt;"",1+(Skills!X25/10)*(Z2581/1000)/100,1)</f>
        <v>1</v>
      </c>
      <c r="O2603">
        <f>(1-Summary!$B$11)*S2603+Summary!$B$11*U2603</f>
        <v>0</v>
      </c>
      <c r="P2603">
        <f>IF(B2619=0,0,O2603/B2619)</f>
        <v>0</v>
      </c>
      <c r="Q2603">
        <f>IFERROR(1/(IF(Inputs!$B$38="pvp",15,MAX(0.1,Skills!E25-IF(TRUE=TRUE,Inputs!$B$32,0)))*(1-IF(AND(ArtifactsInput!$M$27,Inputs!$B$4="Chapter Hunt"),CHOOSE(ArtifactsInput!$N$27+1,20,24,28,32,36,40),0)/100)),0)</f>
        <v>10</v>
      </c>
      <c r="R2603">
        <v>0</v>
      </c>
      <c r="S2603">
        <v>0</v>
      </c>
      <c r="U2603">
        <v>0</v>
      </c>
    </row>
    <row r="2604" spans="1:21" x14ac:dyDescent="0.2">
      <c r="A2604" t="str">
        <f>Skills!A26</f>
        <v>ARCANE_AIM</v>
      </c>
      <c r="B2604" t="str">
        <f>Skills!B26</f>
        <v>Arcane Aim</v>
      </c>
      <c r="C2604" t="b">
        <f>Inputs!$B$3&gt;=120</f>
        <v>0</v>
      </c>
      <c r="D2604">
        <f>IF(Skills!C26=1,60+Inputs!$B$25+Inputs!$B$29,IF(Skills!C26=2,90+Inputs!$B$26+Inputs!$B$29,IF(Skills!C26=3,120+Inputs!$B$27+Inputs!$B$29,MAX(0,(Inputs!$B$3-100)*3)+Inputs!$B$28+Inputs!$B$29)))</f>
        <v>185</v>
      </c>
      <c r="E2604">
        <f>INDEX(FactorTable!$B$2:$Y$301, MATCH(ROUND(MIN(300,MAX(1,D2604)),0), FactorTable!$A$2:$A$301,0), Skills!M26+1)</f>
        <v>1555</v>
      </c>
      <c r="F2604">
        <f>IF(Skills!N26=TRUE,(Skills!L26/10)*(E2604/1000),Skills!L26/10)+Skills!O26</f>
        <v>4.665</v>
      </c>
      <c r="G2604">
        <f>Calc!G26</f>
        <v>1</v>
      </c>
      <c r="H2604">
        <f>Calc!H26</f>
        <v>1</v>
      </c>
      <c r="I2604">
        <f>IF(Skills!X26&lt;&gt;"",1+(Skills!X26/10)*(Z2581/1000)/100,1)</f>
        <v>1</v>
      </c>
      <c r="O2604">
        <f>(1-Summary!$B$11)*S2604+Summary!$B$11*U2604</f>
        <v>0</v>
      </c>
      <c r="P2604">
        <f>IF(B2619=0,0,O2604/B2619)</f>
        <v>0</v>
      </c>
      <c r="Q2604">
        <f>IFERROR(1/(IF(Inputs!$B$38="pvp",15,MAX(0.1,Skills!E26-IF(TRUE=TRUE,Inputs!$B$32,0)))*(1-IF(AND(ArtifactsInput!$M$27,Inputs!$B$4="Chapter Hunt"),CHOOSE(ArtifactsInput!$N$27+1,20,24,28,32,36,40),0)/100)),0)</f>
        <v>10</v>
      </c>
      <c r="R2604">
        <v>0</v>
      </c>
      <c r="S2604">
        <v>0</v>
      </c>
      <c r="U2604">
        <v>0</v>
      </c>
    </row>
    <row r="2605" spans="1:21" x14ac:dyDescent="0.2">
      <c r="A2605" t="str">
        <f>Skills!A27</f>
        <v>FERVENT_DRAIN</v>
      </c>
      <c r="B2605" t="str">
        <f>Skills!B27</f>
        <v>Fervent Drain</v>
      </c>
      <c r="C2605" t="b">
        <f>Inputs!$B$3&gt;=125</f>
        <v>0</v>
      </c>
      <c r="D2605">
        <f>IF(Skills!C27=1,60+Inputs!$B$25+Inputs!$B$29,IF(Skills!C27=2,90+Inputs!$B$26+Inputs!$B$29,IF(Skills!C27=3,120+Inputs!$B$27+Inputs!$B$29,MAX(0,(Inputs!$B$3-100)*3)+Inputs!$B$28+Inputs!$B$29)))</f>
        <v>185</v>
      </c>
      <c r="E2605">
        <f>INDEX(FactorTable!$B$2:$Y$301, MATCH(ROUND(MIN(300,MAX(1,D2605)),0), FactorTable!$A$2:$A$301,0), Skills!M27+1)</f>
        <v>1555</v>
      </c>
      <c r="F2605">
        <f>IF(Skills!N27=TRUE,(Skills!L27/10)*(E2605/1000),Skills!L27/10)+Skills!O27</f>
        <v>6.22</v>
      </c>
      <c r="G2605">
        <f>Calc!G27</f>
        <v>1</v>
      </c>
      <c r="H2605">
        <f>Calc!H27</f>
        <v>1</v>
      </c>
      <c r="I2605">
        <f>IF(Skills!X27&lt;&gt;"",1+(Skills!X27/10)*(Z2581/1000)/100,1)</f>
        <v>1</v>
      </c>
      <c r="O2605">
        <f>(1-Summary!$B$11)*S2605+Summary!$B$11*U2605</f>
        <v>0</v>
      </c>
      <c r="P2605">
        <f>IF(B2619=0,0,O2605/B2619)</f>
        <v>0</v>
      </c>
      <c r="Q2605">
        <f>IFERROR(1/(IF(Inputs!$B$38="pvp",15,MAX(0.1,Skills!E27-IF(TRUE=TRUE,Inputs!$B$32,0)))*(1-IF(AND(ArtifactsInput!$M$27,Inputs!$B$4="Chapter Hunt"),CHOOSE(ArtifactsInput!$N$27+1,20,24,28,32,36,40),0)/100)),0)</f>
        <v>10</v>
      </c>
      <c r="R2605">
        <v>0</v>
      </c>
      <c r="S2605">
        <v>0</v>
      </c>
      <c r="U2605">
        <v>0</v>
      </c>
    </row>
    <row r="2606" spans="1:21" x14ac:dyDescent="0.2">
      <c r="A2606" t="str">
        <f>Skills!A28</f>
        <v>FLAME_HAZE_FOG</v>
      </c>
      <c r="B2606" t="str">
        <f>Skills!B28</f>
        <v>Flame Haze (poison fog DoT)</v>
      </c>
      <c r="C2606" t="b">
        <f>Inputs!$B$3&gt;=118</f>
        <v>0</v>
      </c>
      <c r="D2606">
        <f>IF(Skills!C28=1,60+Inputs!$B$25+Inputs!$B$29,IF(Skills!C28=2,90+Inputs!$B$26+Inputs!$B$29,IF(Skills!C28=3,120+Inputs!$B$27+Inputs!$B$29,MAX(0,(Inputs!$B$3-100)*3)+Inputs!$B$28+Inputs!$B$29)))</f>
        <v>185</v>
      </c>
      <c r="E2606">
        <f>INDEX(FactorTable!$B$2:$Y$301, MATCH(ROUND(MIN(300,MAX(1,D2606)),0), FactorTable!$A$2:$A$301,0), Skills!M28+1)</f>
        <v>1925</v>
      </c>
      <c r="F2606">
        <f>IF(Skills!N28=TRUE,(Skills!L28/10)*(E2606/1000),Skills!L28/10)+Skills!O28</f>
        <v>134.75</v>
      </c>
      <c r="G2606">
        <f>Calc!G28</f>
        <v>50</v>
      </c>
      <c r="H2606">
        <f>Calc!H28</f>
        <v>1</v>
      </c>
      <c r="I2606">
        <f>IF(Skills!X28&lt;&gt;"",1+(Skills!X28/10)*(Z2581/1000)/100,1)</f>
        <v>1</v>
      </c>
      <c r="J2606">
        <f>((Inputs!$B$6*(1+Inputs!$B$7/100))+(((Inputs!$B$12*(1+Inputs!$B$13/100))-(Inputs!$B$12*(1+Inputs!$B$13/100)))+0.25*(Inputs!$B$14-Inputs!$B$14))*(1+Inputs!$B$7/100))*(F2606/100)</f>
        <v>486628767.57437253</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2616342049775.9458</v>
      </c>
      <c r="L2606">
        <f>K2606*(MIN(Inputs!$B$22+(F2600-Calc!F22),(Inputs!$B$23+(IF(ArtifactsInput!$M$15,CHOOSE(ArtifactsInput!$N$15+1,25,30,35,40,45,50)/100*(Inputs!$B$11-Inputs!$B$11),0))))/100+(Inputs!$B$23+(IF(ArtifactsInput!$M$15,CHOOSE(ArtifactsInput!$N$15+1,25,30,35,40,45,50)/100*(Inputs!$B$11-Inputs!$B$11),0)))/100)/2</f>
        <v>8699337315505.0205</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41052172791868.188</v>
      </c>
      <c r="N2606">
        <f>L2606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41052172791868.188</v>
      </c>
      <c r="O2606">
        <f>(1-Summary!$B$11)*S2606+Summary!$B$11*U2606</f>
        <v>0</v>
      </c>
      <c r="P2606">
        <f>IF(B2619=0,0,O2606/B2619)</f>
        <v>0</v>
      </c>
      <c r="Q2606">
        <f>IFERROR(1/(IF(Inputs!$B$38="pvp",15,MAX(0.1,Skills!E28-IF(TRUE=TRUE,Inputs!$B$32,0)))*(1-IF(AND(ArtifactsInput!$M$27,Inputs!$B$4="Chapter Hunt"),CHOOSE(ArtifactsInput!$N$27+1,20,24,28,32,36,40),0)/100)),0)</f>
        <v>0.04</v>
      </c>
      <c r="R2606">
        <f>IF(AND(Inputs!$B$38&lt;&gt;"pvp",Inputs!$B$43&gt;0),IF(MAX(0,Inputs!$B$43-B2616)&lt;=0,0,(INT(MAX(0,Inputs!$B$43-B2616)/(IF(Inputs!$B$38="pvp",15,MAX(0.1,Skills!E28-IF(TRUE=TRUE,Inputs!$B$32,0)))*(1-IF(AND(ArtifactsInput!$M$27,Inputs!$B$4="Chapter Hunt"),CHOOSE(ArtifactsInput!$N$27+1,20,24,28,32,36,40),0)/100)))+1)),0)</f>
        <v>2</v>
      </c>
      <c r="S2606">
        <f>IF(C2606,(H2606*N2606*IF(AND(Inputs!$B$38&lt;&gt;"pvp",Inputs!$B$43&gt;0),((Skills!G28*((R2606-1)*IF(Skills!H28&gt;0,Skills!I28/Skills!H28,1)+IF(Skills!H28&gt;0,MIN(Skills!I28,MAX(0,MAX(0,Inputs!$B$43-B2616)-((R2606-1)*(IF(Inputs!$B$38="pvp",15,MAX(0.1,Skills!E28-IF(TRUE=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06">
        <f>IF(C2606,(H2606*N2606*IF(AND(Inputs!$B$38&lt;&gt;"pvp",Inputs!$B$43&gt;0),((Skills!G28*((R2606-1)*IF(Skills!H28&gt;0,Skills!I28/Skills!H28,1)+IF(Skills!H28&gt;0,MIN(Skills!I28,MAX(0,MAX(0,Inputs!$B$43-B2616)-((R2606-1)*(IF(Inputs!$B$38="pvp",15,MAX(0.1,Skills!E28-IF(TRUE=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08" spans="1:21" x14ac:dyDescent="0.2">
      <c r="A2608" t="s">
        <v>356</v>
      </c>
      <c r="B2608">
        <f>1+(F2589*Skills!Z11)/100</f>
        <v>1.25</v>
      </c>
    </row>
    <row r="2609" spans="1:26" x14ac:dyDescent="0.2">
      <c r="A2609" t="s">
        <v>435</v>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1.18624</v>
      </c>
    </row>
    <row r="2610" spans="1:26" x14ac:dyDescent="0.2">
      <c r="A2610" t="s">
        <v>358</v>
      </c>
      <c r="B2610">
        <f>(1+(F2584*IF(AND(Inputs!$B$38&lt;&gt;"pvp",Inputs!$B$43&gt;0),(((R2584-1)*MIN((Skills!T6*(1+((Inputs!$B$34+(ArtifactsInput!$M$7-ArtifactsInput!$M$7)*CHOOSE(ArtifactsInput!$N$7+1,6,7.2,8.4,9.6,10.8,12)))/100)),(1/Q2584))+MIN((Skills!T6*(1+((Inputs!$B$34+(ArtifactsInput!$M$7-ArtifactsInput!$M$7)*CHOOSE(ArtifactsInput!$N$7+1,6,7.2,8.4,9.6,10.8,12)))/100)),MAX(0,Inputs!$B$43-((R2584-1)*(1/Q2584)))))/Inputs!$B$43),IF(Inputs!$B$38="pvp",MIN((Skills!T6*(1+((Inputs!$B$34+(ArtifactsInput!$M$7-ArtifactsInput!$M$7)*CHOOSE(ArtifactsInput!$N$7+1,6,7.2,8.4,9.6,10.8,12)))/100)),15)/15,MIN(1,(Skills!T6*(1+((Inputs!$B$34+(ArtifactsInput!$M$7-ArtifactsInput!$M$7)*CHOOSE(ArtifactsInput!$N$7+1,6,7.2,8.4,9.6,10.8,12)))/100))/(1/Q2584))))+F2595*IF(AND(Inputs!$B$38&lt;&gt;"pvp",Inputs!$B$43&gt;0),(((R2595-1)*MIN((Skills!T17*(1+((Inputs!$B$34+(ArtifactsInput!$M$7-ArtifactsInput!$M$7)*CHOOSE(ArtifactsInput!$N$7+1,6,7.2,8.4,9.6,10.8,12)))/100)),(1/Q2595))+MIN((Skills!T17*(1+((Inputs!$B$34+(ArtifactsInput!$M$7-ArtifactsInput!$M$7)*CHOOSE(ArtifactsInput!$N$7+1,6,7.2,8.4,9.6,10.8,12)))/100)),MAX(0,Inputs!$B$43-((R2595-1)*(1/Q2595)))))/Inputs!$B$43),IF(Inputs!$B$38="pvp",MIN((Skills!T17*(1+((Inputs!$B$34+(ArtifactsInput!$M$7-ArtifactsInput!$M$7)*CHOOSE(ArtifactsInput!$N$7+1,6,7.2,8.4,9.6,10.8,12)))/100)),15)/15,MIN(1,(Skills!T17*(1+((Inputs!$B$34+(ArtifactsInput!$M$7-ArtifactsInput!$M$7)*CHOOSE(ArtifactsInput!$N$7+1,6,7.2,8.4,9.6,10.8,12)))/100))/(1/Q2595)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MIN((Skills!T19*(1+((Inputs!$B$34+(ArtifactsInput!$M$7-ArtifactsInput!$M$7)*CHOOSE(ArtifactsInput!$N$7+1,6,7.2,8.4,9.6,10.8,12)))/100)),(1/Q2597))+MIN((Skills!T19*(1+((Inputs!$B$34+(ArtifactsInput!$M$7-ArtifactsInput!$M$7)*CHOOSE(ArtifactsInput!$N$7+1,6,7.2,8.4,9.6,10.8,12)))/100)),MAX(0,Inputs!$B$43-((R2597-1)*(1/Q2597)))))/Inputs!$B$43),IF(Inputs!$B$38="pvp",MIN((Skills!T19*(1+((Inputs!$B$34+(ArtifactsInput!$M$7-ArtifactsInput!$M$7)*CHOOSE(ArtifactsInput!$N$7+1,6,7.2,8.4,9.6,10.8,12)))/100)),15)/15,MIN(1,(Skills!T19*(1+((Inputs!$B$34+(ArtifactsInput!$M$7-ArtifactsInput!$M$7)*CHOOSE(ArtifactsInput!$N$7+1,6,7.2,8.4,9.6,10.8,12)))/100))/(1/Q2597))))/100),1)</f>
        <v>1.7965808377980694</v>
      </c>
    </row>
    <row r="2611" spans="1:26" x14ac:dyDescent="0.2">
      <c r="A2611" t="s">
        <v>359</v>
      </c>
      <c r="B2611">
        <f>F2596*IF(AND(Inputs!$B$38&lt;&gt;"pvp",Inputs!$B$43&gt;0),(((R2596-1)*MIN((Skills!T18*(1+((Inputs!$B$34+(ArtifactsInput!$M$7-ArtifactsInput!$M$7)*CHOOSE(ArtifactsInput!$N$7+1,6,7.2,8.4,9.6,10.8,12)))/100)),(1/Q2596))+MIN((Skills!T18*(1+((Inputs!$B$34+(ArtifactsInput!$M$7-ArtifactsInput!$M$7)*CHOOSE(ArtifactsInput!$N$7+1,6,7.2,8.4,9.6,10.8,12)))/100)),MAX(0,Inputs!$B$43-((R2596-1)*(1/Q2596)))))/Inputs!$B$43),IF(Inputs!$B$38="pvp",MIN((Skills!T18*(1+((Inputs!$B$34+(ArtifactsInput!$M$7-ArtifactsInput!$M$7)*CHOOSE(ArtifactsInput!$N$7+1,6,7.2,8.4,9.6,10.8,12)))/100)),15)/15,MIN(1,(Skills!T18*(1+((Inputs!$B$34+(ArtifactsInput!$M$7-ArtifactsInput!$M$7)*CHOOSE(ArtifactsInput!$N$7+1,6,7.2,8.4,9.6,10.8,12)))/100))/(1/Q2596))))</f>
        <v>6.4968749999999993</v>
      </c>
    </row>
    <row r="2612" spans="1:26" x14ac:dyDescent="0.2">
      <c r="A2612" t="s">
        <v>436</v>
      </c>
      <c r="B2612">
        <f>1+MIN(150,150*(1-(1-(Inputs!$B$11+(ArtifactsInput!$M$15-ArtifactsInput!$M$15)*CHOOSE(ArtifactsInput!$N$15+1,8,9.6,11.2,12.8,14.4,16))/150)*(1-B2611/150)))/100</f>
        <v>1.6982958749999999</v>
      </c>
    </row>
    <row r="2613" spans="1:26" x14ac:dyDescent="0.2">
      <c r="A2613" t="s">
        <v>437</v>
      </c>
      <c r="B2613">
        <f>IF(AND(Inputs!$B$38&lt;&gt;"pvp",Inputs!$B$43&gt;0),SUMPRODUCT((Skills!F2:F28=TRUE)*(C2580:C2606=TRUE)*R2580:R2606)/Inputs!$B$43,SUMPRODUCT((Skills!F2:F28=TRUE)*(C2580:C2606=TRUE)*Q2580:Q2606))</f>
        <v>0.47499999999999998</v>
      </c>
    </row>
    <row r="2614" spans="1:26" x14ac:dyDescent="0.2">
      <c r="A2614" t="s">
        <v>362</v>
      </c>
      <c r="B2614">
        <f>MAX(0,B2612-B2613)</f>
        <v>1.2232958749999998</v>
      </c>
    </row>
    <row r="2615" spans="1:26" x14ac:dyDescent="0.2">
      <c r="A2615" t="s">
        <v>438</v>
      </c>
      <c r="B2615">
        <f>IF(AND(Inputs!$B$38&lt;&gt;"pvp",Inputs!$B$43&gt;0),SUMPRODUCT((Skills!V2:V28=TRUE)*(C2580:C2606=TRUE)*R2580:R2606*Skills!W2:W28)/Inputs!$B$43,SUMPRODUCT((Skills!V2:V28=TRUE)*(C2580:C2606=TRUE)*Q2580:Q2606*Skills!W2:W28))+B2614</f>
        <v>1.5482958749999998</v>
      </c>
    </row>
    <row r="2616" spans="1:26" x14ac:dyDescent="0.2">
      <c r="A2616" t="s">
        <v>439</v>
      </c>
      <c r="B2616">
        <f>IF(AND(Inputs!$B$38&lt;&gt;"pvp",Inputs!$B$43&gt;0),SUMPRODUCT((Skills!T2:T28&gt;0)*(Skills!F2:F28=TRUE)*(C2580:C2606=TRUE))/B2612,0)</f>
        <v>2.3553021937358238</v>
      </c>
    </row>
    <row r="2617" spans="1:26" x14ac:dyDescent="0.2">
      <c r="A2617" t="s">
        <v>440</v>
      </c>
      <c r="B2617">
        <f>SUM(S2580:S2606)</f>
        <v>1.0183471494458624E+16</v>
      </c>
    </row>
    <row r="2618" spans="1:26" x14ac:dyDescent="0.2">
      <c r="A2618" t="s">
        <v>441</v>
      </c>
      <c r="B2618">
        <f>SUM(U2580:U2606)</f>
        <v>6.0622378235696736E+16</v>
      </c>
    </row>
    <row r="2619" spans="1:26" x14ac:dyDescent="0.2">
      <c r="A2619" s="6" t="s">
        <v>348</v>
      </c>
      <c r="B2619" s="6">
        <f>SUM(O2580:O2606)</f>
        <v>3.540292486507768E+16</v>
      </c>
    </row>
    <row r="2622" spans="1:26" x14ac:dyDescent="0.2">
      <c r="A2622" s="6" t="s">
        <v>499</v>
      </c>
    </row>
    <row r="2623" spans="1:26" x14ac:dyDescent="0.2">
      <c r="A2623" s="5" t="s">
        <v>136</v>
      </c>
      <c r="B2623" s="5" t="s">
        <v>137</v>
      </c>
      <c r="C2623" s="5" t="s">
        <v>328</v>
      </c>
      <c r="D2623" s="5" t="s">
        <v>329</v>
      </c>
      <c r="E2623" s="5" t="s">
        <v>330</v>
      </c>
      <c r="F2623" s="5" t="s">
        <v>331</v>
      </c>
      <c r="G2623" s="5" t="s">
        <v>332</v>
      </c>
      <c r="H2623" s="5" t="s">
        <v>333</v>
      </c>
      <c r="I2623" s="5" t="s">
        <v>334</v>
      </c>
      <c r="J2623" s="5" t="s">
        <v>335</v>
      </c>
      <c r="K2623" s="5" t="s">
        <v>336</v>
      </c>
      <c r="L2623" s="5" t="s">
        <v>337</v>
      </c>
      <c r="M2623" s="5" t="s">
        <v>338</v>
      </c>
      <c r="N2623" s="5" t="s">
        <v>339</v>
      </c>
      <c r="O2623" s="5" t="s">
        <v>340</v>
      </c>
      <c r="P2623" s="5" t="s">
        <v>341</v>
      </c>
      <c r="R2623" t="s">
        <v>434</v>
      </c>
    </row>
    <row r="2624" spans="1:26" x14ac:dyDescent="0.2">
      <c r="A2624" t="str">
        <f>Skills!A2</f>
        <v>BASIC_ATTACK</v>
      </c>
      <c r="B2624" t="str">
        <f>Skills!B2</f>
        <v>Basic Attack</v>
      </c>
      <c r="C2624" t="b">
        <f>TRUE</f>
        <v>1</v>
      </c>
      <c r="F2624">
        <f>T2626+Skills!O2</f>
        <v>537.6</v>
      </c>
      <c r="G2624">
        <f>Calc!G2</f>
        <v>5</v>
      </c>
      <c r="H2624">
        <f>Calc!H2</f>
        <v>1</v>
      </c>
      <c r="I2624">
        <f>IF(Skills!X2&lt;&gt;"",1+(Skills!X2/10)*(Z2625/1000)/100,1)</f>
        <v>1</v>
      </c>
      <c r="J2624">
        <f>((Inputs!$B$6*(1+Inputs!$B$7/100))+(((Inputs!$B$12*(1+Inputs!$B$13/100))-(Inputs!$B$12*(1+Inputs!$B$13/100)))+0.25*(Inputs!$B$14-Inputs!$B$14))*(1+Inputs!$B$7/100))*(F2624/100)</f>
        <v>1941459186.9980164</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7065250734738.3164</v>
      </c>
      <c r="L2624">
        <f>K2624*(MIN(Inputs!$B$22+(F2644-Calc!F22),(Inputs!$B$23+(IF(ArtifactsInput!$M$15,CHOOSE(ArtifactsInput!$N$15+1,25,30,35,40,45,50)/100*(Inputs!$B$11-Inputs!$B$11),0))))/100+(Inputs!$B$23+(IF(ArtifactsInput!$M$15,CHOOSE(ArtifactsInput!$N$15+1,25,30,35,40,45,50)/100*(Inputs!$B$11-Inputs!$B$11),0)))/100)/2</f>
        <v>23491958693004.902</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110858553072290.12</v>
      </c>
      <c r="N2624">
        <f>L2624*(1-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110858553072290.12</v>
      </c>
      <c r="O2624">
        <f>(1-Summary!$B$11)*S2624+Summary!$B$11*U2624</f>
        <v>1.3405650029209064E+16</v>
      </c>
      <c r="P2624">
        <f>IF(B2663=0,0,O2624/B2663)</f>
        <v>0.37714476950695641</v>
      </c>
      <c r="Q2624">
        <f>IFERROR(1/(IF(Inputs!$B$38="pvp",15,MAX(0.1,Skills!E2-IF(TRUE=TRUE,Inputs!$B$32,0)))*(1-IF(AND(ArtifactsInput!$M$27,Inputs!$B$4="Chapter Hunt"),CHOOSE(ArtifactsInput!$N$27+1,20,24,28,32,36,40),0)/100)),0)</f>
        <v>10</v>
      </c>
      <c r="R2624">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2319626449284855</v>
      </c>
      <c r="T2624">
        <f>MAX(0,(Inputs!$B$3-100)*3)+Inputs!$B$28+Inputs!$B$29</f>
        <v>185</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2.4491673609133272E+16</v>
      </c>
      <c r="Z2624">
        <f>MAX(0,(Inputs!$B$3-100)*3)+Inputs!$B$28+Inputs!$B$29</f>
        <v>185</v>
      </c>
    </row>
    <row r="2625" spans="1:26" x14ac:dyDescent="0.2">
      <c r="A2625" t="str">
        <f>Skills!A3</f>
        <v>IGNITE</v>
      </c>
      <c r="B2625" t="str">
        <f>Skills!B3</f>
        <v>Ignite</v>
      </c>
      <c r="C2625" t="b">
        <f>TRUE</f>
        <v>1</v>
      </c>
      <c r="D2625">
        <f>IF(Skills!C3=1,60+Inputs!$B$25+Inputs!$B$29,IF(Skills!C3=2,90+Inputs!$B$26+Inputs!$B$29,IF(Skills!C3=3,120+Inputs!$B$27+Inputs!$B$29,MAX(0,(Inputs!$B$3-100)*3)+Inputs!$B$28+Inputs!$B$29)))</f>
        <v>168</v>
      </c>
      <c r="E2625">
        <f>INDEX(FactorTable!$B$2:$Y$301, MATCH(ROUND(MIN(300,MAX(1,D2625)),0), FactorTable!$A$2:$A$301,0), Skills!M3+1)</f>
        <v>1672</v>
      </c>
      <c r="F2625">
        <f>IF(Skills!N3=TRUE,(Skills!L3/10)*(E2625/1000),Skills!L3/10)+Skills!O3</f>
        <v>121.736</v>
      </c>
      <c r="G2625">
        <f>Calc!G3</f>
        <v>3</v>
      </c>
      <c r="H2625">
        <f>Calc!H3</f>
        <v>1</v>
      </c>
      <c r="I2625">
        <f>IF(Skills!X3&lt;&gt;"",1+(Skills!X3/10)*(Z2625/1000)/100,1)</f>
        <v>4.8250000000000002</v>
      </c>
      <c r="J2625">
        <f>((Inputs!$B$6*(1+Inputs!$B$7/100))+(((Inputs!$B$12*(1+Inputs!$B$13/100))-(Inputs!$B$12*(1+Inputs!$B$13/100)))+0.25*(Inputs!$B$14-Inputs!$B$14))*(1+Inputs!$B$7/100))*(F2625/100)</f>
        <v>439630720.9605478</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11374932631002.104</v>
      </c>
      <c r="L2625">
        <f>K2625*(MIN(Inputs!$B$22+(F2644-Calc!F22),(Inputs!$B$23+(IF(ArtifactsInput!$M$15,CHOOSE(ArtifactsInput!$N$15+1,25,30,35,40,45,50)/100*(Inputs!$B$11-Inputs!$B$11),0))))/100+(Inputs!$B$23+(IF(ArtifactsInput!$M$15,CHOOSE(ArtifactsInput!$N$15+1,25,30,35,40,45,50)/100*(Inputs!$B$11-Inputs!$B$11),0)))/100)/2</f>
        <v>37821650998082</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178480371059948.94</v>
      </c>
      <c r="N2625">
        <f>L2625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178480371059948.94</v>
      </c>
      <c r="O2625">
        <f>(1-Summary!$B$11)*S2625+Summary!$B$11*U2625</f>
        <v>3140100159871668</v>
      </c>
      <c r="P2625">
        <f>IF(B2663=0,0,O2625/B2663)</f>
        <v>8.8341285088241975E-2</v>
      </c>
      <c r="Q2625">
        <f>IFERROR(1/(IF(Inputs!$B$38="pvp",15,MAX(0.1,Skills!E3-IF(FALSE=TRUE,Inputs!$B$32,0)))*(1-IF(AND(ArtifactsInput!$M$27,Inputs!$B$4="Chapter Hunt"),CHOOSE(ArtifactsInput!$N$27+1,20,24,28,32,36,40),0)/100)),0)</f>
        <v>1</v>
      </c>
      <c r="R2625">
        <f>IF(AND(Inputs!$B$38&lt;&gt;"pvp",Inputs!$B$43&gt;0),IF(MAX(0,Inputs!$B$43-B2660)&lt;=0,0,(INT(MAX(0,Inputs!$B$43-B2660)/(IF(Inputs!$B$38="pvp",15,MAX(0.1,Skills!E3-IF(FALSE=TRUE,Inputs!$B$32,0)))*(1-IF(AND(ArtifactsInput!$M$27,Inputs!$B$4="Chapter Hunt"),CHOOSE(ArtifactsInput!$N$27+1,20,24,28,32,36,40),0)/100)))+1)),0)</f>
        <v>38</v>
      </c>
      <c r="S2625">
        <f>IF(C2625,(H2625*N2625*IF(AND(Inputs!$B$38&lt;&gt;"pvp",Inputs!$B$43&gt;0),((Skills!G3*((R2625-1)*IF(Skills!H3&gt;0,Skills!I3/Skills!H3,1)+IF(Skills!H3&gt;0,MIN(Skills!I3,MAX(0,MAX(0,Inputs!$B$43-B2660)-((R2625-1)*(IF(Inputs!$B$38="pvp",15,MAX(0.1,Skills!E3-IF(FALSE=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1686918730330020.5</v>
      </c>
      <c r="T2625">
        <f>INDEX(FactorTable!$B$2:$Y$301, MATCH(ROUND(MIN(300,MAX(1,T2624)),0), FactorTable!$A$2:$A$301,0), 22)</f>
        <v>1740</v>
      </c>
      <c r="U2625">
        <f>IF(C2625,(H2625*N2625*IF(AND(Inputs!$B$38&lt;&gt;"pvp",Inputs!$B$43&gt;0),((Skills!G3*((R2625-1)*IF(Skills!H3&gt;0,Skills!I3/Skills!H3,1)+IF(Skills!H3&gt;0,MIN(Skills!I3,MAX(0,MAX(0,Inputs!$B$43-B2660)-((R2625-1)*(IF(Inputs!$B$38="pvp",15,MAX(0.1,Skills!E3-IF(FALSE=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4593281589413316</v>
      </c>
      <c r="Z2625">
        <f>INDEX(FactorTable!$B$2:$Y$301, MATCH(ROUND(MIN(300,MAX(1,Z2624)),0), FactorTable!$A$2:$A$301,0), 24)</f>
        <v>7650</v>
      </c>
    </row>
    <row r="2626" spans="1:26" x14ac:dyDescent="0.2">
      <c r="A2626" t="str">
        <f>Skills!A4</f>
        <v>POISON_BREATH</v>
      </c>
      <c r="B2626" t="str">
        <f>Skills!B4</f>
        <v>Poison Breath</v>
      </c>
      <c r="C2626" t="b">
        <f>TRUE</f>
        <v>1</v>
      </c>
      <c r="D2626">
        <f>IF(Skills!C4=1,60+Inputs!$B$25+Inputs!$B$29,IF(Skills!C4=2,90+Inputs!$B$26+Inputs!$B$29,IF(Skills!C4=3,120+Inputs!$B$27+Inputs!$B$29,MAX(0,(Inputs!$B$3-100)*3)+Inputs!$B$28+Inputs!$B$29)))</f>
        <v>168</v>
      </c>
      <c r="E2626">
        <f>INDEX(FactorTable!$B$2:$Y$301, MATCH(ROUND(MIN(300,MAX(1,D2626)),0), FactorTable!$A$2:$A$301,0), Skills!M4+1)</f>
        <v>1840</v>
      </c>
      <c r="F2626">
        <f>IF(Skills!N4=TRUE,(Skills!L4/10)*(E2626/1000),Skills!L4/10)+Skills!O4</f>
        <v>438</v>
      </c>
      <c r="G2626">
        <f>Calc!G4</f>
        <v>3</v>
      </c>
      <c r="H2626">
        <f>Calc!H4</f>
        <v>1</v>
      </c>
      <c r="I2626">
        <f>IF(Skills!X4&lt;&gt;"",1+(Skills!X4/10)*(Z2625/1000)/100,1)</f>
        <v>7.12</v>
      </c>
      <c r="J2626">
        <f>((Inputs!$B$6*(1+Inputs!$B$7/100))+(((Inputs!$B$12*(1+Inputs!$B$13/100))-(Inputs!$B$12*(1+Inputs!$B$13/100)))+0.25*(Inputs!$B$14-Inputs!$B$14))*(1+Inputs!$B$7/100))*(F2626/100)</f>
        <v>1581769203.69258</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60392998398195.078</v>
      </c>
      <c r="L2626">
        <f>K2626*(MIN(Inputs!$B$22+(F2644-Calc!F22),(Inputs!$B$23+(IF(ArtifactsInput!$M$15,CHOOSE(ArtifactsInput!$N$15+1,25,30,35,40,45,50)/100*(Inputs!$B$11-Inputs!$B$11),0))))/100+(Inputs!$B$23+(IF(ArtifactsInput!$M$15,CHOOSE(ArtifactsInput!$N$15+1,25,30,35,40,45,50)/100*(Inputs!$B$11-Inputs!$B$11),0)))/100)/2</f>
        <v>200806719673998.66</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947606910141599.5</v>
      </c>
      <c r="N2626">
        <f>L2626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947606910141599.5</v>
      </c>
      <c r="O2626">
        <f>(1-Summary!$B$11)*S2626+Summary!$B$11*U2626</f>
        <v>2278841173318929.5</v>
      </c>
      <c r="P2626">
        <f>IF(B2663=0,0,O2626/B2663)</f>
        <v>6.411125362676931E-2</v>
      </c>
      <c r="Q2626">
        <f>IFERROR(1/(IF(Inputs!$B$38="pvp",15,MAX(0.1,Skills!E4-IF(TRUE=TRUE,Inputs!$B$32,0)))*(1-IF(AND(ArtifactsInput!$M$27,Inputs!$B$4="Chapter Hunt"),CHOOSE(ArtifactsInput!$N$27+1,20,24,28,32,36,40),0)/100)),0)</f>
        <v>5.5555555555555552E-2</v>
      </c>
      <c r="R2626">
        <f>IF(AND(Inputs!$B$38&lt;&gt;"pvp",Inputs!$B$43&gt;0),IF(MAX(0,Inputs!$B$43-B2660)&lt;=0,0,(INT(MAX(0,Inputs!$B$43-B2660)/(IF(Inputs!$B$38="pvp",15,MAX(0.1,Skills!E4-IF(TRUE=TRUE,Inputs!$B$32,0)))*(1-IF(AND(ArtifactsInput!$M$27,Inputs!$B$4="Chapter Hunt"),CHOOSE(ArtifactsInput!$N$27+1,20,24,28,32,36,40),0)/100)))+1)),0)</f>
        <v>3</v>
      </c>
      <c r="S2626">
        <f>IF(C2626,(H2626*N2626*IF(AND(Inputs!$B$38&lt;&gt;"pvp",Inputs!$B$43&gt;0),((Skills!G4*((R2626-1)*IF(Skills!H4&gt;0,Skills!I4/Skills!H4,1)+IF(Skills!H4&gt;0,MIN(Skills!I4,MAX(0,MAX(0,Inputs!$B$43-B2660)-((R2626-1)*(IF(Inputs!$B$38="pvp",15,MAX(0.1,Skills!E4-IF(TRUE=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707081667277469.25</v>
      </c>
      <c r="T2626">
        <f>290*T2625/1000</f>
        <v>504.6</v>
      </c>
      <c r="U2626">
        <f>IF(C2626,(H2626*N2626*IF(AND(Inputs!$B$38&lt;&gt;"pvp",Inputs!$B$43&gt;0),((Skills!G4*((R2626-1)*IF(Skills!H4&gt;0,Skills!I4/Skills!H4,1)+IF(Skills!H4&gt;0,MIN(Skills!I4,MAX(0,MAX(0,Inputs!$B$43-B2660)-((R2626-1)*(IF(Inputs!$B$38="pvp",15,MAX(0.1,Skills!E4-IF(TRUE=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3850600679360389.5</v>
      </c>
    </row>
    <row r="2627" spans="1:26" x14ac:dyDescent="0.2">
      <c r="A2627" t="str">
        <f>Skills!A5</f>
        <v>ELEMENTAL_DRAIN</v>
      </c>
      <c r="B2627" t="str">
        <f>Skills!B5</f>
        <v>Elemental Drain</v>
      </c>
      <c r="C2627" t="b">
        <f>TRUE</f>
        <v>1</v>
      </c>
      <c r="D2627">
        <f>IF(Skills!C5=1,60+Inputs!$B$25+Inputs!$B$29,IF(Skills!C5=2,90+Inputs!$B$26+Inputs!$B$29,IF(Skills!C5=3,120+Inputs!$B$27+Inputs!$B$29,MAX(0,(Inputs!$B$3-100)*3)+Inputs!$B$28+Inputs!$B$29)))</f>
        <v>168</v>
      </c>
      <c r="E2627">
        <f>INDEX(FactorTable!$B$2:$Y$301, MATCH(ROUND(MIN(300,MAX(1,D2627)),0), FactorTable!$A$2:$A$301,0), Skills!M5+1)</f>
        <v>1672</v>
      </c>
      <c r="F2627">
        <f>IF(Skills!N5=TRUE,(Skills!L5/10)*(E2627/1000),Skills!L5/10)+Skills!O5</f>
        <v>20.064</v>
      </c>
      <c r="G2627">
        <f>Calc!G5</f>
        <v>5</v>
      </c>
      <c r="H2627">
        <f>Calc!H5</f>
        <v>1</v>
      </c>
      <c r="I2627">
        <f>IF(Skills!X5&lt;&gt;"",1+(Skills!X5/10)*(Z2625/1000)/100,1)</f>
        <v>12.475</v>
      </c>
      <c r="J2627">
        <f>((Inputs!$B$6*(1+Inputs!$B$7/100))+(((Inputs!$B$12*(1+Inputs!$B$13/100))-(Inputs!$B$12*(1+Inputs!$B$13/100)))+0.25*(Inputs!$B$14-Inputs!$B$14))*(1+Inputs!$B$7/100))*(F2627/100)</f>
        <v>72458030.371890247</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4847195779549.1494</v>
      </c>
      <c r="L2627">
        <f>K2627*(MIN(Inputs!$B$22+(F2644-Calc!F22),(Inputs!$B$23+(IF(ArtifactsInput!$M$15,CHOOSE(ArtifactsInput!$N$15+1,25,30,35,40,45,50)/100*(Inputs!$B$11-Inputs!$B$11),0))))/100+(Inputs!$B$23+(IF(ArtifactsInput!$M$15,CHOOSE(ArtifactsInput!$N$15+1,25,30,35,40,45,50)/100*(Inputs!$B$11-Inputs!$B$11),0)))/100)/2</f>
        <v>16116925967000.922</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76055773638277.344</v>
      </c>
      <c r="N2627">
        <f>L2627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76055773638277.344</v>
      </c>
      <c r="O2627">
        <f>(1-Summary!$B$11)*S2627+Summary!$B$11*U2627</f>
        <v>1142742083813915</v>
      </c>
      <c r="P2627">
        <f>IF(B2663=0,0,O2627/B2663)</f>
        <v>3.2149071389067578E-2</v>
      </c>
      <c r="Q2627">
        <f>IFERROR(1/(IF(Inputs!$B$38="pvp",15,MAX(0.1,Skills!E5-IF(FALSE=TRUE,Inputs!$B$32,0)))*(1-IF(AND(ArtifactsInput!$M$27,Inputs!$B$4="Chapter Hunt"),CHOOSE(ArtifactsInput!$N$27+1,20,24,28,32,36,40),0)/100)),0)</f>
        <v>1</v>
      </c>
      <c r="R2627">
        <f>IF(AND(Inputs!$B$38&lt;&gt;"pvp",Inputs!$B$43&gt;0),IF(MAX(0,Inputs!$B$43-B2660)&lt;=0,0,(INT(MAX(0,Inputs!$B$43-B2660)/(IF(Inputs!$B$38="pvp",15,MAX(0.1,Skills!E5-IF(FALSE=TRUE,Inputs!$B$32,0)))*(1-IF(AND(ArtifactsInput!$M$27,Inputs!$B$4="Chapter Hunt"),CHOOSE(ArtifactsInput!$N$27+1,20,24,28,32,36,40),0)/100)))+1)),0)</f>
        <v>38</v>
      </c>
      <c r="S2627">
        <f>IF(C2627,(H2627*N2627*IF(AND(Inputs!$B$38&lt;&gt;"pvp",Inputs!$B$43&gt;0),((Skills!G5*((R2627-1)*IF(Skills!H5&gt;0,Skills!I5/Skills!H5,1)+IF(Skills!H5&gt;0,MIN(Skills!I5,MAX(0,MAX(0,Inputs!$B$43-B2660)-((R2627-1)*(IF(Inputs!$B$38="pvp",15,MAX(0.1,Skills!E5-IF(FALSE=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1198076744034560</v>
      </c>
      <c r="U2627">
        <f>IF(C2627,(H2627*N2627*IF(AND(Inputs!$B$38&lt;&gt;"pvp",Inputs!$B$43&gt;0),((Skills!G5*((R2627-1)*IF(Skills!H5&gt;0,Skills!I5/Skills!H5,1)+IF(Skills!H5&gt;0,MIN(Skills!I5,MAX(0,MAX(0,Inputs!$B$43-B2660)-((R2627-1)*(IF(Inputs!$B$38="pvp",15,MAX(0.1,Skills!E5-IF(FALSE=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1087407423593270.2</v>
      </c>
    </row>
    <row r="2628" spans="1:26" x14ac:dyDescent="0.2">
      <c r="A2628" t="str">
        <f>Skills!A6</f>
        <v>MEDITATION</v>
      </c>
      <c r="B2628" t="str">
        <f>Skills!B6</f>
        <v>Meditation</v>
      </c>
      <c r="C2628" t="b">
        <f>TRUE</f>
        <v>1</v>
      </c>
      <c r="D2628">
        <f>IF(Skills!C6=1,60+Inputs!$B$25+Inputs!$B$29,IF(Skills!C6=2,90+Inputs!$B$26+Inputs!$B$29,IF(Skills!C6=3,120+Inputs!$B$27+Inputs!$B$29,MAX(0,(Inputs!$B$3-100)*3)+Inputs!$B$28+Inputs!$B$29)))</f>
        <v>168</v>
      </c>
      <c r="E2628">
        <f>INDEX(FactorTable!$B$2:$Y$301, MATCH(ROUND(MIN(300,MAX(1,D2628)),0), FactorTable!$A$2:$A$301,0), Skills!M6+1)</f>
        <v>1672</v>
      </c>
      <c r="F2628">
        <f>IF(Skills!N6=TRUE,(Skills!L6/10)*(E2628/1000),Skills!L6/10)+Skills!O6</f>
        <v>33.44</v>
      </c>
      <c r="G2628">
        <f>Calc!G6</f>
        <v>1</v>
      </c>
      <c r="H2628">
        <f>Calc!H6</f>
        <v>1</v>
      </c>
      <c r="I2628">
        <f>IF(Skills!X6&lt;&gt;"",1+(Skills!X6/10)*(Z2625/1000)/100,1)</f>
        <v>1</v>
      </c>
      <c r="O2628">
        <f>(1-Summary!$B$11)*S2628+Summary!$B$11*U2628</f>
        <v>0</v>
      </c>
      <c r="P2628">
        <f>IF(B2663=0,0,O2628/B2663)</f>
        <v>0</v>
      </c>
      <c r="Q2628">
        <f>IFERROR(1/(IF(Inputs!$B$38="pvp",15,MAX(0.1,Skills!E6-IF(TRUE=TRUE,Inputs!$B$32,0)))*(1-IF(AND(ArtifactsInput!$M$27,Inputs!$B$4="Chapter Hunt"),CHOOSE(ArtifactsInput!$N$27+1,20,24,28,32,36,40),0)/100)),0)</f>
        <v>3.3333333333333333E-2</v>
      </c>
      <c r="R2628">
        <f>IF(AND(Inputs!$B$38&lt;&gt;"pvp",Inputs!$B$43&gt;0),IF(Inputs!$B$43&lt;=0,0,(INT(Inputs!$B$43/(IF(Inputs!$B$38="pvp",15,MAX(0.1,Skills!E6-IF(TRUE=TRUE,Inputs!$B$32,0)))*(1-IF(AND(ArtifactsInput!$M$27,Inputs!$B$4="Chapter Hunt"),CHOOSE(ArtifactsInput!$N$27+1,20,24,28,32,36,40),0)/100)))+1)),0)</f>
        <v>2</v>
      </c>
      <c r="S2628">
        <v>0</v>
      </c>
      <c r="U2628">
        <v>0</v>
      </c>
    </row>
    <row r="2629" spans="1:26" x14ac:dyDescent="0.2">
      <c r="A2629" t="str">
        <f>Skills!A7</f>
        <v>POISON_MIST_BURST</v>
      </c>
      <c r="B2629" t="str">
        <f>Skills!B7</f>
        <v>Poison Mist (burst)</v>
      </c>
      <c r="C2629" t="b">
        <f>TRUE</f>
        <v>1</v>
      </c>
      <c r="D2629">
        <f>IF(Skills!C7=1,60+Inputs!$B$25+Inputs!$B$29,IF(Skills!C7=2,90+Inputs!$B$26+Inputs!$B$29,IF(Skills!C7=3,120+Inputs!$B$27+Inputs!$B$29,MAX(0,(Inputs!$B$3-100)*3)+Inputs!$B$28+Inputs!$B$29)))</f>
        <v>184</v>
      </c>
      <c r="E2629">
        <f>INDEX(FactorTable!$B$2:$Y$301, MATCH(ROUND(MIN(300,MAX(1,D2629)),0), FactorTable!$A$2:$A$301,0), Skills!M7+1)</f>
        <v>1920</v>
      </c>
      <c r="F2629">
        <f>IF(Skills!N7=TRUE,(Skills!L7/10)*(E2629/1000),Skills!L7/10)+Skills!O7</f>
        <v>357.2</v>
      </c>
      <c r="G2629">
        <f>Calc!G7</f>
        <v>3</v>
      </c>
      <c r="H2629">
        <f>Calc!H7</f>
        <v>1</v>
      </c>
      <c r="I2629">
        <f>IF(Skills!X7&lt;&gt;"",1+(Skills!X7/10)*(Z2625/1000)/100,1)</f>
        <v>1.7650000000000001</v>
      </c>
      <c r="J2629">
        <f>((Inputs!$B$6*(1+Inputs!$B$7/100))+(((Inputs!$B$12*(1+Inputs!$B$13/100))-(Inputs!$B$12*(1+Inputs!$B$13/100)))+0.25*(Inputs!$B$14-Inputs!$B$14))*(1+Inputs!$B$7/100))*(F2629/100)</f>
        <v>1289972510.4086521</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12209240477697.812</v>
      </c>
      <c r="L2629">
        <f>K2629*(MIN(Inputs!$B$22+(F2644-Calc!F22),(Inputs!$B$23+(IF(ArtifactsInput!$M$15,CHOOSE(ArtifactsInput!$N$15+1,25,30,35,40,45,50)/100*(Inputs!$B$11-Inputs!$B$11),0))))/100+(Inputs!$B$23+(IF(ArtifactsInput!$M$15,CHOOSE(ArtifactsInput!$N$15+1,25,30,35,40,45,50)/100*(Inputs!$B$11-Inputs!$B$11),0)))/100)/2</f>
        <v>40595724588345.227</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191571224332401.09</v>
      </c>
      <c r="N2629">
        <f>L2629*(1-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191571224332401.09</v>
      </c>
      <c r="O2629">
        <f>(1-Summary!$B$11)*S2629+Summary!$B$11*U2629</f>
        <v>480120664555515</v>
      </c>
      <c r="P2629">
        <f>IF(B2663=0,0,O2629/B2663)</f>
        <v>1.3507364206493455E-2</v>
      </c>
      <c r="Q2629">
        <f>IFERROR(1/(IF(Inputs!$B$38="pvp",15,MAX(0.1,Skills!E7-IF(TRUE=TRUE,Inputs!$B$32,0)))*(1-IF(AND(ArtifactsInput!$M$27,Inputs!$B$4="Chapter Hunt"),CHOOSE(ArtifactsInput!$N$27+1,20,24,28,32,36,40),0)/100)),0)</f>
        <v>4.0816326530612242E-2</v>
      </c>
      <c r="R2629">
        <f>IF(AND(Inputs!$B$38&lt;&gt;"pvp",Inputs!$B$43&gt;0),IF(MAX(0,Inputs!$B$43-B2660)&lt;=0,0,(INT(MAX(0,Inputs!$B$43-B2660)/(IF(Inputs!$B$38="pvp",15,MAX(0.1,Skills!E7-IF(TRUE=TRUE,Inputs!$B$32,0)))*(1-IF(AND(ArtifactsInput!$M$27,Inputs!$B$4="Chapter Hunt"),CHOOSE(ArtifactsInput!$N$27+1,20,24,28,32,36,40),0)/100)))+1)),0)</f>
        <v>2</v>
      </c>
      <c r="S2629">
        <f>IF(C2629,(H2629*N2629*IF(AND(Inputs!$B$38&lt;&gt;"pvp",Inputs!$B$43&gt;0),((Skills!G7*((R2629-1)*IF(Skills!H7&gt;0,Skills!I7/Skills!H7,1)+IF(Skills!H7&gt;0,MIN(Skills!I7,MAX(0,MAX(0,Inputs!$B$43-B2660)-((R2629-1)*(IF(Inputs!$B$38="pvp",15,MAX(0.1,Skills!E7-IF(TRUE=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95297251250239.188</v>
      </c>
      <c r="U2629">
        <f>IF(C2629,(H2629*N2629*IF(AND(Inputs!$B$38&lt;&gt;"pvp",Inputs!$B$43&gt;0),((Skills!G7*((R2629-1)*IF(Skills!H7&gt;0,Skills!I7/Skills!H7,1)+IF(Skills!H7&gt;0,MIN(Skills!I7,MAX(0,MAX(0,Inputs!$B$43-B2660)-((R2629-1)*(IF(Inputs!$B$38="pvp",15,MAX(0.1,Skills!E7-IF(TRUE=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864944077860790.88</v>
      </c>
    </row>
    <row r="2630" spans="1:26" x14ac:dyDescent="0.2">
      <c r="A2630" t="str">
        <f>Skills!A8</f>
        <v>POISON_MIST_DOT</v>
      </c>
      <c r="B2630" t="str">
        <f>Skills!B8</f>
        <v>Poison Mist (fog DoT)</v>
      </c>
      <c r="C2630" t="b">
        <f>TRUE</f>
        <v>1</v>
      </c>
      <c r="D2630">
        <f>IF(Skills!C8=1,60+Inputs!$B$25+Inputs!$B$29,IF(Skills!C8=2,90+Inputs!$B$26+Inputs!$B$29,IF(Skills!C8=3,120+Inputs!$B$27+Inputs!$B$29,MAX(0,(Inputs!$B$3-100)*3)+Inputs!$B$28+Inputs!$B$29)))</f>
        <v>184</v>
      </c>
      <c r="E2630">
        <f>INDEX(FactorTable!$B$2:$Y$301, MATCH(ROUND(MIN(300,MAX(1,D2630)),0), FactorTable!$A$2:$A$301,0), Skills!M8+1)</f>
        <v>1920</v>
      </c>
      <c r="F2630">
        <f>IF(Skills!N8=TRUE,(Skills!L8/10)*(E2630/1000),Skills!L8/10)+Skills!O8</f>
        <v>134.4</v>
      </c>
      <c r="G2630">
        <f>Calc!G8</f>
        <v>50</v>
      </c>
      <c r="H2630">
        <f>Calc!H8</f>
        <v>1</v>
      </c>
      <c r="I2630">
        <f>IF(Skills!X8&lt;&gt;"",1+(Skills!X8/10)*(Z2625/1000)/100,1)</f>
        <v>1.7650000000000001</v>
      </c>
      <c r="J2630">
        <f>((Inputs!$B$6*(1+Inputs!$B$7/100))+(((Inputs!$B$12*(1+Inputs!$B$13/100))-(Inputs!$B$12*(1+Inputs!$B$13/100)))+0.25*(Inputs!$B$14-Inputs!$B$14))*(1+Inputs!$B$7/100))*(F2630/100)</f>
        <v>485364796.74950409</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4593846361149.4561</v>
      </c>
      <c r="L2630">
        <f>K2630*(MIN(Inputs!$B$22+(F2644-Calc!F22),(Inputs!$B$23+(IF(ArtifactsInput!$M$15,CHOOSE(ArtifactsInput!$N$15+1,25,30,35,40,45,50)/100*(Inputs!$B$11-Inputs!$B$11),0))))/100+(Inputs!$B$23+(IF(ArtifactsInput!$M$15,CHOOSE(ArtifactsInput!$N$15+1,25,30,35,40,45,50)/100*(Inputs!$B$11-Inputs!$B$11),0)))/100)/2</f>
        <v>15274539150821.941</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72080550252728.734</v>
      </c>
      <c r="N2630">
        <f>L2630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72080550252728.734</v>
      </c>
      <c r="O2630">
        <f>(1-Summary!$B$11)*S2630+Summary!$B$11*U2630</f>
        <v>2494830467203739</v>
      </c>
      <c r="P2630">
        <f>IF(B2663=0,0,O2630/B2663)</f>
        <v>7.0187738711839295E-2</v>
      </c>
      <c r="Q2630">
        <f>IFERROR(1/(IF(Inputs!$B$38="pvp",15,MAX(0.1,Skills!E8-IF(TRUE=TRUE,Inputs!$B$32,0)))*(1-IF(AND(ArtifactsInput!$M$27,Inputs!$B$4="Chapter Hunt"),CHOOSE(ArtifactsInput!$N$27+1,20,24,28,32,36,40),0)/100)),0)</f>
        <v>4.0816326530612242E-2</v>
      </c>
      <c r="R2630">
        <f>IF(AND(Inputs!$B$38&lt;&gt;"pvp",Inputs!$B$43&gt;0),IF(MAX(0,Inputs!$B$43-B2660)&lt;=0,0,(INT(MAX(0,Inputs!$B$43-B2660)/(IF(Inputs!$B$38="pvp",15,MAX(0.1,Skills!E8-IF(TRUE=TRUE,Inputs!$B$32,0)))*(1-IF(AND(ArtifactsInput!$M$27,Inputs!$B$4="Chapter Hunt"),CHOOSE(ArtifactsInput!$N$27+1,20,24,28,32,36,40),0)/100)))+1)),0)</f>
        <v>2</v>
      </c>
      <c r="S2630">
        <f>IF(C2630,(H2630*N2630*IF(AND(Inputs!$B$38&lt;&gt;"pvp",Inputs!$B$43&gt;0),((Skills!G8*((R2630-1)*IF(Skills!H8&gt;0,Skills!I8/Skills!H8,1)+IF(Skills!H8&gt;0,MIN(Skills!I8,MAX(0,MAX(0,Inputs!$B$43-B2660)-((R2630-1)*(IF(Inputs!$B$38="pvp",15,MAX(0.1,Skills!E8-IF(TRUE=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495189029366129</v>
      </c>
      <c r="U2630">
        <f>IF(C2630,(H2630*N2630*IF(AND(Inputs!$B$38&lt;&gt;"pvp",Inputs!$B$43&gt;0),((Skills!G8*((R2630-1)*IF(Skills!H8&gt;0,Skills!I8/Skills!H8,1)+IF(Skills!H8&gt;0,MIN(Skills!I8,MAX(0,MAX(0,Inputs!$B$43-B2660)-((R2630-1)*(IF(Inputs!$B$38="pvp",15,MAX(0.1,Skills!E8-IF(TRUE=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4494471905041348.5</v>
      </c>
    </row>
    <row r="2631" spans="1:26" x14ac:dyDescent="0.2">
      <c r="A2631" t="str">
        <f>Skills!A9</f>
        <v>MIST_ERUPTION</v>
      </c>
      <c r="B2631" t="str">
        <f>Skills!B9</f>
        <v>Mist Eruption</v>
      </c>
      <c r="C2631" t="b">
        <f>Inputs!$B$3&gt;=103</f>
        <v>1</v>
      </c>
      <c r="D2631">
        <f>IF(Skills!C9=1,60+Inputs!$B$25+Inputs!$B$29,IF(Skills!C9=2,90+Inputs!$B$26+Inputs!$B$29,IF(Skills!C9=3,120+Inputs!$B$27+Inputs!$B$29,MAX(0,(Inputs!$B$3-100)*3)+Inputs!$B$28+Inputs!$B$29)))</f>
        <v>185</v>
      </c>
      <c r="E2631">
        <f>INDEX(FactorTable!$B$2:$Y$301, MATCH(ROUND(MIN(300,MAX(1,D2631)),0), FactorTable!$A$2:$A$301,0), Skills!M9+1)</f>
        <v>1925</v>
      </c>
      <c r="F2631">
        <f>IF(Skills!N9=TRUE,(Skills!L9/10)*(E2631/1000),Skills!L9/10)+Skills!O9</f>
        <v>5775</v>
      </c>
      <c r="G2631">
        <f>Calc!G9</f>
        <v>2.5</v>
      </c>
      <c r="H2631">
        <f>Calc!H9</f>
        <v>1</v>
      </c>
      <c r="I2631">
        <f>IF(Skills!X9&lt;&gt;"",1+(Skills!X9/10)*(Z2625/1000)/100,1)</f>
        <v>1</v>
      </c>
      <c r="J2631">
        <f>((Inputs!$B$6*(1+Inputs!$B$7/100))+(((Inputs!$B$12*(1+Inputs!$B$13/100))-(Inputs!$B$12*(1+Inputs!$B$13/100)))+0.25*(Inputs!$B$14-Inputs!$B$14))*(1+Inputs!$B$7/100))*(F2631/100)</f>
        <v>20855518610.330254</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111836734181666.09</v>
      </c>
      <c r="L2631">
        <f>K2631*(MIN(Inputs!$B$22+(F2644-Calc!F22),(Inputs!$B$23+(IF(ArtifactsInput!$M$15,CHOOSE(ArtifactsInput!$N$15+1,25,30,35,40,45,50)/100*(Inputs!$B$11-Inputs!$B$11),0))))/100+(Inputs!$B$23+(IF(ArtifactsInput!$M$15,CHOOSE(ArtifactsInput!$N$15+1,25,30,35,40,45,50)/100*(Inputs!$B$11-Inputs!$B$11),0)))/100)/2</f>
        <v>371857141154039.81</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1754793849105913.8</v>
      </c>
      <c r="N2631">
        <f>L2631*(1-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1754793849105913.8</v>
      </c>
      <c r="O2631">
        <f>(1-Summary!$B$11)*S2631+Summary!$B$11*U2631</f>
        <v>3664924068174907.5</v>
      </c>
      <c r="P2631">
        <f>IF(B2663=0,0,O2631/B2663)</f>
        <v>0.10310629771332865</v>
      </c>
      <c r="Q2631">
        <f>IFERROR(1/(IF(Inputs!$B$38="pvp",15,MAX(0.1,Skills!E9-IF(TRUE=TRUE,Inputs!$B$32,0)))*(1-IF(AND(ArtifactsInput!$M$27,Inputs!$B$4="Chapter Hunt"),CHOOSE(ArtifactsInput!$N$27+1,20,24,28,32,36,40),0)/100)),0)</f>
        <v>4.0816326530612242E-2</v>
      </c>
      <c r="R2631">
        <f>IF(AND(Inputs!$B$38&lt;&gt;"pvp",Inputs!$B$43&gt;0),IF(MAX(0,Inputs!$B$43-B2660)&lt;=0,0,(INT(MAX(0,Inputs!$B$43-B2660)/(IF(Inputs!$B$38="pvp",15,MAX(0.1,Skills!E9-IF(TRUE=TRUE,Inputs!$B$32,0)))*(1-IF(AND(ArtifactsInput!$M$27,Inputs!$B$4="Chapter Hunt"),CHOOSE(ArtifactsInput!$N$27+1,20,24,28,32,36,40),0)/100)))+1)),0)</f>
        <v>2</v>
      </c>
      <c r="S2631">
        <f>IF(C2631,(H2631*N2631*IF(AND(Inputs!$B$38&lt;&gt;"pvp",Inputs!$B$43&gt;0),((Skills!G9*((R2631-1)*IF(Skills!H9&gt;0,Skills!I9/Skills!H9,1)+IF(Skills!H9&gt;0,MIN(Skills!I9,MAX(0,MAX(0,Inputs!$B$43-B2660)-((R2631-1)*(IF(Inputs!$B$38="pvp",15,MAX(0.1,Skills!E9-IF(TRUE=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727436279088814.75</v>
      </c>
      <c r="U2631">
        <f>IF(C2631,(H2631*N2631*IF(AND(Inputs!$B$38&lt;&gt;"pvp",Inputs!$B$43&gt;0),((Skills!G9*((R2631-1)*IF(Skills!H9&gt;0,Skills!I9/Skills!H9,1)+IF(Skills!H9&gt;0,MIN(Skills!I9,MAX(0,MAX(0,Inputs!$B$43-B2660)-((R2631-1)*(IF(Inputs!$B$38="pvp",15,MAX(0.1,Skills!E9-IF(TRUE=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6602411857261000</v>
      </c>
    </row>
    <row r="2632" spans="1:26" x14ac:dyDescent="0.2">
      <c r="A2632" t="str">
        <f>Skills!A10</f>
        <v>CREEPING_TOXIN</v>
      </c>
      <c r="B2632" t="str">
        <f>Skills!B10</f>
        <v>Creeping Toxin</v>
      </c>
      <c r="C2632" t="b">
        <f>TRUE</f>
        <v>1</v>
      </c>
      <c r="D2632">
        <f>IF(Skills!C10=1,60+Inputs!$B$25+Inputs!$B$29,IF(Skills!C10=2,90+Inputs!$B$26+Inputs!$B$29,IF(Skills!C10=3,120+Inputs!$B$27+Inputs!$B$29,MAX(0,(Inputs!$B$3-100)*3)+Inputs!$B$28+Inputs!$B$29)))</f>
        <v>184</v>
      </c>
      <c r="E2632">
        <f>INDEX(FactorTable!$B$2:$Y$301, MATCH(ROUND(MIN(300,MAX(1,D2632)),0), FactorTable!$A$2:$A$301,0), Skills!M10+1)</f>
        <v>1920</v>
      </c>
      <c r="F2632">
        <f>IF(Skills!N10=TRUE,(Skills!L10/10)*(E2632/1000),Skills!L10/10)+Skills!O10</f>
        <v>280.39999999999998</v>
      </c>
      <c r="G2632">
        <f>Calc!G10</f>
        <v>15</v>
      </c>
      <c r="H2632">
        <f>Calc!H10</f>
        <v>1</v>
      </c>
      <c r="I2632">
        <f>IF(Skills!X10&lt;&gt;"",1+(Skills!X10/10)*(Z2625/1000)/100,1)</f>
        <v>1.7650000000000001</v>
      </c>
      <c r="J2632">
        <f>((Inputs!$B$6*(1+Inputs!$B$7/100))+(((Inputs!$B$12*(1+Inputs!$B$13/100))-(Inputs!$B$12*(1+Inputs!$B$13/100)))+0.25*(Inputs!$B$14-Inputs!$B$14))*(1+Inputs!$B$7/100))*(F2632/100)</f>
        <v>1012621197.9803641</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9584185414183.834</v>
      </c>
      <c r="L2632">
        <f>K2632*(MIN(Inputs!$B$22+(F2644-Calc!F22),(Inputs!$B$23+(IF(ArtifactsInput!$M$15,CHOOSE(ArtifactsInput!$N$15+1,25,30,35,40,45,50)/100*(Inputs!$B$11-Inputs!$B$11),0))))/100+(Inputs!$B$23+(IF(ArtifactsInput!$M$15,CHOOSE(ArtifactsInput!$N$15+1,25,30,35,40,45,50)/100*(Inputs!$B$11-Inputs!$B$11),0)))/100)/2</f>
        <v>31867416502161.25</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150382338473698.91</v>
      </c>
      <c r="N2632">
        <f>L2632*(1-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150382338473698.91</v>
      </c>
      <c r="O2632">
        <f>(1-Summary!$B$11)*S2632+Summary!$B$11*U2632</f>
        <v>353176182183944.38</v>
      </c>
      <c r="P2632">
        <f>IF(B2663=0,0,O2632/B2663)</f>
        <v>9.9360008306116649E-3</v>
      </c>
      <c r="Q2632">
        <f>IFERROR(1/(IF(Inputs!$B$38="pvp",15,MAX(0.1,Skills!E10-IF(TRUE=TRUE,Inputs!$B$32,0)))*(1-IF(AND(ArtifactsInput!$M$27,Inputs!$B$4="Chapter Hunt"),CHOOSE(ArtifactsInput!$N$27+1,20,24,28,32,36,40),0)/100)),0)</f>
        <v>3.7037037037037035E-2</v>
      </c>
      <c r="R2632">
        <f>IF(AND(Inputs!$B$38&lt;&gt;"pvp",Inputs!$B$43&gt;0),IF(MAX(0,Inputs!$B$43-B2660)&lt;=0,0,(INT(MAX(0,Inputs!$B$43-B2660)/(IF(Inputs!$B$38="pvp",15,MAX(0.1,Skills!E10-IF(TRUE=TRUE,Inputs!$B$32,0)))*(1-IF(AND(ArtifactsInput!$M$27,Inputs!$B$4="Chapter Hunt"),CHOOSE(ArtifactsInput!$N$27+1,20,24,28,32,36,40),0)/100)))+1)),0)</f>
        <v>2</v>
      </c>
      <c r="S2632">
        <f>IF(C2632,(H2632*N2632*IF(AND(Inputs!$B$38&lt;&gt;"pvp",Inputs!$B$43&gt;0),((Skills!G10*((R2632-1)*IF(Skills!H10&gt;0,Skills!I10/Skills!H10,1)+IF(Skills!H10&gt;0,MIN(Skills!I10,MAX(0,MAX(0,Inputs!$B$43-B2660)-((R2632-1)*(IF(Inputs!$B$38="pvp",15,MAX(0.1,Skills!E10-IF(TRUE=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319737274405765.19</v>
      </c>
      <c r="U2632">
        <f>IF(C2632,(H2632*N2632*IF(AND(Inputs!$B$38&lt;&gt;"pvp",Inputs!$B$43&gt;0),((Skills!G10*((R2632-1)*IF(Skills!H10&gt;0,Skills!I10/Skills!H10,1)+IF(Skills!H10&gt;0,MIN(Skills!I10,MAX(0,MAX(0,Inputs!$B$43-B2660)-((R2632-1)*(IF(Inputs!$B$38="pvp",15,MAX(0.1,Skills!E10-IF(TRUE=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386615089962123.62</v>
      </c>
    </row>
    <row r="2633" spans="1:26" x14ac:dyDescent="0.2">
      <c r="A2633" t="str">
        <f>Skills!A11</f>
        <v>BURNING_MAGIC</v>
      </c>
      <c r="B2633" t="str">
        <f>Skills!B11</f>
        <v>Burning Magic</v>
      </c>
      <c r="C2633" t="b">
        <f>TRUE</f>
        <v>1</v>
      </c>
      <c r="D2633">
        <f>IF(Skills!C11=1,60+Inputs!$B$25+Inputs!$B$29,IF(Skills!C11=2,90+Inputs!$B$26+Inputs!$B$29,IF(Skills!C11=3,120+Inputs!$B$27+Inputs!$B$29,MAX(0,(Inputs!$B$3-100)*3)+Inputs!$B$28+Inputs!$B$29)))</f>
        <v>184</v>
      </c>
      <c r="E2633">
        <f>INDEX(FactorTable!$B$2:$Y$301, MATCH(ROUND(MIN(300,MAX(1,D2633)),0), FactorTable!$A$2:$A$301,0), Skills!M11+1)</f>
        <v>0</v>
      </c>
      <c r="F2633">
        <f>IF(Skills!N11=TRUE,(Skills!L11/10)*(E2633/1000),Skills!L11/10)+Skills!O11</f>
        <v>5</v>
      </c>
      <c r="G2633">
        <f>Calc!G11</f>
        <v>1</v>
      </c>
      <c r="H2633">
        <f>Calc!H11</f>
        <v>1</v>
      </c>
      <c r="I2633">
        <f>IF(Skills!X11&lt;&gt;"",1+(Skills!X11/10)*(Z2625/1000)/100,1)</f>
        <v>1</v>
      </c>
      <c r="O2633">
        <f>(1-Summary!$B$11)*S2633+Summary!$B$11*U2633</f>
        <v>0</v>
      </c>
      <c r="P2633">
        <f>IF(B2663=0,0,O2633/B2663)</f>
        <v>0</v>
      </c>
      <c r="Q2633">
        <f>IFERROR(1/(IF(Inputs!$B$38="pvp",15,MAX(0.1,Skills!E11-IF(TRUE=TRUE,Inputs!$B$32,0)))*(1-IF(AND(ArtifactsInput!$M$27,Inputs!$B$4="Chapter Hunt"),CHOOSE(ArtifactsInput!$N$27+1,20,24,28,32,36,40),0)/100)),0)</f>
        <v>10</v>
      </c>
      <c r="R2633">
        <v>0</v>
      </c>
      <c r="S2633">
        <v>0</v>
      </c>
      <c r="U2633">
        <v>0</v>
      </c>
    </row>
    <row r="2634" spans="1:26" x14ac:dyDescent="0.2">
      <c r="A2634" t="str">
        <f>Skills!A12</f>
        <v>ELEMENTAL_DECREASE</v>
      </c>
      <c r="B2634" t="str">
        <f>Skills!B12</f>
        <v>Elemental Decrease</v>
      </c>
      <c r="C2634" t="b">
        <f>TRUE</f>
        <v>1</v>
      </c>
      <c r="D2634">
        <f>IF(Skills!C12=1,60+Inputs!$B$25+Inputs!$B$29,IF(Skills!C12=2,90+Inputs!$B$26+Inputs!$B$29,IF(Skills!C12=3,120+Inputs!$B$27+Inputs!$B$29,MAX(0,(Inputs!$B$3-100)*3)+Inputs!$B$28+Inputs!$B$29)))</f>
        <v>184</v>
      </c>
      <c r="E2634">
        <f>INDEX(FactorTable!$B$2:$Y$301, MATCH(ROUND(MIN(300,MAX(1,D2634)),0), FactorTable!$A$2:$A$301,0), Skills!M12+1)</f>
        <v>1552</v>
      </c>
      <c r="F2634">
        <f>IF(Skills!N12=TRUE,(Skills!L12/10)*(E2634/1000),Skills!L12/10)+Skills!O12</f>
        <v>18.624000000000002</v>
      </c>
      <c r="G2634">
        <f>Calc!G12</f>
        <v>1</v>
      </c>
      <c r="H2634">
        <f>Calc!H12</f>
        <v>0.5</v>
      </c>
      <c r="I2634">
        <f>IF(Skills!X12&lt;&gt;"",1+(Skills!X12/10)*(Z2625/1000)/100,1)</f>
        <v>1</v>
      </c>
      <c r="O2634">
        <f>(1-Summary!$B$11)*S2634+Summary!$B$11*U2634</f>
        <v>0</v>
      </c>
      <c r="P2634">
        <f>IF(B2663=0,0,O2634/B2663)</f>
        <v>0</v>
      </c>
      <c r="Q2634">
        <f>IFERROR(1/(IF(Inputs!$B$38="pvp",15,MAX(0.1,Skills!E12-IF(TRUE=TRUE,Inputs!$B$32,0)))*(1-IF(AND(ArtifactsInput!$M$27,Inputs!$B$4="Chapter Hunt"),CHOOSE(ArtifactsInput!$N$27+1,20,24,28,32,36,40),0)/100)),0)</f>
        <v>10</v>
      </c>
      <c r="R2634">
        <v>0</v>
      </c>
      <c r="S2634">
        <v>0</v>
      </c>
      <c r="U2634">
        <v>0</v>
      </c>
    </row>
    <row r="2635" spans="1:26" x14ac:dyDescent="0.2">
      <c r="A2635" t="str">
        <f>Skills!A13</f>
        <v>METEOR_SHOWER_BURST</v>
      </c>
      <c r="B2635" t="str">
        <f>Skills!B13</f>
        <v>Meteor Shower (burst)</v>
      </c>
      <c r="C2635" t="b">
        <f>Inputs!$B$3&gt;=105</f>
        <v>1</v>
      </c>
      <c r="D2635">
        <f>IF(Skills!C13=1,60+Inputs!$B$25+Inputs!$B$29,IF(Skills!C13=2,90+Inputs!$B$26+Inputs!$B$29,IF(Skills!C13=3,120+Inputs!$B$27+Inputs!$B$29,MAX(0,(Inputs!$B$3-100)*3)+Inputs!$B$28+Inputs!$B$29)))</f>
        <v>185</v>
      </c>
      <c r="E2635">
        <f>INDEX(FactorTable!$B$2:$Y$301, MATCH(ROUND(MIN(300,MAX(1,D2635)),0), FactorTable!$A$2:$A$301,0), Skills!M13+1)</f>
        <v>1925</v>
      </c>
      <c r="F2635">
        <f>IF(Skills!N13=TRUE,(Skills!L13/10)*(E2635/1000),Skills!L13/10)+Skills!O13</f>
        <v>1155</v>
      </c>
      <c r="G2635">
        <f>Calc!G13</f>
        <v>9</v>
      </c>
      <c r="H2635">
        <f>Calc!H13</f>
        <v>1</v>
      </c>
      <c r="I2635">
        <f>IF(Skills!X13&lt;&gt;"",1+(Skills!X13/10)*(Z2625/1000)/100,1)</f>
        <v>1</v>
      </c>
      <c r="J2635">
        <f>((Inputs!$B$6*(1+Inputs!$B$7/100))+(((Inputs!$B$12*(1+Inputs!$B$13/100))-(Inputs!$B$12*(1+Inputs!$B$13/100)))+0.25*(Inputs!$B$14-Inputs!$B$14))*(1+Inputs!$B$7/100))*(F2635/100)</f>
        <v>4171103722.0660505</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22367346836333.219</v>
      </c>
      <c r="L2635">
        <f>K2635*(MIN(Inputs!$B$22+(F2644-Calc!F22),(Inputs!$B$23+(IF(ArtifactsInput!$M$15,CHOOSE(ArtifactsInput!$N$15+1,25,30,35,40,45,50)/100*(Inputs!$B$11-Inputs!$B$11),0))))/100+(Inputs!$B$23+(IF(ArtifactsInput!$M$15,CHOOSE(ArtifactsInput!$N$15+1,25,30,35,40,45,50)/100*(Inputs!$B$11-Inputs!$B$11),0)))/100)/2</f>
        <v>74371428230807.953</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350958769821182.69</v>
      </c>
      <c r="N2635">
        <f>L2635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350958769821182.69</v>
      </c>
      <c r="O2635">
        <f>(1-Summary!$B$11)*S2635+Summary!$B$11*U2635</f>
        <v>1925684848501745.2</v>
      </c>
      <c r="P2635">
        <f>IF(B2663=0,0,O2635/B2663)</f>
        <v>5.4175811448814809E-2</v>
      </c>
      <c r="Q2635">
        <f>IFERROR(1/(IF(Inputs!$B$38="pvp",15,MAX(0.1,Skills!E13-IF(TRUE=TRUE,Inputs!$B$32,0)))*(1-IF(AND(ArtifactsInput!$M$27,Inputs!$B$4="Chapter Hunt"),CHOOSE(ArtifactsInput!$N$27+1,20,24,28,32,36,40),0)/100)),0)</f>
        <v>3.0303030303030304E-2</v>
      </c>
      <c r="R2635">
        <f>IF(AND(Inputs!$B$38&lt;&gt;"pvp",Inputs!$B$43&gt;0),IF(MAX(0,Inputs!$B$43-B2660)&lt;=0,0,(INT(MAX(0,Inputs!$B$43-B2660)/(IF(Inputs!$B$38="pvp",15,MAX(0.1,Skills!E13-IF(TRUE=TRUE,Inputs!$B$32,0)))*(1-IF(AND(ArtifactsInput!$M$27,Inputs!$B$4="Chapter Hunt"),CHOOSE(ArtifactsInput!$N$27+1,20,24,28,32,36,40),0)/100)))+1)),0)</f>
        <v>2</v>
      </c>
      <c r="S2635">
        <f>IF(C2635,(H2635*N2635*IF(AND(Inputs!$B$38&lt;&gt;"pvp",Inputs!$B$43&gt;0),((Skills!G13*((R2635-1)*IF(Skills!H13&gt;0,Skills!I13/Skills!H13,1)+IF(Skills!H13&gt;0,MIN(Skills!I13,MAX(0,MAX(0,Inputs!$B$43-B2660)-((R2635-1)*(IF(Inputs!$B$38="pvp",15,MAX(0.1,Skills!E13-IF(TRUE=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523754120943946.62</v>
      </c>
      <c r="U2635">
        <f>IF(C2635,(H2635*N2635*IF(AND(Inputs!$B$38&lt;&gt;"pvp",Inputs!$B$43&gt;0),((Skills!G13*((R2635-1)*IF(Skills!H13&gt;0,Skills!I13/Skills!H13,1)+IF(Skills!H13&gt;0,MIN(Skills!I13,MAX(0,MAX(0,Inputs!$B$43-B2660)-((R2635-1)*(IF(Inputs!$B$38="pvp",15,MAX(0.1,Skills!E13-IF(TRUE=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3327615576059544</v>
      </c>
    </row>
    <row r="2636" spans="1:26" x14ac:dyDescent="0.2">
      <c r="A2636" t="str">
        <f>Skills!A14</f>
        <v>METEOR_PROC</v>
      </c>
      <c r="B2636" t="str">
        <f>Skills!B14</f>
        <v>Meteor Proc (30% on-hit, 1s ICD)</v>
      </c>
      <c r="C2636" t="b">
        <f>Inputs!$B$3&gt;=113</f>
        <v>1</v>
      </c>
      <c r="D2636">
        <f>IF(Skills!C14=1,60+Inputs!$B$25+Inputs!$B$29,IF(Skills!C14=2,90+Inputs!$B$26+Inputs!$B$29,IF(Skills!C14=3,120+Inputs!$B$27+Inputs!$B$29,MAX(0,(Inputs!$B$3-100)*3)+Inputs!$B$28+Inputs!$B$29)))</f>
        <v>185</v>
      </c>
      <c r="E2636">
        <f>INDEX(FactorTable!$B$2:$Y$301, MATCH(ROUND(MIN(300,MAX(1,D2636)),0), FactorTable!$A$2:$A$301,0), Skills!M14+1)</f>
        <v>1740</v>
      </c>
      <c r="F2636">
        <f>IF(Skills!N14=TRUE,(Skills!L14/10)*(E2636/1000),Skills!L14/10)+Skills!O14</f>
        <v>1653</v>
      </c>
      <c r="G2636">
        <f>Calc!G14</f>
        <v>0</v>
      </c>
      <c r="H2636">
        <f>Calc!H14</f>
        <v>0.30000000000000004</v>
      </c>
      <c r="I2636">
        <f>IF(Skills!X14&lt;&gt;"",1+(Skills!X14/10)*(Z2625/1000)/100,1)</f>
        <v>1</v>
      </c>
      <c r="J2636">
        <f>((Inputs!$B$6*(1+Inputs!$B$7/100))+(((Inputs!$B$12*(1+Inputs!$B$13/100))-(Inputs!$B$12*(1+Inputs!$B$13/100)))+0.25*(Inputs!$B$14-Inputs!$B$14))*(1+Inputs!$B$7/100))*(F2636/100)</f>
        <v>5969553638.5932312</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32011449628102.871</v>
      </c>
      <c r="L2636">
        <f>K2636*(MIN(Inputs!$B$22+(F2644-Calc!F22),(Inputs!$B$23+(IF(ArtifactsInput!$M$15,CHOOSE(ArtifactsInput!$N$15+1,25,30,35,40,45,50)/100*(Inputs!$B$11-Inputs!$B$11),0))))/100+(Inputs!$B$23+(IF(ArtifactsInput!$M$15,CHOOSE(ArtifactsInput!$N$15+1,25,30,35,40,45,50)/100*(Inputs!$B$11-Inputs!$B$11),0)))/100)/2</f>
        <v>106438070013442.05</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502281252393432.94</v>
      </c>
      <c r="N2636">
        <f>L2636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502281252393432.94</v>
      </c>
      <c r="O2636">
        <f>(1-Summary!$B$11)*S2636+Summary!$B$11*U2636</f>
        <v>503916477892812.31</v>
      </c>
      <c r="P2636">
        <f>IF(B2663=0,0,O2636/B2663)</f>
        <v>1.4176818243915841E-2</v>
      </c>
      <c r="Q2636">
        <f>IFERROR(1/(IF(Inputs!$B$38="pvp",15,MAX(0.1,Skills!E14-IF(TRUE=TRUE,Inputs!$B$32,0)))*(1-IF(AND(ArtifactsInput!$M$27,Inputs!$B$4="Chapter Hunt"),CHOOSE(ArtifactsInput!$N$27+1,20,24,28,32,36,40),0)/100)),0)</f>
        <v>10</v>
      </c>
      <c r="R2636">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528317475702151.38</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479515480083473.25</v>
      </c>
    </row>
    <row r="2637" spans="1:26" x14ac:dyDescent="0.2">
      <c r="A2637" t="str">
        <f>Skills!A15</f>
        <v>FLAME_HAZE_BURST</v>
      </c>
      <c r="B2637" t="str">
        <f>Skills!B15</f>
        <v>Flame Haze (burst)</v>
      </c>
      <c r="C2637" t="b">
        <f>Inputs!$B$3&gt;=107</f>
        <v>1</v>
      </c>
      <c r="D2637">
        <f>IF(Skills!C15=1,60+Inputs!$B$25+Inputs!$B$29,IF(Skills!C15=2,90+Inputs!$B$26+Inputs!$B$29,IF(Skills!C15=3,120+Inputs!$B$27+Inputs!$B$29,MAX(0,(Inputs!$B$3-100)*3)+Inputs!$B$28+Inputs!$B$29)))</f>
        <v>185</v>
      </c>
      <c r="E2637">
        <f>INDEX(FactorTable!$B$2:$Y$301, MATCH(ROUND(MIN(300,MAX(1,D2637)),0), FactorTable!$A$2:$A$301,0), Skills!M15+1)</f>
        <v>1925</v>
      </c>
      <c r="F2637">
        <f>IF(Skills!N15=TRUE,(Skills!L15/10)*(E2637/1000),Skills!L15/10)+Skills!O15</f>
        <v>2310</v>
      </c>
      <c r="G2637">
        <f>Calc!G15</f>
        <v>3</v>
      </c>
      <c r="H2637">
        <f>Calc!H15</f>
        <v>1</v>
      </c>
      <c r="I2637">
        <f>IF(Skills!X15&lt;&gt;"",1+(Skills!X15/10)*(Z2625/1000)/100,1)</f>
        <v>1</v>
      </c>
      <c r="J2637">
        <f>((Inputs!$B$6*(1+Inputs!$B$7/100))+(((Inputs!$B$12*(1+Inputs!$B$13/100))-(Inputs!$B$12*(1+Inputs!$B$13/100)))+0.25*(Inputs!$B$14-Inputs!$B$14))*(1+Inputs!$B$7/100))*(F2637/100)</f>
        <v>8342207444.1321011</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44734693672666.438</v>
      </c>
      <c r="L2637">
        <f>K2637*(MIN(Inputs!$B$22+(F2644-Calc!F22),(Inputs!$B$23+(IF(ArtifactsInput!$M$15,CHOOSE(ArtifactsInput!$N$15+1,25,30,35,40,45,50)/100*(Inputs!$B$11-Inputs!$B$11),0))))/100+(Inputs!$B$23+(IF(ArtifactsInput!$M$15,CHOOSE(ArtifactsInput!$N$15+1,25,30,35,40,45,50)/100*(Inputs!$B$11-Inputs!$B$11),0)))/100)/2</f>
        <v>148742856461615.91</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701917539642365.38</v>
      </c>
      <c r="N2637">
        <f>L2637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701917539642365.38</v>
      </c>
      <c r="O2637">
        <f>(1-Summary!$B$11)*S2637+Summary!$B$11*U2637</f>
        <v>1759163552723955</v>
      </c>
      <c r="P2637">
        <f>IF(B2663=0,0,O2637/B2663)</f>
        <v>4.9491022902397729E-2</v>
      </c>
      <c r="Q2637">
        <f>IFERROR(1/(IF(Inputs!$B$38="pvp",15,MAX(0.1,Skills!E15-IF(TRUE=TRUE,Inputs!$B$32,0)))*(1-IF(AND(ArtifactsInput!$M$27,Inputs!$B$4="Chapter Hunt"),CHOOSE(ArtifactsInput!$N$27+1,20,24,28,32,36,40),0)/100)),0)</f>
        <v>0.04</v>
      </c>
      <c r="R2637">
        <f>IF(AND(Inputs!$B$38&lt;&gt;"pvp",Inputs!$B$43&gt;0),IF(MAX(0,Inputs!$B$43-B2660)&lt;=0,0,(INT(MAX(0,Inputs!$B$43-B2660)/(IF(Inputs!$B$38="pvp",15,MAX(0.1,Skills!E15-IF(TRUE=TRUE,Inputs!$B$32,0)))*(1-IF(AND(ArtifactsInput!$M$27,Inputs!$B$4="Chapter Hunt"),CHOOSE(ArtifactsInput!$N$27+1,20,24,28,32,36,40),0)/100)))+1)),0)</f>
        <v>2</v>
      </c>
      <c r="S2637">
        <f>IF(C2637,(H2637*N2637*IF(AND(Inputs!$B$38&lt;&gt;"pvp",Inputs!$B$43&gt;0),((Skills!G15*((R2637-1)*IF(Skills!H15&gt;0,Skills!I15/Skills!H15,1)+IF(Skills!H15&gt;0,MIN(Skills!I15,MAX(0,MAX(0,Inputs!$B$43-B2660)-((R2637-1)*(IF(Inputs!$B$38="pvp",15,MAX(0.1,Skills!E15-IF(TRUE=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349169413962631</v>
      </c>
      <c r="U2637">
        <f>IF(C2637,(H2637*N2637*IF(AND(Inputs!$B$38&lt;&gt;"pvp",Inputs!$B$43&gt;0),((Skills!G15*((R2637-1)*IF(Skills!H15&gt;0,Skills!I15/Skills!H15,1)+IF(Skills!H15&gt;0,MIN(Skills!I15,MAX(0,MAX(0,Inputs!$B$43-B2660)-((R2637-1)*(IF(Inputs!$B$38="pvp",15,MAX(0.1,Skills!E15-IF(TRUE=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3169157691485279</v>
      </c>
    </row>
    <row r="2638" spans="1:26" x14ac:dyDescent="0.2">
      <c r="A2638" t="str">
        <f>Skills!A16</f>
        <v>FLAME_HAZE_DOT</v>
      </c>
      <c r="B2638" t="str">
        <f>Skills!B16</f>
        <v>Flame Haze (burn DoT)</v>
      </c>
      <c r="C2638" t="b">
        <f>Inputs!$B$3&gt;=107</f>
        <v>1</v>
      </c>
      <c r="D2638">
        <f>IF(Skills!C16=1,60+Inputs!$B$25+Inputs!$B$29,IF(Skills!C16=2,90+Inputs!$B$26+Inputs!$B$29,IF(Skills!C16=3,120+Inputs!$B$27+Inputs!$B$29,MAX(0,(Inputs!$B$3-100)*3)+Inputs!$B$28+Inputs!$B$29)))</f>
        <v>185</v>
      </c>
      <c r="E2638">
        <f>INDEX(FactorTable!$B$2:$Y$301, MATCH(ROUND(MIN(300,MAX(1,D2638)),0), FactorTable!$A$2:$A$301,0), Skills!M16+1)</f>
        <v>1925</v>
      </c>
      <c r="F2638">
        <f>IF(Skills!N16=TRUE,(Skills!L16/10)*(E2638/1000),Skills!L16/10)+Skills!O16</f>
        <v>288.75</v>
      </c>
      <c r="G2638">
        <f>Calc!G16</f>
        <v>30</v>
      </c>
      <c r="H2638">
        <f>Calc!H16</f>
        <v>1</v>
      </c>
      <c r="I2638">
        <f>IF(Skills!X16&lt;&gt;"",1+(Skills!X16/10)*(Z2625/1000)/100,1)</f>
        <v>1</v>
      </c>
      <c r="J2638">
        <f>((Inputs!$B$6*(1+Inputs!$B$7/100))+(((Inputs!$B$12*(1+Inputs!$B$13/100))-(Inputs!$B$12*(1+Inputs!$B$13/100)))+0.25*(Inputs!$B$14-Inputs!$B$14))*(1+Inputs!$B$7/100))*(F2638/100)</f>
        <v>1042775930.5165126</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5591836709083.3047</v>
      </c>
      <c r="L2638">
        <f>K2638*(MIN(Inputs!$B$22+(F2644-Calc!F22),(Inputs!$B$23+(IF(ArtifactsInput!$M$15,CHOOSE(ArtifactsInput!$N$15+1,25,30,35,40,45,50)/100*(Inputs!$B$11-Inputs!$B$11),0))))/100+(Inputs!$B$23+(IF(ArtifactsInput!$M$15,CHOOSE(ArtifactsInput!$N$15+1,25,30,35,40,45,50)/100*(Inputs!$B$11-Inputs!$B$11),0)))/100)/2</f>
        <v>18592857057701.988</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87739692455295.672</v>
      </c>
      <c r="N2638">
        <f>L2638*(1-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87739692455295.672</v>
      </c>
      <c r="O2638">
        <f>(1-Summary!$B$11)*S2638+Summary!$B$11*U2638</f>
        <v>2026314366951992.5</v>
      </c>
      <c r="P2638">
        <f>IF(B2663=0,0,O2638/B2663)</f>
        <v>5.7006848844153531E-2</v>
      </c>
      <c r="Q2638">
        <f>IFERROR(1/(IF(Inputs!$B$38="pvp",15,MAX(0.1,Skills!E16-IF(TRUE=TRUE,Inputs!$B$32,0)))*(1-IF(AND(ArtifactsInput!$M$27,Inputs!$B$4="Chapter Hunt"),CHOOSE(ArtifactsInput!$N$27+1,20,24,28,32,36,40),0)/100)),0)</f>
        <v>0.04</v>
      </c>
      <c r="R2638">
        <f>IF(AND(Inputs!$B$38&lt;&gt;"pvp",Inputs!$B$43&gt;0),IF(MAX(0,Inputs!$B$43-B2660)&lt;=0,0,(INT(MAX(0,Inputs!$B$43-B2660)/(IF(Inputs!$B$38="pvp",15,MAX(0.1,Skills!E16-IF(TRUE=TRUE,Inputs!$B$32,0)))*(1-IF(AND(ArtifactsInput!$M$27,Inputs!$B$4="Chapter Hunt"),CHOOSE(ArtifactsInput!$N$27+1,20,24,28,32,36,40),0)/100)))+1)),0)</f>
        <v>2</v>
      </c>
      <c r="S2638">
        <f>IF(C2638,(H2638*N2638*IF(AND(Inputs!$B$38&lt;&gt;"pvp",Inputs!$B$43&gt;0),((Skills!G16*((R2638-1)*IF(Skills!H16&gt;0,Skills!I16/Skills!H16,1)+IF(Skills!H16&gt;0,MIN(Skills!I16,MAX(0,MAX(0,Inputs!$B$43-B2660)-((R2638-1)*(IF(Inputs!$B$38="pvp",15,MAX(0.1,Skills!E16-IF(TRUE=TRUE,Inputs!$B$32,0)))*(1-IF(AND(ArtifactsInput!$M$27,Inputs!$B$4="Chapter Hunt"),CHOOSE(ArtifactsInput!$N$27+1,20,24,28,32,36,40),0)/100)))))/Skills!H16,1)))/Inputs!$B$43),G2638*Q2638)*(1+IF(Inputs!$B$3&gt;=126,0.05*(B2658+Q2635+(H2636*B2659)/(1+Skills!H14*H2636*B2659)+Q2646),0)*(1/Q2637)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402195122174470.62</v>
      </c>
      <c r="U2638">
        <f>IF(C2638,(H2638*N2638*IF(AND(Inputs!$B$38&lt;&gt;"pvp",Inputs!$B$43&gt;0),((Skills!G16*((R2638-1)*IF(Skills!H16&gt;0,Skills!I16/Skills!H16,1)+IF(Skills!H16&gt;0,MIN(Skills!I16,MAX(0,MAX(0,Inputs!$B$43-B2660)-((R2638-1)*(IF(Inputs!$B$38="pvp",15,MAX(0.1,Skills!E16-IF(TRUE=TRUE,Inputs!$B$32,0)))*(1-IF(AND(ArtifactsInput!$M$27,Inputs!$B$4="Chapter Hunt"),CHOOSE(ArtifactsInput!$N$27+1,20,24,28,32,36,40),0)/100)))))/Skills!H16,1)))/Inputs!$B$43),G2638*Q2638)*(1+IF(Inputs!$B$3&gt;=126,0.05*(B2658+Q2635+(H2636*B2659)/(1+Skills!H14*H2636*B2659)+Q2646),0)*(1/Q2637)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3650433611729514.5</v>
      </c>
    </row>
    <row r="2639" spans="1:26" x14ac:dyDescent="0.2">
      <c r="A2639" t="str">
        <f>Skills!A17</f>
        <v>MAGIC_GUARD</v>
      </c>
      <c r="B2639" t="str">
        <f>Skills!B17</f>
        <v>Magic Guard</v>
      </c>
      <c r="C2639" t="b">
        <f>TRUE</f>
        <v>1</v>
      </c>
      <c r="D2639">
        <f>IF(Skills!C17=1,60+Inputs!$B$25+Inputs!$B$29,IF(Skills!C17=2,90+Inputs!$B$26+Inputs!$B$29,IF(Skills!C17=3,120+Inputs!$B$27+Inputs!$B$29,MAX(0,(Inputs!$B$3-100)*3)+Inputs!$B$28+Inputs!$B$29)))</f>
        <v>127</v>
      </c>
      <c r="E2639">
        <f>INDEX(FactorTable!$B$2:$Y$301, MATCH(ROUND(MIN(300,MAX(1,D2639)),0), FactorTable!$A$2:$A$301,0), Skills!M17+1)</f>
        <v>1508</v>
      </c>
      <c r="F2639">
        <f>IF(Skills!N17=TRUE,(Skills!L17/10)*(E2639/1000),Skills!L17/10)+Skills!O17</f>
        <v>18.096</v>
      </c>
      <c r="G2639">
        <f>Calc!G17</f>
        <v>1</v>
      </c>
      <c r="H2639">
        <f>Calc!H17</f>
        <v>1</v>
      </c>
      <c r="I2639">
        <f>IF(Skills!X17&lt;&gt;"",1+(Skills!X17/10)*(Z2625/1000)/100,1)</f>
        <v>1</v>
      </c>
      <c r="O2639">
        <f>(1-Summary!$B$11)*S2639+Summary!$B$11*U2639</f>
        <v>0</v>
      </c>
      <c r="P2639">
        <f>IF(B2663=0,0,O2639/B2663)</f>
        <v>0</v>
      </c>
      <c r="Q2639">
        <f>IFERROR(1/(IF(Inputs!$B$38="pvp",15,MAX(0.1,Skills!E17-IF(TRUE=TRUE,Inputs!$B$32,0)))*(1-IF(AND(ArtifactsInput!$M$27,Inputs!$B$4="Chapter Hunt"),CHOOSE(ArtifactsInput!$N$27+1,20,24,28,32,36,40),0)/100)),0)</f>
        <v>4.7619047619047616E-2</v>
      </c>
      <c r="R2639">
        <f>IF(AND(Inputs!$B$38&lt;&gt;"pvp",Inputs!$B$43&gt;0),IF(Inputs!$B$43&lt;=0,0,(INT(Inputs!$B$43/(IF(Inputs!$B$38="pvp",15,MAX(0.1,Skills!E17-IF(TRUE=TRUE,Inputs!$B$32,0)))*(1-IF(AND(ArtifactsInput!$M$27,Inputs!$B$4="Chapter Hunt"),CHOOSE(ArtifactsInput!$N$27+1,20,24,28,32,36,40),0)/100)))+1)),0)</f>
        <v>2</v>
      </c>
      <c r="S2639">
        <v>0</v>
      </c>
      <c r="U2639">
        <v>0</v>
      </c>
    </row>
    <row r="2640" spans="1:26" x14ac:dyDescent="0.2">
      <c r="A2640" t="str">
        <f>Skills!A18</f>
        <v>NIMBLE_FEET</v>
      </c>
      <c r="B2640" t="str">
        <f>Skills!B18</f>
        <v>Nimble Feet</v>
      </c>
      <c r="C2640" t="b">
        <f>TRUE</f>
        <v>1</v>
      </c>
      <c r="D2640">
        <f>IF(Skills!C18=1,60+Inputs!$B$25+Inputs!$B$29,IF(Skills!C18=2,90+Inputs!$B$26+Inputs!$B$29,IF(Skills!C18=3,120+Inputs!$B$27+Inputs!$B$29,MAX(0,(Inputs!$B$3-100)*3)+Inputs!$B$28+Inputs!$B$29)))</f>
        <v>127</v>
      </c>
      <c r="E2640">
        <f>INDEX(FactorTable!$B$2:$Y$301, MATCH(ROUND(MIN(300,MAX(1,D2640)),0), FactorTable!$A$2:$A$301,0), Skills!M18+1)</f>
        <v>0</v>
      </c>
      <c r="F2640">
        <f>IF(Skills!N18=TRUE,(Skills!L18/10)*(E2640/1000),Skills!L18/10)+Skills!O18</f>
        <v>15</v>
      </c>
      <c r="G2640">
        <f>Calc!G18</f>
        <v>1</v>
      </c>
      <c r="H2640">
        <f>Calc!H18</f>
        <v>1</v>
      </c>
      <c r="I2640">
        <f>IF(Skills!X18&lt;&gt;"",1+(Skills!X18/10)*(Z2625/1000)/100,1)</f>
        <v>1</v>
      </c>
      <c r="O2640">
        <f>(1-Summary!$B$11)*S2640+Summary!$B$11*U2640</f>
        <v>0</v>
      </c>
      <c r="P2640">
        <f>IF(B2663=0,0,O2640/B2663)</f>
        <v>0</v>
      </c>
      <c r="Q2640">
        <f>IFERROR(1/(IF(Inputs!$B$38="pvp",15,MAX(0.1,Skills!E18-IF(TRUE=TRUE,Inputs!$B$32,0)))*(1-IF(AND(ArtifactsInput!$M$27,Inputs!$B$4="Chapter Hunt"),CHOOSE(ArtifactsInput!$N$27+1,20,24,28,32,36,40),0)/100)),0)</f>
        <v>1.6666666666666666E-2</v>
      </c>
      <c r="R2640">
        <f>IF(AND(Inputs!$B$38&lt;&gt;"pvp",Inputs!$B$43&gt;0),IF(Inputs!$B$43&lt;=0,0,(INT(Inputs!$B$43/(IF(Inputs!$B$38="pvp",15,MAX(0.1,Skills!E18-IF(TRUE=TRUE,Inputs!$B$32,0)))*(1-IF(AND(ArtifactsInput!$M$27,Inputs!$B$4="Chapter Hunt"),CHOOSE(ArtifactsInput!$N$27+1,20,24,28,32,36,40),0)/100)))+1)),0)</f>
        <v>1</v>
      </c>
      <c r="S2640">
        <v>0</v>
      </c>
      <c r="U2640">
        <v>0</v>
      </c>
    </row>
    <row r="2641" spans="1:21" x14ac:dyDescent="0.2">
      <c r="A2641" t="str">
        <f>Skills!A19</f>
        <v>INFINITY</v>
      </c>
      <c r="B2641" t="str">
        <f>Skills!B19</f>
        <v>Infinity</v>
      </c>
      <c r="C2641" t="b">
        <f>Inputs!$B$3&gt;=110</f>
        <v>1</v>
      </c>
      <c r="D2641">
        <f>IF(Skills!C19=1,60+Inputs!$B$25+Inputs!$B$29,IF(Skills!C19=2,90+Inputs!$B$26+Inputs!$B$29,IF(Skills!C19=3,120+Inputs!$B$27+Inputs!$B$29,MAX(0,(Inputs!$B$3-100)*3)+Inputs!$B$28+Inputs!$B$29)))</f>
        <v>185</v>
      </c>
      <c r="E2641">
        <f>INDEX(FactorTable!$B$2:$Y$301, MATCH(ROUND(MIN(300,MAX(1,D2641)),0), FactorTable!$A$2:$A$301,0), Skills!M19+1)</f>
        <v>1740</v>
      </c>
      <c r="F2641">
        <f>IF(Skills!N19=TRUE,(Skills!L19/10)*(E2641/1000),Skills!L19/10)+Skills!O19</f>
        <v>37.700579999999995</v>
      </c>
      <c r="G2641">
        <f>Calc!G19</f>
        <v>1</v>
      </c>
      <c r="H2641">
        <f>Calc!H19</f>
        <v>1</v>
      </c>
      <c r="I2641">
        <f>IF(Skills!X19&lt;&gt;"",1+(Skills!X19/10)*(Z2625/1000)/100,1)</f>
        <v>1</v>
      </c>
      <c r="O2641">
        <f>(1-Summary!$B$11)*S2641+Summary!$B$11*U2641</f>
        <v>0</v>
      </c>
      <c r="P2641">
        <f>IF(B2663=0,0,O2641/B2663)</f>
        <v>0</v>
      </c>
      <c r="Q2641">
        <f>IFERROR(1/(IF(Inputs!$B$38="pvp",15,MAX(0.1,Skills!E19-IF(TRUE=TRUE,Inputs!$B$32,0)))*(1-IF(AND(ArtifactsInput!$M$27,Inputs!$B$4="Chapter Hunt"),CHOOSE(ArtifactsInput!$N$27+1,20,24,28,32,36,40),0)/100)),0)</f>
        <v>3.3333333333333333E-2</v>
      </c>
      <c r="R2641">
        <f>IF(AND(Inputs!$B$38&lt;&gt;"pvp",Inputs!$B$43&gt;0),IF(Inputs!$B$43&lt;=0,0,(INT(Inputs!$B$43/(IF(Inputs!$B$38="pvp",15,MAX(0.1,Skills!E19-IF(TRUE=TRUE,Inputs!$B$32,0)))*(1-IF(AND(ArtifactsInput!$M$27,Inputs!$B$4="Chapter Hunt"),CHOOSE(ArtifactsInput!$N$27+1,20,24,28,32,36,40),0)/100)))+1)),0)</f>
        <v>2</v>
      </c>
      <c r="S2641">
        <v>0</v>
      </c>
      <c r="U2641">
        <v>0</v>
      </c>
    </row>
    <row r="2642" spans="1:21" x14ac:dyDescent="0.2">
      <c r="A2642" t="str">
        <f>Skills!A20</f>
        <v>MAGIC_CRITICAL_RATE</v>
      </c>
      <c r="B2642" t="str">
        <f>Skills!B20</f>
        <v>Magic Critical (Crit Rate)</v>
      </c>
      <c r="C2642" t="b">
        <f>TRUE</f>
        <v>1</v>
      </c>
      <c r="D2642">
        <f>IF(Skills!C20=1,60+Inputs!$B$25+Inputs!$B$29,IF(Skills!C20=2,90+Inputs!$B$26+Inputs!$B$29,IF(Skills!C20=3,120+Inputs!$B$27+Inputs!$B$29,MAX(0,(Inputs!$B$3-100)*3)+Inputs!$B$28+Inputs!$B$29)))</f>
        <v>184</v>
      </c>
      <c r="E2642">
        <f>INDEX(FactorTable!$B$2:$Y$301, MATCH(ROUND(MIN(300,MAX(1,D2642)),0), FactorTable!$A$2:$A$301,0), Skills!M20+1)</f>
        <v>1552</v>
      </c>
      <c r="F2642">
        <f>IF(Skills!N20=TRUE,(Skills!L20/10)*(E2642/1000),Skills!L20/10)+Skills!O20</f>
        <v>12.416</v>
      </c>
      <c r="G2642">
        <f>Calc!G20</f>
        <v>1</v>
      </c>
      <c r="H2642">
        <f>Calc!H20</f>
        <v>1</v>
      </c>
      <c r="I2642">
        <f>IF(Skills!X20&lt;&gt;"",1+(Skills!X20/10)*(Z2625/1000)/100,1)</f>
        <v>1</v>
      </c>
      <c r="O2642">
        <f>(1-Summary!$B$11)*S2642+Summary!$B$11*U2642</f>
        <v>0</v>
      </c>
      <c r="P2642">
        <f>IF(B2663=0,0,O2642/B2663)</f>
        <v>0</v>
      </c>
      <c r="Q2642">
        <f>IFERROR(1/(IF(Inputs!$B$38="pvp",15,MAX(0.1,Skills!E20-IF(TRUE=TRUE,Inputs!$B$32,0)))*(1-IF(AND(ArtifactsInput!$M$27,Inputs!$B$4="Chapter Hunt"),CHOOSE(ArtifactsInput!$N$27+1,20,24,28,32,36,40),0)/100)),0)</f>
        <v>10</v>
      </c>
      <c r="R2642">
        <v>0</v>
      </c>
      <c r="S2642">
        <v>0</v>
      </c>
      <c r="U2642">
        <v>0</v>
      </c>
    </row>
    <row r="2643" spans="1:21" x14ac:dyDescent="0.2">
      <c r="A2643" t="str">
        <f>Skills!A21</f>
        <v>MAGIC_CRITICAL_DAMAGE</v>
      </c>
      <c r="B2643" t="str">
        <f>Skills!B21</f>
        <v>Magic Critical (Crit Damage)</v>
      </c>
      <c r="C2643" t="b">
        <f>TRUE</f>
        <v>1</v>
      </c>
      <c r="D2643">
        <f>IF(Skills!C21=1,60+Inputs!$B$25+Inputs!$B$29,IF(Skills!C21=2,90+Inputs!$B$26+Inputs!$B$29,IF(Skills!C21=3,120+Inputs!$B$27+Inputs!$B$29,MAX(0,(Inputs!$B$3-100)*3)+Inputs!$B$28+Inputs!$B$29)))</f>
        <v>184</v>
      </c>
      <c r="E2643">
        <f>INDEX(FactorTable!$B$2:$Y$301, MATCH(ROUND(MIN(300,MAX(1,D2643)),0), FactorTable!$A$2:$A$301,0), Skills!M21+1)</f>
        <v>1552</v>
      </c>
      <c r="F2643">
        <f>IF(Skills!N21=TRUE,(Skills!L21/10)*(E2643/1000),Skills!L21/10)+Skills!O21</f>
        <v>18.624000000000002</v>
      </c>
      <c r="G2643">
        <f>Calc!G21</f>
        <v>1</v>
      </c>
      <c r="H2643">
        <f>Calc!H21</f>
        <v>1</v>
      </c>
      <c r="I2643">
        <f>IF(Skills!X21&lt;&gt;"",1+(Skills!X21/10)*(Z2625/1000)/100,1)</f>
        <v>1</v>
      </c>
      <c r="O2643">
        <f>(1-Summary!$B$11)*S2643+Summary!$B$11*U2643</f>
        <v>0</v>
      </c>
      <c r="P2643">
        <f>IF(B2663=0,0,O2643/B2663)</f>
        <v>0</v>
      </c>
      <c r="Q2643">
        <f>IFERROR(1/(IF(Inputs!$B$38="pvp",15,MAX(0.1,Skills!E21-IF(TRUE=TRUE,Inputs!$B$32,0)))*(1-IF(AND(ArtifactsInput!$M$27,Inputs!$B$4="Chapter Hunt"),CHOOSE(ArtifactsInput!$N$27+1,20,24,28,32,36,40),0)/100)),0)</f>
        <v>10</v>
      </c>
      <c r="R2643">
        <v>0</v>
      </c>
      <c r="S2643">
        <v>0</v>
      </c>
      <c r="U2643">
        <v>0</v>
      </c>
    </row>
    <row r="2644" spans="1:21" x14ac:dyDescent="0.2">
      <c r="A2644" t="str">
        <f>Skills!A22</f>
        <v>SPELL_MASTERY</v>
      </c>
      <c r="B2644" t="str">
        <f>Skills!B22</f>
        <v>Spell Mastery</v>
      </c>
      <c r="C2644" t="b">
        <f>TRUE</f>
        <v>1</v>
      </c>
      <c r="D2644">
        <f>IF(Skills!C22=1,60+Inputs!$B$25+Inputs!$B$29,IF(Skills!C22=2,90+Inputs!$B$26+Inputs!$B$29,IF(Skills!C22=3,120+Inputs!$B$27+Inputs!$B$29,MAX(0,(Inputs!$B$3-100)*3)+Inputs!$B$28+Inputs!$B$29)))</f>
        <v>168</v>
      </c>
      <c r="E2644">
        <f>INDEX(FactorTable!$B$2:$Y$301, MATCH(ROUND(MIN(300,MAX(1,D2644)),0), FactorTable!$A$2:$A$301,0), Skills!M22+1)</f>
        <v>1504</v>
      </c>
      <c r="F2644">
        <f>IF(Skills!N22=TRUE,(Skills!L22/10)*(E2644/1000),Skills!L22/10)+Skills!O22</f>
        <v>22.56</v>
      </c>
      <c r="G2644">
        <f>Calc!G22</f>
        <v>1</v>
      </c>
      <c r="H2644">
        <f>Calc!H22</f>
        <v>1</v>
      </c>
      <c r="I2644">
        <f>IF(Skills!X22&lt;&gt;"",1+(Skills!X22/10)*(Z2625/1000)/100,1)</f>
        <v>1</v>
      </c>
      <c r="O2644">
        <f>(1-Summary!$B$11)*S2644+Summary!$B$11*U2644</f>
        <v>0</v>
      </c>
      <c r="P2644">
        <f>IF(B2663=0,0,O2644/B2663)</f>
        <v>0</v>
      </c>
      <c r="Q2644">
        <f>IFERROR(1/(IF(Inputs!$B$38="pvp",15,MAX(0.1,Skills!E22-IF(TRUE=TRUE,Inputs!$B$32,0)))*(1-IF(AND(ArtifactsInput!$M$27,Inputs!$B$4="Chapter Hunt"),CHOOSE(ArtifactsInput!$N$27+1,20,24,28,32,36,40),0)/100)),0)</f>
        <v>10</v>
      </c>
      <c r="R2644">
        <v>0</v>
      </c>
      <c r="S2644">
        <v>0</v>
      </c>
      <c r="U2644">
        <v>0</v>
      </c>
    </row>
    <row r="2645" spans="1:21" x14ac:dyDescent="0.2">
      <c r="A2645" t="str">
        <f>Skills!A23</f>
        <v>ELEMENT_AMPLIFICATION</v>
      </c>
      <c r="B2645" t="str">
        <f>Skills!B23</f>
        <v>Element Amplification</v>
      </c>
      <c r="C2645" t="b">
        <f>TRUE</f>
        <v>1</v>
      </c>
      <c r="D2645">
        <f>IF(Skills!C23=1,60+Inputs!$B$25+Inputs!$B$29,IF(Skills!C23=2,90+Inputs!$B$26+Inputs!$B$29,IF(Skills!C23=3,120+Inputs!$B$27+Inputs!$B$29,MAX(0,(Inputs!$B$3-100)*3)+Inputs!$B$28+Inputs!$B$29)))</f>
        <v>185</v>
      </c>
      <c r="E2645">
        <f>INDEX(FactorTable!$B$2:$Y$301, MATCH(ROUND(MIN(300,MAX(1,D2645)),0), FactorTable!$A$2:$A$301,0), Skills!M23+1)</f>
        <v>1555</v>
      </c>
      <c r="F2645">
        <f>IF(Skills!N23=TRUE,(Skills!L23/10)*(E2645/1000),Skills!L23/10)+Skills!O23</f>
        <v>23.324999999999999</v>
      </c>
      <c r="G2645">
        <f>Calc!G23</f>
        <v>1</v>
      </c>
      <c r="H2645">
        <f>Calc!H23</f>
        <v>1</v>
      </c>
      <c r="I2645">
        <f>IF(Skills!X23&lt;&gt;"",1+(Skills!X23/10)*(Z2625/1000)/100,1)</f>
        <v>1</v>
      </c>
      <c r="O2645">
        <f>(1-Summary!$B$11)*S2645+Summary!$B$11*U2645</f>
        <v>0</v>
      </c>
      <c r="P2645">
        <f>IF(B2663=0,0,O2645/B2663)</f>
        <v>0</v>
      </c>
      <c r="Q2645">
        <f>IFERROR(1/(IF(Inputs!$B$38="pvp",15,MAX(0.1,Skills!E23-IF(TRUE=TRUE,Inputs!$B$32,0)))*(1-IF(AND(ArtifactsInput!$M$27,Inputs!$B$4="Chapter Hunt"),CHOOSE(ArtifactsInput!$N$27+1,20,24,28,32,36,40),0)/100)),0)</f>
        <v>10</v>
      </c>
      <c r="R2645">
        <v>0</v>
      </c>
      <c r="S2645">
        <v>0</v>
      </c>
      <c r="U2645">
        <v>0</v>
      </c>
    </row>
    <row r="2646" spans="1:21" x14ac:dyDescent="0.2">
      <c r="A2646" t="str">
        <f>Skills!A24</f>
        <v>IFRIT</v>
      </c>
      <c r="B2646" t="str">
        <f>Skills!B24</f>
        <v>Ifrit</v>
      </c>
      <c r="C2646" t="b">
        <f>Inputs!$B$3&gt;=115</f>
        <v>1</v>
      </c>
      <c r="D2646">
        <f>IF(Skills!C24=1,60+Inputs!$B$25+Inputs!$B$29,IF(Skills!C24=2,90+Inputs!$B$26+Inputs!$B$29,IF(Skills!C24=3,120+Inputs!$B$27+Inputs!$B$29,MAX(0,(Inputs!$B$3-100)*3)+Inputs!$B$28+Inputs!$B$29)))</f>
        <v>185</v>
      </c>
      <c r="E2646">
        <f>INDEX(FactorTable!$B$2:$Y$301, MATCH(ROUND(MIN(300,MAX(1,D2646)),0), FactorTable!$A$2:$A$301,0), Skills!M24+1)</f>
        <v>1925</v>
      </c>
      <c r="F2646">
        <f>IF(Skills!N24=TRUE,(Skills!L24/10)*(E2646/1000),Skills!L24/10)+Skills!O24</f>
        <v>6737.5</v>
      </c>
      <c r="G2646">
        <f>Calc!G24</f>
        <v>7.5</v>
      </c>
      <c r="H2646">
        <f>Calc!H24</f>
        <v>1</v>
      </c>
      <c r="I2646">
        <f>IF(Skills!X24&lt;&gt;"",1+(Skills!X24/10)*(Z2625/1000)/100,1)</f>
        <v>1</v>
      </c>
      <c r="J2646">
        <f>((Inputs!$B$6*(1+Inputs!$B$7/100))+(((Inputs!$B$12*(1+Inputs!$B$13/100))-(Inputs!$B$12*(1+Inputs!$B$13/100)))+0.25*(Inputs!$B$14-Inputs!$B$14))*(1+Inputs!$B$7/100))*(F2646/100)</f>
        <v>24331438378.718628</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130476189878610.45</v>
      </c>
      <c r="L2646">
        <f>K2646*(MIN(Inputs!$B$22+(F2644-Calc!F22),(Inputs!$B$23+(IF(ArtifactsInput!$M$15,CHOOSE(ArtifactsInput!$N$15+1,25,30,35,40,45,50)/100*(Inputs!$B$11-Inputs!$B$11),0))))/100+(Inputs!$B$23+(IF(ArtifactsInput!$M$15,CHOOSE(ArtifactsInput!$N$15+1,25,30,35,40,45,50)/100*(Inputs!$B$11-Inputs!$B$11),0)))/100)/2</f>
        <v>433833331346379.75</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2047259490623565.8</v>
      </c>
      <c r="N2646">
        <f>L2646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2047259490623565.8</v>
      </c>
      <c r="O2646">
        <f>(1-Summary!$B$11)*S2646+Summary!$B$11*U2646</f>
        <v>2369639856733725</v>
      </c>
      <c r="P2646">
        <f>IF(B2663=0,0,O2646/B2663)</f>
        <v>6.6665717487409765E-2</v>
      </c>
      <c r="Q2646">
        <f>IFERROR(1/(IF(Inputs!$B$38="pvp",15,MAX(0.1,Skills!E24-IF(TRUE=TRUE,Inputs!$B$32,0)))*(1-IF(AND(ArtifactsInput!$M$27,Inputs!$B$4="Chapter Hunt"),CHOOSE(ArtifactsInput!$N$27+1,20,24,28,32,36,40),0)/100)),0)</f>
        <v>1.2500000000000001E-2</v>
      </c>
      <c r="R2646">
        <f>IF(AND(Inputs!$B$38&lt;&gt;"pvp",Inputs!$B$43&gt;0),IF(MAX(0,Inputs!$B$43-B2660)&lt;=0,0,(INT(MAX(0,Inputs!$B$43-B2660)/(IF(Inputs!$B$38="pvp",15,MAX(0.1,Skills!E24-IF(TRUE=TRUE,Inputs!$B$32,0)))*(1-IF(AND(ArtifactsInput!$M$27,Inputs!$B$4="Chapter Hunt"),CHOOSE(ArtifactsInput!$N$27+1,20,24,28,32,36,40),0)/100)))+1)),0)</f>
        <v>1</v>
      </c>
      <c r="S2646">
        <f>IF(C2646,(H2646*N2646*IF(AND(Inputs!$B$38&lt;&gt;"pvp",Inputs!$B$43&gt;0),((Skills!G24*((R2646-1)*IF(Skills!H24&gt;0,Skills!I24/Skills!H24,1)+IF(Skills!H24&gt;0,MIN(Skills!I24,MAX(0,MAX(0,Inputs!$B$43-B2660)-((R2646-1)*(IF(Inputs!$B$38="pvp",15,MAX(0.1,Skills!E24-IF(TRUE=TRUE,Inputs!$B$32,0)))*(1-IF(AND(ArtifactsInput!$M$27,Inputs!$B$4="Chapter Hunt"),CHOOSE(ArtifactsInput!$N$27+1,20,24,28,32,36,40),0)/100)))))/Skills!H24,1)))/Inputs!$B$43),G2646*Q2646)*(1+IF(Inputs!$B$3&gt;=130,0.2*(Skills!I16/(1/Q2637)+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1273013488405425.5</v>
      </c>
      <c r="U2646">
        <f>IF(C2646,(H2646*N2646*IF(AND(Inputs!$B$38&lt;&gt;"pvp",Inputs!$B$43&gt;0),((Skills!G24*((R2646-1)*IF(Skills!H24&gt;0,Skills!I24/Skills!H24,1)+IF(Skills!H24&gt;0,MIN(Skills!I24,MAX(0,MAX(0,Inputs!$B$43-B2660)-((R2646-1)*(IF(Inputs!$B$38="pvp",15,MAX(0.1,Skills!E24-IF(TRUE=TRUE,Inputs!$B$32,0)))*(1-IF(AND(ArtifactsInput!$M$27,Inputs!$B$4="Chapter Hunt"),CHOOSE(ArtifactsInput!$N$27+1,20,24,28,32,36,40),0)/100)))))/Skills!H24,1)))/Inputs!$B$43),G2646*Q2646)*(1+IF(Inputs!$B$3&gt;=130,0.2*(Skills!I16/(1/Q2637)+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3466266225062024.5</v>
      </c>
    </row>
    <row r="2647" spans="1:21" x14ac:dyDescent="0.2">
      <c r="A2647" t="str">
        <f>Skills!A25</f>
        <v>BUFF_MASTERY</v>
      </c>
      <c r="B2647" t="str">
        <f>Skills!B25</f>
        <v>Buff Mastery</v>
      </c>
      <c r="C2647" t="b">
        <f>Inputs!$B$3&gt;=117</f>
        <v>1</v>
      </c>
      <c r="D2647">
        <f>IF(Skills!C25=1,60+Inputs!$B$25+Inputs!$B$29,IF(Skills!C25=2,90+Inputs!$B$26+Inputs!$B$29,IF(Skills!C25=3,120+Inputs!$B$27+Inputs!$B$29,MAX(0,(Inputs!$B$3-100)*3)+Inputs!$B$28+Inputs!$B$29)))</f>
        <v>185</v>
      </c>
      <c r="E2647">
        <f>INDEX(FactorTable!$B$2:$Y$301, MATCH(ROUND(MIN(300,MAX(1,D2647)),0), FactorTable!$A$2:$A$301,0), Skills!M25+1)</f>
        <v>1555</v>
      </c>
      <c r="F2647">
        <f>IF(Skills!N25=TRUE,(Skills!L25/10)*(E2647/1000),Skills!L25/10)+Skills!O25</f>
        <v>15.549999999999999</v>
      </c>
      <c r="G2647">
        <f>Calc!G25</f>
        <v>1</v>
      </c>
      <c r="H2647">
        <f>Calc!H25</f>
        <v>1</v>
      </c>
      <c r="I2647">
        <f>IF(Skills!X25&lt;&gt;"",1+(Skills!X25/10)*(Z2625/1000)/100,1)</f>
        <v>1</v>
      </c>
      <c r="O2647">
        <f>(1-Summary!$B$11)*S2647+Summary!$B$11*U2647</f>
        <v>0</v>
      </c>
      <c r="P2647">
        <f>IF(B2663=0,0,O2647/B2663)</f>
        <v>0</v>
      </c>
      <c r="Q2647">
        <f>IFERROR(1/(IF(Inputs!$B$38="pvp",15,MAX(0.1,Skills!E25-IF(TRUE=TRUE,Inputs!$B$32,0)))*(1-IF(AND(ArtifactsInput!$M$27,Inputs!$B$4="Chapter Hunt"),CHOOSE(ArtifactsInput!$N$27+1,20,24,28,32,36,40),0)/100)),0)</f>
        <v>10</v>
      </c>
      <c r="R2647">
        <v>0</v>
      </c>
      <c r="S2647">
        <v>0</v>
      </c>
      <c r="U2647">
        <v>0</v>
      </c>
    </row>
    <row r="2648" spans="1:21" x14ac:dyDescent="0.2">
      <c r="A2648" t="str">
        <f>Skills!A26</f>
        <v>ARCANE_AIM</v>
      </c>
      <c r="B2648" t="str">
        <f>Skills!B26</f>
        <v>Arcane Aim</v>
      </c>
      <c r="C2648" t="b">
        <f>Inputs!$B$3&gt;=120</f>
        <v>0</v>
      </c>
      <c r="D2648">
        <f>IF(Skills!C26=1,60+Inputs!$B$25+Inputs!$B$29,IF(Skills!C26=2,90+Inputs!$B$26+Inputs!$B$29,IF(Skills!C26=3,120+Inputs!$B$27+Inputs!$B$29,MAX(0,(Inputs!$B$3-100)*3)+Inputs!$B$28+Inputs!$B$29)))</f>
        <v>185</v>
      </c>
      <c r="E2648">
        <f>INDEX(FactorTable!$B$2:$Y$301, MATCH(ROUND(MIN(300,MAX(1,D2648)),0), FactorTable!$A$2:$A$301,0), Skills!M26+1)</f>
        <v>1555</v>
      </c>
      <c r="F2648">
        <f>IF(Skills!N26=TRUE,(Skills!L26/10)*(E2648/1000),Skills!L26/10)+Skills!O26</f>
        <v>4.665</v>
      </c>
      <c r="G2648">
        <f>Calc!G26</f>
        <v>1</v>
      </c>
      <c r="H2648">
        <f>Calc!H26</f>
        <v>1</v>
      </c>
      <c r="I2648">
        <f>IF(Skills!X26&lt;&gt;"",1+(Skills!X26/10)*(Z2625/1000)/100,1)</f>
        <v>1</v>
      </c>
      <c r="O2648">
        <f>(1-Summary!$B$11)*S2648+Summary!$B$11*U2648</f>
        <v>0</v>
      </c>
      <c r="P2648">
        <f>IF(B2663=0,0,O2648/B2663)</f>
        <v>0</v>
      </c>
      <c r="Q2648">
        <f>IFERROR(1/(IF(Inputs!$B$38="pvp",15,MAX(0.1,Skills!E26-IF(TRUE=TRUE,Inputs!$B$32,0)))*(1-IF(AND(ArtifactsInput!$M$27,Inputs!$B$4="Chapter Hunt"),CHOOSE(ArtifactsInput!$N$27+1,20,24,28,32,36,40),0)/100)),0)</f>
        <v>10</v>
      </c>
      <c r="R2648">
        <v>0</v>
      </c>
      <c r="S2648">
        <v>0</v>
      </c>
      <c r="U2648">
        <v>0</v>
      </c>
    </row>
    <row r="2649" spans="1:21" x14ac:dyDescent="0.2">
      <c r="A2649" t="str">
        <f>Skills!A27</f>
        <v>FERVENT_DRAIN</v>
      </c>
      <c r="B2649" t="str">
        <f>Skills!B27</f>
        <v>Fervent Drain</v>
      </c>
      <c r="C2649" t="b">
        <f>Inputs!$B$3&gt;=125</f>
        <v>0</v>
      </c>
      <c r="D2649">
        <f>IF(Skills!C27=1,60+Inputs!$B$25+Inputs!$B$29,IF(Skills!C27=2,90+Inputs!$B$26+Inputs!$B$29,IF(Skills!C27=3,120+Inputs!$B$27+Inputs!$B$29,MAX(0,(Inputs!$B$3-100)*3)+Inputs!$B$28+Inputs!$B$29)))</f>
        <v>185</v>
      </c>
      <c r="E2649">
        <f>INDEX(FactorTable!$B$2:$Y$301, MATCH(ROUND(MIN(300,MAX(1,D2649)),0), FactorTable!$A$2:$A$301,0), Skills!M27+1)</f>
        <v>1555</v>
      </c>
      <c r="F2649">
        <f>IF(Skills!N27=TRUE,(Skills!L27/10)*(E2649/1000),Skills!L27/10)+Skills!O27</f>
        <v>6.22</v>
      </c>
      <c r="G2649">
        <f>Calc!G27</f>
        <v>1</v>
      </c>
      <c r="H2649">
        <f>Calc!H27</f>
        <v>1</v>
      </c>
      <c r="I2649">
        <f>IF(Skills!X27&lt;&gt;"",1+(Skills!X27/10)*(Z2625/1000)/100,1)</f>
        <v>1</v>
      </c>
      <c r="O2649">
        <f>(1-Summary!$B$11)*S2649+Summary!$B$11*U2649</f>
        <v>0</v>
      </c>
      <c r="P2649">
        <f>IF(B2663=0,0,O2649/B2663)</f>
        <v>0</v>
      </c>
      <c r="Q2649">
        <f>IFERROR(1/(IF(Inputs!$B$38="pvp",15,MAX(0.1,Skills!E27-IF(TRUE=TRUE,Inputs!$B$32,0)))*(1-IF(AND(ArtifactsInput!$M$27,Inputs!$B$4="Chapter Hunt"),CHOOSE(ArtifactsInput!$N$27+1,20,24,28,32,36,40),0)/100)),0)</f>
        <v>10</v>
      </c>
      <c r="R2649">
        <v>0</v>
      </c>
      <c r="S2649">
        <v>0</v>
      </c>
      <c r="U2649">
        <v>0</v>
      </c>
    </row>
    <row r="2650" spans="1:21" x14ac:dyDescent="0.2">
      <c r="A2650" t="str">
        <f>Skills!A28</f>
        <v>FLAME_HAZE_FOG</v>
      </c>
      <c r="B2650" t="str">
        <f>Skills!B28</f>
        <v>Flame Haze (poison fog DoT)</v>
      </c>
      <c r="C2650" t="b">
        <f>Inputs!$B$3&gt;=118</f>
        <v>0</v>
      </c>
      <c r="D2650">
        <f>IF(Skills!C28=1,60+Inputs!$B$25+Inputs!$B$29,IF(Skills!C28=2,90+Inputs!$B$26+Inputs!$B$29,IF(Skills!C28=3,120+Inputs!$B$27+Inputs!$B$29,MAX(0,(Inputs!$B$3-100)*3)+Inputs!$B$28+Inputs!$B$29)))</f>
        <v>185</v>
      </c>
      <c r="E2650">
        <f>INDEX(FactorTable!$B$2:$Y$301, MATCH(ROUND(MIN(300,MAX(1,D2650)),0), FactorTable!$A$2:$A$301,0), Skills!M28+1)</f>
        <v>1925</v>
      </c>
      <c r="F2650">
        <f>IF(Skills!N28=TRUE,(Skills!L28/10)*(E2650/1000),Skills!L28/10)+Skills!O28</f>
        <v>134.75</v>
      </c>
      <c r="G2650">
        <f>Calc!G28</f>
        <v>50</v>
      </c>
      <c r="H2650">
        <f>Calc!H28</f>
        <v>1</v>
      </c>
      <c r="I2650">
        <f>IF(Skills!X28&lt;&gt;"",1+(Skills!X28/10)*(Z2625/1000)/100,1)</f>
        <v>1</v>
      </c>
      <c r="J2650">
        <f>((Inputs!$B$6*(1+Inputs!$B$7/100))+(((Inputs!$B$12*(1+Inputs!$B$13/100))-(Inputs!$B$12*(1+Inputs!$B$13/100)))+0.25*(Inputs!$B$14-Inputs!$B$14))*(1+Inputs!$B$7/100))*(F2650/100)</f>
        <v>486628767.57437253</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2609523797572.2085</v>
      </c>
      <c r="L2650">
        <f>K2650*(MIN(Inputs!$B$22+(F2644-Calc!F22),(Inputs!$B$23+(IF(ArtifactsInput!$M$15,CHOOSE(ArtifactsInput!$N$15+1,25,30,35,40,45,50)/100*(Inputs!$B$11-Inputs!$B$11),0))))/100+(Inputs!$B$23+(IF(ArtifactsInput!$M$15,CHOOSE(ArtifactsInput!$N$15+1,25,30,35,40,45,50)/100*(Inputs!$B$11-Inputs!$B$11),0)))/100)/2</f>
        <v>8676666626927.5938</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40945189812471.312</v>
      </c>
      <c r="N2650">
        <f>L2650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40945189812471.312</v>
      </c>
      <c r="O2650">
        <f>(1-Summary!$B$11)*S2650+Summary!$B$11*U2650</f>
        <v>0</v>
      </c>
      <c r="P2650">
        <f>IF(B2663=0,0,O2650/B2663)</f>
        <v>0</v>
      </c>
      <c r="Q2650">
        <f>IFERROR(1/(IF(Inputs!$B$38="pvp",15,MAX(0.1,Skills!E28-IF(TRUE=TRUE,Inputs!$B$32,0)))*(1-IF(AND(ArtifactsInput!$M$27,Inputs!$B$4="Chapter Hunt"),CHOOSE(ArtifactsInput!$N$27+1,20,24,28,32,36,40),0)/100)),0)</f>
        <v>0.04</v>
      </c>
      <c r="R2650">
        <f>IF(AND(Inputs!$B$38&lt;&gt;"pvp",Inputs!$B$43&gt;0),IF(MAX(0,Inputs!$B$43-B2660)&lt;=0,0,(INT(MAX(0,Inputs!$B$43-B2660)/(IF(Inputs!$B$38="pvp",15,MAX(0.1,Skills!E28-IF(TRUE=TRUE,Inputs!$B$32,0)))*(1-IF(AND(ArtifactsInput!$M$27,Inputs!$B$4="Chapter Hunt"),CHOOSE(ArtifactsInput!$N$27+1,20,24,28,32,36,40),0)/100)))+1)),0)</f>
        <v>2</v>
      </c>
      <c r="S2650">
        <f>IF(C2650,(H2650*N2650*IF(AND(Inputs!$B$38&lt;&gt;"pvp",Inputs!$B$43&gt;0),((Skills!G28*((R2650-1)*IF(Skills!H28&gt;0,Skills!I28/Skills!H28,1)+IF(Skills!H28&gt;0,MIN(Skills!I28,MAX(0,MAX(0,Inputs!$B$43-B2660)-((R2650-1)*(IF(Inputs!$B$38="pvp",15,MAX(0.1,Skills!E28-IF(TRUE=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50">
        <f>IF(C2650,(H2650*N2650*IF(AND(Inputs!$B$38&lt;&gt;"pvp",Inputs!$B$43&gt;0),((Skills!G28*((R2650-1)*IF(Skills!H28&gt;0,Skills!I28/Skills!H28,1)+IF(Skills!H28&gt;0,MIN(Skills!I28,MAX(0,MAX(0,Inputs!$B$43-B2660)-((R2650-1)*(IF(Inputs!$B$38="pvp",15,MAX(0.1,Skills!E28-IF(TRUE=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52" spans="1:21" x14ac:dyDescent="0.2">
      <c r="A2652" t="s">
        <v>356</v>
      </c>
      <c r="B2652">
        <f>1+(F2633*Skills!Z11)/100</f>
        <v>1.25</v>
      </c>
    </row>
    <row r="2653" spans="1:21" x14ac:dyDescent="0.2">
      <c r="A2653" t="s">
        <v>435</v>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1.18624</v>
      </c>
    </row>
    <row r="2654" spans="1:21" x14ac:dyDescent="0.2">
      <c r="A2654" t="s">
        <v>358</v>
      </c>
      <c r="B2654">
        <f>(1+(F2628*IF(AND(Inputs!$B$38&lt;&gt;"pvp",Inputs!$B$43&gt;0),(((R2628-1)*MIN((Skills!T6*(1+((Inputs!$B$34+(ArtifactsInput!$M$7-ArtifactsInput!$M$7)*CHOOSE(ArtifactsInput!$N$7+1,6,7.2,8.4,9.6,10.8,12)))/100)),(1/Q2628))+MIN((Skills!T6*(1+((Inputs!$B$34+(ArtifactsInput!$M$7-ArtifactsInput!$M$7)*CHOOSE(ArtifactsInput!$N$7+1,6,7.2,8.4,9.6,10.8,12)))/100)),MAX(0,Inputs!$B$43-((R2628-1)*(1/Q2628)))))/Inputs!$B$43),IF(Inputs!$B$38="pvp",MIN((Skills!T6*(1+((Inputs!$B$34+(ArtifactsInput!$M$7-ArtifactsInput!$M$7)*CHOOSE(ArtifactsInput!$N$7+1,6,7.2,8.4,9.6,10.8,12)))/100)),15)/15,MIN(1,(Skills!T6*(1+((Inputs!$B$34+(ArtifactsInput!$M$7-ArtifactsInput!$M$7)*CHOOSE(ArtifactsInput!$N$7+1,6,7.2,8.4,9.6,10.8,12)))/100))/(1/Q2628))))+F2639*IF(AND(Inputs!$B$38&lt;&gt;"pvp",Inputs!$B$43&gt;0),(((R2639-1)*MIN((Skills!T17*(1+((Inputs!$B$34+(ArtifactsInput!$M$7-ArtifactsInput!$M$7)*CHOOSE(ArtifactsInput!$N$7+1,6,7.2,8.4,9.6,10.8,12)))/100)),(1/Q2639))+MIN((Skills!T17*(1+((Inputs!$B$34+(ArtifactsInput!$M$7-ArtifactsInput!$M$7)*CHOOSE(ArtifactsInput!$N$7+1,6,7.2,8.4,9.6,10.8,12)))/100)),MAX(0,Inputs!$B$43-((R2639-1)*(1/Q2639)))))/Inputs!$B$43),IF(Inputs!$B$38="pvp",MIN((Skills!T17*(1+((Inputs!$B$34+(ArtifactsInput!$M$7-ArtifactsInput!$M$7)*CHOOSE(ArtifactsInput!$N$7+1,6,7.2,8.4,9.6,10.8,12)))/100)),15)/15,MIN(1,(Skills!T17*(1+((Inputs!$B$34+(ArtifactsInput!$M$7-ArtifactsInput!$M$7)*CHOOSE(ArtifactsInput!$N$7+1,6,7.2,8.4,9.6,10.8,12)))/100))/(1/Q2639)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MIN((Skills!T19*(1+((Inputs!$B$34+(ArtifactsInput!$M$7-ArtifactsInput!$M$7)*CHOOSE(ArtifactsInput!$N$7+1,6,7.2,8.4,9.6,10.8,12)))/100)),(1/Q2641))+MIN((Skills!T19*(1+((Inputs!$B$34+(ArtifactsInput!$M$7-ArtifactsInput!$M$7)*CHOOSE(ArtifactsInput!$N$7+1,6,7.2,8.4,9.6,10.8,12)))/100)),MAX(0,Inputs!$B$43-((R2641-1)*(1/Q2641)))))/Inputs!$B$43),IF(Inputs!$B$38="pvp",MIN((Skills!T19*(1+((Inputs!$B$34+(ArtifactsInput!$M$7-ArtifactsInput!$M$7)*CHOOSE(ArtifactsInput!$N$7+1,6,7.2,8.4,9.6,10.8,12)))/100)),15)/15,MIN(1,(Skills!T19*(1+((Inputs!$B$34+(ArtifactsInput!$M$7-ArtifactsInput!$M$7)*CHOOSE(ArtifactsInput!$N$7+1,6,7.2,8.4,9.6,10.8,12)))/100))/(1/Q2641))))/100),1)</f>
        <v>1.8720333630255697</v>
      </c>
    </row>
    <row r="2655" spans="1:21" x14ac:dyDescent="0.2">
      <c r="A2655" t="s">
        <v>359</v>
      </c>
      <c r="B2655">
        <f>F2640*IF(AND(Inputs!$B$38&lt;&gt;"pvp",Inputs!$B$43&gt;0),(((R2640-1)*MIN((Skills!T18*(1+((Inputs!$B$34+(ArtifactsInput!$M$7-ArtifactsInput!$M$7)*CHOOSE(ArtifactsInput!$N$7+1,6,7.2,8.4,9.6,10.8,12)))/100)),(1/Q2640))+MIN((Skills!T18*(1+((Inputs!$B$34+(ArtifactsInput!$M$7-ArtifactsInput!$M$7)*CHOOSE(ArtifactsInput!$N$7+1,6,7.2,8.4,9.6,10.8,12)))/100)),MAX(0,Inputs!$B$43-((R2640-1)*(1/Q2640)))))/Inputs!$B$43),IF(Inputs!$B$38="pvp",MIN((Skills!T18*(1+((Inputs!$B$34+(ArtifactsInput!$M$7-ArtifactsInput!$M$7)*CHOOSE(ArtifactsInput!$N$7+1,6,7.2,8.4,9.6,10.8,12)))/100)),15)/15,MIN(1,(Skills!T18*(1+((Inputs!$B$34+(ArtifactsInput!$M$7-ArtifactsInput!$M$7)*CHOOSE(ArtifactsInput!$N$7+1,6,7.2,8.4,9.6,10.8,12)))/100))/(1/Q2640))))</f>
        <v>6.4968749999999993</v>
      </c>
    </row>
    <row r="2656" spans="1:21" x14ac:dyDescent="0.2">
      <c r="A2656" t="s">
        <v>436</v>
      </c>
      <c r="B2656">
        <f>1+MIN(150,150*(1-(1-(Inputs!$B$11+(ArtifactsInput!$M$15-ArtifactsInput!$M$15)*CHOOSE(ArtifactsInput!$N$15+1,8,9.6,11.2,12.8,14.4,16))/150)*(1-B2655/150)))/100</f>
        <v>1.6982958749999999</v>
      </c>
    </row>
    <row r="2657" spans="1:26" x14ac:dyDescent="0.2">
      <c r="A2657" t="s">
        <v>437</v>
      </c>
      <c r="B2657">
        <f>IF(AND(Inputs!$B$38&lt;&gt;"pvp",Inputs!$B$43&gt;0),SUMPRODUCT((Skills!F2:F28=TRUE)*(C2624:C2650=TRUE)*R2624:R2650)/Inputs!$B$43,SUMPRODUCT((Skills!F2:F28=TRUE)*(C2624:C2650=TRUE)*Q2624:Q2650))</f>
        <v>0.47499999999999998</v>
      </c>
    </row>
    <row r="2658" spans="1:26" x14ac:dyDescent="0.2">
      <c r="A2658" t="s">
        <v>362</v>
      </c>
      <c r="B2658">
        <f>MAX(0,B2656-B2657)</f>
        <v>1.2232958749999998</v>
      </c>
    </row>
    <row r="2659" spans="1:26" x14ac:dyDescent="0.2">
      <c r="A2659" t="s">
        <v>438</v>
      </c>
      <c r="B2659">
        <f>IF(AND(Inputs!$B$38&lt;&gt;"pvp",Inputs!$B$43&gt;0),SUMPRODUCT((Skills!V2:V28=TRUE)*(C2624:C2650=TRUE)*R2624:R2650*Skills!W2:W28)/Inputs!$B$43,SUMPRODUCT((Skills!V2:V28=TRUE)*(C2624:C2650=TRUE)*Q2624:Q2650*Skills!W2:W28))+B2658</f>
        <v>1.5482958749999998</v>
      </c>
    </row>
    <row r="2660" spans="1:26" x14ac:dyDescent="0.2">
      <c r="A2660" t="s">
        <v>439</v>
      </c>
      <c r="B2660">
        <f>IF(AND(Inputs!$B$38&lt;&gt;"pvp",Inputs!$B$43&gt;0),SUMPRODUCT((Skills!T2:T28&gt;0)*(Skills!F2:F28=TRUE)*(C2624:C2650=TRUE))/B2656,0)</f>
        <v>2.3553021937358238</v>
      </c>
    </row>
    <row r="2661" spans="1:26" x14ac:dyDescent="0.2">
      <c r="A2661" t="s">
        <v>440</v>
      </c>
      <c r="B2661">
        <f>SUM(S2624:S2650)</f>
        <v>1.0625813046226478E+16</v>
      </c>
    </row>
    <row r="2662" spans="1:26" x14ac:dyDescent="0.2">
      <c r="A2662" t="s">
        <v>441</v>
      </c>
      <c r="B2662">
        <f>SUM(U2624:U2650)</f>
        <v>6.0464394816045344E+16</v>
      </c>
    </row>
    <row r="2663" spans="1:26" x14ac:dyDescent="0.2">
      <c r="A2663" s="6" t="s">
        <v>348</v>
      </c>
      <c r="B2663" s="6">
        <f>SUM(O2624:O2650)</f>
        <v>3.5545103931135912E+16</v>
      </c>
    </row>
    <row r="2666" spans="1:26" x14ac:dyDescent="0.2">
      <c r="A2666" s="6" t="s">
        <v>500</v>
      </c>
    </row>
    <row r="2667" spans="1:26" x14ac:dyDescent="0.2">
      <c r="A2667" s="5" t="s">
        <v>136</v>
      </c>
      <c r="B2667" s="5" t="s">
        <v>137</v>
      </c>
      <c r="C2667" s="5" t="s">
        <v>328</v>
      </c>
      <c r="D2667" s="5" t="s">
        <v>329</v>
      </c>
      <c r="E2667" s="5" t="s">
        <v>330</v>
      </c>
      <c r="F2667" s="5" t="s">
        <v>331</v>
      </c>
      <c r="G2667" s="5" t="s">
        <v>332</v>
      </c>
      <c r="H2667" s="5" t="s">
        <v>333</v>
      </c>
      <c r="I2667" s="5" t="s">
        <v>334</v>
      </c>
      <c r="J2667" s="5" t="s">
        <v>335</v>
      </c>
      <c r="K2667" s="5" t="s">
        <v>336</v>
      </c>
      <c r="L2667" s="5" t="s">
        <v>337</v>
      </c>
      <c r="M2667" s="5" t="s">
        <v>338</v>
      </c>
      <c r="N2667" s="5" t="s">
        <v>339</v>
      </c>
      <c r="O2667" s="5" t="s">
        <v>340</v>
      </c>
      <c r="P2667" s="5" t="s">
        <v>341</v>
      </c>
      <c r="R2667" t="s">
        <v>434</v>
      </c>
    </row>
    <row r="2668" spans="1:26" x14ac:dyDescent="0.2">
      <c r="A2668" t="str">
        <f>Skills!A2</f>
        <v>BASIC_ATTACK</v>
      </c>
      <c r="B2668" t="str">
        <f>Skills!B2</f>
        <v>Basic Attack</v>
      </c>
      <c r="C2668" t="b">
        <f>TRUE</f>
        <v>1</v>
      </c>
      <c r="F2668">
        <f>T2670+Skills!O2</f>
        <v>537.6</v>
      </c>
      <c r="G2668">
        <f>Calc!G2</f>
        <v>5</v>
      </c>
      <c r="H2668">
        <f>Calc!H2</f>
        <v>1</v>
      </c>
      <c r="I2668">
        <f>IF(Skills!X2&lt;&gt;"",1+(Skills!X2/10)*(Z2669/1000)/100,1)</f>
        <v>1</v>
      </c>
      <c r="J2668">
        <f>((Inputs!$B$6*(1+Inputs!$B$7/100))+(((Inputs!$B$12*(1+Inputs!$B$13/100))-(Inputs!$B$12*(1+Inputs!$B$13/100)))+0.25*(Inputs!$B$14-Inputs!$B$14))*(1+Inputs!$B$7/100))*(F2668/100)</f>
        <v>1941459186.9980164</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6898328660781.2646</v>
      </c>
      <c r="L2668">
        <f>K2668*(MIN(Inputs!$B$22+(F2688-Calc!F22),(Inputs!$B$23+(IF(ArtifactsInput!$M$15,CHOOSE(ArtifactsInput!$N$15+1,25,30,35,40,45,50)/100*(Inputs!$B$11-Inputs!$B$11),0))))/100+(Inputs!$B$23+(IF(ArtifactsInput!$M$15,CHOOSE(ArtifactsInput!$N$15+1,25,30,35,40,45,50)/100*(Inputs!$B$11-Inputs!$B$11),0)))/100)/2</f>
        <v>22936942797097.707</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108239433059504.06</v>
      </c>
      <c r="N2668">
        <f>L2668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108239433059504.06</v>
      </c>
      <c r="O2668">
        <f>(1-Summary!$B$11)*S2668+Summary!$B$11*U2668</f>
        <v>1.375635285813789E+16</v>
      </c>
      <c r="P2668">
        <f>IF(B2707=0,0,O2668/B2707)</f>
        <v>0.37951178814677289</v>
      </c>
      <c r="Q2668">
        <f>IFERROR(1/(IF(Inputs!$B$38="pvp",15,MAX(0.1,Skills!E2-IF(TRUE=TRUE,Inputs!$B$32,0)))*(1-IF(AND(ArtifactsInput!$M$27,Inputs!$B$4="Chapter Hunt"),CHOOSE(ArtifactsInput!$N$27+1,20,24,28,32,36,40),0)/100)),0)</f>
        <v>10</v>
      </c>
      <c r="R2668">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2164884729775389.2</v>
      </c>
      <c r="T2668">
        <f>MAX(0,(Inputs!$B$3-100)*3)+Inputs!$B$28+Inputs!$B$29</f>
        <v>185</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2.5347820986500392E+16</v>
      </c>
      <c r="Z2668">
        <f>MAX(0,(Inputs!$B$3-100)*3)+Inputs!$B$28+Inputs!$B$29</f>
        <v>185</v>
      </c>
    </row>
    <row r="2669" spans="1:26" x14ac:dyDescent="0.2">
      <c r="A2669" t="str">
        <f>Skills!A3</f>
        <v>IGNITE</v>
      </c>
      <c r="B2669" t="str">
        <f>Skills!B3</f>
        <v>Ignite</v>
      </c>
      <c r="C2669" t="b">
        <f>TRUE</f>
        <v>1</v>
      </c>
      <c r="D2669">
        <f>IF(Skills!C3=1,60+Inputs!$B$25+Inputs!$B$29,IF(Skills!C3=2,90+Inputs!$B$26+Inputs!$B$29,IF(Skills!C3=3,120+Inputs!$B$27+Inputs!$B$29,MAX(0,(Inputs!$B$3-100)*3)+Inputs!$B$28+Inputs!$B$29)))</f>
        <v>168</v>
      </c>
      <c r="E2669">
        <f>INDEX(FactorTable!$B$2:$Y$301, MATCH(ROUND(MIN(300,MAX(1,D2669)),0), FactorTable!$A$2:$A$301,0), Skills!M3+1)</f>
        <v>1672</v>
      </c>
      <c r="F2669">
        <f>IF(Skills!N3=TRUE,(Skills!L3/10)*(E2669/1000),Skills!L3/10)+Skills!O3</f>
        <v>121.736</v>
      </c>
      <c r="G2669">
        <f>Calc!G3</f>
        <v>3</v>
      </c>
      <c r="H2669">
        <f>Calc!H3</f>
        <v>1</v>
      </c>
      <c r="I2669">
        <f>IF(Skills!X3&lt;&gt;"",1+(Skills!X3/10)*(Z2669/1000)/100,1)</f>
        <v>4.8250000000000002</v>
      </c>
      <c r="J2669">
        <f>((Inputs!$B$6*(1+Inputs!$B$7/100))+(((Inputs!$B$12*(1+Inputs!$B$13/100))-(Inputs!$B$12*(1+Inputs!$B$13/100)))+0.25*(Inputs!$B$14-Inputs!$B$14))*(1+Inputs!$B$7/100))*(F2669/100)</f>
        <v>439630720.9605478</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11106190951877.682</v>
      </c>
      <c r="L2669">
        <f>K2669*(MIN(Inputs!$B$22+(F2688-Calc!F22),(Inputs!$B$23+(IF(ArtifactsInput!$M$15,CHOOSE(ArtifactsInput!$N$15+1,25,30,35,40,45,50)/100*(Inputs!$B$11-Inputs!$B$11),0))))/100+(Inputs!$B$23+(IF(ArtifactsInput!$M$15,CHOOSE(ArtifactsInput!$N$15+1,25,30,35,40,45,50)/100*(Inputs!$B$11-Inputs!$B$11),0)))/100)/2</f>
        <v>36928084914993.297</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174263632713853.34</v>
      </c>
      <c r="N2669">
        <f>L2669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174263632713853.34</v>
      </c>
      <c r="O2669">
        <f>(1-Summary!$B$11)*S2669+Summary!$B$11*U2669</f>
        <v>3164116106321561.5</v>
      </c>
      <c r="P2669">
        <f>IF(B2707=0,0,O2669/B2707)</f>
        <v>8.7291986022569032E-2</v>
      </c>
      <c r="Q2669">
        <f>IFERROR(1/(IF(Inputs!$B$38="pvp",15,MAX(0.1,Skills!E3-IF(FALSE=TRUE,Inputs!$B$32,0)))*(1-IF(AND(ArtifactsInput!$M$27,Inputs!$B$4="Chapter Hunt"),CHOOSE(ArtifactsInput!$N$27+1,20,24,28,32,36,40),0)/100)),0)</f>
        <v>1</v>
      </c>
      <c r="R2669">
        <f>IF(AND(Inputs!$B$38&lt;&gt;"pvp",Inputs!$B$43&gt;0),IF(MAX(0,Inputs!$B$43-B2704)&lt;=0,0,(INT(MAX(0,Inputs!$B$43-B2704)/(IF(Inputs!$B$38="pvp",15,MAX(0.1,Skills!E3-IF(FALSE=TRUE,Inputs!$B$32,0)))*(1-IF(AND(ArtifactsInput!$M$27,Inputs!$B$4="Chapter Hunt"),CHOOSE(ArtifactsInput!$N$27+1,20,24,28,32,36,40),0)/100)))+1)),0)</f>
        <v>38</v>
      </c>
      <c r="S2669">
        <f>IF(C2669,(H2669*N2669*IF(AND(Inputs!$B$38&lt;&gt;"pvp",Inputs!$B$43&gt;0),((Skills!G3*((R2669-1)*IF(Skills!H3&gt;0,Skills!I3/Skills!H3,1)+IF(Skills!H3&gt;0,MIN(Skills!I3,MAX(0,MAX(0,Inputs!$B$43-B2704)-((R2669-1)*(IF(Inputs!$B$38="pvp",15,MAX(0.1,Skills!E3-IF(FALSE=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1574384789753308</v>
      </c>
      <c r="T2669">
        <f>INDEX(FactorTable!$B$2:$Y$301, MATCH(ROUND(MIN(300,MAX(1,T2668)),0), FactorTable!$A$2:$A$301,0), 22)</f>
        <v>1740</v>
      </c>
      <c r="U2669">
        <f>IF(C2669,(H2669*N2669*IF(AND(Inputs!$B$38&lt;&gt;"pvp",Inputs!$B$43&gt;0),((Skills!G3*((R2669-1)*IF(Skills!H3&gt;0,Skills!I3/Skills!H3,1)+IF(Skills!H3&gt;0,MIN(Skills!I3,MAX(0,MAX(0,Inputs!$B$43-B2704)-((R2669-1)*(IF(Inputs!$B$38="pvp",15,MAX(0.1,Skills!E3-IF(FALSE=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4753847422889815</v>
      </c>
      <c r="Z2669">
        <f>INDEX(FactorTable!$B$2:$Y$301, MATCH(ROUND(MIN(300,MAX(1,Z2668)),0), FactorTable!$A$2:$A$301,0), 24)</f>
        <v>7650</v>
      </c>
    </row>
    <row r="2670" spans="1:26" x14ac:dyDescent="0.2">
      <c r="A2670" t="str">
        <f>Skills!A4</f>
        <v>POISON_BREATH</v>
      </c>
      <c r="B2670" t="str">
        <f>Skills!B4</f>
        <v>Poison Breath</v>
      </c>
      <c r="C2670" t="b">
        <f>TRUE</f>
        <v>1</v>
      </c>
      <c r="D2670">
        <f>IF(Skills!C4=1,60+Inputs!$B$25+Inputs!$B$29,IF(Skills!C4=2,90+Inputs!$B$26+Inputs!$B$29,IF(Skills!C4=3,120+Inputs!$B$27+Inputs!$B$29,MAX(0,(Inputs!$B$3-100)*3)+Inputs!$B$28+Inputs!$B$29)))</f>
        <v>168</v>
      </c>
      <c r="E2670">
        <f>INDEX(FactorTable!$B$2:$Y$301, MATCH(ROUND(MIN(300,MAX(1,D2670)),0), FactorTable!$A$2:$A$301,0), Skills!M4+1)</f>
        <v>1840</v>
      </c>
      <c r="F2670">
        <f>IF(Skills!N4=TRUE,(Skills!L4/10)*(E2670/1000),Skills!L4/10)+Skills!O4</f>
        <v>438</v>
      </c>
      <c r="G2670">
        <f>Calc!G4</f>
        <v>3</v>
      </c>
      <c r="H2670">
        <f>Calc!H4</f>
        <v>1</v>
      </c>
      <c r="I2670">
        <f>IF(Skills!X4&lt;&gt;"",1+(Skills!X4/10)*(Z2669/1000)/100,1)</f>
        <v>7.12</v>
      </c>
      <c r="J2670">
        <f>((Inputs!$B$6*(1+Inputs!$B$7/100))+(((Inputs!$B$12*(1+Inputs!$B$13/100))-(Inputs!$B$12*(1+Inputs!$B$13/100)))+0.25*(Inputs!$B$14-Inputs!$B$14))*(1+Inputs!$B$7/100))*(F2670/100)</f>
        <v>1581769203.69258</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58966166580953.844</v>
      </c>
      <c r="L2670">
        <f>K2670*(MIN(Inputs!$B$22+(F2688-Calc!F22),(Inputs!$B$23+(IF(ArtifactsInput!$M$15,CHOOSE(ArtifactsInput!$N$15+1,25,30,35,40,45,50)/100*(Inputs!$B$11-Inputs!$B$11),0))))/100+(Inputs!$B$23+(IF(ArtifactsInput!$M$15,CHOOSE(ArtifactsInput!$N$15+1,25,30,35,40,45,50)/100*(Inputs!$B$11-Inputs!$B$11),0)))/100)/2</f>
        <v>196062503881671.53</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925218955817607.88</v>
      </c>
      <c r="N2670">
        <f>L2670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925218955817607.88</v>
      </c>
      <c r="O2670">
        <f>(1-Summary!$B$11)*S2670+Summary!$B$11*U2670</f>
        <v>2322558640409824.5</v>
      </c>
      <c r="P2670">
        <f>IF(B2707=0,0,O2670/B2707)</f>
        <v>6.4075005329354784E-2</v>
      </c>
      <c r="Q2670">
        <f>IFERROR(1/(IF(Inputs!$B$38="pvp",15,MAX(0.1,Skills!E4-IF(TRUE=TRUE,Inputs!$B$32,0)))*(1-IF(AND(ArtifactsInput!$M$27,Inputs!$B$4="Chapter Hunt"),CHOOSE(ArtifactsInput!$N$27+1,20,24,28,32,36,40),0)/100)),0)</f>
        <v>5.5555555555555552E-2</v>
      </c>
      <c r="R2670">
        <f>IF(AND(Inputs!$B$38&lt;&gt;"pvp",Inputs!$B$43&gt;0),IF(MAX(0,Inputs!$B$43-B2704)&lt;=0,0,(INT(MAX(0,Inputs!$B$43-B2704)/(IF(Inputs!$B$38="pvp",15,MAX(0.1,Skills!E4-IF(TRUE=TRUE,Inputs!$B$32,0)))*(1-IF(AND(ArtifactsInput!$M$27,Inputs!$B$4="Chapter Hunt"),CHOOSE(ArtifactsInput!$N$27+1,20,24,28,32,36,40),0)/100)))+1)),0)</f>
        <v>3</v>
      </c>
      <c r="S2670">
        <f>IF(C2670,(H2670*N2670*IF(AND(Inputs!$B$38&lt;&gt;"pvp",Inputs!$B$43&gt;0),((Skills!G4*((R2670-1)*IF(Skills!H4&gt;0,Skills!I4/Skills!H4,1)+IF(Skills!H4&gt;0,MIN(Skills!I4,MAX(0,MAX(0,Inputs!$B$43-B2704)-((R2670-1)*(IF(Inputs!$B$38="pvp",15,MAX(0.1,Skills!E4-IF(TRUE=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659912420236908.88</v>
      </c>
      <c r="T2670">
        <f>290*T2669/1000</f>
        <v>504.6</v>
      </c>
      <c r="U2670">
        <f>IF(C2670,(H2670*N2670*IF(AND(Inputs!$B$38&lt;&gt;"pvp",Inputs!$B$43&gt;0),((Skills!G4*((R2670-1)*IF(Skills!H4&gt;0,Skills!I4/Skills!H4,1)+IF(Skills!H4&gt;0,MIN(Skills!I4,MAX(0,MAX(0,Inputs!$B$43-B2704)-((R2670-1)*(IF(Inputs!$B$38="pvp",15,MAX(0.1,Skills!E4-IF(TRUE=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3985204860582740.5</v>
      </c>
    </row>
    <row r="2671" spans="1:26" x14ac:dyDescent="0.2">
      <c r="A2671" t="str">
        <f>Skills!A5</f>
        <v>ELEMENTAL_DRAIN</v>
      </c>
      <c r="B2671" t="str">
        <f>Skills!B5</f>
        <v>Elemental Drain</v>
      </c>
      <c r="C2671" t="b">
        <f>TRUE</f>
        <v>1</v>
      </c>
      <c r="D2671">
        <f>IF(Skills!C5=1,60+Inputs!$B$25+Inputs!$B$29,IF(Skills!C5=2,90+Inputs!$B$26+Inputs!$B$29,IF(Skills!C5=3,120+Inputs!$B$27+Inputs!$B$29,MAX(0,(Inputs!$B$3-100)*3)+Inputs!$B$28+Inputs!$B$29)))</f>
        <v>168</v>
      </c>
      <c r="E2671">
        <f>INDEX(FactorTable!$B$2:$Y$301, MATCH(ROUND(MIN(300,MAX(1,D2671)),0), FactorTable!$A$2:$A$301,0), Skills!M5+1)</f>
        <v>1672</v>
      </c>
      <c r="F2671">
        <f>IF(Skills!N5=TRUE,(Skills!L5/10)*(E2671/1000),Skills!L5/10)+Skills!O5</f>
        <v>20.064</v>
      </c>
      <c r="G2671">
        <f>Calc!G5</f>
        <v>5</v>
      </c>
      <c r="H2671">
        <f>Calc!H5</f>
        <v>1</v>
      </c>
      <c r="I2671">
        <f>IF(Skills!X5&lt;&gt;"",1+(Skills!X5/10)*(Z2669/1000)/100,1)</f>
        <v>12.475</v>
      </c>
      <c r="J2671">
        <f>((Inputs!$B$6*(1+Inputs!$B$7/100))+(((Inputs!$B$12*(1+Inputs!$B$13/100))-(Inputs!$B$12*(1+Inputs!$B$13/100)))+0.25*(Inputs!$B$14-Inputs!$B$14))*(1+Inputs!$B$7/100))*(F2671/100)</f>
        <v>72458030.371890247</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4732676988528.751</v>
      </c>
      <c r="L2671">
        <f>K2671*(MIN(Inputs!$B$22+(F2688-Calc!F22),(Inputs!$B$23+(IF(ArtifactsInput!$M$15,CHOOSE(ArtifactsInput!$N$15+1,25,30,35,40,45,50)/100*(Inputs!$B$11-Inputs!$B$11),0))))/100+(Inputs!$B$23+(IF(ArtifactsInput!$M$15,CHOOSE(ArtifactsInput!$N$15+1,25,30,35,40,45,50)/100*(Inputs!$B$11-Inputs!$B$11),0)))/100)/2</f>
        <v>15736150986858.098</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74258896506983.359</v>
      </c>
      <c r="N2671">
        <f>L2671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74258896506983.359</v>
      </c>
      <c r="O2671">
        <f>(1-Summary!$B$11)*S2671+Summary!$B$11*U2671</f>
        <v>1121786450665506</v>
      </c>
      <c r="P2671">
        <f>IF(B2707=0,0,O2671/B2707)</f>
        <v>3.0947969000303496E-2</v>
      </c>
      <c r="Q2671">
        <f>IFERROR(1/(IF(Inputs!$B$38="pvp",15,MAX(0.1,Skills!E5-IF(FALSE=TRUE,Inputs!$B$32,0)))*(1-IF(AND(ArtifactsInput!$M$27,Inputs!$B$4="Chapter Hunt"),CHOOSE(ArtifactsInput!$N$27+1,20,24,28,32,36,40),0)/100)),0)</f>
        <v>1</v>
      </c>
      <c r="R2671">
        <f>IF(AND(Inputs!$B$38&lt;&gt;"pvp",Inputs!$B$43&gt;0),IF(MAX(0,Inputs!$B$43-B2704)&lt;=0,0,(INT(MAX(0,Inputs!$B$43-B2704)/(IF(Inputs!$B$38="pvp",15,MAX(0.1,Skills!E5-IF(FALSE=TRUE,Inputs!$B$32,0)))*(1-IF(AND(ArtifactsInput!$M$27,Inputs!$B$4="Chapter Hunt"),CHOOSE(ArtifactsInput!$N$27+1,20,24,28,32,36,40),0)/100)))+1)),0)</f>
        <v>38</v>
      </c>
      <c r="S2671">
        <f>IF(C2671,(H2671*N2671*IF(AND(Inputs!$B$38&lt;&gt;"pvp",Inputs!$B$43&gt;0),((Skills!G5*((R2671-1)*IF(Skills!H5&gt;0,Skills!I5/Skills!H5,1)+IF(Skills!H5&gt;0,MIN(Skills!I5,MAX(0,MAX(0,Inputs!$B$43-B2704)-((R2671-1)*(IF(Inputs!$B$38="pvp",15,MAX(0.1,Skills!E5-IF(FALSE=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1118153334153901.9</v>
      </c>
      <c r="U2671">
        <f>IF(C2671,(H2671*N2671*IF(AND(Inputs!$B$38&lt;&gt;"pvp",Inputs!$B$43&gt;0),((Skills!G5*((R2671-1)*IF(Skills!H5&gt;0,Skills!I5/Skills!H5,1)+IF(Skills!H5&gt;0,MIN(Skills!I5,MAX(0,MAX(0,Inputs!$B$43-B2704)-((R2671-1)*(IF(Inputs!$B$38="pvp",15,MAX(0.1,Skills!E5-IF(FALSE=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1125419567177110.2</v>
      </c>
    </row>
    <row r="2672" spans="1:26" x14ac:dyDescent="0.2">
      <c r="A2672" t="str">
        <f>Skills!A6</f>
        <v>MEDITATION</v>
      </c>
      <c r="B2672" t="str">
        <f>Skills!B6</f>
        <v>Meditation</v>
      </c>
      <c r="C2672" t="b">
        <f>TRUE</f>
        <v>1</v>
      </c>
      <c r="D2672">
        <f>IF(Skills!C6=1,60+Inputs!$B$25+Inputs!$B$29,IF(Skills!C6=2,90+Inputs!$B$26+Inputs!$B$29,IF(Skills!C6=3,120+Inputs!$B$27+Inputs!$B$29,MAX(0,(Inputs!$B$3-100)*3)+Inputs!$B$28+Inputs!$B$29)))</f>
        <v>168</v>
      </c>
      <c r="E2672">
        <f>INDEX(FactorTable!$B$2:$Y$301, MATCH(ROUND(MIN(300,MAX(1,D2672)),0), FactorTable!$A$2:$A$301,0), Skills!M6+1)</f>
        <v>1672</v>
      </c>
      <c r="F2672">
        <f>IF(Skills!N6=TRUE,(Skills!L6/10)*(E2672/1000),Skills!L6/10)+Skills!O6</f>
        <v>33.44</v>
      </c>
      <c r="G2672">
        <f>Calc!G6</f>
        <v>1</v>
      </c>
      <c r="H2672">
        <f>Calc!H6</f>
        <v>1</v>
      </c>
      <c r="I2672">
        <f>IF(Skills!X6&lt;&gt;"",1+(Skills!X6/10)*(Z2669/1000)/100,1)</f>
        <v>1</v>
      </c>
      <c r="O2672">
        <f>(1-Summary!$B$11)*S2672+Summary!$B$11*U2672</f>
        <v>0</v>
      </c>
      <c r="P2672">
        <f>IF(B2707=0,0,O2672/B2707)</f>
        <v>0</v>
      </c>
      <c r="Q2672">
        <f>IFERROR(1/(IF(Inputs!$B$38="pvp",15,MAX(0.1,Skills!E6-IF(TRUE=TRUE,Inputs!$B$32,0)))*(1-IF(AND(ArtifactsInput!$M$27,Inputs!$B$4="Chapter Hunt"),CHOOSE(ArtifactsInput!$N$27+1,20,24,28,32,36,40),0)/100)),0)</f>
        <v>3.3333333333333333E-2</v>
      </c>
      <c r="R2672">
        <f>IF(AND(Inputs!$B$38&lt;&gt;"pvp",Inputs!$B$43&gt;0),IF(Inputs!$B$43&lt;=0,0,(INT(Inputs!$B$43/(IF(Inputs!$B$38="pvp",15,MAX(0.1,Skills!E6-IF(TRUE=TRUE,Inputs!$B$32,0)))*(1-IF(AND(ArtifactsInput!$M$27,Inputs!$B$4="Chapter Hunt"),CHOOSE(ArtifactsInput!$N$27+1,20,24,28,32,36,40),0)/100)))+1)),0)</f>
        <v>2</v>
      </c>
      <c r="S2672">
        <v>0</v>
      </c>
      <c r="U2672">
        <v>0</v>
      </c>
    </row>
    <row r="2673" spans="1:21" x14ac:dyDescent="0.2">
      <c r="A2673" t="str">
        <f>Skills!A7</f>
        <v>POISON_MIST_BURST</v>
      </c>
      <c r="B2673" t="str">
        <f>Skills!B7</f>
        <v>Poison Mist (burst)</v>
      </c>
      <c r="C2673" t="b">
        <f>TRUE</f>
        <v>1</v>
      </c>
      <c r="D2673">
        <f>IF(Skills!C7=1,60+Inputs!$B$25+Inputs!$B$29,IF(Skills!C7=2,90+Inputs!$B$26+Inputs!$B$29,IF(Skills!C7=3,120+Inputs!$B$27+Inputs!$B$29,MAX(0,(Inputs!$B$3-100)*3)+Inputs!$B$28+Inputs!$B$29)))</f>
        <v>184</v>
      </c>
      <c r="E2673">
        <f>INDEX(FactorTable!$B$2:$Y$301, MATCH(ROUND(MIN(300,MAX(1,D2673)),0), FactorTable!$A$2:$A$301,0), Skills!M7+1)</f>
        <v>1920</v>
      </c>
      <c r="F2673">
        <f>IF(Skills!N7=TRUE,(Skills!L7/10)*(E2673/1000),Skills!L7/10)+Skills!O7</f>
        <v>357.2</v>
      </c>
      <c r="G2673">
        <f>Calc!G7</f>
        <v>3</v>
      </c>
      <c r="H2673">
        <f>Calc!H7</f>
        <v>1</v>
      </c>
      <c r="I2673">
        <f>IF(Skills!X7&lt;&gt;"",1+(Skills!X7/10)*(Z2669/1000)/100,1)</f>
        <v>1.7650000000000001</v>
      </c>
      <c r="J2673">
        <f>((Inputs!$B$6*(1+Inputs!$B$7/100))+(((Inputs!$B$12*(1+Inputs!$B$13/100))-(Inputs!$B$12*(1+Inputs!$B$13/100)))+0.25*(Inputs!$B$14-Inputs!$B$14))*(1+Inputs!$B$7/100))*(F2673/100)</f>
        <v>1289972510.4086521</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11920787623228.354</v>
      </c>
      <c r="L2673">
        <f>K2673*(MIN(Inputs!$B$22+(F2688-Calc!F22),(Inputs!$B$23+(IF(ArtifactsInput!$M$15,CHOOSE(ArtifactsInput!$N$15+1,25,30,35,40,45,50)/100*(Inputs!$B$11-Inputs!$B$11),0))))/100+(Inputs!$B$23+(IF(ArtifactsInput!$M$15,CHOOSE(ArtifactsInput!$N$15+1,25,30,35,40,45,50)/100*(Inputs!$B$11-Inputs!$B$11),0)))/100)/2</f>
        <v>39636618847234.281</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187045204340098.56</v>
      </c>
      <c r="N2673">
        <f>L2673*(1-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187045204340098.56</v>
      </c>
      <c r="O2673">
        <f>(1-Summary!$B$11)*S2673+Summary!$B$11*U2673</f>
        <v>492059819057497.31</v>
      </c>
      <c r="P2673">
        <f>IF(B2707=0,0,O2673/B2707)</f>
        <v>1.3575000854620885E-2</v>
      </c>
      <c r="Q2673">
        <f>IFERROR(1/(IF(Inputs!$B$38="pvp",15,MAX(0.1,Skills!E7-IF(TRUE=TRUE,Inputs!$B$32,0)))*(1-IF(AND(ArtifactsInput!$M$27,Inputs!$B$4="Chapter Hunt"),CHOOSE(ArtifactsInput!$N$27+1,20,24,28,32,36,40),0)/100)),0)</f>
        <v>4.0816326530612242E-2</v>
      </c>
      <c r="R2673">
        <f>IF(AND(Inputs!$B$38&lt;&gt;"pvp",Inputs!$B$43&gt;0),IF(MAX(0,Inputs!$B$43-B2704)&lt;=0,0,(INT(MAX(0,Inputs!$B$43-B2704)/(IF(Inputs!$B$38="pvp",15,MAX(0.1,Skills!E7-IF(TRUE=TRUE,Inputs!$B$32,0)))*(1-IF(AND(ArtifactsInput!$M$27,Inputs!$B$4="Chapter Hunt"),CHOOSE(ArtifactsInput!$N$27+1,20,24,28,32,36,40),0)/100)))+1)),0)</f>
        <v>2</v>
      </c>
      <c r="S2673">
        <f>IF(C2673,(H2673*N2673*IF(AND(Inputs!$B$38&lt;&gt;"pvp",Inputs!$B$43&gt;0),((Skills!G7*((R2673-1)*IF(Skills!H7&gt;0,Skills!I7/Skills!H7,1)+IF(Skills!H7&gt;0,MIN(Skills!I7,MAX(0,MAX(0,Inputs!$B$43-B2704)-((R2673-1)*(IF(Inputs!$B$38="pvp",15,MAX(0.1,Skills!E7-IF(TRUE=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88939994663716.859</v>
      </c>
      <c r="U2673">
        <f>IF(C2673,(H2673*N2673*IF(AND(Inputs!$B$38&lt;&gt;"pvp",Inputs!$B$43&gt;0),((Skills!G7*((R2673-1)*IF(Skills!H7&gt;0,Skills!I7/Skills!H7,1)+IF(Skills!H7&gt;0,MIN(Skills!I7,MAX(0,MAX(0,Inputs!$B$43-B2704)-((R2673-1)*(IF(Inputs!$B$38="pvp",15,MAX(0.1,Skills!E7-IF(TRUE=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895179643451277.75</v>
      </c>
    </row>
    <row r="2674" spans="1:21" x14ac:dyDescent="0.2">
      <c r="A2674" t="str">
        <f>Skills!A8</f>
        <v>POISON_MIST_DOT</v>
      </c>
      <c r="B2674" t="str">
        <f>Skills!B8</f>
        <v>Poison Mist (fog DoT)</v>
      </c>
      <c r="C2674" t="b">
        <f>TRUE</f>
        <v>1</v>
      </c>
      <c r="D2674">
        <f>IF(Skills!C8=1,60+Inputs!$B$25+Inputs!$B$29,IF(Skills!C8=2,90+Inputs!$B$26+Inputs!$B$29,IF(Skills!C8=3,120+Inputs!$B$27+Inputs!$B$29,MAX(0,(Inputs!$B$3-100)*3)+Inputs!$B$28+Inputs!$B$29)))</f>
        <v>184</v>
      </c>
      <c r="E2674">
        <f>INDEX(FactorTable!$B$2:$Y$301, MATCH(ROUND(MIN(300,MAX(1,D2674)),0), FactorTable!$A$2:$A$301,0), Skills!M8+1)</f>
        <v>1920</v>
      </c>
      <c r="F2674">
        <f>IF(Skills!N8=TRUE,(Skills!L8/10)*(E2674/1000),Skills!L8/10)+Skills!O8</f>
        <v>134.4</v>
      </c>
      <c r="G2674">
        <f>Calc!G8</f>
        <v>50</v>
      </c>
      <c r="H2674">
        <f>Calc!H8</f>
        <v>1</v>
      </c>
      <c r="I2674">
        <f>IF(Skills!X8&lt;&gt;"",1+(Skills!X8/10)*(Z2669/1000)/100,1)</f>
        <v>1.7650000000000001</v>
      </c>
      <c r="J2674">
        <f>((Inputs!$B$6*(1+Inputs!$B$7/100))+(((Inputs!$B$12*(1+Inputs!$B$13/100))-(Inputs!$B$12*(1+Inputs!$B$13/100)))+0.25*(Inputs!$B$14-Inputs!$B$14))*(1+Inputs!$B$7/100))*(F2674/100)</f>
        <v>485364796.74950409</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4485313148269.5713</v>
      </c>
      <c r="L2674">
        <f>K2674*(MIN(Inputs!$B$22+(F2688-Calc!F22),(Inputs!$B$23+(IF(ArtifactsInput!$M$15,CHOOSE(ArtifactsInput!$N$15+1,25,30,35,40,45,50)/100*(Inputs!$B$11-Inputs!$B$11),0))))/100+(Inputs!$B$23+(IF(ArtifactsInput!$M$15,CHOOSE(ArtifactsInput!$N$15+1,25,30,35,40,45,50)/100*(Inputs!$B$11-Inputs!$B$11),0)))/100)/2</f>
        <v>14913666217996.326</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70377590882724.656</v>
      </c>
      <c r="N2674">
        <f>L2674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70377590882724.656</v>
      </c>
      <c r="O2674">
        <f>(1-Summary!$B$11)*S2674+Summary!$B$11*U2674</f>
        <v>2556869384924086</v>
      </c>
      <c r="P2674">
        <f>IF(B2707=0,0,O2674/B2707)</f>
        <v>7.0539196132660922E-2</v>
      </c>
      <c r="Q2674">
        <f>IFERROR(1/(IF(Inputs!$B$38="pvp",15,MAX(0.1,Skills!E8-IF(TRUE=TRUE,Inputs!$B$32,0)))*(1-IF(AND(ArtifactsInput!$M$27,Inputs!$B$4="Chapter Hunt"),CHOOSE(ArtifactsInput!$N$27+1,20,24,28,32,36,40),0)/100)),0)</f>
        <v>4.0816326530612242E-2</v>
      </c>
      <c r="R2674">
        <f>IF(AND(Inputs!$B$38&lt;&gt;"pvp",Inputs!$B$43&gt;0),IF(MAX(0,Inputs!$B$43-B2704)&lt;=0,0,(INT(MAX(0,Inputs!$B$43-B2704)/(IF(Inputs!$B$38="pvp",15,MAX(0.1,Skills!E8-IF(TRUE=TRUE,Inputs!$B$32,0)))*(1-IF(AND(ArtifactsInput!$M$27,Inputs!$B$4="Chapter Hunt"),CHOOSE(ArtifactsInput!$N$27+1,20,24,28,32,36,40),0)/100)))+1)),0)</f>
        <v>2</v>
      </c>
      <c r="S2674">
        <f>IF(C2674,(H2674*N2674*IF(AND(Inputs!$B$38&lt;&gt;"pvp",Inputs!$B$43&gt;0),((Skills!G8*((R2674-1)*IF(Skills!H8&gt;0,Skills!I8/Skills!H8,1)+IF(Skills!H8&gt;0,MIN(Skills!I8,MAX(0,MAX(0,Inputs!$B$43-B2704)-((R2674-1)*(IF(Inputs!$B$38="pvp",15,MAX(0.1,Skills!E8-IF(TRUE=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462155088961646.31</v>
      </c>
      <c r="U2674">
        <f>IF(C2674,(H2674*N2674*IF(AND(Inputs!$B$38&lt;&gt;"pvp",Inputs!$B$43&gt;0),((Skills!G8*((R2674-1)*IF(Skills!H8&gt;0,Skills!I8/Skills!H8,1)+IF(Skills!H8&gt;0,MIN(Skills!I8,MAX(0,MAX(0,Inputs!$B$43-B2704)-((R2674-1)*(IF(Inputs!$B$38="pvp",15,MAX(0.1,Skills!E8-IF(TRUE=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4651583680886526</v>
      </c>
    </row>
    <row r="2675" spans="1:21" x14ac:dyDescent="0.2">
      <c r="A2675" t="str">
        <f>Skills!A9</f>
        <v>MIST_ERUPTION</v>
      </c>
      <c r="B2675" t="str">
        <f>Skills!B9</f>
        <v>Mist Eruption</v>
      </c>
      <c r="C2675" t="b">
        <f>Inputs!$B$3&gt;=103</f>
        <v>1</v>
      </c>
      <c r="D2675">
        <f>IF(Skills!C9=1,60+Inputs!$B$25+Inputs!$B$29,IF(Skills!C9=2,90+Inputs!$B$26+Inputs!$B$29,IF(Skills!C9=3,120+Inputs!$B$27+Inputs!$B$29,MAX(0,(Inputs!$B$3-100)*3)+Inputs!$B$28+Inputs!$B$29)))</f>
        <v>185</v>
      </c>
      <c r="E2675">
        <f>INDEX(FactorTable!$B$2:$Y$301, MATCH(ROUND(MIN(300,MAX(1,D2675)),0), FactorTable!$A$2:$A$301,0), Skills!M9+1)</f>
        <v>1925</v>
      </c>
      <c r="F2675">
        <f>IF(Skills!N9=TRUE,(Skills!L9/10)*(E2675/1000),Skills!L9/10)+Skills!O9</f>
        <v>5775</v>
      </c>
      <c r="G2675">
        <f>Calc!G9</f>
        <v>2.5</v>
      </c>
      <c r="H2675">
        <f>Calc!H9</f>
        <v>1</v>
      </c>
      <c r="I2675">
        <f>IF(Skills!X9&lt;&gt;"",1+(Skills!X9/10)*(Z2669/1000)/100,1)</f>
        <v>1</v>
      </c>
      <c r="J2675">
        <f>((Inputs!$B$6*(1+Inputs!$B$7/100))+(((Inputs!$B$12*(1+Inputs!$B$13/100))-(Inputs!$B$12*(1+Inputs!$B$13/100)))+0.25*(Inputs!$B$14-Inputs!$B$14))*(1+Inputs!$B$7/100))*(F2675/100)</f>
        <v>20855518610.330254</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109194503875188.72</v>
      </c>
      <c r="L2675">
        <f>K2675*(MIN(Inputs!$B$22+(F2688-Calc!F22),(Inputs!$B$23+(IF(ArtifactsInput!$M$15,CHOOSE(ArtifactsInput!$N$15+1,25,30,35,40,45,50)/100*(Inputs!$B$11-Inputs!$B$11),0))))/100+(Inputs!$B$23+(IF(ArtifactsInput!$M$15,CHOOSE(ArtifactsInput!$N$15+1,25,30,35,40,45,50)/100*(Inputs!$B$11-Inputs!$B$11),0)))/100)/2</f>
        <v>363071725385002.5</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1713335472091826.5</v>
      </c>
      <c r="N2675">
        <f>L2675*(1-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1713335472091826.5</v>
      </c>
      <c r="O2675">
        <f>(1-Summary!$B$11)*S2675+Summary!$B$11*U2675</f>
        <v>3756059688693306.5</v>
      </c>
      <c r="P2675">
        <f>IF(B2707=0,0,O2675/B2707)</f>
        <v>0.1036225912160096</v>
      </c>
      <c r="Q2675">
        <f>IFERROR(1/(IF(Inputs!$B$38="pvp",15,MAX(0.1,Skills!E9-IF(TRUE=TRUE,Inputs!$B$32,0)))*(1-IF(AND(ArtifactsInput!$M$27,Inputs!$B$4="Chapter Hunt"),CHOOSE(ArtifactsInput!$N$27+1,20,24,28,32,36,40),0)/100)),0)</f>
        <v>4.0816326530612242E-2</v>
      </c>
      <c r="R2675">
        <f>IF(AND(Inputs!$B$38&lt;&gt;"pvp",Inputs!$B$43&gt;0),IF(MAX(0,Inputs!$B$43-B2704)&lt;=0,0,(INT(MAX(0,Inputs!$B$43-B2704)/(IF(Inputs!$B$38="pvp",15,MAX(0.1,Skills!E9-IF(TRUE=TRUE,Inputs!$B$32,0)))*(1-IF(AND(ArtifactsInput!$M$27,Inputs!$B$4="Chapter Hunt"),CHOOSE(ArtifactsInput!$N$27+1,20,24,28,32,36,40),0)/100)))+1)),0)</f>
        <v>2</v>
      </c>
      <c r="S2675">
        <f>IF(C2675,(H2675*N2675*IF(AND(Inputs!$B$38&lt;&gt;"pvp",Inputs!$B$43&gt;0),((Skills!G9*((R2675-1)*IF(Skills!H9&gt;0,Skills!I9/Skills!H9,1)+IF(Skills!H9&gt;0,MIN(Skills!I9,MAX(0,MAX(0,Inputs!$B$43-B2704)-((R2675-1)*(IF(Inputs!$B$38="pvp",15,MAX(0.1,Skills!E9-IF(TRUE=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678909180816386.25</v>
      </c>
      <c r="U2675">
        <f>IF(C2675,(H2675*N2675*IF(AND(Inputs!$B$38&lt;&gt;"pvp",Inputs!$B$43&gt;0),((Skills!G9*((R2675-1)*IF(Skills!H9&gt;0,Skills!I9/Skills!H9,1)+IF(Skills!H9&gt;0,MIN(Skills!I9,MAX(0,MAX(0,Inputs!$B$43-B2704)-((R2675-1)*(IF(Inputs!$B$38="pvp",15,MAX(0.1,Skills!E9-IF(TRUE=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6833210196570227</v>
      </c>
    </row>
    <row r="2676" spans="1:21" x14ac:dyDescent="0.2">
      <c r="A2676" t="str">
        <f>Skills!A10</f>
        <v>CREEPING_TOXIN</v>
      </c>
      <c r="B2676" t="str">
        <f>Skills!B10</f>
        <v>Creeping Toxin</v>
      </c>
      <c r="C2676" t="b">
        <f>TRUE</f>
        <v>1</v>
      </c>
      <c r="D2676">
        <f>IF(Skills!C10=1,60+Inputs!$B$25+Inputs!$B$29,IF(Skills!C10=2,90+Inputs!$B$26+Inputs!$B$29,IF(Skills!C10=3,120+Inputs!$B$27+Inputs!$B$29,MAX(0,(Inputs!$B$3-100)*3)+Inputs!$B$28+Inputs!$B$29)))</f>
        <v>184</v>
      </c>
      <c r="E2676">
        <f>INDEX(FactorTable!$B$2:$Y$301, MATCH(ROUND(MIN(300,MAX(1,D2676)),0), FactorTable!$A$2:$A$301,0), Skills!M10+1)</f>
        <v>1920</v>
      </c>
      <c r="F2676">
        <f>IF(Skills!N10=TRUE,(Skills!L10/10)*(E2676/1000),Skills!L10/10)+Skills!O10</f>
        <v>280.39999999999998</v>
      </c>
      <c r="G2676">
        <f>Calc!G10</f>
        <v>15</v>
      </c>
      <c r="H2676">
        <f>Calc!H10</f>
        <v>1</v>
      </c>
      <c r="I2676">
        <f>IF(Skills!X10&lt;&gt;"",1+(Skills!X10/10)*(Z2669/1000)/100,1)</f>
        <v>1.7650000000000001</v>
      </c>
      <c r="J2676">
        <f>((Inputs!$B$6*(1+Inputs!$B$7/100))+(((Inputs!$B$12*(1+Inputs!$B$13/100))-(Inputs!$B$12*(1+Inputs!$B$13/100)))+0.25*(Inputs!$B$14-Inputs!$B$14))*(1+Inputs!$B$7/100))*(F2676/100)</f>
        <v>1012621197.9803641</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9357751538502.8828</v>
      </c>
      <c r="L2676">
        <f>K2676*(MIN(Inputs!$B$22+(F2688-Calc!F22),(Inputs!$B$23+(IF(ArtifactsInput!$M$15,CHOOSE(ArtifactsInput!$N$15+1,25,30,35,40,45,50)/100*(Inputs!$B$11-Inputs!$B$11),0))))/100+(Inputs!$B$23+(IF(ArtifactsInput!$M$15,CHOOSE(ArtifactsInput!$N$15+1,25,30,35,40,45,50)/100*(Inputs!$B$11-Inputs!$B$11),0)))/100)/2</f>
        <v>31114523865522.086</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146829438121398.72</v>
      </c>
      <c r="N2676">
        <f>L2676*(1-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146829438121398.72</v>
      </c>
      <c r="O2676">
        <f>(1-Summary!$B$11)*S2676+Summary!$B$11*U2676</f>
        <v>349268772312726.62</v>
      </c>
      <c r="P2676">
        <f>IF(B2707=0,0,O2676/B2707)</f>
        <v>9.6356656223613064E-3</v>
      </c>
      <c r="Q2676">
        <f>IFERROR(1/(IF(Inputs!$B$38="pvp",15,MAX(0.1,Skills!E10-IF(TRUE=TRUE,Inputs!$B$32,0)))*(1-IF(AND(ArtifactsInput!$M$27,Inputs!$B$4="Chapter Hunt"),CHOOSE(ArtifactsInput!$N$27+1,20,24,28,32,36,40),0)/100)),0)</f>
        <v>3.7037037037037035E-2</v>
      </c>
      <c r="R2676">
        <f>IF(AND(Inputs!$B$38&lt;&gt;"pvp",Inputs!$B$43&gt;0),IF(MAX(0,Inputs!$B$43-B2704)&lt;=0,0,(INT(MAX(0,Inputs!$B$43-B2704)/(IF(Inputs!$B$38="pvp",15,MAX(0.1,Skills!E10-IF(TRUE=TRUE,Inputs!$B$32,0)))*(1-IF(AND(ArtifactsInput!$M$27,Inputs!$B$4="Chapter Hunt"),CHOOSE(ArtifactsInput!$N$27+1,20,24,28,32,36,40),0)/100)))+1)),0)</f>
        <v>2</v>
      </c>
      <c r="S2676">
        <f>IF(C2676,(H2676*N2676*IF(AND(Inputs!$B$38&lt;&gt;"pvp",Inputs!$B$43&gt;0),((Skills!G10*((R2676-1)*IF(Skills!H10&gt;0,Skills!I10/Skills!H10,1)+IF(Skills!H10&gt;0,MIN(Skills!I10,MAX(0,MAX(0,Inputs!$B$43-B2704)-((R2676-1)*(IF(Inputs!$B$38="pvp",15,MAX(0.1,Skills!E10-IF(TRUE=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298407678147681.69</v>
      </c>
      <c r="U2676">
        <f>IF(C2676,(H2676*N2676*IF(AND(Inputs!$B$38&lt;&gt;"pvp",Inputs!$B$43&gt;0),((Skills!G10*((R2676-1)*IF(Skills!H10&gt;0,Skills!I10/Skills!H10,1)+IF(Skills!H10&gt;0,MIN(Skills!I10,MAX(0,MAX(0,Inputs!$B$43-B2704)-((R2676-1)*(IF(Inputs!$B$38="pvp",15,MAX(0.1,Skills!E10-IF(TRUE=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400129866477771.56</v>
      </c>
    </row>
    <row r="2677" spans="1:21" x14ac:dyDescent="0.2">
      <c r="A2677" t="str">
        <f>Skills!A11</f>
        <v>BURNING_MAGIC</v>
      </c>
      <c r="B2677" t="str">
        <f>Skills!B11</f>
        <v>Burning Magic</v>
      </c>
      <c r="C2677" t="b">
        <f>TRUE</f>
        <v>1</v>
      </c>
      <c r="D2677">
        <f>IF(Skills!C11=1,60+Inputs!$B$25+Inputs!$B$29,IF(Skills!C11=2,90+Inputs!$B$26+Inputs!$B$29,IF(Skills!C11=3,120+Inputs!$B$27+Inputs!$B$29,MAX(0,(Inputs!$B$3-100)*3)+Inputs!$B$28+Inputs!$B$29)))</f>
        <v>184</v>
      </c>
      <c r="E2677">
        <f>INDEX(FactorTable!$B$2:$Y$301, MATCH(ROUND(MIN(300,MAX(1,D2677)),0), FactorTable!$A$2:$A$301,0), Skills!M11+1)</f>
        <v>0</v>
      </c>
      <c r="F2677">
        <f>IF(Skills!N11=TRUE,(Skills!L11/10)*(E2677/1000),Skills!L11/10)+Skills!O11</f>
        <v>5</v>
      </c>
      <c r="G2677">
        <f>Calc!G11</f>
        <v>1</v>
      </c>
      <c r="H2677">
        <f>Calc!H11</f>
        <v>1</v>
      </c>
      <c r="I2677">
        <f>IF(Skills!X11&lt;&gt;"",1+(Skills!X11/10)*(Z2669/1000)/100,1)</f>
        <v>1</v>
      </c>
      <c r="O2677">
        <f>(1-Summary!$B$11)*S2677+Summary!$B$11*U2677</f>
        <v>0</v>
      </c>
      <c r="P2677">
        <f>IF(B2707=0,0,O2677/B2707)</f>
        <v>0</v>
      </c>
      <c r="Q2677">
        <f>IFERROR(1/(IF(Inputs!$B$38="pvp",15,MAX(0.1,Skills!E11-IF(TRUE=TRUE,Inputs!$B$32,0)))*(1-IF(AND(ArtifactsInput!$M$27,Inputs!$B$4="Chapter Hunt"),CHOOSE(ArtifactsInput!$N$27+1,20,24,28,32,36,40),0)/100)),0)</f>
        <v>10</v>
      </c>
      <c r="R2677">
        <v>0</v>
      </c>
      <c r="S2677">
        <v>0</v>
      </c>
      <c r="U2677">
        <v>0</v>
      </c>
    </row>
    <row r="2678" spans="1:21" x14ac:dyDescent="0.2">
      <c r="A2678" t="str">
        <f>Skills!A12</f>
        <v>ELEMENTAL_DECREASE</v>
      </c>
      <c r="B2678" t="str">
        <f>Skills!B12</f>
        <v>Elemental Decrease</v>
      </c>
      <c r="C2678" t="b">
        <f>TRUE</f>
        <v>1</v>
      </c>
      <c r="D2678">
        <f>IF(Skills!C12=1,60+Inputs!$B$25+Inputs!$B$29,IF(Skills!C12=2,90+Inputs!$B$26+Inputs!$B$29,IF(Skills!C12=3,120+Inputs!$B$27+Inputs!$B$29,MAX(0,(Inputs!$B$3-100)*3)+Inputs!$B$28+Inputs!$B$29)))</f>
        <v>184</v>
      </c>
      <c r="E2678">
        <f>INDEX(FactorTable!$B$2:$Y$301, MATCH(ROUND(MIN(300,MAX(1,D2678)),0), FactorTable!$A$2:$A$301,0), Skills!M12+1)</f>
        <v>1552</v>
      </c>
      <c r="F2678">
        <f>IF(Skills!N12=TRUE,(Skills!L12/10)*(E2678/1000),Skills!L12/10)+Skills!O12</f>
        <v>18.624000000000002</v>
      </c>
      <c r="G2678">
        <f>Calc!G12</f>
        <v>1</v>
      </c>
      <c r="H2678">
        <f>Calc!H12</f>
        <v>0.5</v>
      </c>
      <c r="I2678">
        <f>IF(Skills!X12&lt;&gt;"",1+(Skills!X12/10)*(Z2669/1000)/100,1)</f>
        <v>1</v>
      </c>
      <c r="O2678">
        <f>(1-Summary!$B$11)*S2678+Summary!$B$11*U2678</f>
        <v>0</v>
      </c>
      <c r="P2678">
        <f>IF(B2707=0,0,O2678/B2707)</f>
        <v>0</v>
      </c>
      <c r="Q2678">
        <f>IFERROR(1/(IF(Inputs!$B$38="pvp",15,MAX(0.1,Skills!E12-IF(TRUE=TRUE,Inputs!$B$32,0)))*(1-IF(AND(ArtifactsInput!$M$27,Inputs!$B$4="Chapter Hunt"),CHOOSE(ArtifactsInput!$N$27+1,20,24,28,32,36,40),0)/100)),0)</f>
        <v>10</v>
      </c>
      <c r="R2678">
        <v>0</v>
      </c>
      <c r="S2678">
        <v>0</v>
      </c>
      <c r="U2678">
        <v>0</v>
      </c>
    </row>
    <row r="2679" spans="1:21" x14ac:dyDescent="0.2">
      <c r="A2679" t="str">
        <f>Skills!A13</f>
        <v>METEOR_SHOWER_BURST</v>
      </c>
      <c r="B2679" t="str">
        <f>Skills!B13</f>
        <v>Meteor Shower (burst)</v>
      </c>
      <c r="C2679" t="b">
        <f>Inputs!$B$3&gt;=105</f>
        <v>1</v>
      </c>
      <c r="D2679">
        <f>IF(Skills!C13=1,60+Inputs!$B$25+Inputs!$B$29,IF(Skills!C13=2,90+Inputs!$B$26+Inputs!$B$29,IF(Skills!C13=3,120+Inputs!$B$27+Inputs!$B$29,MAX(0,(Inputs!$B$3-100)*3)+Inputs!$B$28+Inputs!$B$29)))</f>
        <v>185</v>
      </c>
      <c r="E2679">
        <f>INDEX(FactorTable!$B$2:$Y$301, MATCH(ROUND(MIN(300,MAX(1,D2679)),0), FactorTable!$A$2:$A$301,0), Skills!M13+1)</f>
        <v>1925</v>
      </c>
      <c r="F2679">
        <f>IF(Skills!N13=TRUE,(Skills!L13/10)*(E2679/1000),Skills!L13/10)+Skills!O13</f>
        <v>1155</v>
      </c>
      <c r="G2679">
        <f>Calc!G13</f>
        <v>9</v>
      </c>
      <c r="H2679">
        <f>Calc!H13</f>
        <v>1</v>
      </c>
      <c r="I2679">
        <f>IF(Skills!X13&lt;&gt;"",1+(Skills!X13/10)*(Z2669/1000)/100,1)</f>
        <v>1</v>
      </c>
      <c r="J2679">
        <f>((Inputs!$B$6*(1+Inputs!$B$7/100))+(((Inputs!$B$12*(1+Inputs!$B$13/100))-(Inputs!$B$12*(1+Inputs!$B$13/100)))+0.25*(Inputs!$B$14-Inputs!$B$14))*(1+Inputs!$B$7/100))*(F2679/100)</f>
        <v>4171103722.0660505</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21838900775037.746</v>
      </c>
      <c r="L2679">
        <f>K2679*(MIN(Inputs!$B$22+(F2688-Calc!F22),(Inputs!$B$23+(IF(ArtifactsInput!$M$15,CHOOSE(ArtifactsInput!$N$15+1,25,30,35,40,45,50)/100*(Inputs!$B$11-Inputs!$B$11),0))))/100+(Inputs!$B$23+(IF(ArtifactsInput!$M$15,CHOOSE(ArtifactsInput!$N$15+1,25,30,35,40,45,50)/100*(Inputs!$B$11-Inputs!$B$11),0)))/100)/2</f>
        <v>72614345077000.516</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342667094418365.38</v>
      </c>
      <c r="N2679">
        <f>L2679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342667094418365.38</v>
      </c>
      <c r="O2679">
        <f>(1-Summary!$B$11)*S2679+Summary!$B$11*U2679</f>
        <v>1966376274629597</v>
      </c>
      <c r="P2679">
        <f>IF(B2707=0,0,O2679/B2707)</f>
        <v>5.4248606723736291E-2</v>
      </c>
      <c r="Q2679">
        <f>IFERROR(1/(IF(Inputs!$B$38="pvp",15,MAX(0.1,Skills!E13-IF(TRUE=TRUE,Inputs!$B$32,0)))*(1-IF(AND(ArtifactsInput!$M$27,Inputs!$B$4="Chapter Hunt"),CHOOSE(ArtifactsInput!$N$27+1,20,24,28,32,36,40),0)/100)),0)</f>
        <v>3.0303030303030304E-2</v>
      </c>
      <c r="R2679">
        <f>IF(AND(Inputs!$B$38&lt;&gt;"pvp",Inputs!$B$43&gt;0),IF(MAX(0,Inputs!$B$43-B2704)&lt;=0,0,(INT(MAX(0,Inputs!$B$43-B2704)/(IF(Inputs!$B$38="pvp",15,MAX(0.1,Skills!E13-IF(TRUE=TRUE,Inputs!$B$32,0)))*(1-IF(AND(ArtifactsInput!$M$27,Inputs!$B$4="Chapter Hunt"),CHOOSE(ArtifactsInput!$N$27+1,20,24,28,32,36,40),0)/100)))+1)),0)</f>
        <v>2</v>
      </c>
      <c r="S2679">
        <f>IF(C2679,(H2679*N2679*IF(AND(Inputs!$B$38&lt;&gt;"pvp",Inputs!$B$43&gt;0),((Skills!G13*((R2679-1)*IF(Skills!H13&gt;0,Skills!I13/Skills!H13,1)+IF(Skills!H13&gt;0,MIN(Skills!I13,MAX(0,MAX(0,Inputs!$B$43-B2704)-((R2679-1)*(IF(Inputs!$B$38="pvp",15,MAX(0.1,Skills!E13-IF(TRUE=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488814610187798.25</v>
      </c>
      <c r="U2679">
        <f>IF(C2679,(H2679*N2679*IF(AND(Inputs!$B$38&lt;&gt;"pvp",Inputs!$B$43&gt;0),((Skills!G13*((R2679-1)*IF(Skills!H13&gt;0,Skills!I13/Skills!H13,1)+IF(Skills!H13&gt;0,MIN(Skills!I13,MAX(0,MAX(0,Inputs!$B$43-B2704)-((R2679-1)*(IF(Inputs!$B$38="pvp",15,MAX(0.1,Skills!E13-IF(TRUE=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3443937939071395.5</v>
      </c>
    </row>
    <row r="2680" spans="1:21" x14ac:dyDescent="0.2">
      <c r="A2680" t="str">
        <f>Skills!A14</f>
        <v>METEOR_PROC</v>
      </c>
      <c r="B2680" t="str">
        <f>Skills!B14</f>
        <v>Meteor Proc (30% on-hit, 1s ICD)</v>
      </c>
      <c r="C2680" t="b">
        <f>Inputs!$B$3&gt;=113</f>
        <v>1</v>
      </c>
      <c r="D2680">
        <f>IF(Skills!C14=1,60+Inputs!$B$25+Inputs!$B$29,IF(Skills!C14=2,90+Inputs!$B$26+Inputs!$B$29,IF(Skills!C14=3,120+Inputs!$B$27+Inputs!$B$29,MAX(0,(Inputs!$B$3-100)*3)+Inputs!$B$28+Inputs!$B$29)))</f>
        <v>185</v>
      </c>
      <c r="E2680">
        <f>INDEX(FactorTable!$B$2:$Y$301, MATCH(ROUND(MIN(300,MAX(1,D2680)),0), FactorTable!$A$2:$A$301,0), Skills!M14+1)</f>
        <v>1740</v>
      </c>
      <c r="F2680">
        <f>IF(Skills!N14=TRUE,(Skills!L14/10)*(E2680/1000),Skills!L14/10)+Skills!O14</f>
        <v>1653</v>
      </c>
      <c r="G2680">
        <f>Calc!G14</f>
        <v>0</v>
      </c>
      <c r="H2680">
        <f>Calc!H14</f>
        <v>0.30000000000000004</v>
      </c>
      <c r="I2680">
        <f>IF(Skills!X14&lt;&gt;"",1+(Skills!X14/10)*(Z2669/1000)/100,1)</f>
        <v>1</v>
      </c>
      <c r="J2680">
        <f>((Inputs!$B$6*(1+Inputs!$B$7/100))+(((Inputs!$B$12*(1+Inputs!$B$13/100))-(Inputs!$B$12*(1+Inputs!$B$13/100)))+0.25*(Inputs!$B$14-Inputs!$B$14))*(1+Inputs!$B$7/100))*(F2680/100)</f>
        <v>5969553638.5932312</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31255154096222.844</v>
      </c>
      <c r="L2680">
        <f>K2680*(MIN(Inputs!$B$22+(F2688-Calc!F22),(Inputs!$B$23+(IF(ArtifactsInput!$M$15,CHOOSE(ArtifactsInput!$N$15+1,25,30,35,40,45,50)/100*(Inputs!$B$11-Inputs!$B$11),0))))/100+(Inputs!$B$23+(IF(ArtifactsInput!$M$15,CHOOSE(ArtifactsInput!$N$15+1,25,30,35,40,45,50)/100*(Inputs!$B$11-Inputs!$B$11),0)))/100)/2</f>
        <v>103923387369940.97</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490414464998751.38</v>
      </c>
      <c r="N2680">
        <f>L2680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490414464998751.38</v>
      </c>
      <c r="O2680">
        <f>(1-Summary!$B$11)*S2680+Summary!$B$11*U2680</f>
        <v>494675644814436.06</v>
      </c>
      <c r="P2680">
        <f>IF(B2707=0,0,O2680/B2707)</f>
        <v>1.3647166545682592E-2</v>
      </c>
      <c r="Q2680">
        <f>IFERROR(1/(IF(Inputs!$B$38="pvp",15,MAX(0.1,Skills!E14-IF(TRUE=TRUE,Inputs!$B$32,0)))*(1-IF(AND(ArtifactsInput!$M$27,Inputs!$B$4="Chapter Hunt"),CHOOSE(ArtifactsInput!$N$27+1,20,24,28,32,36,40),0)/100)),0)</f>
        <v>10</v>
      </c>
      <c r="R2680">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493073544653574.31</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496277744975297.81</v>
      </c>
    </row>
    <row r="2681" spans="1:21" x14ac:dyDescent="0.2">
      <c r="A2681" t="str">
        <f>Skills!A15</f>
        <v>FLAME_HAZE_BURST</v>
      </c>
      <c r="B2681" t="str">
        <f>Skills!B15</f>
        <v>Flame Haze (burst)</v>
      </c>
      <c r="C2681" t="b">
        <f>Inputs!$B$3&gt;=107</f>
        <v>1</v>
      </c>
      <c r="D2681">
        <f>IF(Skills!C15=1,60+Inputs!$B$25+Inputs!$B$29,IF(Skills!C15=2,90+Inputs!$B$26+Inputs!$B$29,IF(Skills!C15=3,120+Inputs!$B$27+Inputs!$B$29,MAX(0,(Inputs!$B$3-100)*3)+Inputs!$B$28+Inputs!$B$29)))</f>
        <v>185</v>
      </c>
      <c r="E2681">
        <f>INDEX(FactorTable!$B$2:$Y$301, MATCH(ROUND(MIN(300,MAX(1,D2681)),0), FactorTable!$A$2:$A$301,0), Skills!M15+1)</f>
        <v>1925</v>
      </c>
      <c r="F2681">
        <f>IF(Skills!N15=TRUE,(Skills!L15/10)*(E2681/1000),Skills!L15/10)+Skills!O15</f>
        <v>2310</v>
      </c>
      <c r="G2681">
        <f>Calc!G15</f>
        <v>3</v>
      </c>
      <c r="H2681">
        <f>Calc!H15</f>
        <v>1</v>
      </c>
      <c r="I2681">
        <f>IF(Skills!X15&lt;&gt;"",1+(Skills!X15/10)*(Z2669/1000)/100,1)</f>
        <v>1</v>
      </c>
      <c r="J2681">
        <f>((Inputs!$B$6*(1+Inputs!$B$7/100))+(((Inputs!$B$12*(1+Inputs!$B$13/100))-(Inputs!$B$12*(1+Inputs!$B$13/100)))+0.25*(Inputs!$B$14-Inputs!$B$14))*(1+Inputs!$B$7/100))*(F2681/100)</f>
        <v>8342207444.1321011</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43677801550075.492</v>
      </c>
      <c r="L2681">
        <f>K2681*(MIN(Inputs!$B$22+(F2688-Calc!F22),(Inputs!$B$23+(IF(ArtifactsInput!$M$15,CHOOSE(ArtifactsInput!$N$15+1,25,30,35,40,45,50)/100*(Inputs!$B$11-Inputs!$B$11),0))))/100+(Inputs!$B$23+(IF(ArtifactsInput!$M$15,CHOOSE(ArtifactsInput!$N$15+1,25,30,35,40,45,50)/100*(Inputs!$B$11-Inputs!$B$11),0)))/100)/2</f>
        <v>145228690154001.03</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685334188836730.75</v>
      </c>
      <c r="N2681">
        <f>L2681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685334188836730.75</v>
      </c>
      <c r="O2681">
        <f>(1-Summary!$B$11)*S2681+Summary!$B$11*U2681</f>
        <v>1802908650572787.5</v>
      </c>
      <c r="P2681">
        <f>IF(B2707=0,0,O2681/B2707)</f>
        <v>4.9738843783684615E-2</v>
      </c>
      <c r="Q2681">
        <f>IFERROR(1/(IF(Inputs!$B$38="pvp",15,MAX(0.1,Skills!E15-IF(TRUE=TRUE,Inputs!$B$32,0)))*(1-IF(AND(ArtifactsInput!$M$27,Inputs!$B$4="Chapter Hunt"),CHOOSE(ArtifactsInput!$N$27+1,20,24,28,32,36,40),0)/100)),0)</f>
        <v>0.04</v>
      </c>
      <c r="R2681">
        <f>IF(AND(Inputs!$B$38&lt;&gt;"pvp",Inputs!$B$43&gt;0),IF(MAX(0,Inputs!$B$43-B2704)&lt;=0,0,(INT(MAX(0,Inputs!$B$43-B2704)/(IF(Inputs!$B$38="pvp",15,MAX(0.1,Skills!E15-IF(TRUE=TRUE,Inputs!$B$32,0)))*(1-IF(AND(ArtifactsInput!$M$27,Inputs!$B$4="Chapter Hunt"),CHOOSE(ArtifactsInput!$N$27+1,20,24,28,32,36,40),0)/100)))+1)),0)</f>
        <v>2</v>
      </c>
      <c r="S2681">
        <f>IF(C2681,(H2681*N2681*IF(AND(Inputs!$B$38&lt;&gt;"pvp",Inputs!$B$43&gt;0),((Skills!G15*((R2681-1)*IF(Skills!H15&gt;0,Skills!I15/Skills!H15,1)+IF(Skills!H15&gt;0,MIN(Skills!I15,MAX(0,MAX(0,Inputs!$B$43-B2704)-((R2681-1)*(IF(Inputs!$B$38="pvp",15,MAX(0.1,Skills!E15-IF(TRUE=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325876406791865.44</v>
      </c>
      <c r="U2681">
        <f>IF(C2681,(H2681*N2681*IF(AND(Inputs!$B$38&lt;&gt;"pvp",Inputs!$B$43&gt;0),((Skills!G15*((R2681-1)*IF(Skills!H15&gt;0,Skills!I15/Skills!H15,1)+IF(Skills!H15&gt;0,MIN(Skills!I15,MAX(0,MAX(0,Inputs!$B$43-B2704)-((R2681-1)*(IF(Inputs!$B$38="pvp",15,MAX(0.1,Skills!E15-IF(TRUE=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3279940894353709.5</v>
      </c>
    </row>
    <row r="2682" spans="1:21" x14ac:dyDescent="0.2">
      <c r="A2682" t="str">
        <f>Skills!A16</f>
        <v>FLAME_HAZE_DOT</v>
      </c>
      <c r="B2682" t="str">
        <f>Skills!B16</f>
        <v>Flame Haze (burn DoT)</v>
      </c>
      <c r="C2682" t="b">
        <f>Inputs!$B$3&gt;=107</f>
        <v>1</v>
      </c>
      <c r="D2682">
        <f>IF(Skills!C16=1,60+Inputs!$B$25+Inputs!$B$29,IF(Skills!C16=2,90+Inputs!$B$26+Inputs!$B$29,IF(Skills!C16=3,120+Inputs!$B$27+Inputs!$B$29,MAX(0,(Inputs!$B$3-100)*3)+Inputs!$B$28+Inputs!$B$29)))</f>
        <v>185</v>
      </c>
      <c r="E2682">
        <f>INDEX(FactorTable!$B$2:$Y$301, MATCH(ROUND(MIN(300,MAX(1,D2682)),0), FactorTable!$A$2:$A$301,0), Skills!M16+1)</f>
        <v>1925</v>
      </c>
      <c r="F2682">
        <f>IF(Skills!N16=TRUE,(Skills!L16/10)*(E2682/1000),Skills!L16/10)+Skills!O16</f>
        <v>288.75</v>
      </c>
      <c r="G2682">
        <f>Calc!G16</f>
        <v>30</v>
      </c>
      <c r="H2682">
        <f>Calc!H16</f>
        <v>1</v>
      </c>
      <c r="I2682">
        <f>IF(Skills!X16&lt;&gt;"",1+(Skills!X16/10)*(Z2669/1000)/100,1)</f>
        <v>1</v>
      </c>
      <c r="J2682">
        <f>((Inputs!$B$6*(1+Inputs!$B$7/100))+(((Inputs!$B$12*(1+Inputs!$B$13/100))-(Inputs!$B$12*(1+Inputs!$B$13/100)))+0.25*(Inputs!$B$14-Inputs!$B$14))*(1+Inputs!$B$7/100))*(F2682/100)</f>
        <v>1042775930.5165126</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5459725193759.4365</v>
      </c>
      <c r="L2682">
        <f>K2682*(MIN(Inputs!$B$22+(F2688-Calc!F22),(Inputs!$B$23+(IF(ArtifactsInput!$M$15,CHOOSE(ArtifactsInput!$N$15+1,25,30,35,40,45,50)/100*(Inputs!$B$11-Inputs!$B$11),0))))/100+(Inputs!$B$23+(IF(ArtifactsInput!$M$15,CHOOSE(ArtifactsInput!$N$15+1,25,30,35,40,45,50)/100*(Inputs!$B$11-Inputs!$B$11),0)))/100)/2</f>
        <v>18153586269250.129</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85666773604591.344</v>
      </c>
      <c r="N2682">
        <f>L2682*(1-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85666773604591.344</v>
      </c>
      <c r="O2682">
        <f>(1-Summary!$B$11)*S2682+Summary!$B$11*U2682</f>
        <v>2076702700724343.8</v>
      </c>
      <c r="P2682">
        <f>IF(B2707=0,0,O2682/B2707)</f>
        <v>5.7292304401372618E-2</v>
      </c>
      <c r="Q2682">
        <f>IFERROR(1/(IF(Inputs!$B$38="pvp",15,MAX(0.1,Skills!E16-IF(TRUE=TRUE,Inputs!$B$32,0)))*(1-IF(AND(ArtifactsInput!$M$27,Inputs!$B$4="Chapter Hunt"),CHOOSE(ArtifactsInput!$N$27+1,20,24,28,32,36,40),0)/100)),0)</f>
        <v>0.04</v>
      </c>
      <c r="R2682">
        <f>IF(AND(Inputs!$B$38&lt;&gt;"pvp",Inputs!$B$43&gt;0),IF(MAX(0,Inputs!$B$43-B2704)&lt;=0,0,(INT(MAX(0,Inputs!$B$43-B2704)/(IF(Inputs!$B$38="pvp",15,MAX(0.1,Skills!E16-IF(TRUE=TRUE,Inputs!$B$32,0)))*(1-IF(AND(ArtifactsInput!$M$27,Inputs!$B$4="Chapter Hunt"),CHOOSE(ArtifactsInput!$N$27+1,20,24,28,32,36,40),0)/100)))+1)),0)</f>
        <v>2</v>
      </c>
      <c r="S2682">
        <f>IF(C2682,(H2682*N2682*IF(AND(Inputs!$B$38&lt;&gt;"pvp",Inputs!$B$43&gt;0),((Skills!G16*((R2682-1)*IF(Skills!H16&gt;0,Skills!I16/Skills!H16,1)+IF(Skills!H16&gt;0,MIN(Skills!I16,MAX(0,MAX(0,Inputs!$B$43-B2704)-((R2682-1)*(IF(Inputs!$B$38="pvp",15,MAX(0.1,Skills!E16-IF(TRUE=TRUE,Inputs!$B$32,0)))*(1-IF(AND(ArtifactsInput!$M$27,Inputs!$B$4="Chapter Hunt"),CHOOSE(ArtifactsInput!$N$27+1,20,24,28,32,36,40),0)/100)))))/Skills!H16,1)))/Inputs!$B$43),G2682*Q2682)*(1+IF(Inputs!$B$3&gt;=126,0.05*(B2702+Q2679+(H2680*B2703)/(1+Skills!H14*H2680*B2703)+Q2690),0)*(1/Q2681)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375364782831347.31</v>
      </c>
      <c r="U2682">
        <f>IF(C2682,(H2682*N2682*IF(AND(Inputs!$B$38&lt;&gt;"pvp",Inputs!$B$43&gt;0),((Skills!G16*((R2682-1)*IF(Skills!H16&gt;0,Skills!I16/Skills!H16,1)+IF(Skills!H16&gt;0,MIN(Skills!I16,MAX(0,MAX(0,Inputs!$B$43-B2704)-((R2682-1)*(IF(Inputs!$B$38="pvp",15,MAX(0.1,Skills!E16-IF(TRUE=TRUE,Inputs!$B$32,0)))*(1-IF(AND(ArtifactsInput!$M$27,Inputs!$B$4="Chapter Hunt"),CHOOSE(ArtifactsInput!$N$27+1,20,24,28,32,36,40),0)/100)))))/Skills!H16,1)))/Inputs!$B$43),G2682*Q2682)*(1+IF(Inputs!$B$3&gt;=126,0.05*(B2702+Q2679+(H2680*B2703)/(1+Skills!H14*H2680*B2703)+Q2690),0)*(1/Q2681)))*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3778040618617340</v>
      </c>
    </row>
    <row r="2683" spans="1:21" x14ac:dyDescent="0.2">
      <c r="A2683" t="str">
        <f>Skills!A17</f>
        <v>MAGIC_GUARD</v>
      </c>
      <c r="B2683" t="str">
        <f>Skills!B17</f>
        <v>Magic Guard</v>
      </c>
      <c r="C2683" t="b">
        <f>TRUE</f>
        <v>1</v>
      </c>
      <c r="D2683">
        <f>IF(Skills!C17=1,60+Inputs!$B$25+Inputs!$B$29,IF(Skills!C17=2,90+Inputs!$B$26+Inputs!$B$29,IF(Skills!C17=3,120+Inputs!$B$27+Inputs!$B$29,MAX(0,(Inputs!$B$3-100)*3)+Inputs!$B$28+Inputs!$B$29)))</f>
        <v>127</v>
      </c>
      <c r="E2683">
        <f>INDEX(FactorTable!$B$2:$Y$301, MATCH(ROUND(MIN(300,MAX(1,D2683)),0), FactorTable!$A$2:$A$301,0), Skills!M17+1)</f>
        <v>1508</v>
      </c>
      <c r="F2683">
        <f>IF(Skills!N17=TRUE,(Skills!L17/10)*(E2683/1000),Skills!L17/10)+Skills!O17</f>
        <v>18.096</v>
      </c>
      <c r="G2683">
        <f>Calc!G17</f>
        <v>1</v>
      </c>
      <c r="H2683">
        <f>Calc!H17</f>
        <v>1</v>
      </c>
      <c r="I2683">
        <f>IF(Skills!X17&lt;&gt;"",1+(Skills!X17/10)*(Z2669/1000)/100,1)</f>
        <v>1</v>
      </c>
      <c r="O2683">
        <f>(1-Summary!$B$11)*S2683+Summary!$B$11*U2683</f>
        <v>0</v>
      </c>
      <c r="P2683">
        <f>IF(B2707=0,0,O2683/B2707)</f>
        <v>0</v>
      </c>
      <c r="Q2683">
        <f>IFERROR(1/(IF(Inputs!$B$38="pvp",15,MAX(0.1,Skills!E17-IF(TRUE=TRUE,Inputs!$B$32,0)))*(1-IF(AND(ArtifactsInput!$M$27,Inputs!$B$4="Chapter Hunt"),CHOOSE(ArtifactsInput!$N$27+1,20,24,28,32,36,40),0)/100)),0)</f>
        <v>4.7619047619047616E-2</v>
      </c>
      <c r="R2683">
        <f>IF(AND(Inputs!$B$38&lt;&gt;"pvp",Inputs!$B$43&gt;0),IF(Inputs!$B$43&lt;=0,0,(INT(Inputs!$B$43/(IF(Inputs!$B$38="pvp",15,MAX(0.1,Skills!E17-IF(TRUE=TRUE,Inputs!$B$32,0)))*(1-IF(AND(ArtifactsInput!$M$27,Inputs!$B$4="Chapter Hunt"),CHOOSE(ArtifactsInput!$N$27+1,20,24,28,32,36,40),0)/100)))+1)),0)</f>
        <v>2</v>
      </c>
      <c r="S2683">
        <v>0</v>
      </c>
      <c r="U2683">
        <v>0</v>
      </c>
    </row>
    <row r="2684" spans="1:21" x14ac:dyDescent="0.2">
      <c r="A2684" t="str">
        <f>Skills!A18</f>
        <v>NIMBLE_FEET</v>
      </c>
      <c r="B2684" t="str">
        <f>Skills!B18</f>
        <v>Nimble Feet</v>
      </c>
      <c r="C2684" t="b">
        <f>TRUE</f>
        <v>1</v>
      </c>
      <c r="D2684">
        <f>IF(Skills!C18=1,60+Inputs!$B$25+Inputs!$B$29,IF(Skills!C18=2,90+Inputs!$B$26+Inputs!$B$29,IF(Skills!C18=3,120+Inputs!$B$27+Inputs!$B$29,MAX(0,(Inputs!$B$3-100)*3)+Inputs!$B$28+Inputs!$B$29)))</f>
        <v>127</v>
      </c>
      <c r="E2684">
        <f>INDEX(FactorTable!$B$2:$Y$301, MATCH(ROUND(MIN(300,MAX(1,D2684)),0), FactorTable!$A$2:$A$301,0), Skills!M18+1)</f>
        <v>0</v>
      </c>
      <c r="F2684">
        <f>IF(Skills!N18=TRUE,(Skills!L18/10)*(E2684/1000),Skills!L18/10)+Skills!O18</f>
        <v>15</v>
      </c>
      <c r="G2684">
        <f>Calc!G18</f>
        <v>1</v>
      </c>
      <c r="H2684">
        <f>Calc!H18</f>
        <v>1</v>
      </c>
      <c r="I2684">
        <f>IF(Skills!X18&lt;&gt;"",1+(Skills!X18/10)*(Z2669/1000)/100,1)</f>
        <v>1</v>
      </c>
      <c r="O2684">
        <f>(1-Summary!$B$11)*S2684+Summary!$B$11*U2684</f>
        <v>0</v>
      </c>
      <c r="P2684">
        <f>IF(B2707=0,0,O2684/B2707)</f>
        <v>0</v>
      </c>
      <c r="Q2684">
        <f>IFERROR(1/(IF(Inputs!$B$38="pvp",15,MAX(0.1,Skills!E18-IF(TRUE=TRUE,Inputs!$B$32,0)))*(1-IF(AND(ArtifactsInput!$M$27,Inputs!$B$4="Chapter Hunt"),CHOOSE(ArtifactsInput!$N$27+1,20,24,28,32,36,40),0)/100)),0)</f>
        <v>1.6666666666666666E-2</v>
      </c>
      <c r="R2684">
        <f>IF(AND(Inputs!$B$38&lt;&gt;"pvp",Inputs!$B$43&gt;0),IF(Inputs!$B$43&lt;=0,0,(INT(Inputs!$B$43/(IF(Inputs!$B$38="pvp",15,MAX(0.1,Skills!E18-IF(TRUE=TRUE,Inputs!$B$32,0)))*(1-IF(AND(ArtifactsInput!$M$27,Inputs!$B$4="Chapter Hunt"),CHOOSE(ArtifactsInput!$N$27+1,20,24,28,32,36,40),0)/100)))+1)),0)</f>
        <v>1</v>
      </c>
      <c r="S2684">
        <v>0</v>
      </c>
      <c r="U2684">
        <v>0</v>
      </c>
    </row>
    <row r="2685" spans="1:21" x14ac:dyDescent="0.2">
      <c r="A2685" t="str">
        <f>Skills!A19</f>
        <v>INFINITY</v>
      </c>
      <c r="B2685" t="str">
        <f>Skills!B19</f>
        <v>Infinity</v>
      </c>
      <c r="C2685" t="b">
        <f>Inputs!$B$3&gt;=110</f>
        <v>1</v>
      </c>
      <c r="D2685">
        <f>IF(Skills!C19=1,60+Inputs!$B$25+Inputs!$B$29,IF(Skills!C19=2,90+Inputs!$B$26+Inputs!$B$29,IF(Skills!C19=3,120+Inputs!$B$27+Inputs!$B$29,MAX(0,(Inputs!$B$3-100)*3)+Inputs!$B$28+Inputs!$B$29)))</f>
        <v>185</v>
      </c>
      <c r="E2685">
        <f>INDEX(FactorTable!$B$2:$Y$301, MATCH(ROUND(MIN(300,MAX(1,D2685)),0), FactorTable!$A$2:$A$301,0), Skills!M19+1)</f>
        <v>1740</v>
      </c>
      <c r="F2685">
        <f>IF(Skills!N19=TRUE,(Skills!L19/10)*(E2685/1000),Skills!L19/10)+Skills!O19</f>
        <v>37.700579999999995</v>
      </c>
      <c r="G2685">
        <f>Calc!G19</f>
        <v>1</v>
      </c>
      <c r="H2685">
        <f>Calc!H19</f>
        <v>1</v>
      </c>
      <c r="I2685">
        <f>IF(Skills!X19&lt;&gt;"",1+(Skills!X19/10)*(Z2669/1000)/100,1)</f>
        <v>1</v>
      </c>
      <c r="O2685">
        <f>(1-Summary!$B$11)*S2685+Summary!$B$11*U2685</f>
        <v>0</v>
      </c>
      <c r="P2685">
        <f>IF(B2707=0,0,O2685/B2707)</f>
        <v>0</v>
      </c>
      <c r="Q2685">
        <f>IFERROR(1/(IF(Inputs!$B$38="pvp",15,MAX(0.1,Skills!E19-IF(TRUE=TRUE,Inputs!$B$32,0)))*(1-IF(AND(ArtifactsInput!$M$27,Inputs!$B$4="Chapter Hunt"),CHOOSE(ArtifactsInput!$N$27+1,20,24,28,32,36,40),0)/100)),0)</f>
        <v>3.3333333333333333E-2</v>
      </c>
      <c r="R2685">
        <f>IF(AND(Inputs!$B$38&lt;&gt;"pvp",Inputs!$B$43&gt;0),IF(Inputs!$B$43&lt;=0,0,(INT(Inputs!$B$43/(IF(Inputs!$B$38="pvp",15,MAX(0.1,Skills!E19-IF(TRUE=TRUE,Inputs!$B$32,0)))*(1-IF(AND(ArtifactsInput!$M$27,Inputs!$B$4="Chapter Hunt"),CHOOSE(ArtifactsInput!$N$27+1,20,24,28,32,36,40),0)/100)))+1)),0)</f>
        <v>2</v>
      </c>
      <c r="S2685">
        <v>0</v>
      </c>
      <c r="U2685">
        <v>0</v>
      </c>
    </row>
    <row r="2686" spans="1:21" x14ac:dyDescent="0.2">
      <c r="A2686" t="str">
        <f>Skills!A20</f>
        <v>MAGIC_CRITICAL_RATE</v>
      </c>
      <c r="B2686" t="str">
        <f>Skills!B20</f>
        <v>Magic Critical (Crit Rate)</v>
      </c>
      <c r="C2686" t="b">
        <f>TRUE</f>
        <v>1</v>
      </c>
      <c r="D2686">
        <f>IF(Skills!C20=1,60+Inputs!$B$25+Inputs!$B$29,IF(Skills!C20=2,90+Inputs!$B$26+Inputs!$B$29,IF(Skills!C20=3,120+Inputs!$B$27+Inputs!$B$29,MAX(0,(Inputs!$B$3-100)*3)+Inputs!$B$28+Inputs!$B$29)))</f>
        <v>184</v>
      </c>
      <c r="E2686">
        <f>INDEX(FactorTable!$B$2:$Y$301, MATCH(ROUND(MIN(300,MAX(1,D2686)),0), FactorTable!$A$2:$A$301,0), Skills!M20+1)</f>
        <v>1552</v>
      </c>
      <c r="F2686">
        <f>IF(Skills!N20=TRUE,(Skills!L20/10)*(E2686/1000),Skills!L20/10)+Skills!O20</f>
        <v>12.416</v>
      </c>
      <c r="G2686">
        <f>Calc!G20</f>
        <v>1</v>
      </c>
      <c r="H2686">
        <f>Calc!H20</f>
        <v>1</v>
      </c>
      <c r="I2686">
        <f>IF(Skills!X20&lt;&gt;"",1+(Skills!X20/10)*(Z2669/1000)/100,1)</f>
        <v>1</v>
      </c>
      <c r="O2686">
        <f>(1-Summary!$B$11)*S2686+Summary!$B$11*U2686</f>
        <v>0</v>
      </c>
      <c r="P2686">
        <f>IF(B2707=0,0,O2686/B2707)</f>
        <v>0</v>
      </c>
      <c r="Q2686">
        <f>IFERROR(1/(IF(Inputs!$B$38="pvp",15,MAX(0.1,Skills!E20-IF(TRUE=TRUE,Inputs!$B$32,0)))*(1-IF(AND(ArtifactsInput!$M$27,Inputs!$B$4="Chapter Hunt"),CHOOSE(ArtifactsInput!$N$27+1,20,24,28,32,36,40),0)/100)),0)</f>
        <v>10</v>
      </c>
      <c r="R2686">
        <v>0</v>
      </c>
      <c r="S2686">
        <v>0</v>
      </c>
      <c r="U2686">
        <v>0</v>
      </c>
    </row>
    <row r="2687" spans="1:21" x14ac:dyDescent="0.2">
      <c r="A2687" t="str">
        <f>Skills!A21</f>
        <v>MAGIC_CRITICAL_DAMAGE</v>
      </c>
      <c r="B2687" t="str">
        <f>Skills!B21</f>
        <v>Magic Critical (Crit Damage)</v>
      </c>
      <c r="C2687" t="b">
        <f>TRUE</f>
        <v>1</v>
      </c>
      <c r="D2687">
        <f>IF(Skills!C21=1,60+Inputs!$B$25+Inputs!$B$29,IF(Skills!C21=2,90+Inputs!$B$26+Inputs!$B$29,IF(Skills!C21=3,120+Inputs!$B$27+Inputs!$B$29,MAX(0,(Inputs!$B$3-100)*3)+Inputs!$B$28+Inputs!$B$29)))</f>
        <v>184</v>
      </c>
      <c r="E2687">
        <f>INDEX(FactorTable!$B$2:$Y$301, MATCH(ROUND(MIN(300,MAX(1,D2687)),0), FactorTable!$A$2:$A$301,0), Skills!M21+1)</f>
        <v>1552</v>
      </c>
      <c r="F2687">
        <f>IF(Skills!N21=TRUE,(Skills!L21/10)*(E2687/1000),Skills!L21/10)+Skills!O21</f>
        <v>18.624000000000002</v>
      </c>
      <c r="G2687">
        <f>Calc!G21</f>
        <v>1</v>
      </c>
      <c r="H2687">
        <f>Calc!H21</f>
        <v>1</v>
      </c>
      <c r="I2687">
        <f>IF(Skills!X21&lt;&gt;"",1+(Skills!X21/10)*(Z2669/1000)/100,1)</f>
        <v>1</v>
      </c>
      <c r="O2687">
        <f>(1-Summary!$B$11)*S2687+Summary!$B$11*U2687</f>
        <v>0</v>
      </c>
      <c r="P2687">
        <f>IF(B2707=0,0,O2687/B2707)</f>
        <v>0</v>
      </c>
      <c r="Q2687">
        <f>IFERROR(1/(IF(Inputs!$B$38="pvp",15,MAX(0.1,Skills!E21-IF(TRUE=TRUE,Inputs!$B$32,0)))*(1-IF(AND(ArtifactsInput!$M$27,Inputs!$B$4="Chapter Hunt"),CHOOSE(ArtifactsInput!$N$27+1,20,24,28,32,36,40),0)/100)),0)</f>
        <v>10</v>
      </c>
      <c r="R2687">
        <v>0</v>
      </c>
      <c r="S2687">
        <v>0</v>
      </c>
      <c r="U2687">
        <v>0</v>
      </c>
    </row>
    <row r="2688" spans="1:21" x14ac:dyDescent="0.2">
      <c r="A2688" t="str">
        <f>Skills!A22</f>
        <v>SPELL_MASTERY</v>
      </c>
      <c r="B2688" t="str">
        <f>Skills!B22</f>
        <v>Spell Mastery</v>
      </c>
      <c r="C2688" t="b">
        <f>TRUE</f>
        <v>1</v>
      </c>
      <c r="D2688">
        <f>IF(Skills!C22=1,60+Inputs!$B$25+Inputs!$B$29,IF(Skills!C22=2,90+Inputs!$B$26+Inputs!$B$29,IF(Skills!C22=3,120+Inputs!$B$27+Inputs!$B$29,MAX(0,(Inputs!$B$3-100)*3)+Inputs!$B$28+Inputs!$B$29)))</f>
        <v>168</v>
      </c>
      <c r="E2688">
        <f>INDEX(FactorTable!$B$2:$Y$301, MATCH(ROUND(MIN(300,MAX(1,D2688)),0), FactorTable!$A$2:$A$301,0), Skills!M22+1)</f>
        <v>1504</v>
      </c>
      <c r="F2688">
        <f>IF(Skills!N22=TRUE,(Skills!L22/10)*(E2688/1000),Skills!L22/10)+Skills!O22</f>
        <v>22.56</v>
      </c>
      <c r="G2688">
        <f>Calc!G22</f>
        <v>1</v>
      </c>
      <c r="H2688">
        <f>Calc!H22</f>
        <v>1</v>
      </c>
      <c r="I2688">
        <f>IF(Skills!X22&lt;&gt;"",1+(Skills!X22/10)*(Z2669/1000)/100,1)</f>
        <v>1</v>
      </c>
      <c r="O2688">
        <f>(1-Summary!$B$11)*S2688+Summary!$B$11*U2688</f>
        <v>0</v>
      </c>
      <c r="P2688">
        <f>IF(B2707=0,0,O2688/B2707)</f>
        <v>0</v>
      </c>
      <c r="Q2688">
        <f>IFERROR(1/(IF(Inputs!$B$38="pvp",15,MAX(0.1,Skills!E22-IF(TRUE=TRUE,Inputs!$B$32,0)))*(1-IF(AND(ArtifactsInput!$M$27,Inputs!$B$4="Chapter Hunt"),CHOOSE(ArtifactsInput!$N$27+1,20,24,28,32,36,40),0)/100)),0)</f>
        <v>10</v>
      </c>
      <c r="R2688">
        <v>0</v>
      </c>
      <c r="S2688">
        <v>0</v>
      </c>
      <c r="U2688">
        <v>0</v>
      </c>
    </row>
    <row r="2689" spans="1:21" x14ac:dyDescent="0.2">
      <c r="A2689" t="str">
        <f>Skills!A23</f>
        <v>ELEMENT_AMPLIFICATION</v>
      </c>
      <c r="B2689" t="str">
        <f>Skills!B23</f>
        <v>Element Amplification</v>
      </c>
      <c r="C2689" t="b">
        <f>TRUE</f>
        <v>1</v>
      </c>
      <c r="D2689">
        <f>IF(Skills!C23=1,60+Inputs!$B$25+Inputs!$B$29,IF(Skills!C23=2,90+Inputs!$B$26+Inputs!$B$29,IF(Skills!C23=3,120+Inputs!$B$27+Inputs!$B$29,MAX(0,(Inputs!$B$3-100)*3)+Inputs!$B$28+Inputs!$B$29)))</f>
        <v>185</v>
      </c>
      <c r="E2689">
        <f>INDEX(FactorTable!$B$2:$Y$301, MATCH(ROUND(MIN(300,MAX(1,D2689)),0), FactorTable!$A$2:$A$301,0), Skills!M23+1)</f>
        <v>1555</v>
      </c>
      <c r="F2689">
        <f>IF(Skills!N23=TRUE,(Skills!L23/10)*(E2689/1000),Skills!L23/10)+Skills!O23</f>
        <v>23.324999999999999</v>
      </c>
      <c r="G2689">
        <f>Calc!G23</f>
        <v>1</v>
      </c>
      <c r="H2689">
        <f>Calc!H23</f>
        <v>1</v>
      </c>
      <c r="I2689">
        <f>IF(Skills!X23&lt;&gt;"",1+(Skills!X23/10)*(Z2669/1000)/100,1)</f>
        <v>1</v>
      </c>
      <c r="O2689">
        <f>(1-Summary!$B$11)*S2689+Summary!$B$11*U2689</f>
        <v>0</v>
      </c>
      <c r="P2689">
        <f>IF(B2707=0,0,O2689/B2707)</f>
        <v>0</v>
      </c>
      <c r="Q2689">
        <f>IFERROR(1/(IF(Inputs!$B$38="pvp",15,MAX(0.1,Skills!E23-IF(TRUE=TRUE,Inputs!$B$32,0)))*(1-IF(AND(ArtifactsInput!$M$27,Inputs!$B$4="Chapter Hunt"),CHOOSE(ArtifactsInput!$N$27+1,20,24,28,32,36,40),0)/100)),0)</f>
        <v>10</v>
      </c>
      <c r="R2689">
        <v>0</v>
      </c>
      <c r="S2689">
        <v>0</v>
      </c>
      <c r="U2689">
        <v>0</v>
      </c>
    </row>
    <row r="2690" spans="1:21" x14ac:dyDescent="0.2">
      <c r="A2690" t="str">
        <f>Skills!A24</f>
        <v>IFRIT</v>
      </c>
      <c r="B2690" t="str">
        <f>Skills!B24</f>
        <v>Ifrit</v>
      </c>
      <c r="C2690" t="b">
        <f>Inputs!$B$3&gt;=115</f>
        <v>1</v>
      </c>
      <c r="D2690">
        <f>IF(Skills!C24=1,60+Inputs!$B$25+Inputs!$B$29,IF(Skills!C24=2,90+Inputs!$B$26+Inputs!$B$29,IF(Skills!C24=3,120+Inputs!$B$27+Inputs!$B$29,MAX(0,(Inputs!$B$3-100)*3)+Inputs!$B$28+Inputs!$B$29)))</f>
        <v>185</v>
      </c>
      <c r="E2690">
        <f>INDEX(FactorTable!$B$2:$Y$301, MATCH(ROUND(MIN(300,MAX(1,D2690)),0), FactorTable!$A$2:$A$301,0), Skills!M24+1)</f>
        <v>1925</v>
      </c>
      <c r="F2690">
        <f>IF(Skills!N24=TRUE,(Skills!L24/10)*(E2690/1000),Skills!L24/10)+Skills!O24</f>
        <v>6737.5</v>
      </c>
      <c r="G2690">
        <f>Calc!G24</f>
        <v>7.5</v>
      </c>
      <c r="H2690">
        <f>Calc!H24</f>
        <v>1</v>
      </c>
      <c r="I2690">
        <f>IF(Skills!X24&lt;&gt;"",1+(Skills!X24/10)*(Z2669/1000)/100,1)</f>
        <v>1</v>
      </c>
      <c r="J2690">
        <f>((Inputs!$B$6*(1+Inputs!$B$7/100))+(((Inputs!$B$12*(1+Inputs!$B$13/100))-(Inputs!$B$12*(1+Inputs!$B$13/100)))+0.25*(Inputs!$B$14-Inputs!$B$14))*(1+Inputs!$B$7/100))*(F2690/100)</f>
        <v>24331438378.718628</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127393587854386.86</v>
      </c>
      <c r="L2690">
        <f>K2690*(MIN(Inputs!$B$22+(F2688-Calc!F22),(Inputs!$B$23+(IF(ArtifactsInput!$M$15,CHOOSE(ArtifactsInput!$N$15+1,25,30,35,40,45,50)/100*(Inputs!$B$11-Inputs!$B$11),0))))/100+(Inputs!$B$23+(IF(ArtifactsInput!$M$15,CHOOSE(ArtifactsInput!$N$15+1,25,30,35,40,45,50)/100*(Inputs!$B$11-Inputs!$B$11),0)))/100)/2</f>
        <v>423583679615836.31</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1998891384107131.2</v>
      </c>
      <c r="N2690">
        <f>L2690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1998891384107131.2</v>
      </c>
      <c r="O2690">
        <f>(1-Summary!$B$11)*S2690+Summary!$B$11*U2690</f>
        <v>2387763209814023</v>
      </c>
      <c r="P2690">
        <f>IF(B2707=0,0,O2690/B2707)</f>
        <v>6.587387622087082E-2</v>
      </c>
      <c r="Q2690">
        <f>IFERROR(1/(IF(Inputs!$B$38="pvp",15,MAX(0.1,Skills!E24-IF(TRUE=TRUE,Inputs!$B$32,0)))*(1-IF(AND(ArtifactsInput!$M$27,Inputs!$B$4="Chapter Hunt"),CHOOSE(ArtifactsInput!$N$27+1,20,24,28,32,36,40),0)/100)),0)</f>
        <v>1.2500000000000001E-2</v>
      </c>
      <c r="R2690">
        <f>IF(AND(Inputs!$B$38&lt;&gt;"pvp",Inputs!$B$43&gt;0),IF(MAX(0,Inputs!$B$43-B2704)&lt;=0,0,(INT(MAX(0,Inputs!$B$43-B2704)/(IF(Inputs!$B$38="pvp",15,MAX(0.1,Skills!E24-IF(TRUE=TRUE,Inputs!$B$32,0)))*(1-IF(AND(ArtifactsInput!$M$27,Inputs!$B$4="Chapter Hunt"),CHOOSE(ArtifactsInput!$N$27+1,20,24,28,32,36,40),0)/100)))+1)),0)</f>
        <v>1</v>
      </c>
      <c r="S2690">
        <f>IF(C2690,(H2690*N2690*IF(AND(Inputs!$B$38&lt;&gt;"pvp",Inputs!$B$43&gt;0),((Skills!G24*((R2690-1)*IF(Skills!H24&gt;0,Skills!I24/Skills!H24,1)+IF(Skills!H24&gt;0,MIN(Skills!I24,MAX(0,MAX(0,Inputs!$B$43-B2704)-((R2690-1)*(IF(Inputs!$B$38="pvp",15,MAX(0.1,Skills!E24-IF(TRUE=TRUE,Inputs!$B$32,0)))*(1-IF(AND(ArtifactsInput!$M$27,Inputs!$B$4="Chapter Hunt"),CHOOSE(ArtifactsInput!$N$27+1,20,24,28,32,36,40),0)/100)))))/Skills!H24,1)))/Inputs!$B$43),G2690*Q2690)*(1+IF(Inputs!$B$3&gt;=130,0.2*(Skills!I16/(1/Q2681)+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1188091066428676.2</v>
      </c>
      <c r="U2690">
        <f>IF(C2690,(H2690*N2690*IF(AND(Inputs!$B$38&lt;&gt;"pvp",Inputs!$B$43&gt;0),((Skills!G24*((R2690-1)*IF(Skills!H24&gt;0,Skills!I24/Skills!H24,1)+IF(Skills!H24&gt;0,MIN(Skills!I24,MAX(0,MAX(0,Inputs!$B$43-B2704)-((R2690-1)*(IF(Inputs!$B$38="pvp",15,MAX(0.1,Skills!E24-IF(TRUE=TRUE,Inputs!$B$32,0)))*(1-IF(AND(ArtifactsInput!$M$27,Inputs!$B$4="Chapter Hunt"),CHOOSE(ArtifactsInput!$N$27+1,20,24,28,32,36,40),0)/100)))))/Skills!H24,1)))/Inputs!$B$43),G2690*Q2690)*(1+IF(Inputs!$B$3&gt;=130,0.2*(Skills!I16/(1/Q2681)+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3587435353199370</v>
      </c>
    </row>
    <row r="2691" spans="1:21" x14ac:dyDescent="0.2">
      <c r="A2691" t="str">
        <f>Skills!A25</f>
        <v>BUFF_MASTERY</v>
      </c>
      <c r="B2691" t="str">
        <f>Skills!B25</f>
        <v>Buff Mastery</v>
      </c>
      <c r="C2691" t="b">
        <f>Inputs!$B$3&gt;=117</f>
        <v>1</v>
      </c>
      <c r="D2691">
        <f>IF(Skills!C25=1,60+Inputs!$B$25+Inputs!$B$29,IF(Skills!C25=2,90+Inputs!$B$26+Inputs!$B$29,IF(Skills!C25=3,120+Inputs!$B$27+Inputs!$B$29,MAX(0,(Inputs!$B$3-100)*3)+Inputs!$B$28+Inputs!$B$29)))</f>
        <v>185</v>
      </c>
      <c r="E2691">
        <f>INDEX(FactorTable!$B$2:$Y$301, MATCH(ROUND(MIN(300,MAX(1,D2691)),0), FactorTable!$A$2:$A$301,0), Skills!M25+1)</f>
        <v>1555</v>
      </c>
      <c r="F2691">
        <f>IF(Skills!N25=TRUE,(Skills!L25/10)*(E2691/1000),Skills!L25/10)+Skills!O25</f>
        <v>15.549999999999999</v>
      </c>
      <c r="G2691">
        <f>Calc!G25</f>
        <v>1</v>
      </c>
      <c r="H2691">
        <f>Calc!H25</f>
        <v>1</v>
      </c>
      <c r="I2691">
        <f>IF(Skills!X25&lt;&gt;"",1+(Skills!X25/10)*(Z2669/1000)/100,1)</f>
        <v>1</v>
      </c>
      <c r="O2691">
        <f>(1-Summary!$B$11)*S2691+Summary!$B$11*U2691</f>
        <v>0</v>
      </c>
      <c r="P2691">
        <f>IF(B2707=0,0,O2691/B2707)</f>
        <v>0</v>
      </c>
      <c r="Q2691">
        <f>IFERROR(1/(IF(Inputs!$B$38="pvp",15,MAX(0.1,Skills!E25-IF(TRUE=TRUE,Inputs!$B$32,0)))*(1-IF(AND(ArtifactsInput!$M$27,Inputs!$B$4="Chapter Hunt"),CHOOSE(ArtifactsInput!$N$27+1,20,24,28,32,36,40),0)/100)),0)</f>
        <v>10</v>
      </c>
      <c r="R2691">
        <v>0</v>
      </c>
      <c r="S2691">
        <v>0</v>
      </c>
      <c r="U2691">
        <v>0</v>
      </c>
    </row>
    <row r="2692" spans="1:21" x14ac:dyDescent="0.2">
      <c r="A2692" t="str">
        <f>Skills!A26</f>
        <v>ARCANE_AIM</v>
      </c>
      <c r="B2692" t="str">
        <f>Skills!B26</f>
        <v>Arcane Aim</v>
      </c>
      <c r="C2692" t="b">
        <f>Inputs!$B$3&gt;=120</f>
        <v>0</v>
      </c>
      <c r="D2692">
        <f>IF(Skills!C26=1,60+Inputs!$B$25+Inputs!$B$29,IF(Skills!C26=2,90+Inputs!$B$26+Inputs!$B$29,IF(Skills!C26=3,120+Inputs!$B$27+Inputs!$B$29,MAX(0,(Inputs!$B$3-100)*3)+Inputs!$B$28+Inputs!$B$29)))</f>
        <v>185</v>
      </c>
      <c r="E2692">
        <f>INDEX(FactorTable!$B$2:$Y$301, MATCH(ROUND(MIN(300,MAX(1,D2692)),0), FactorTable!$A$2:$A$301,0), Skills!M26+1)</f>
        <v>1555</v>
      </c>
      <c r="F2692">
        <f>IF(Skills!N26=TRUE,(Skills!L26/10)*(E2692/1000),Skills!L26/10)+Skills!O26</f>
        <v>4.665</v>
      </c>
      <c r="G2692">
        <f>Calc!G26</f>
        <v>1</v>
      </c>
      <c r="H2692">
        <f>Calc!H26</f>
        <v>1</v>
      </c>
      <c r="I2692">
        <f>IF(Skills!X26&lt;&gt;"",1+(Skills!X26/10)*(Z2669/1000)/100,1)</f>
        <v>1</v>
      </c>
      <c r="O2692">
        <f>(1-Summary!$B$11)*S2692+Summary!$B$11*U2692</f>
        <v>0</v>
      </c>
      <c r="P2692">
        <f>IF(B2707=0,0,O2692/B2707)</f>
        <v>0</v>
      </c>
      <c r="Q2692">
        <f>IFERROR(1/(IF(Inputs!$B$38="pvp",15,MAX(0.1,Skills!E26-IF(TRUE=TRUE,Inputs!$B$32,0)))*(1-IF(AND(ArtifactsInput!$M$27,Inputs!$B$4="Chapter Hunt"),CHOOSE(ArtifactsInput!$N$27+1,20,24,28,32,36,40),0)/100)),0)</f>
        <v>10</v>
      </c>
      <c r="R2692">
        <v>0</v>
      </c>
      <c r="S2692">
        <v>0</v>
      </c>
      <c r="U2692">
        <v>0</v>
      </c>
    </row>
    <row r="2693" spans="1:21" x14ac:dyDescent="0.2">
      <c r="A2693" t="str">
        <f>Skills!A27</f>
        <v>FERVENT_DRAIN</v>
      </c>
      <c r="B2693" t="str">
        <f>Skills!B27</f>
        <v>Fervent Drain</v>
      </c>
      <c r="C2693" t="b">
        <f>Inputs!$B$3&gt;=125</f>
        <v>0</v>
      </c>
      <c r="D2693">
        <f>IF(Skills!C27=1,60+Inputs!$B$25+Inputs!$B$29,IF(Skills!C27=2,90+Inputs!$B$26+Inputs!$B$29,IF(Skills!C27=3,120+Inputs!$B$27+Inputs!$B$29,MAX(0,(Inputs!$B$3-100)*3)+Inputs!$B$28+Inputs!$B$29)))</f>
        <v>185</v>
      </c>
      <c r="E2693">
        <f>INDEX(FactorTable!$B$2:$Y$301, MATCH(ROUND(MIN(300,MAX(1,D2693)),0), FactorTable!$A$2:$A$301,0), Skills!M27+1)</f>
        <v>1555</v>
      </c>
      <c r="F2693">
        <f>IF(Skills!N27=TRUE,(Skills!L27/10)*(E2693/1000),Skills!L27/10)+Skills!O27</f>
        <v>6.22</v>
      </c>
      <c r="G2693">
        <f>Calc!G27</f>
        <v>1</v>
      </c>
      <c r="H2693">
        <f>Calc!H27</f>
        <v>1</v>
      </c>
      <c r="I2693">
        <f>IF(Skills!X27&lt;&gt;"",1+(Skills!X27/10)*(Z2669/1000)/100,1)</f>
        <v>1</v>
      </c>
      <c r="O2693">
        <f>(1-Summary!$B$11)*S2693+Summary!$B$11*U2693</f>
        <v>0</v>
      </c>
      <c r="P2693">
        <f>IF(B2707=0,0,O2693/B2707)</f>
        <v>0</v>
      </c>
      <c r="Q2693">
        <f>IFERROR(1/(IF(Inputs!$B$38="pvp",15,MAX(0.1,Skills!E27-IF(TRUE=TRUE,Inputs!$B$32,0)))*(1-IF(AND(ArtifactsInput!$M$27,Inputs!$B$4="Chapter Hunt"),CHOOSE(ArtifactsInput!$N$27+1,20,24,28,32,36,40),0)/100)),0)</f>
        <v>10</v>
      </c>
      <c r="R2693">
        <v>0</v>
      </c>
      <c r="S2693">
        <v>0</v>
      </c>
      <c r="U2693">
        <v>0</v>
      </c>
    </row>
    <row r="2694" spans="1:21" x14ac:dyDescent="0.2">
      <c r="A2694" t="str">
        <f>Skills!A28</f>
        <v>FLAME_HAZE_FOG</v>
      </c>
      <c r="B2694" t="str">
        <f>Skills!B28</f>
        <v>Flame Haze (poison fog DoT)</v>
      </c>
      <c r="C2694" t="b">
        <f>Inputs!$B$3&gt;=118</f>
        <v>0</v>
      </c>
      <c r="D2694">
        <f>IF(Skills!C28=1,60+Inputs!$B$25+Inputs!$B$29,IF(Skills!C28=2,90+Inputs!$B$26+Inputs!$B$29,IF(Skills!C28=3,120+Inputs!$B$27+Inputs!$B$29,MAX(0,(Inputs!$B$3-100)*3)+Inputs!$B$28+Inputs!$B$29)))</f>
        <v>185</v>
      </c>
      <c r="E2694">
        <f>INDEX(FactorTable!$B$2:$Y$301, MATCH(ROUND(MIN(300,MAX(1,D2694)),0), FactorTable!$A$2:$A$301,0), Skills!M28+1)</f>
        <v>1925</v>
      </c>
      <c r="F2694">
        <f>IF(Skills!N28=TRUE,(Skills!L28/10)*(E2694/1000),Skills!L28/10)+Skills!O28</f>
        <v>134.75</v>
      </c>
      <c r="G2694">
        <f>Calc!G28</f>
        <v>50</v>
      </c>
      <c r="H2694">
        <f>Calc!H28</f>
        <v>1</v>
      </c>
      <c r="I2694">
        <f>IF(Skills!X28&lt;&gt;"",1+(Skills!X28/10)*(Z2669/1000)/100,1)</f>
        <v>1</v>
      </c>
      <c r="J2694">
        <f>((Inputs!$B$6*(1+Inputs!$B$7/100))+(((Inputs!$B$12*(1+Inputs!$B$13/100))-(Inputs!$B$12*(1+Inputs!$B$13/100)))+0.25*(Inputs!$B$14-Inputs!$B$14))*(1+Inputs!$B$7/100))*(F2694/100)</f>
        <v>486628767.57437253</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2547871757087.7363</v>
      </c>
      <c r="L2694">
        <f>K2694*(MIN(Inputs!$B$22+(F2688-Calc!F22),(Inputs!$B$23+(IF(ArtifactsInput!$M$15,CHOOSE(ArtifactsInput!$N$15+1,25,30,35,40,45,50)/100*(Inputs!$B$11-Inputs!$B$11),0))))/100+(Inputs!$B$23+(IF(ArtifactsInput!$M$15,CHOOSE(ArtifactsInput!$N$15+1,25,30,35,40,45,50)/100*(Inputs!$B$11-Inputs!$B$11),0)))/100)/2</f>
        <v>8471673592316.7236</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39977827682142.617</v>
      </c>
      <c r="N2694">
        <f>L2694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39977827682142.617</v>
      </c>
      <c r="O2694">
        <f>(1-Summary!$B$11)*S2694+Summary!$B$11*U2694</f>
        <v>0</v>
      </c>
      <c r="P2694">
        <f>IF(B2707=0,0,O2694/B2707)</f>
        <v>0</v>
      </c>
      <c r="Q2694">
        <f>IFERROR(1/(IF(Inputs!$B$38="pvp",15,MAX(0.1,Skills!E28-IF(TRUE=TRUE,Inputs!$B$32,0)))*(1-IF(AND(ArtifactsInput!$M$27,Inputs!$B$4="Chapter Hunt"),CHOOSE(ArtifactsInput!$N$27+1,20,24,28,32,36,40),0)/100)),0)</f>
        <v>0.04</v>
      </c>
      <c r="R2694">
        <f>IF(AND(Inputs!$B$38&lt;&gt;"pvp",Inputs!$B$43&gt;0),IF(MAX(0,Inputs!$B$43-B2704)&lt;=0,0,(INT(MAX(0,Inputs!$B$43-B2704)/(IF(Inputs!$B$38="pvp",15,MAX(0.1,Skills!E28-IF(TRUE=TRUE,Inputs!$B$32,0)))*(1-IF(AND(ArtifactsInput!$M$27,Inputs!$B$4="Chapter Hunt"),CHOOSE(ArtifactsInput!$N$27+1,20,24,28,32,36,40),0)/100)))+1)),0)</f>
        <v>2</v>
      </c>
      <c r="S2694">
        <f>IF(C2694,(H2694*N2694*IF(AND(Inputs!$B$38&lt;&gt;"pvp",Inputs!$B$43&gt;0),((Skills!G28*((R2694-1)*IF(Skills!H28&gt;0,Skills!I28/Skills!H28,1)+IF(Skills!H28&gt;0,MIN(Skills!I28,MAX(0,MAX(0,Inputs!$B$43-B2704)-((R2694-1)*(IF(Inputs!$B$38="pvp",15,MAX(0.1,Skills!E28-IF(TRUE=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94">
        <f>IF(C2694,(H2694*N2694*IF(AND(Inputs!$B$38&lt;&gt;"pvp",Inputs!$B$43&gt;0),((Skills!G28*((R2694-1)*IF(Skills!H28&gt;0,Skills!I28/Skills!H28,1)+IF(Skills!H28&gt;0,MIN(Skills!I28,MAX(0,MAX(0,Inputs!$B$43-B2704)-((R2694-1)*(IF(Inputs!$B$38="pvp",15,MAX(0.1,Skills!E28-IF(TRUE=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96" spans="1:21" x14ac:dyDescent="0.2">
      <c r="A2696" t="s">
        <v>356</v>
      </c>
      <c r="B2696">
        <f>1+(F2677*Skills!Z11)/100</f>
        <v>1.25</v>
      </c>
    </row>
    <row r="2697" spans="1:21" x14ac:dyDescent="0.2">
      <c r="A2697" t="s">
        <v>435</v>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1.18624</v>
      </c>
    </row>
    <row r="2698" spans="1:21" x14ac:dyDescent="0.2">
      <c r="A2698" t="s">
        <v>358</v>
      </c>
      <c r="B2698">
        <f>(1+(F2672*IF(AND(Inputs!$B$38&lt;&gt;"pvp",Inputs!$B$43&gt;0),(((R2672-1)*MIN((Skills!T6*(1+((Inputs!$B$34+(ArtifactsInput!$M$7-ArtifactsInput!$M$7)*CHOOSE(ArtifactsInput!$N$7+1,6,7.2,8.4,9.6,10.8,12)))/100)),(1/Q2672))+MIN((Skills!T6*(1+((Inputs!$B$34+(ArtifactsInput!$M$7-ArtifactsInput!$M$7)*CHOOSE(ArtifactsInput!$N$7+1,6,7.2,8.4,9.6,10.8,12)))/100)),MAX(0,Inputs!$B$43-((R2672-1)*(1/Q2672)))))/Inputs!$B$43),IF(Inputs!$B$38="pvp",MIN((Skills!T6*(1+((Inputs!$B$34+(ArtifactsInput!$M$7-ArtifactsInput!$M$7)*CHOOSE(ArtifactsInput!$N$7+1,6,7.2,8.4,9.6,10.8,12)))/100)),15)/15,MIN(1,(Skills!T6*(1+((Inputs!$B$34+(ArtifactsInput!$M$7-ArtifactsInput!$M$7)*CHOOSE(ArtifactsInput!$N$7+1,6,7.2,8.4,9.6,10.8,12)))/100))/(1/Q2672))))+F2683*IF(AND(Inputs!$B$38&lt;&gt;"pvp",Inputs!$B$43&gt;0),(((R2683-1)*MIN((Skills!T17*(1+((Inputs!$B$34+(ArtifactsInput!$M$7-ArtifactsInput!$M$7)*CHOOSE(ArtifactsInput!$N$7+1,6,7.2,8.4,9.6,10.8,12)))/100)),(1/Q2683))+MIN((Skills!T17*(1+((Inputs!$B$34+(ArtifactsInput!$M$7-ArtifactsInput!$M$7)*CHOOSE(ArtifactsInput!$N$7+1,6,7.2,8.4,9.6,10.8,12)))/100)),MAX(0,Inputs!$B$43-((R2683-1)*(1/Q2683)))))/Inputs!$B$43),IF(Inputs!$B$38="pvp",MIN((Skills!T17*(1+((Inputs!$B$34+(ArtifactsInput!$M$7-ArtifactsInput!$M$7)*CHOOSE(ArtifactsInput!$N$7+1,6,7.2,8.4,9.6,10.8,12)))/100)),15)/15,MIN(1,(Skills!T17*(1+((Inputs!$B$34+(ArtifactsInput!$M$7-ArtifactsInput!$M$7)*CHOOSE(ArtifactsInput!$N$7+1,6,7.2,8.4,9.6,10.8,12)))/100))/(1/Q2683))))+(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MIN((Skills!T19*(1+((Inputs!$B$34+(ArtifactsInput!$M$7-ArtifactsInput!$M$7)*CHOOSE(ArtifactsInput!$N$7+1,6,7.2,8.4,9.6,10.8,12)))/100)),(1/Q2685))+MIN((Skills!T19*(1+((Inputs!$B$34+(ArtifactsInput!$M$7-ArtifactsInput!$M$7)*CHOOSE(ArtifactsInput!$N$7+1,6,7.2,8.4,9.6,10.8,12)))/100)),MAX(0,Inputs!$B$43-((R2685-1)*(1/Q2685)))))/Inputs!$B$43),IF(Inputs!$B$38="pvp",MIN((Skills!T19*(1+((Inputs!$B$34+(ArtifactsInput!$M$7-ArtifactsInput!$M$7)*CHOOSE(ArtifactsInput!$N$7+1,6,7.2,8.4,9.6,10.8,12)))/100)),15)/15,MIN(1,(Skills!T19*(1+((Inputs!$B$34+(ArtifactsInput!$M$7-ArtifactsInput!$M$7)*CHOOSE(ArtifactsInput!$N$7+1,6,7.2,8.4,9.6,10.8,12)))/100))/(1/Q2685))))/100),1)</f>
        <v>1.8720333630255697</v>
      </c>
    </row>
    <row r="2699" spans="1:21" x14ac:dyDescent="0.2">
      <c r="A2699" t="s">
        <v>359</v>
      </c>
      <c r="B2699">
        <f>F2684*IF(AND(Inputs!$B$38&lt;&gt;"pvp",Inputs!$B$43&gt;0),(((R2684-1)*MIN((Skills!T18*(1+((Inputs!$B$34+(ArtifactsInput!$M$7-ArtifactsInput!$M$7)*CHOOSE(ArtifactsInput!$N$7+1,6,7.2,8.4,9.6,10.8,12)))/100)),(1/Q2684))+MIN((Skills!T18*(1+((Inputs!$B$34+(ArtifactsInput!$M$7-ArtifactsInput!$M$7)*CHOOSE(ArtifactsInput!$N$7+1,6,7.2,8.4,9.6,10.8,12)))/100)),MAX(0,Inputs!$B$43-((R2684-1)*(1/Q2684)))))/Inputs!$B$43),IF(Inputs!$B$38="pvp",MIN((Skills!T18*(1+((Inputs!$B$34+(ArtifactsInput!$M$7-ArtifactsInput!$M$7)*CHOOSE(ArtifactsInput!$N$7+1,6,7.2,8.4,9.6,10.8,12)))/100)),15)/15,MIN(1,(Skills!T18*(1+((Inputs!$B$34+(ArtifactsInput!$M$7-ArtifactsInput!$M$7)*CHOOSE(ArtifactsInput!$N$7+1,6,7.2,8.4,9.6,10.8,12)))/100))/(1/Q2684))))</f>
        <v>6.4968749999999993</v>
      </c>
    </row>
    <row r="2700" spans="1:21" x14ac:dyDescent="0.2">
      <c r="A2700" t="s">
        <v>436</v>
      </c>
      <c r="B2700">
        <f>1+MIN(150,150*(1-(1-(Inputs!$B$11+(ArtifactsInput!$M$15-ArtifactsInput!$M$15)*CHOOSE(ArtifactsInput!$N$15+1,8,9.6,11.2,12.8,14.4,16))/150)*(1-B2699/150)))/100</f>
        <v>1.6982958749999999</v>
      </c>
    </row>
    <row r="2701" spans="1:21" x14ac:dyDescent="0.2">
      <c r="A2701" t="s">
        <v>437</v>
      </c>
      <c r="B2701">
        <f>IF(AND(Inputs!$B$38&lt;&gt;"pvp",Inputs!$B$43&gt;0),SUMPRODUCT((Skills!F2:F28=TRUE)*(C2668:C2694=TRUE)*R2668:R2694)/Inputs!$B$43,SUMPRODUCT((Skills!F2:F28=TRUE)*(C2668:C2694=TRUE)*Q2668:Q2694))</f>
        <v>0.47499999999999998</v>
      </c>
    </row>
    <row r="2702" spans="1:21" x14ac:dyDescent="0.2">
      <c r="A2702" t="s">
        <v>362</v>
      </c>
      <c r="B2702">
        <f>MAX(0,B2700-B2701)</f>
        <v>1.2232958749999998</v>
      </c>
    </row>
    <row r="2703" spans="1:21" x14ac:dyDescent="0.2">
      <c r="A2703" t="s">
        <v>438</v>
      </c>
      <c r="B2703">
        <f>IF(AND(Inputs!$B$38&lt;&gt;"pvp",Inputs!$B$43&gt;0),SUMPRODUCT((Skills!V2:V28=TRUE)*(C2668:C2694=TRUE)*R2668:R2694*Skills!W2:W28)/Inputs!$B$43,SUMPRODUCT((Skills!V2:V28=TRUE)*(C2668:C2694=TRUE)*Q2668:Q2694*Skills!W2:W28))+B2702</f>
        <v>1.5482958749999998</v>
      </c>
    </row>
    <row r="2704" spans="1:21" x14ac:dyDescent="0.2">
      <c r="A2704" t="s">
        <v>439</v>
      </c>
      <c r="B2704">
        <f>IF(AND(Inputs!$B$38&lt;&gt;"pvp",Inputs!$B$43&gt;0),SUMPRODUCT((Skills!T2:T28&gt;0)*(Skills!F2:F28=TRUE)*(C2668:C2694=TRUE))/B2700,0)</f>
        <v>2.3553021937358238</v>
      </c>
    </row>
    <row r="2705" spans="1:26" x14ac:dyDescent="0.2">
      <c r="A2705" t="s">
        <v>440</v>
      </c>
      <c r="B2705">
        <f>SUM(S2668:S2694)</f>
        <v>9916967627402200</v>
      </c>
    </row>
    <row r="2706" spans="1:26" x14ac:dyDescent="0.2">
      <c r="A2706" t="s">
        <v>441</v>
      </c>
      <c r="B2706">
        <f>SUM(U2668:U2694)</f>
        <v>6.2578028774752968E+16</v>
      </c>
    </row>
    <row r="2707" spans="1:26" x14ac:dyDescent="0.2">
      <c r="A2707" s="6" t="s">
        <v>348</v>
      </c>
      <c r="B2707" s="6">
        <f>SUM(O2668:O2694)</f>
        <v>3.6247498201077592E+16</v>
      </c>
    </row>
    <row r="2710" spans="1:26" x14ac:dyDescent="0.2">
      <c r="A2710" s="6" t="s">
        <v>501</v>
      </c>
    </row>
    <row r="2711" spans="1:26" x14ac:dyDescent="0.2">
      <c r="A2711" s="5" t="s">
        <v>136</v>
      </c>
      <c r="B2711" s="5" t="s">
        <v>137</v>
      </c>
      <c r="C2711" s="5" t="s">
        <v>328</v>
      </c>
      <c r="D2711" s="5" t="s">
        <v>329</v>
      </c>
      <c r="E2711" s="5" t="s">
        <v>330</v>
      </c>
      <c r="F2711" s="5" t="s">
        <v>331</v>
      </c>
      <c r="G2711" s="5" t="s">
        <v>332</v>
      </c>
      <c r="H2711" s="5" t="s">
        <v>333</v>
      </c>
      <c r="I2711" s="5" t="s">
        <v>334</v>
      </c>
      <c r="J2711" s="5" t="s">
        <v>335</v>
      </c>
      <c r="K2711" s="5" t="s">
        <v>336</v>
      </c>
      <c r="L2711" s="5" t="s">
        <v>337</v>
      </c>
      <c r="M2711" s="5" t="s">
        <v>338</v>
      </c>
      <c r="N2711" s="5" t="s">
        <v>339</v>
      </c>
      <c r="O2711" s="5" t="s">
        <v>340</v>
      </c>
      <c r="P2711" s="5" t="s">
        <v>341</v>
      </c>
      <c r="R2711" t="s">
        <v>434</v>
      </c>
    </row>
    <row r="2712" spans="1:26" x14ac:dyDescent="0.2">
      <c r="A2712" t="str">
        <f>Skills!A2</f>
        <v>BASIC_ATTACK</v>
      </c>
      <c r="B2712" t="str">
        <f>Skills!B2</f>
        <v>Basic Attack</v>
      </c>
      <c r="C2712" t="b">
        <f>TRUE</f>
        <v>1</v>
      </c>
      <c r="F2712">
        <f>T2714+Skills!O2</f>
        <v>537.6</v>
      </c>
      <c r="G2712">
        <f>Calc!G2</f>
        <v>5</v>
      </c>
      <c r="H2712">
        <f>Calc!H2</f>
        <v>1</v>
      </c>
      <c r="I2712">
        <f>IF(Skills!X2&lt;&gt;"",1+(Skills!X2/10)*(Z2713/1000)/100,1)</f>
        <v>1</v>
      </c>
      <c r="J2712">
        <f>((Inputs!$B$6*(1+Inputs!$B$7/100))+(((Inputs!$B$12*(1+Inputs!$B$13/100))-(Inputs!$B$12*(1+Inputs!$B$13/100)))+0.25*(Inputs!$B$14-Inputs!$B$14))*(1+Inputs!$B$7/100))*(F2712/100)</f>
        <v>1941459186.9980164</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5251676816629.7061</v>
      </c>
      <c r="L2712">
        <f>K2712*(MIN(Inputs!$B$22+(F2732-Calc!F22),(Inputs!$B$23+(IF(ArtifactsInput!$M$15,CHOOSE(ArtifactsInput!$N$15+1,25,30,35,40,45,50)/100*(Inputs!$B$11-Inputs!$B$11),0))))/100+(Inputs!$B$23+(IF(ArtifactsInput!$M$15,CHOOSE(ArtifactsInput!$N$15+1,25,30,35,40,45,50)/100*(Inputs!$B$11-Inputs!$B$11),0)))/100)/2</f>
        <v>17461825415293.773</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82402354134771.312</v>
      </c>
      <c r="N2712">
        <f>L2712*(1-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82402354134771.312</v>
      </c>
      <c r="O2712">
        <f>(1-Summary!$B$11)*S2712+Summary!$B$11*U2712</f>
        <v>9926522238982876</v>
      </c>
      <c r="P2712">
        <f>IF(B2751=0,0,O2712/B2751)</f>
        <v>0.37000928188672649</v>
      </c>
      <c r="Q2712">
        <f>IFERROR(1/(IF(Inputs!$B$38="pvp",15,MAX(0.1,Skills!E2-IF(TRUE=TRUE,Inputs!$B$32,0)))*(1-IF(AND(ArtifactsInput!$M$27,Inputs!$B$4="Chapter Hunt"),CHOOSE(ArtifactsInput!$N$27+1,20,24,28,32,36,40),0)/100)),0)</f>
        <v>10</v>
      </c>
      <c r="R2712">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1648120219419853</v>
      </c>
      <c r="T2712">
        <f>MAX(0,(Inputs!$B$3-100)*3)+Inputs!$B$28+Inputs!$B$29</f>
        <v>185</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1.82049242585459E+16</v>
      </c>
      <c r="Z2712">
        <f>MAX(0,(Inputs!$B$3-100)*3)+Inputs!$B$28+Inputs!$B$29</f>
        <v>185</v>
      </c>
    </row>
    <row r="2713" spans="1:26" x14ac:dyDescent="0.2">
      <c r="A2713" t="str">
        <f>Skills!A3</f>
        <v>IGNITE</v>
      </c>
      <c r="B2713" t="str">
        <f>Skills!B3</f>
        <v>Ignite</v>
      </c>
      <c r="C2713" t="b">
        <f>TRUE</f>
        <v>1</v>
      </c>
      <c r="D2713">
        <f>IF(Skills!C3=1,60+Inputs!$B$25+Inputs!$B$29,IF(Skills!C3=2,90+Inputs!$B$26+Inputs!$B$29,IF(Skills!C3=3,120+Inputs!$B$27+Inputs!$B$29,MAX(0,(Inputs!$B$3-100)*3)+Inputs!$B$28+Inputs!$B$29)))</f>
        <v>168</v>
      </c>
      <c r="E2713">
        <f>INDEX(FactorTable!$B$2:$Y$301, MATCH(ROUND(MIN(300,MAX(1,D2713)),0), FactorTable!$A$2:$A$301,0), Skills!M3+1)</f>
        <v>1672</v>
      </c>
      <c r="F2713">
        <f>IF(Skills!N3=TRUE,(Skills!L3/10)*(E2713/1000),Skills!L3/10)+Skills!O3</f>
        <v>121.736</v>
      </c>
      <c r="G2713">
        <f>Calc!G3</f>
        <v>3</v>
      </c>
      <c r="H2713">
        <f>Calc!H3</f>
        <v>1</v>
      </c>
      <c r="I2713">
        <f>IF(Skills!X3&lt;&gt;"",1+(Skills!X3/10)*(Z2713/1000)/100,1)</f>
        <v>4.8250000000000002</v>
      </c>
      <c r="J2713">
        <f>((Inputs!$B$6*(1+Inputs!$B$7/100))+(((Inputs!$B$12*(1+Inputs!$B$13/100))-(Inputs!$B$12*(1+Inputs!$B$13/100)))+0.25*(Inputs!$B$14-Inputs!$B$14))*(1+Inputs!$B$7/100))*(F2713/100)</f>
        <v>439630720.9605478</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8756094837406.5654</v>
      </c>
      <c r="L2713">
        <f>K2713*(MIN(Inputs!$B$22+(F2732-Calc!F22),(Inputs!$B$23+(IF(ArtifactsInput!$M$15,CHOOSE(ArtifactsInput!$N$15+1,25,30,35,40,45,50)/100*(Inputs!$B$11-Inputs!$B$11),0))))/100+(Inputs!$B$23+(IF(ArtifactsInput!$M$15,CHOOSE(ArtifactsInput!$N$15+1,25,30,35,40,45,50)/100*(Inputs!$B$11-Inputs!$B$11),0)))/100)/2</f>
        <v>29114015334376.832</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137389038362924.25</v>
      </c>
      <c r="N2713">
        <f>L2713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137389038362924.25</v>
      </c>
      <c r="O2713">
        <f>(1-Summary!$B$11)*S2713+Summary!$B$11*U2713</f>
        <v>2388508431939438</v>
      </c>
      <c r="P2713">
        <f>IF(B2751=0,0,O2713/B2751)</f>
        <v>8.9031210368079358E-2</v>
      </c>
      <c r="Q2713">
        <f>IFERROR(1/(IF(Inputs!$B$38="pvp",15,MAX(0.1,Skills!E3-IF(FALSE=TRUE,Inputs!$B$32,0)))*(1-IF(AND(ArtifactsInput!$M$27,Inputs!$B$4="Chapter Hunt"),CHOOSE(ArtifactsInput!$N$27+1,20,24,28,32,36,40),0)/100)),0)</f>
        <v>1</v>
      </c>
      <c r="R2713">
        <f>IF(AND(Inputs!$B$38&lt;&gt;"pvp",Inputs!$B$43&gt;0),IF(MAX(0,Inputs!$B$43-B2748)&lt;=0,0,(INT(MAX(0,Inputs!$B$43-B2748)/(IF(Inputs!$B$38="pvp",15,MAX(0.1,Skills!E3-IF(FALSE=TRUE,Inputs!$B$32,0)))*(1-IF(AND(ArtifactsInput!$M$27,Inputs!$B$4="Chapter Hunt"),CHOOSE(ArtifactsInput!$N$27+1,20,24,28,32,36,40),0)/100)))+1)),0)</f>
        <v>38</v>
      </c>
      <c r="S2713">
        <f>IF(C2713,(H2713*N2713*IF(AND(Inputs!$B$38&lt;&gt;"pvp",Inputs!$B$43&gt;0),((Skills!G3*((R2713-1)*IF(Skills!H3&gt;0,Skills!I3/Skills!H3,1)+IF(Skills!H3&gt;0,MIN(Skills!I3,MAX(0,MAX(0,Inputs!$B$43-B2748)-((R2713-1)*(IF(Inputs!$B$38="pvp",15,MAX(0.1,Skills!E3-IF(FALSE=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1241241267089839.2</v>
      </c>
      <c r="T2713">
        <f>INDEX(FactorTable!$B$2:$Y$301, MATCH(ROUND(MIN(300,MAX(1,T2712)),0), FactorTable!$A$2:$A$301,0), 22)</f>
        <v>1740</v>
      </c>
      <c r="U2713">
        <f>IF(C2713,(H2713*N2713*IF(AND(Inputs!$B$38&lt;&gt;"pvp",Inputs!$B$43&gt;0),((Skills!G3*((R2713-1)*IF(Skills!H3&gt;0,Skills!I3/Skills!H3,1)+IF(Skills!H3&gt;0,MIN(Skills!I3,MAX(0,MAX(0,Inputs!$B$43-B2748)-((R2713-1)*(IF(Inputs!$B$38="pvp",15,MAX(0.1,Skills!E3-IF(FALSE=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3535775596789037</v>
      </c>
      <c r="Z2713">
        <f>INDEX(FactorTable!$B$2:$Y$301, MATCH(ROUND(MIN(300,MAX(1,Z2712)),0), FactorTable!$A$2:$A$301,0), 24)</f>
        <v>7650</v>
      </c>
    </row>
    <row r="2714" spans="1:26" x14ac:dyDescent="0.2">
      <c r="A2714" t="str">
        <f>Skills!A4</f>
        <v>POISON_BREATH</v>
      </c>
      <c r="B2714" t="str">
        <f>Skills!B4</f>
        <v>Poison Breath</v>
      </c>
      <c r="C2714" t="b">
        <f>TRUE</f>
        <v>1</v>
      </c>
      <c r="D2714">
        <f>IF(Skills!C4=1,60+Inputs!$B$25+Inputs!$B$29,IF(Skills!C4=2,90+Inputs!$B$26+Inputs!$B$29,IF(Skills!C4=3,120+Inputs!$B$27+Inputs!$B$29,MAX(0,(Inputs!$B$3-100)*3)+Inputs!$B$28+Inputs!$B$29)))</f>
        <v>168</v>
      </c>
      <c r="E2714">
        <f>INDEX(FactorTable!$B$2:$Y$301, MATCH(ROUND(MIN(300,MAX(1,D2714)),0), FactorTable!$A$2:$A$301,0), Skills!M4+1)</f>
        <v>1840</v>
      </c>
      <c r="F2714">
        <f>IF(Skills!N4=TRUE,(Skills!L4/10)*(E2714/1000),Skills!L4/10)+Skills!O4</f>
        <v>438</v>
      </c>
      <c r="G2714">
        <f>Calc!G4</f>
        <v>3</v>
      </c>
      <c r="H2714">
        <f>Calc!H4</f>
        <v>1</v>
      </c>
      <c r="I2714">
        <f>IF(Skills!X4&lt;&gt;"",1+(Skills!X4/10)*(Z2713/1000)/100,1)</f>
        <v>7.12</v>
      </c>
      <c r="J2714">
        <f>((Inputs!$B$6*(1+Inputs!$B$7/100))+(((Inputs!$B$12*(1+Inputs!$B$13/100))-(Inputs!$B$12*(1+Inputs!$B$13/100)))+0.25*(Inputs!$B$14-Inputs!$B$14))*(1+Inputs!$B$7/100))*(F2714/100)</f>
        <v>1581769203.69258</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46488787111467.266</v>
      </c>
      <c r="L2714">
        <f>K2714*(MIN(Inputs!$B$22+(F2732-Calc!F22),(Inputs!$B$23+(IF(ArtifactsInput!$M$15,CHOOSE(ArtifactsInput!$N$15+1,25,30,35,40,45,50)/100*(Inputs!$B$11-Inputs!$B$11),0))))/100+(Inputs!$B$23+(IF(ArtifactsInput!$M$15,CHOOSE(ArtifactsInput!$N$15+1,25,30,35,40,45,50)/100*(Inputs!$B$11-Inputs!$B$11),0)))/100)/2</f>
        <v>154575217145628.66</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729440449710221.5</v>
      </c>
      <c r="N2714">
        <f>L2714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729440449710221.5</v>
      </c>
      <c r="O2714">
        <f>(1-Summary!$B$11)*S2714+Summary!$B$11*U2714</f>
        <v>1742177334076650.2</v>
      </c>
      <c r="P2714">
        <f>IF(B2751=0,0,O2714/B2751)</f>
        <v>6.4939338147000841E-2</v>
      </c>
      <c r="Q2714">
        <f>IFERROR(1/(IF(Inputs!$B$38="pvp",15,MAX(0.1,Skills!E4-IF(TRUE=TRUE,Inputs!$B$32,0)))*(1-IF(AND(ArtifactsInput!$M$27,Inputs!$B$4="Chapter Hunt"),CHOOSE(ArtifactsInput!$N$27+1,20,24,28,32,36,40),0)/100)),0)</f>
        <v>5.5555555555555552E-2</v>
      </c>
      <c r="R2714">
        <f>IF(AND(Inputs!$B$38&lt;&gt;"pvp",Inputs!$B$43&gt;0),IF(MAX(0,Inputs!$B$43-B2748)&lt;=0,0,(INT(MAX(0,Inputs!$B$43-B2748)/(IF(Inputs!$B$38="pvp",15,MAX(0.1,Skills!E4-IF(TRUE=TRUE,Inputs!$B$32,0)))*(1-IF(AND(ArtifactsInput!$M$27,Inputs!$B$4="Chapter Hunt"),CHOOSE(ArtifactsInput!$N$27+1,20,24,28,32,36,40),0)/100)))+1)),0)</f>
        <v>3</v>
      </c>
      <c r="S2714">
        <f>IF(C2714,(H2714*N2714*IF(AND(Inputs!$B$38&lt;&gt;"pvp",Inputs!$B$43&gt;0),((Skills!G4*((R2714-1)*IF(Skills!H4&gt;0,Skills!I4/Skills!H4,1)+IF(Skills!H4&gt;0,MIN(Skills!I4,MAX(0,MAX(0,Inputs!$B$43-B2748)-((R2714-1)*(IF(Inputs!$B$38="pvp",15,MAX(0.1,Skills!E4-IF(TRUE=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520273400755815.5</v>
      </c>
      <c r="T2714">
        <f>290*T2713/1000</f>
        <v>504.6</v>
      </c>
      <c r="U2714">
        <f>IF(C2714,(H2714*N2714*IF(AND(Inputs!$B$38&lt;&gt;"pvp",Inputs!$B$43&gt;0),((Skills!G4*((R2714-1)*IF(Skills!H4&gt;0,Skills!I4/Skills!H4,1)+IF(Skills!H4&gt;0,MIN(Skills!I4,MAX(0,MAX(0,Inputs!$B$43-B2748)-((R2714-1)*(IF(Inputs!$B$38="pvp",15,MAX(0.1,Skills!E4-IF(TRUE=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2964081267397485</v>
      </c>
    </row>
    <row r="2715" spans="1:26" x14ac:dyDescent="0.2">
      <c r="A2715" t="str">
        <f>Skills!A5</f>
        <v>ELEMENTAL_DRAIN</v>
      </c>
      <c r="B2715" t="str">
        <f>Skills!B5</f>
        <v>Elemental Drain</v>
      </c>
      <c r="C2715" t="b">
        <f>TRUE</f>
        <v>1</v>
      </c>
      <c r="D2715">
        <f>IF(Skills!C5=1,60+Inputs!$B$25+Inputs!$B$29,IF(Skills!C5=2,90+Inputs!$B$26+Inputs!$B$29,IF(Skills!C5=3,120+Inputs!$B$27+Inputs!$B$29,MAX(0,(Inputs!$B$3-100)*3)+Inputs!$B$28+Inputs!$B$29)))</f>
        <v>168</v>
      </c>
      <c r="E2715">
        <f>INDEX(FactorTable!$B$2:$Y$301, MATCH(ROUND(MIN(300,MAX(1,D2715)),0), FactorTable!$A$2:$A$301,0), Skills!M5+1)</f>
        <v>1672</v>
      </c>
      <c r="F2715">
        <f>IF(Skills!N5=TRUE,(Skills!L5/10)*(E2715/1000),Skills!L5/10)+Skills!O5</f>
        <v>20.064</v>
      </c>
      <c r="G2715">
        <f>Calc!G5</f>
        <v>5</v>
      </c>
      <c r="H2715">
        <f>Calc!H5</f>
        <v>1</v>
      </c>
      <c r="I2715">
        <f>IF(Skills!X5&lt;&gt;"",1+(Skills!X5/10)*(Z2713/1000)/100,1)</f>
        <v>12.475</v>
      </c>
      <c r="J2715">
        <f>((Inputs!$B$6*(1+Inputs!$B$7/100))+(((Inputs!$B$12*(1+Inputs!$B$13/100))-(Inputs!$B$12*(1+Inputs!$B$13/100)))+0.25*(Inputs!$B$14-Inputs!$B$14))*(1+Inputs!$B$7/100))*(F2715/100)</f>
        <v>72458030.371890247</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3731231411914.7544</v>
      </c>
      <c r="L2715">
        <f>K2715*(MIN(Inputs!$B$22+(F2732-Calc!F22),(Inputs!$B$23+(IF(ArtifactsInput!$M$15,CHOOSE(ArtifactsInput!$N$15+1,25,30,35,40,45,50)/100*(Inputs!$B$11-Inputs!$B$11),0))))/100+(Inputs!$B$23+(IF(ArtifactsInput!$M$15,CHOOSE(ArtifactsInput!$N$15+1,25,30,35,40,45,50)/100*(Inputs!$B$11-Inputs!$B$11),0)))/100)/2</f>
        <v>12406344444616.559</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58545539434145.531</v>
      </c>
      <c r="N2715">
        <f>L2715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58545539434145.531</v>
      </c>
      <c r="O2715">
        <f>(1-Summary!$B$11)*S2715+Summary!$B$11*U2715</f>
        <v>859302155044671</v>
      </c>
      <c r="P2715">
        <f>IF(B2751=0,0,O2715/B2751)</f>
        <v>3.2030329017262549E-2</v>
      </c>
      <c r="Q2715">
        <f>IFERROR(1/(IF(Inputs!$B$38="pvp",15,MAX(0.1,Skills!E5-IF(FALSE=TRUE,Inputs!$B$32,0)))*(1-IF(AND(ArtifactsInput!$M$27,Inputs!$B$4="Chapter Hunt"),CHOOSE(ArtifactsInput!$N$27+1,20,24,28,32,36,40),0)/100)),0)</f>
        <v>1</v>
      </c>
      <c r="R2715">
        <f>IF(AND(Inputs!$B$38&lt;&gt;"pvp",Inputs!$B$43&gt;0),IF(MAX(0,Inputs!$B$43-B2748)&lt;=0,0,(INT(MAX(0,Inputs!$B$43-B2748)/(IF(Inputs!$B$38="pvp",15,MAX(0.1,Skills!E5-IF(FALSE=TRUE,Inputs!$B$32,0)))*(1-IF(AND(ArtifactsInput!$M$27,Inputs!$B$4="Chapter Hunt"),CHOOSE(ArtifactsInput!$N$27+1,20,24,28,32,36,40),0)/100)))+1)),0)</f>
        <v>38</v>
      </c>
      <c r="S2715">
        <f>IF(C2715,(H2715*N2715*IF(AND(Inputs!$B$38&lt;&gt;"pvp",Inputs!$B$43&gt;0),((Skills!G5*((R2715-1)*IF(Skills!H5&gt;0,Skills!I5/Skills!H5,1)+IF(Skills!H5&gt;0,MIN(Skills!I5,MAX(0,MAX(0,Inputs!$B$43-B2748)-((R2715-1)*(IF(Inputs!$B$38="pvp",15,MAX(0.1,Skills!E5-IF(FALSE=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881549460029646.38</v>
      </c>
      <c r="U2715">
        <f>IF(C2715,(H2715*N2715*IF(AND(Inputs!$B$38&lt;&gt;"pvp",Inputs!$B$43&gt;0),((Skills!G5*((R2715-1)*IF(Skills!H5&gt;0,Skills!I5/Skills!H5,1)+IF(Skills!H5&gt;0,MIN(Skills!I5,MAX(0,MAX(0,Inputs!$B$43-B2748)-((R2715-1)*(IF(Inputs!$B$38="pvp",15,MAX(0.1,Skills!E5-IF(FALSE=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837054850059695.75</v>
      </c>
    </row>
    <row r="2716" spans="1:26" x14ac:dyDescent="0.2">
      <c r="A2716" t="str">
        <f>Skills!A6</f>
        <v>MEDITATION</v>
      </c>
      <c r="B2716" t="str">
        <f>Skills!B6</f>
        <v>Meditation</v>
      </c>
      <c r="C2716" t="b">
        <f>TRUE</f>
        <v>1</v>
      </c>
      <c r="D2716">
        <f>IF(Skills!C6=1,60+Inputs!$B$25+Inputs!$B$29,IF(Skills!C6=2,90+Inputs!$B$26+Inputs!$B$29,IF(Skills!C6=3,120+Inputs!$B$27+Inputs!$B$29,MAX(0,(Inputs!$B$3-100)*3)+Inputs!$B$28+Inputs!$B$29)))</f>
        <v>168</v>
      </c>
      <c r="E2716">
        <f>INDEX(FactorTable!$B$2:$Y$301, MATCH(ROUND(MIN(300,MAX(1,D2716)),0), FactorTable!$A$2:$A$301,0), Skills!M6+1)</f>
        <v>1672</v>
      </c>
      <c r="F2716">
        <f>IF(Skills!N6=TRUE,(Skills!L6/10)*(E2716/1000),Skills!L6/10)+Skills!O6</f>
        <v>33.44</v>
      </c>
      <c r="G2716">
        <f>Calc!G6</f>
        <v>1</v>
      </c>
      <c r="H2716">
        <f>Calc!H6</f>
        <v>1</v>
      </c>
      <c r="I2716">
        <f>IF(Skills!X6&lt;&gt;"",1+(Skills!X6/10)*(Z2713/1000)/100,1)</f>
        <v>1</v>
      </c>
      <c r="O2716">
        <f>(1-Summary!$B$11)*S2716+Summary!$B$11*U2716</f>
        <v>0</v>
      </c>
      <c r="P2716">
        <f>IF(B2751=0,0,O2716/B2751)</f>
        <v>0</v>
      </c>
      <c r="Q2716">
        <f>IFERROR(1/(IF(Inputs!$B$38="pvp",15,MAX(0.1,Skills!E6-IF(TRUE=TRUE,Inputs!$B$32,0)))*(1-IF(AND(ArtifactsInput!$M$27,Inputs!$B$4="Chapter Hunt"),CHOOSE(ArtifactsInput!$N$27+1,20,24,28,32,36,40),0)/100)),0)</f>
        <v>3.3333333333333333E-2</v>
      </c>
      <c r="R2716">
        <f>IF(AND(Inputs!$B$38&lt;&gt;"pvp",Inputs!$B$43&gt;0),IF(Inputs!$B$43&lt;=0,0,(INT(Inputs!$B$43/(IF(Inputs!$B$38="pvp",15,MAX(0.1,Skills!E6-IF(TRUE=TRUE,Inputs!$B$32,0)))*(1-IF(AND(ArtifactsInput!$M$27,Inputs!$B$4="Chapter Hunt"),CHOOSE(ArtifactsInput!$N$27+1,20,24,28,32,36,40),0)/100)))+1)),0)</f>
        <v>2</v>
      </c>
      <c r="S2716">
        <v>0</v>
      </c>
      <c r="U2716">
        <v>0</v>
      </c>
    </row>
    <row r="2717" spans="1:26" x14ac:dyDescent="0.2">
      <c r="A2717" t="str">
        <f>Skills!A7</f>
        <v>POISON_MIST_BURST</v>
      </c>
      <c r="B2717" t="str">
        <f>Skills!B7</f>
        <v>Poison Mist (burst)</v>
      </c>
      <c r="C2717" t="b">
        <f>TRUE</f>
        <v>1</v>
      </c>
      <c r="D2717">
        <f>IF(Skills!C7=1,60+Inputs!$B$25+Inputs!$B$29,IF(Skills!C7=2,90+Inputs!$B$26+Inputs!$B$29,IF(Skills!C7=3,120+Inputs!$B$27+Inputs!$B$29,MAX(0,(Inputs!$B$3-100)*3)+Inputs!$B$28+Inputs!$B$29)))</f>
        <v>184</v>
      </c>
      <c r="E2717">
        <f>INDEX(FactorTable!$B$2:$Y$301, MATCH(ROUND(MIN(300,MAX(1,D2717)),0), FactorTable!$A$2:$A$301,0), Skills!M7+1)</f>
        <v>1920</v>
      </c>
      <c r="F2717">
        <f>IF(Skills!N7=TRUE,(Skills!L7/10)*(E2717/1000),Skills!L7/10)+Skills!O7</f>
        <v>357.2</v>
      </c>
      <c r="G2717">
        <f>Calc!G7</f>
        <v>3</v>
      </c>
      <c r="H2717">
        <f>Calc!H7</f>
        <v>1</v>
      </c>
      <c r="I2717">
        <f>IF(Skills!X7&lt;&gt;"",1+(Skills!X7/10)*(Z2713/1000)/100,1)</f>
        <v>1.7650000000000001</v>
      </c>
      <c r="J2717">
        <f>((Inputs!$B$6*(1+Inputs!$B$7/100))+(((Inputs!$B$12*(1+Inputs!$B$13/100))-(Inputs!$B$12*(1+Inputs!$B$13/100)))+0.25*(Inputs!$B$14-Inputs!$B$14))*(1+Inputs!$B$7/100))*(F2717/100)</f>
        <v>1289972510.4086521</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9398320938100.0977</v>
      </c>
      <c r="L2717">
        <f>K2717*(MIN(Inputs!$B$22+(F2732-Calc!F22),(Inputs!$B$23+(IF(ArtifactsInput!$M$15,CHOOSE(ArtifactsInput!$N$15+1,25,30,35,40,45,50)/100*(Inputs!$B$11-Inputs!$B$11),0))))/100+(Inputs!$B$23+(IF(ArtifactsInput!$M$15,CHOOSE(ArtifactsInput!$N$15+1,25,30,35,40,45,50)/100*(Inputs!$B$11-Inputs!$B$11),0)))/100)/2</f>
        <v>31249417119182.828</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147465999385423.75</v>
      </c>
      <c r="N2717">
        <f>L2717*(1-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147465999385423.75</v>
      </c>
      <c r="O2717">
        <f>(1-Summary!$B$11)*S2717+Summary!$B$11*U2717</f>
        <v>367964534966478.56</v>
      </c>
      <c r="P2717">
        <f>IF(B2751=0,0,O2717/B2751)</f>
        <v>1.3715810035467232E-2</v>
      </c>
      <c r="Q2717">
        <f>IFERROR(1/(IF(Inputs!$B$38="pvp",15,MAX(0.1,Skills!E7-IF(TRUE=TRUE,Inputs!$B$32,0)))*(1-IF(AND(ArtifactsInput!$M$27,Inputs!$B$4="Chapter Hunt"),CHOOSE(ArtifactsInput!$N$27+1,20,24,28,32,36,40),0)/100)),0)</f>
        <v>4.0816326530612242E-2</v>
      </c>
      <c r="R2717">
        <f>IF(AND(Inputs!$B$38&lt;&gt;"pvp",Inputs!$B$43&gt;0),IF(MAX(0,Inputs!$B$43-B2748)&lt;=0,0,(INT(MAX(0,Inputs!$B$43-B2748)/(IF(Inputs!$B$38="pvp",15,MAX(0.1,Skills!E7-IF(TRUE=TRUE,Inputs!$B$32,0)))*(1-IF(AND(ArtifactsInput!$M$27,Inputs!$B$4="Chapter Hunt"),CHOOSE(ArtifactsInput!$N$27+1,20,24,28,32,36,40),0)/100)))+1)),0)</f>
        <v>2</v>
      </c>
      <c r="S2717">
        <f>IF(C2717,(H2717*N2717*IF(AND(Inputs!$B$38&lt;&gt;"pvp",Inputs!$B$43&gt;0),((Skills!G7*((R2717-1)*IF(Skills!H7&gt;0,Skills!I7/Skills!H7,1)+IF(Skills!H7&gt;0,MIN(Skills!I7,MAX(0,MAX(0,Inputs!$B$43-B2748)-((R2717-1)*(IF(Inputs!$B$38="pvp",15,MAX(0.1,Skills!E7-IF(TRUE=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70120082707768.992</v>
      </c>
      <c r="U2717">
        <f>IF(C2717,(H2717*N2717*IF(AND(Inputs!$B$38&lt;&gt;"pvp",Inputs!$B$43&gt;0),((Skills!G7*((R2717-1)*IF(Skills!H7&gt;0,Skills!I7/Skills!H7,1)+IF(Skills!H7&gt;0,MIN(Skills!I7,MAX(0,MAX(0,Inputs!$B$43-B2748)-((R2717-1)*(IF(Inputs!$B$38="pvp",15,MAX(0.1,Skills!E7-IF(TRUE=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665808987225188.12</v>
      </c>
    </row>
    <row r="2718" spans="1:26" x14ac:dyDescent="0.2">
      <c r="A2718" t="str">
        <f>Skills!A8</f>
        <v>POISON_MIST_DOT</v>
      </c>
      <c r="B2718" t="str">
        <f>Skills!B8</f>
        <v>Poison Mist (fog DoT)</v>
      </c>
      <c r="C2718" t="b">
        <f>TRUE</f>
        <v>1</v>
      </c>
      <c r="D2718">
        <f>IF(Skills!C8=1,60+Inputs!$B$25+Inputs!$B$29,IF(Skills!C8=2,90+Inputs!$B$26+Inputs!$B$29,IF(Skills!C8=3,120+Inputs!$B$27+Inputs!$B$29,MAX(0,(Inputs!$B$3-100)*3)+Inputs!$B$28+Inputs!$B$29)))</f>
        <v>184</v>
      </c>
      <c r="E2718">
        <f>INDEX(FactorTable!$B$2:$Y$301, MATCH(ROUND(MIN(300,MAX(1,D2718)),0), FactorTable!$A$2:$A$301,0), Skills!M8+1)</f>
        <v>1920</v>
      </c>
      <c r="F2718">
        <f>IF(Skills!N8=TRUE,(Skills!L8/10)*(E2718/1000),Skills!L8/10)+Skills!O8</f>
        <v>134.4</v>
      </c>
      <c r="G2718">
        <f>Calc!G8</f>
        <v>50</v>
      </c>
      <c r="H2718">
        <f>Calc!H8</f>
        <v>1</v>
      </c>
      <c r="I2718">
        <f>IF(Skills!X8&lt;&gt;"",1+(Skills!X8/10)*(Z2713/1000)/100,1)</f>
        <v>1.7650000000000001</v>
      </c>
      <c r="J2718">
        <f>((Inputs!$B$6*(1+Inputs!$B$7/100))+(((Inputs!$B$12*(1+Inputs!$B$13/100))-(Inputs!$B$12*(1+Inputs!$B$13/100)))+0.25*(Inputs!$B$14-Inputs!$B$14))*(1+Inputs!$B$7/100))*(F2718/100)</f>
        <v>485364796.74950409</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3536210341771.1445</v>
      </c>
      <c r="L2718">
        <f>K2718*(MIN(Inputs!$B$22+(F2732-Calc!F22),(Inputs!$B$23+(IF(ArtifactsInput!$M$15,CHOOSE(ArtifactsInput!$N$15+1,25,30,35,40,45,50)/100*(Inputs!$B$11-Inputs!$B$11),0))))/100+(Inputs!$B$23+(IF(ArtifactsInput!$M$15,CHOOSE(ArtifactsInput!$N$15+1,25,30,35,40,45,50)/100*(Inputs!$B$11-Inputs!$B$11),0)))/100)/2</f>
        <v>11757899386389.057</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55485527204369.953</v>
      </c>
      <c r="N2718">
        <f>L2718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55485527204369.953</v>
      </c>
      <c r="O2718">
        <f>(1-Summary!$B$11)*S2718+Summary!$B$11*U2718</f>
        <v>1912038369635055</v>
      </c>
      <c r="P2718">
        <f>IF(B2751=0,0,O2718/B2751)</f>
        <v>7.1270876854553369E-2</v>
      </c>
      <c r="Q2718">
        <f>IFERROR(1/(IF(Inputs!$B$38="pvp",15,MAX(0.1,Skills!E8-IF(TRUE=TRUE,Inputs!$B$32,0)))*(1-IF(AND(ArtifactsInput!$M$27,Inputs!$B$4="Chapter Hunt"),CHOOSE(ArtifactsInput!$N$27+1,20,24,28,32,36,40),0)/100)),0)</f>
        <v>4.0816326530612242E-2</v>
      </c>
      <c r="R2718">
        <f>IF(AND(Inputs!$B$38&lt;&gt;"pvp",Inputs!$B$43&gt;0),IF(MAX(0,Inputs!$B$43-B2748)&lt;=0,0,(INT(MAX(0,Inputs!$B$43-B2748)/(IF(Inputs!$B$38="pvp",15,MAX(0.1,Skills!E8-IF(TRUE=TRUE,Inputs!$B$32,0)))*(1-IF(AND(ArtifactsInput!$M$27,Inputs!$B$4="Chapter Hunt"),CHOOSE(ArtifactsInput!$N$27+1,20,24,28,32,36,40),0)/100)))+1)),0)</f>
        <v>2</v>
      </c>
      <c r="S2718">
        <f>IF(C2718,(H2718*N2718*IF(AND(Inputs!$B$38&lt;&gt;"pvp",Inputs!$B$43&gt;0),((Skills!G8*((R2718-1)*IF(Skills!H8&gt;0,Skills!I8/Skills!H8,1)+IF(Skills!H8&gt;0,MIN(Skills!I8,MAX(0,MAX(0,Inputs!$B$43-B2748)-((R2718-1)*(IF(Inputs!$B$38="pvp",15,MAX(0.1,Skills!E8-IF(TRUE=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364361985677374.5</v>
      </c>
      <c r="U2718">
        <f>IF(C2718,(H2718*N2718*IF(AND(Inputs!$B$38&lt;&gt;"pvp",Inputs!$B$43&gt;0),((Skills!G8*((R2718-1)*IF(Skills!H8&gt;0,Skills!I8/Skills!H8,1)+IF(Skills!H8&gt;0,MIN(Skills!I8,MAX(0,MAX(0,Inputs!$B$43-B2748)-((R2718-1)*(IF(Inputs!$B$38="pvp",15,MAX(0.1,Skills!E8-IF(TRUE=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3459714753592735.5</v>
      </c>
    </row>
    <row r="2719" spans="1:26" x14ac:dyDescent="0.2">
      <c r="A2719" t="str">
        <f>Skills!A9</f>
        <v>MIST_ERUPTION</v>
      </c>
      <c r="B2719" t="str">
        <f>Skills!B9</f>
        <v>Mist Eruption</v>
      </c>
      <c r="C2719" t="b">
        <f>Inputs!$B$3&gt;=103</f>
        <v>1</v>
      </c>
      <c r="D2719">
        <f>IF(Skills!C9=1,60+Inputs!$B$25+Inputs!$B$29,IF(Skills!C9=2,90+Inputs!$B$26+Inputs!$B$29,IF(Skills!C9=3,120+Inputs!$B$27+Inputs!$B$29,MAX(0,(Inputs!$B$3-100)*3)+Inputs!$B$28+Inputs!$B$29)))</f>
        <v>185</v>
      </c>
      <c r="E2719">
        <f>INDEX(FactorTable!$B$2:$Y$301, MATCH(ROUND(MIN(300,MAX(1,D2719)),0), FactorTable!$A$2:$A$301,0), Skills!M9+1)</f>
        <v>1925</v>
      </c>
      <c r="F2719">
        <f>IF(Skills!N9=TRUE,(Skills!L9/10)*(E2719/1000),Skills!L9/10)+Skills!O9</f>
        <v>5775</v>
      </c>
      <c r="G2719">
        <f>Calc!G9</f>
        <v>2.5</v>
      </c>
      <c r="H2719">
        <f>Calc!H9</f>
        <v>1</v>
      </c>
      <c r="I2719">
        <f>IF(Skills!X9&lt;&gt;"",1+(Skills!X9/10)*(Z2713/1000)/100,1)</f>
        <v>1</v>
      </c>
      <c r="J2719">
        <f>((Inputs!$B$6*(1+Inputs!$B$7/100))+(((Inputs!$B$12*(1+Inputs!$B$13/100))-(Inputs!$B$12*(1+Inputs!$B$13/100)))+0.25*(Inputs!$B$14-Inputs!$B$14))*(1+Inputs!$B$7/100))*(F2719/100)</f>
        <v>20855518610.330254</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86088690154662.234</v>
      </c>
      <c r="L2719">
        <f>K2719*(MIN(Inputs!$B$22+(F2732-Calc!F22),(Inputs!$B$23+(IF(ArtifactsInput!$M$15,CHOOSE(ArtifactsInput!$N$15+1,25,30,35,40,45,50)/100*(Inputs!$B$11-Inputs!$B$11),0))))/100+(Inputs!$B$23+(IF(ArtifactsInput!$M$15,CHOOSE(ArtifactsInput!$N$15+1,25,30,35,40,45,50)/100*(Inputs!$B$11-Inputs!$B$11),0)))/100)/2</f>
        <v>286244894764251.94</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1350789658392504.8</v>
      </c>
      <c r="N2719">
        <f>L2719*(1-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1350789658392504.8</v>
      </c>
      <c r="O2719">
        <f>(1-Summary!$B$11)*S2719+Summary!$B$11*U2719</f>
        <v>2808798245919914.5</v>
      </c>
      <c r="P2719">
        <f>IF(B2751=0,0,O2719/B2751)</f>
        <v>0.10469743550829085</v>
      </c>
      <c r="Q2719">
        <f>IFERROR(1/(IF(Inputs!$B$38="pvp",15,MAX(0.1,Skills!E9-IF(TRUE=TRUE,Inputs!$B$32,0)))*(1-IF(AND(ArtifactsInput!$M$27,Inputs!$B$4="Chapter Hunt"),CHOOSE(ArtifactsInput!$N$27+1,20,24,28,32,36,40),0)/100)),0)</f>
        <v>4.0816326530612242E-2</v>
      </c>
      <c r="R2719">
        <f>IF(AND(Inputs!$B$38&lt;&gt;"pvp",Inputs!$B$43&gt;0),IF(MAX(0,Inputs!$B$43-B2748)&lt;=0,0,(INT(MAX(0,Inputs!$B$43-B2748)/(IF(Inputs!$B$38="pvp",15,MAX(0.1,Skills!E9-IF(TRUE=TRUE,Inputs!$B$32,0)))*(1-IF(AND(ArtifactsInput!$M$27,Inputs!$B$4="Chapter Hunt"),CHOOSE(ArtifactsInput!$N$27+1,20,24,28,32,36,40),0)/100)))+1)),0)</f>
        <v>2</v>
      </c>
      <c r="S2719">
        <f>IF(C2719,(H2719*N2719*IF(AND(Inputs!$B$38&lt;&gt;"pvp",Inputs!$B$43&gt;0),((Skills!G9*((R2719-1)*IF(Skills!H9&gt;0,Skills!I9/Skills!H9,1)+IF(Skills!H9&gt;0,MIN(Skills!I9,MAX(0,MAX(0,Inputs!$B$43-B2748)-((R2719-1)*(IF(Inputs!$B$38="pvp",15,MAX(0.1,Skills!E9-IF(TRUE=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535250402138030</v>
      </c>
      <c r="U2719">
        <f>IF(C2719,(H2719*N2719*IF(AND(Inputs!$B$38&lt;&gt;"pvp",Inputs!$B$43&gt;0),((Skills!G9*((R2719-1)*IF(Skills!H9&gt;0,Skills!I9/Skills!H9,1)+IF(Skills!H9&gt;0,MIN(Skills!I9,MAX(0,MAX(0,Inputs!$B$43-B2748)-((R2719-1)*(IF(Inputs!$B$38="pvp",15,MAX(0.1,Skills!E9-IF(TRUE=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5082346089701799</v>
      </c>
    </row>
    <row r="2720" spans="1:26" x14ac:dyDescent="0.2">
      <c r="A2720" t="str">
        <f>Skills!A10</f>
        <v>CREEPING_TOXIN</v>
      </c>
      <c r="B2720" t="str">
        <f>Skills!B10</f>
        <v>Creeping Toxin</v>
      </c>
      <c r="C2720" t="b">
        <f>TRUE</f>
        <v>1</v>
      </c>
      <c r="D2720">
        <f>IF(Skills!C10=1,60+Inputs!$B$25+Inputs!$B$29,IF(Skills!C10=2,90+Inputs!$B$26+Inputs!$B$29,IF(Skills!C10=3,120+Inputs!$B$27+Inputs!$B$29,MAX(0,(Inputs!$B$3-100)*3)+Inputs!$B$28+Inputs!$B$29)))</f>
        <v>184</v>
      </c>
      <c r="E2720">
        <f>INDEX(FactorTable!$B$2:$Y$301, MATCH(ROUND(MIN(300,MAX(1,D2720)),0), FactorTable!$A$2:$A$301,0), Skills!M10+1)</f>
        <v>1920</v>
      </c>
      <c r="F2720">
        <f>IF(Skills!N10=TRUE,(Skills!L10/10)*(E2720/1000),Skills!L10/10)+Skills!O10</f>
        <v>280.39999999999998</v>
      </c>
      <c r="G2720">
        <f>Calc!G10</f>
        <v>15</v>
      </c>
      <c r="H2720">
        <f>Calc!H10</f>
        <v>1</v>
      </c>
      <c r="I2720">
        <f>IF(Skills!X10&lt;&gt;"",1+(Skills!X10/10)*(Z2713/1000)/100,1)</f>
        <v>1.7650000000000001</v>
      </c>
      <c r="J2720">
        <f>((Inputs!$B$6*(1+Inputs!$B$7/100))+(((Inputs!$B$12*(1+Inputs!$B$13/100))-(Inputs!$B$12*(1+Inputs!$B$13/100)))+0.25*(Inputs!$B$14-Inputs!$B$14))*(1+Inputs!$B$7/100))*(F2720/100)</f>
        <v>1012621197.9803641</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7377629314230.8691</v>
      </c>
      <c r="L2720">
        <f>K2720*(MIN(Inputs!$B$22+(F2732-Calc!F22),(Inputs!$B$23+(IF(ArtifactsInput!$M$15,CHOOSE(ArtifactsInput!$N$15+1,25,30,35,40,45,50)/100*(Inputs!$B$11-Inputs!$B$11),0))))/100+(Inputs!$B$23+(IF(ArtifactsInput!$M$15,CHOOSE(ArtifactsInput!$N$15+1,25,30,35,40,45,50)/100*(Inputs!$B$11-Inputs!$B$11),0)))/100)/2</f>
        <v>24530617469817.641</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115759983840069.44</v>
      </c>
      <c r="N2720">
        <f>L2720*(1-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115759983840069.44</v>
      </c>
      <c r="O2720">
        <f>(1-Summary!$B$11)*S2720+Summary!$B$11*U2720</f>
        <v>266434524876385.28</v>
      </c>
      <c r="P2720">
        <f>IF(B2751=0,0,O2720/B2751)</f>
        <v>9.9312976736396098E-3</v>
      </c>
      <c r="Q2720">
        <f>IFERROR(1/(IF(Inputs!$B$38="pvp",15,MAX(0.1,Skills!E10-IF(TRUE=TRUE,Inputs!$B$32,0)))*(1-IF(AND(ArtifactsInput!$M$27,Inputs!$B$4="Chapter Hunt"),CHOOSE(ArtifactsInput!$N$27+1,20,24,28,32,36,40),0)/100)),0)</f>
        <v>3.7037037037037035E-2</v>
      </c>
      <c r="R2720">
        <f>IF(AND(Inputs!$B$38&lt;&gt;"pvp",Inputs!$B$43&gt;0),IF(MAX(0,Inputs!$B$43-B2748)&lt;=0,0,(INT(MAX(0,Inputs!$B$43-B2748)/(IF(Inputs!$B$38="pvp",15,MAX(0.1,Skills!E10-IF(TRUE=TRUE,Inputs!$B$32,0)))*(1-IF(AND(ArtifactsInput!$M$27,Inputs!$B$4="Chapter Hunt"),CHOOSE(ArtifactsInput!$N$27+1,20,24,28,32,36,40),0)/100)))+1)),0)</f>
        <v>2</v>
      </c>
      <c r="S2720">
        <f>IF(C2720,(H2720*N2720*IF(AND(Inputs!$B$38&lt;&gt;"pvp",Inputs!$B$43&gt;0),((Skills!G10*((R2720-1)*IF(Skills!H10&gt;0,Skills!I10/Skills!H10,1)+IF(Skills!H10&gt;0,MIN(Skills!I10,MAX(0,MAX(0,Inputs!$B$43-B2748)-((R2720-1)*(IF(Inputs!$B$38="pvp",15,MAX(0.1,Skills!E10-IF(TRUE=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235263911938200.94</v>
      </c>
      <c r="U2720">
        <f>IF(C2720,(H2720*N2720*IF(AND(Inputs!$B$38&lt;&gt;"pvp",Inputs!$B$43&gt;0),((Skills!G10*((R2720-1)*IF(Skills!H10&gt;0,Skills!I10/Skills!H10,1)+IF(Skills!H10&gt;0,MIN(Skills!I10,MAX(0,MAX(0,Inputs!$B$43-B2748)-((R2720-1)*(IF(Inputs!$B$38="pvp",15,MAX(0.1,Skills!E10-IF(TRUE=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297605137814569.62</v>
      </c>
    </row>
    <row r="2721" spans="1:21" x14ac:dyDescent="0.2">
      <c r="A2721" t="str">
        <f>Skills!A11</f>
        <v>BURNING_MAGIC</v>
      </c>
      <c r="B2721" t="str">
        <f>Skills!B11</f>
        <v>Burning Magic</v>
      </c>
      <c r="C2721" t="b">
        <f>TRUE</f>
        <v>1</v>
      </c>
      <c r="D2721">
        <f>IF(Skills!C11=1,60+Inputs!$B$25+Inputs!$B$29,IF(Skills!C11=2,90+Inputs!$B$26+Inputs!$B$29,IF(Skills!C11=3,120+Inputs!$B$27+Inputs!$B$29,MAX(0,(Inputs!$B$3-100)*3)+Inputs!$B$28+Inputs!$B$29)))</f>
        <v>184</v>
      </c>
      <c r="E2721">
        <f>INDEX(FactorTable!$B$2:$Y$301, MATCH(ROUND(MIN(300,MAX(1,D2721)),0), FactorTable!$A$2:$A$301,0), Skills!M11+1)</f>
        <v>0</v>
      </c>
      <c r="F2721">
        <f>IF(Skills!N11=TRUE,(Skills!L11/10)*(E2721/1000),Skills!L11/10)+Skills!O11</f>
        <v>5</v>
      </c>
      <c r="G2721">
        <f>Calc!G11</f>
        <v>1</v>
      </c>
      <c r="H2721">
        <f>Calc!H11</f>
        <v>1</v>
      </c>
      <c r="I2721">
        <f>IF(Skills!X11&lt;&gt;"",1+(Skills!X11/10)*(Z2713/1000)/100,1)</f>
        <v>1</v>
      </c>
      <c r="O2721">
        <f>(1-Summary!$B$11)*S2721+Summary!$B$11*U2721</f>
        <v>0</v>
      </c>
      <c r="P2721">
        <f>IF(B2751=0,0,O2721/B2751)</f>
        <v>0</v>
      </c>
      <c r="Q2721">
        <f>IFERROR(1/(IF(Inputs!$B$38="pvp",15,MAX(0.1,Skills!E11-IF(TRUE=TRUE,Inputs!$B$32,0)))*(1-IF(AND(ArtifactsInput!$M$27,Inputs!$B$4="Chapter Hunt"),CHOOSE(ArtifactsInput!$N$27+1,20,24,28,32,36,40),0)/100)),0)</f>
        <v>10</v>
      </c>
      <c r="R2721">
        <v>0</v>
      </c>
      <c r="S2721">
        <v>0</v>
      </c>
      <c r="U2721">
        <v>0</v>
      </c>
    </row>
    <row r="2722" spans="1:21" x14ac:dyDescent="0.2">
      <c r="A2722" t="str">
        <f>Skills!A12</f>
        <v>ELEMENTAL_DECREASE</v>
      </c>
      <c r="B2722" t="str">
        <f>Skills!B12</f>
        <v>Elemental Decrease</v>
      </c>
      <c r="C2722" t="b">
        <f>TRUE</f>
        <v>1</v>
      </c>
      <c r="D2722">
        <f>IF(Skills!C12=1,60+Inputs!$B$25+Inputs!$B$29,IF(Skills!C12=2,90+Inputs!$B$26+Inputs!$B$29,IF(Skills!C12=3,120+Inputs!$B$27+Inputs!$B$29,MAX(0,(Inputs!$B$3-100)*3)+Inputs!$B$28+Inputs!$B$29)))</f>
        <v>184</v>
      </c>
      <c r="E2722">
        <f>INDEX(FactorTable!$B$2:$Y$301, MATCH(ROUND(MIN(300,MAX(1,D2722)),0), FactorTable!$A$2:$A$301,0), Skills!M12+1)</f>
        <v>1552</v>
      </c>
      <c r="F2722">
        <f>IF(Skills!N12=TRUE,(Skills!L12/10)*(E2722/1000),Skills!L12/10)+Skills!O12</f>
        <v>18.624000000000002</v>
      </c>
      <c r="G2722">
        <f>Calc!G12</f>
        <v>1</v>
      </c>
      <c r="H2722">
        <f>Calc!H12</f>
        <v>0.5</v>
      </c>
      <c r="I2722">
        <f>IF(Skills!X12&lt;&gt;"",1+(Skills!X12/10)*(Z2713/1000)/100,1)</f>
        <v>1</v>
      </c>
      <c r="O2722">
        <f>(1-Summary!$B$11)*S2722+Summary!$B$11*U2722</f>
        <v>0</v>
      </c>
      <c r="P2722">
        <f>IF(B2751=0,0,O2722/B2751)</f>
        <v>0</v>
      </c>
      <c r="Q2722">
        <f>IFERROR(1/(IF(Inputs!$B$38="pvp",15,MAX(0.1,Skills!E12-IF(TRUE=TRUE,Inputs!$B$32,0)))*(1-IF(AND(ArtifactsInput!$M$27,Inputs!$B$4="Chapter Hunt"),CHOOSE(ArtifactsInput!$N$27+1,20,24,28,32,36,40),0)/100)),0)</f>
        <v>10</v>
      </c>
      <c r="R2722">
        <v>0</v>
      </c>
      <c r="S2722">
        <v>0</v>
      </c>
      <c r="U2722">
        <v>0</v>
      </c>
    </row>
    <row r="2723" spans="1:21" x14ac:dyDescent="0.2">
      <c r="A2723" t="str">
        <f>Skills!A13</f>
        <v>METEOR_SHOWER_BURST</v>
      </c>
      <c r="B2723" t="str">
        <f>Skills!B13</f>
        <v>Meteor Shower (burst)</v>
      </c>
      <c r="C2723" t="b">
        <f>Inputs!$B$3&gt;=105</f>
        <v>1</v>
      </c>
      <c r="D2723">
        <f>IF(Skills!C13=1,60+Inputs!$B$25+Inputs!$B$29,IF(Skills!C13=2,90+Inputs!$B$26+Inputs!$B$29,IF(Skills!C13=3,120+Inputs!$B$27+Inputs!$B$29,MAX(0,(Inputs!$B$3-100)*3)+Inputs!$B$28+Inputs!$B$29)))</f>
        <v>185</v>
      </c>
      <c r="E2723">
        <f>INDEX(FactorTable!$B$2:$Y$301, MATCH(ROUND(MIN(300,MAX(1,D2723)),0), FactorTable!$A$2:$A$301,0), Skills!M13+1)</f>
        <v>1925</v>
      </c>
      <c r="F2723">
        <f>IF(Skills!N13=TRUE,(Skills!L13/10)*(E2723/1000),Skills!L13/10)+Skills!O13</f>
        <v>1155</v>
      </c>
      <c r="G2723">
        <f>Calc!G13</f>
        <v>9</v>
      </c>
      <c r="H2723">
        <f>Calc!H13</f>
        <v>1</v>
      </c>
      <c r="I2723">
        <f>IF(Skills!X13&lt;&gt;"",1+(Skills!X13/10)*(Z2713/1000)/100,1)</f>
        <v>1</v>
      </c>
      <c r="J2723">
        <f>((Inputs!$B$6*(1+Inputs!$B$7/100))+(((Inputs!$B$12*(1+Inputs!$B$13/100))-(Inputs!$B$12*(1+Inputs!$B$13/100)))+0.25*(Inputs!$B$14-Inputs!$B$14))*(1+Inputs!$B$7/100))*(F2723/100)</f>
        <v>4171103722.0660505</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17217738030932.449</v>
      </c>
      <c r="L2723">
        <f>K2723*(MIN(Inputs!$B$22+(F2732-Calc!F22),(Inputs!$B$23+(IF(ArtifactsInput!$M$15,CHOOSE(ArtifactsInput!$N$15+1,25,30,35,40,45,50)/100*(Inputs!$B$11-Inputs!$B$11),0))))/100+(Inputs!$B$23+(IF(ArtifactsInput!$M$15,CHOOSE(ArtifactsInput!$N$15+1,25,30,35,40,45,50)/100*(Inputs!$B$11-Inputs!$B$11),0)))/100)/2</f>
        <v>57248978952850.398</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270157931678501</v>
      </c>
      <c r="N2723">
        <f>L2723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270157931678501</v>
      </c>
      <c r="O2723">
        <f>(1-Summary!$B$11)*S2723+Summary!$B$11*U2723</f>
        <v>1473441359374544.5</v>
      </c>
      <c r="P2723">
        <f>IF(B2751=0,0,O2723/B2751)</f>
        <v>5.492225435645022E-2</v>
      </c>
      <c r="Q2723">
        <f>IFERROR(1/(IF(Inputs!$B$38="pvp",15,MAX(0.1,Skills!E13-IF(TRUE=TRUE,Inputs!$B$32,0)))*(1-IF(AND(ArtifactsInput!$M$27,Inputs!$B$4="Chapter Hunt"),CHOOSE(ArtifactsInput!$N$27+1,20,24,28,32,36,40),0)/100)),0)</f>
        <v>3.0303030303030304E-2</v>
      </c>
      <c r="R2723">
        <f>IF(AND(Inputs!$B$38&lt;&gt;"pvp",Inputs!$B$43&gt;0),IF(MAX(0,Inputs!$B$43-B2748)&lt;=0,0,(INT(MAX(0,Inputs!$B$43-B2748)/(IF(Inputs!$B$38="pvp",15,MAX(0.1,Skills!E13-IF(TRUE=TRUE,Inputs!$B$32,0)))*(1-IF(AND(ArtifactsInput!$M$27,Inputs!$B$4="Chapter Hunt"),CHOOSE(ArtifactsInput!$N$27+1,20,24,28,32,36,40),0)/100)))+1)),0)</f>
        <v>2</v>
      </c>
      <c r="S2723">
        <f>IF(C2723,(H2723*N2723*IF(AND(Inputs!$B$38&lt;&gt;"pvp",Inputs!$B$43&gt;0),((Skills!G13*((R2723-1)*IF(Skills!H13&gt;0,Skills!I13/Skills!H13,1)+IF(Skills!H13&gt;0,MIN(Skills!I13,MAX(0,MAX(0,Inputs!$B$43-B2748)-((R2723-1)*(IF(Inputs!$B$38="pvp",15,MAX(0.1,Skills!E13-IF(TRUE=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385380289539381.69</v>
      </c>
      <c r="U2723">
        <f>IF(C2723,(H2723*N2723*IF(AND(Inputs!$B$38&lt;&gt;"pvp",Inputs!$B$43&gt;0),((Skills!G13*((R2723-1)*IF(Skills!H13&gt;0,Skills!I13/Skills!H13,1)+IF(Skills!H13&gt;0,MIN(Skills!I13,MAX(0,MAX(0,Inputs!$B$43-B2748)-((R2723-1)*(IF(Inputs!$B$38="pvp",15,MAX(0.1,Skills!E13-IF(TRUE=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2561502429209707.5</v>
      </c>
    </row>
    <row r="2724" spans="1:21" x14ac:dyDescent="0.2">
      <c r="A2724" t="str">
        <f>Skills!A14</f>
        <v>METEOR_PROC</v>
      </c>
      <c r="B2724" t="str">
        <f>Skills!B14</f>
        <v>Meteor Proc (30% on-hit, 1s ICD)</v>
      </c>
      <c r="C2724" t="b">
        <f>Inputs!$B$3&gt;=113</f>
        <v>1</v>
      </c>
      <c r="D2724">
        <f>IF(Skills!C14=1,60+Inputs!$B$25+Inputs!$B$29,IF(Skills!C14=2,90+Inputs!$B$26+Inputs!$B$29,IF(Skills!C14=3,120+Inputs!$B$27+Inputs!$B$29,MAX(0,(Inputs!$B$3-100)*3)+Inputs!$B$28+Inputs!$B$29)))</f>
        <v>185</v>
      </c>
      <c r="E2724">
        <f>INDEX(FactorTable!$B$2:$Y$301, MATCH(ROUND(MIN(300,MAX(1,D2724)),0), FactorTable!$A$2:$A$301,0), Skills!M14+1)</f>
        <v>1740</v>
      </c>
      <c r="F2724">
        <f>IF(Skills!N14=TRUE,(Skills!L14/10)*(E2724/1000),Skills!L14/10)+Skills!O14</f>
        <v>1653</v>
      </c>
      <c r="G2724">
        <f>Calc!G14</f>
        <v>0</v>
      </c>
      <c r="H2724">
        <f>Calc!H14</f>
        <v>0.30000000000000004</v>
      </c>
      <c r="I2724">
        <f>IF(Skills!X14&lt;&gt;"",1+(Skills!X14/10)*(Z2713/1000)/100,1)</f>
        <v>1</v>
      </c>
      <c r="J2724">
        <f>((Inputs!$B$6*(1+Inputs!$B$7/100))+(((Inputs!$B$12*(1+Inputs!$B$13/100))-(Inputs!$B$12*(1+Inputs!$B$13/100)))+0.25*(Inputs!$B$14-Inputs!$B$14))*(1+Inputs!$B$7/100))*(F2724/100)</f>
        <v>5969553638.5932312</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24641490013100.719</v>
      </c>
      <c r="L2724">
        <f>K2724*(MIN(Inputs!$B$22+(F2732-Calc!F22),(Inputs!$B$23+(IF(ArtifactsInput!$M$15,CHOOSE(ArtifactsInput!$N$15+1,25,30,35,40,45,50)/100*(Inputs!$B$11-Inputs!$B$11),0))))/100+(Inputs!$B$23+(IF(ArtifactsInput!$M$15,CHOOSE(ArtifactsInput!$N$15+1,25,30,35,40,45,50)/100*(Inputs!$B$11-Inputs!$B$11),0)))/100)/2</f>
        <v>81932954293559.891</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386641611311309.06</v>
      </c>
      <c r="N2724">
        <f>L2724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386641611311309.06</v>
      </c>
      <c r="O2724">
        <f>(1-Summary!$B$11)*S2724+Summary!$B$11*U2724</f>
        <v>378927600155072.88</v>
      </c>
      <c r="P2724">
        <f>IF(B2751=0,0,O2724/B2751)</f>
        <v>1.412445626423192E-2</v>
      </c>
      <c r="Q2724">
        <f>IFERROR(1/(IF(Inputs!$B$38="pvp",15,MAX(0.1,Skills!E14-IF(TRUE=TRUE,Inputs!$B$32,0)))*(1-IF(AND(ArtifactsInput!$M$27,Inputs!$B$4="Chapter Hunt"),CHOOSE(ArtifactsInput!$N$27+1,20,24,28,32,36,40),0)/100)),0)</f>
        <v>10</v>
      </c>
      <c r="R2724">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388738023460058.56</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369117176850087.12</v>
      </c>
    </row>
    <row r="2725" spans="1:21" x14ac:dyDescent="0.2">
      <c r="A2725" t="str">
        <f>Skills!A15</f>
        <v>FLAME_HAZE_BURST</v>
      </c>
      <c r="B2725" t="str">
        <f>Skills!B15</f>
        <v>Flame Haze (burst)</v>
      </c>
      <c r="C2725" t="b">
        <f>Inputs!$B$3&gt;=107</f>
        <v>1</v>
      </c>
      <c r="D2725">
        <f>IF(Skills!C15=1,60+Inputs!$B$25+Inputs!$B$29,IF(Skills!C15=2,90+Inputs!$B$26+Inputs!$B$29,IF(Skills!C15=3,120+Inputs!$B$27+Inputs!$B$29,MAX(0,(Inputs!$B$3-100)*3)+Inputs!$B$28+Inputs!$B$29)))</f>
        <v>185</v>
      </c>
      <c r="E2725">
        <f>INDEX(FactorTable!$B$2:$Y$301, MATCH(ROUND(MIN(300,MAX(1,D2725)),0), FactorTable!$A$2:$A$301,0), Skills!M15+1)</f>
        <v>1925</v>
      </c>
      <c r="F2725">
        <f>IF(Skills!N15=TRUE,(Skills!L15/10)*(E2725/1000),Skills!L15/10)+Skills!O15</f>
        <v>2310</v>
      </c>
      <c r="G2725">
        <f>Calc!G15</f>
        <v>3</v>
      </c>
      <c r="H2725">
        <f>Calc!H15</f>
        <v>1</v>
      </c>
      <c r="I2725">
        <f>IF(Skills!X15&lt;&gt;"",1+(Skills!X15/10)*(Z2713/1000)/100,1)</f>
        <v>1</v>
      </c>
      <c r="J2725">
        <f>((Inputs!$B$6*(1+Inputs!$B$7/100))+(((Inputs!$B$12*(1+Inputs!$B$13/100))-(Inputs!$B$12*(1+Inputs!$B$13/100)))+0.25*(Inputs!$B$14-Inputs!$B$14))*(1+Inputs!$B$7/100))*(F2725/100)</f>
        <v>8342207444.1321011</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34435476061864.898</v>
      </c>
      <c r="L2725">
        <f>K2725*(MIN(Inputs!$B$22+(F2732-Calc!F22),(Inputs!$B$23+(IF(ArtifactsInput!$M$15,CHOOSE(ArtifactsInput!$N$15+1,25,30,35,40,45,50)/100*(Inputs!$B$11-Inputs!$B$11),0))))/100+(Inputs!$B$23+(IF(ArtifactsInput!$M$15,CHOOSE(ArtifactsInput!$N$15+1,25,30,35,40,45,50)/100*(Inputs!$B$11-Inputs!$B$11),0)))/100)/2</f>
        <v>114497957905700.8</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540315863357002</v>
      </c>
      <c r="N2725">
        <f>L2725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540315863357002</v>
      </c>
      <c r="O2725">
        <f>(1-Summary!$B$11)*S2725+Summary!$B$11*U2725</f>
        <v>1348223158041559.2</v>
      </c>
      <c r="P2725">
        <f>IF(B2751=0,0,O2725/B2751)</f>
        <v>5.0254769043979616E-2</v>
      </c>
      <c r="Q2725">
        <f>IFERROR(1/(IF(Inputs!$B$38="pvp",15,MAX(0.1,Skills!E15-IF(TRUE=TRUE,Inputs!$B$32,0)))*(1-IF(AND(ArtifactsInput!$M$27,Inputs!$B$4="Chapter Hunt"),CHOOSE(ArtifactsInput!$N$27+1,20,24,28,32,36,40),0)/100)),0)</f>
        <v>0.04</v>
      </c>
      <c r="R2725">
        <f>IF(AND(Inputs!$B$38&lt;&gt;"pvp",Inputs!$B$43&gt;0),IF(MAX(0,Inputs!$B$43-B2748)&lt;=0,0,(INT(MAX(0,Inputs!$B$43-B2748)/(IF(Inputs!$B$38="pvp",15,MAX(0.1,Skills!E15-IF(TRUE=TRUE,Inputs!$B$32,0)))*(1-IF(AND(ArtifactsInput!$M$27,Inputs!$B$4="Chapter Hunt"),CHOOSE(ArtifactsInput!$N$27+1,20,24,28,32,36,40),0)/100)))+1)),0)</f>
        <v>2</v>
      </c>
      <c r="S2725">
        <f>IF(C2725,(H2725*N2725*IF(AND(Inputs!$B$38&lt;&gt;"pvp",Inputs!$B$43&gt;0),((Skills!G15*((R2725-1)*IF(Skills!H15&gt;0,Skills!I15/Skills!H15,1)+IF(Skills!H15&gt;0,MIN(Skills!I15,MAX(0,MAX(0,Inputs!$B$43-B2748)-((R2725-1)*(IF(Inputs!$B$38="pvp",15,MAX(0.1,Skills!E15-IF(TRUE=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256920193026254.44</v>
      </c>
      <c r="U2725">
        <f>IF(C2725,(H2725*N2725*IF(AND(Inputs!$B$38&lt;&gt;"pvp",Inputs!$B$43&gt;0),((Skills!G15*((R2725-1)*IF(Skills!H15&gt;0,Skills!I15/Skills!H15,1)+IF(Skills!H15&gt;0,MIN(Skills!I15,MAX(0,MAX(0,Inputs!$B$43-B2748)-((R2725-1)*(IF(Inputs!$B$38="pvp",15,MAX(0.1,Skills!E15-IF(TRUE=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2439526123056864</v>
      </c>
    </row>
    <row r="2726" spans="1:21" x14ac:dyDescent="0.2">
      <c r="A2726" t="str">
        <f>Skills!A16</f>
        <v>FLAME_HAZE_DOT</v>
      </c>
      <c r="B2726" t="str">
        <f>Skills!B16</f>
        <v>Flame Haze (burn DoT)</v>
      </c>
      <c r="C2726" t="b">
        <f>Inputs!$B$3&gt;=107</f>
        <v>1</v>
      </c>
      <c r="D2726">
        <f>IF(Skills!C16=1,60+Inputs!$B$25+Inputs!$B$29,IF(Skills!C16=2,90+Inputs!$B$26+Inputs!$B$29,IF(Skills!C16=3,120+Inputs!$B$27+Inputs!$B$29,MAX(0,(Inputs!$B$3-100)*3)+Inputs!$B$28+Inputs!$B$29)))</f>
        <v>185</v>
      </c>
      <c r="E2726">
        <f>INDEX(FactorTable!$B$2:$Y$301, MATCH(ROUND(MIN(300,MAX(1,D2726)),0), FactorTable!$A$2:$A$301,0), Skills!M16+1)</f>
        <v>1925</v>
      </c>
      <c r="F2726">
        <f>IF(Skills!N16=TRUE,(Skills!L16/10)*(E2726/1000),Skills!L16/10)+Skills!O16</f>
        <v>288.75</v>
      </c>
      <c r="G2726">
        <f>Calc!G16</f>
        <v>30</v>
      </c>
      <c r="H2726">
        <f>Calc!H16</f>
        <v>1</v>
      </c>
      <c r="I2726">
        <f>IF(Skills!X16&lt;&gt;"",1+(Skills!X16/10)*(Z2713/1000)/100,1)</f>
        <v>1</v>
      </c>
      <c r="J2726">
        <f>((Inputs!$B$6*(1+Inputs!$B$7/100))+(((Inputs!$B$12*(1+Inputs!$B$13/100))-(Inputs!$B$12*(1+Inputs!$B$13/100)))+0.25*(Inputs!$B$14-Inputs!$B$14))*(1+Inputs!$B$7/100))*(F2726/100)</f>
        <v>1042775930.5165126</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4304434507733.1123</v>
      </c>
      <c r="L2726">
        <f>K2726*(MIN(Inputs!$B$22+(F2732-Calc!F22),(Inputs!$B$23+(IF(ArtifactsInput!$M$15,CHOOSE(ArtifactsInput!$N$15+1,25,30,35,40,45,50)/100*(Inputs!$B$11-Inputs!$B$11),0))))/100+(Inputs!$B$23+(IF(ArtifactsInput!$M$15,CHOOSE(ArtifactsInput!$N$15+1,25,30,35,40,45,50)/100*(Inputs!$B$11-Inputs!$B$11),0)))/100)/2</f>
        <v>14312244738212.6</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67539482919625.25</v>
      </c>
      <c r="N2726">
        <f>L2726*(1-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67539482919625.25</v>
      </c>
      <c r="O2726">
        <f>(1-Summary!$B$11)*S2726+Summary!$B$11*U2726</f>
        <v>1552967574144418.8</v>
      </c>
      <c r="P2726">
        <f>IF(B2751=0,0,O2726/B2751)</f>
        <v>5.7886579314350671E-2</v>
      </c>
      <c r="Q2726">
        <f>IFERROR(1/(IF(Inputs!$B$38="pvp",15,MAX(0.1,Skills!E16-IF(TRUE=TRUE,Inputs!$B$32,0)))*(1-IF(AND(ArtifactsInput!$M$27,Inputs!$B$4="Chapter Hunt"),CHOOSE(ArtifactsInput!$N$27+1,20,24,28,32,36,40),0)/100)),0)</f>
        <v>0.04</v>
      </c>
      <c r="R2726">
        <f>IF(AND(Inputs!$B$38&lt;&gt;"pvp",Inputs!$B$43&gt;0),IF(MAX(0,Inputs!$B$43-B2748)&lt;=0,0,(INT(MAX(0,Inputs!$B$43-B2748)/(IF(Inputs!$B$38="pvp",15,MAX(0.1,Skills!E16-IF(TRUE=TRUE,Inputs!$B$32,0)))*(1-IF(AND(ArtifactsInput!$M$27,Inputs!$B$4="Chapter Hunt"),CHOOSE(ArtifactsInput!$N$27+1,20,24,28,32,36,40),0)/100)))+1)),0)</f>
        <v>2</v>
      </c>
      <c r="S2726">
        <f>IF(C2726,(H2726*N2726*IF(AND(Inputs!$B$38&lt;&gt;"pvp",Inputs!$B$43&gt;0),((Skills!G16*((R2726-1)*IF(Skills!H16&gt;0,Skills!I16/Skills!H16,1)+IF(Skills!H16&gt;0,MIN(Skills!I16,MAX(0,MAX(0,Inputs!$B$43-B2748)-((R2726-1)*(IF(Inputs!$B$38="pvp",15,MAX(0.1,Skills!E16-IF(TRUE=TRUE,Inputs!$B$32,0)))*(1-IF(AND(ArtifactsInput!$M$27,Inputs!$B$4="Chapter Hunt"),CHOOSE(ArtifactsInput!$N$27+1,20,24,28,32,36,40),0)/100)))))/Skills!H16,1)))/Inputs!$B$43),G2726*Q2726)*(1+IF(Inputs!$B$3&gt;=126,0.05*(B2746+Q2723+(H2724*B2747)/(1+Skills!H14*H2724*B2747)+Q2734),0)*(1/Q2725)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295936712355744.38</v>
      </c>
      <c r="U2726">
        <f>IF(C2726,(H2726*N2726*IF(AND(Inputs!$B$38&lt;&gt;"pvp",Inputs!$B$43&gt;0),((Skills!G16*((R2726-1)*IF(Skills!H16&gt;0,Skills!I16/Skills!H16,1)+IF(Skills!H16&gt;0,MIN(Skills!I16,MAX(0,MAX(0,Inputs!$B$43-B2748)-((R2726-1)*(IF(Inputs!$B$38="pvp",15,MAX(0.1,Skills!E16-IF(TRUE=TRUE,Inputs!$B$32,0)))*(1-IF(AND(ArtifactsInput!$M$27,Inputs!$B$4="Chapter Hunt"),CHOOSE(ArtifactsInput!$N$27+1,20,24,28,32,36,40),0)/100)))))/Skills!H16,1)))/Inputs!$B$43),G2726*Q2726)*(1+IF(Inputs!$B$3&gt;=126,0.05*(B2746+Q2723+(H2724*B2747)/(1+Skills!H14*H2724*B2747)+Q2734),0)*(1/Q2725)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2809998435933093</v>
      </c>
    </row>
    <row r="2727" spans="1:21" x14ac:dyDescent="0.2">
      <c r="A2727" t="str">
        <f>Skills!A17</f>
        <v>MAGIC_GUARD</v>
      </c>
      <c r="B2727" t="str">
        <f>Skills!B17</f>
        <v>Magic Guard</v>
      </c>
      <c r="C2727" t="b">
        <f>TRUE</f>
        <v>1</v>
      </c>
      <c r="D2727">
        <f>IF(Skills!C17=1,60+Inputs!$B$25+Inputs!$B$29,IF(Skills!C17=2,90+Inputs!$B$26+Inputs!$B$29,IF(Skills!C17=3,120+Inputs!$B$27+Inputs!$B$29,MAX(0,(Inputs!$B$3-100)*3)+Inputs!$B$28+Inputs!$B$29)))</f>
        <v>127</v>
      </c>
      <c r="E2727">
        <f>INDEX(FactorTable!$B$2:$Y$301, MATCH(ROUND(MIN(300,MAX(1,D2727)),0), FactorTable!$A$2:$A$301,0), Skills!M17+1)</f>
        <v>1508</v>
      </c>
      <c r="F2727">
        <f>IF(Skills!N17=TRUE,(Skills!L17/10)*(E2727/1000),Skills!L17/10)+Skills!O17</f>
        <v>18.096</v>
      </c>
      <c r="G2727">
        <f>Calc!G17</f>
        <v>1</v>
      </c>
      <c r="H2727">
        <f>Calc!H17</f>
        <v>1</v>
      </c>
      <c r="I2727">
        <f>IF(Skills!X17&lt;&gt;"",1+(Skills!X17/10)*(Z2713/1000)/100,1)</f>
        <v>1</v>
      </c>
      <c r="O2727">
        <f>(1-Summary!$B$11)*S2727+Summary!$B$11*U2727</f>
        <v>0</v>
      </c>
      <c r="P2727">
        <f>IF(B2751=0,0,O2727/B2751)</f>
        <v>0</v>
      </c>
      <c r="Q2727">
        <f>IFERROR(1/(IF(Inputs!$B$38="pvp",15,MAX(0.1,Skills!E17-IF(TRUE=TRUE,Inputs!$B$32,0)))*(1-IF(AND(ArtifactsInput!$M$27,Inputs!$B$4="Chapter Hunt"),CHOOSE(ArtifactsInput!$N$27+1,20,24,28,32,36,40),0)/100)),0)</f>
        <v>4.7619047619047616E-2</v>
      </c>
      <c r="R2727">
        <f>IF(AND(Inputs!$B$38&lt;&gt;"pvp",Inputs!$B$43&gt;0),IF(Inputs!$B$43&lt;=0,0,(INT(Inputs!$B$43/(IF(Inputs!$B$38="pvp",15,MAX(0.1,Skills!E17-IF(TRUE=TRUE,Inputs!$B$32,0)))*(1-IF(AND(ArtifactsInput!$M$27,Inputs!$B$4="Chapter Hunt"),CHOOSE(ArtifactsInput!$N$27+1,20,24,28,32,36,40),0)/100)))+1)),0)</f>
        <v>2</v>
      </c>
      <c r="S2727">
        <v>0</v>
      </c>
      <c r="U2727">
        <v>0</v>
      </c>
    </row>
    <row r="2728" spans="1:21" x14ac:dyDescent="0.2">
      <c r="A2728" t="str">
        <f>Skills!A18</f>
        <v>NIMBLE_FEET</v>
      </c>
      <c r="B2728" t="str">
        <f>Skills!B18</f>
        <v>Nimble Feet</v>
      </c>
      <c r="C2728" t="b">
        <f>TRUE</f>
        <v>1</v>
      </c>
      <c r="D2728">
        <f>IF(Skills!C18=1,60+Inputs!$B$25+Inputs!$B$29,IF(Skills!C18=2,90+Inputs!$B$26+Inputs!$B$29,IF(Skills!C18=3,120+Inputs!$B$27+Inputs!$B$29,MAX(0,(Inputs!$B$3-100)*3)+Inputs!$B$28+Inputs!$B$29)))</f>
        <v>127</v>
      </c>
      <c r="E2728">
        <f>INDEX(FactorTable!$B$2:$Y$301, MATCH(ROUND(MIN(300,MAX(1,D2728)),0), FactorTable!$A$2:$A$301,0), Skills!M18+1)</f>
        <v>0</v>
      </c>
      <c r="F2728">
        <f>IF(Skills!N18=TRUE,(Skills!L18/10)*(E2728/1000),Skills!L18/10)+Skills!O18</f>
        <v>15</v>
      </c>
      <c r="G2728">
        <f>Calc!G18</f>
        <v>1</v>
      </c>
      <c r="H2728">
        <f>Calc!H18</f>
        <v>1</v>
      </c>
      <c r="I2728">
        <f>IF(Skills!X18&lt;&gt;"",1+(Skills!X18/10)*(Z2713/1000)/100,1)</f>
        <v>1</v>
      </c>
      <c r="O2728">
        <f>(1-Summary!$B$11)*S2728+Summary!$B$11*U2728</f>
        <v>0</v>
      </c>
      <c r="P2728">
        <f>IF(B2751=0,0,O2728/B2751)</f>
        <v>0</v>
      </c>
      <c r="Q2728">
        <f>IFERROR(1/(IF(Inputs!$B$38="pvp",15,MAX(0.1,Skills!E18-IF(TRUE=TRUE,Inputs!$B$32,0)))*(1-IF(AND(ArtifactsInput!$M$27,Inputs!$B$4="Chapter Hunt"),CHOOSE(ArtifactsInput!$N$27+1,20,24,28,32,36,40),0)/100)),0)</f>
        <v>1.6666666666666666E-2</v>
      </c>
      <c r="R2728">
        <f>IF(AND(Inputs!$B$38&lt;&gt;"pvp",Inputs!$B$43&gt;0),IF(Inputs!$B$43&lt;=0,0,(INT(Inputs!$B$43/(IF(Inputs!$B$38="pvp",15,MAX(0.1,Skills!E18-IF(TRUE=TRUE,Inputs!$B$32,0)))*(1-IF(AND(ArtifactsInput!$M$27,Inputs!$B$4="Chapter Hunt"),CHOOSE(ArtifactsInput!$N$27+1,20,24,28,32,36,40),0)/100)))+1)),0)</f>
        <v>1</v>
      </c>
      <c r="S2728">
        <v>0</v>
      </c>
      <c r="U2728">
        <v>0</v>
      </c>
    </row>
    <row r="2729" spans="1:21" x14ac:dyDescent="0.2">
      <c r="A2729" t="str">
        <f>Skills!A19</f>
        <v>INFINITY</v>
      </c>
      <c r="B2729" t="str">
        <f>Skills!B19</f>
        <v>Infinity</v>
      </c>
      <c r="C2729" t="b">
        <f>Inputs!$B$3&gt;=110</f>
        <v>1</v>
      </c>
      <c r="D2729">
        <f>IF(Skills!C19=1,60+Inputs!$B$25+Inputs!$B$29,IF(Skills!C19=2,90+Inputs!$B$26+Inputs!$B$29,IF(Skills!C19=3,120+Inputs!$B$27+Inputs!$B$29,MAX(0,(Inputs!$B$3-100)*3)+Inputs!$B$28+Inputs!$B$29)))</f>
        <v>185</v>
      </c>
      <c r="E2729">
        <f>INDEX(FactorTable!$B$2:$Y$301, MATCH(ROUND(MIN(300,MAX(1,D2729)),0), FactorTable!$A$2:$A$301,0), Skills!M19+1)</f>
        <v>1740</v>
      </c>
      <c r="F2729">
        <f>IF(Skills!N19=TRUE,(Skills!L19/10)*(E2729/1000),Skills!L19/10)+Skills!O19</f>
        <v>37.700579999999995</v>
      </c>
      <c r="G2729">
        <f>Calc!G19</f>
        <v>1</v>
      </c>
      <c r="H2729">
        <f>Calc!H19</f>
        <v>1</v>
      </c>
      <c r="I2729">
        <f>IF(Skills!X19&lt;&gt;"",1+(Skills!X19/10)*(Z2713/1000)/100,1)</f>
        <v>1</v>
      </c>
      <c r="O2729">
        <f>(1-Summary!$B$11)*S2729+Summary!$B$11*U2729</f>
        <v>0</v>
      </c>
      <c r="P2729">
        <f>IF(B2751=0,0,O2729/B2751)</f>
        <v>0</v>
      </c>
      <c r="Q2729">
        <f>IFERROR(1/(IF(Inputs!$B$38="pvp",15,MAX(0.1,Skills!E19-IF(TRUE=TRUE,Inputs!$B$32,0)))*(1-IF(AND(ArtifactsInput!$M$27,Inputs!$B$4="Chapter Hunt"),CHOOSE(ArtifactsInput!$N$27+1,20,24,28,32,36,40),0)/100)),0)</f>
        <v>3.3333333333333333E-2</v>
      </c>
      <c r="R2729">
        <f>IF(AND(Inputs!$B$38&lt;&gt;"pvp",Inputs!$B$43&gt;0),IF(Inputs!$B$43&lt;=0,0,(INT(Inputs!$B$43/(IF(Inputs!$B$38="pvp",15,MAX(0.1,Skills!E19-IF(TRUE=TRUE,Inputs!$B$32,0)))*(1-IF(AND(ArtifactsInput!$M$27,Inputs!$B$4="Chapter Hunt"),CHOOSE(ArtifactsInput!$N$27+1,20,24,28,32,36,40),0)/100)))+1)),0)</f>
        <v>2</v>
      </c>
      <c r="S2729">
        <v>0</v>
      </c>
      <c r="U2729">
        <v>0</v>
      </c>
    </row>
    <row r="2730" spans="1:21" x14ac:dyDescent="0.2">
      <c r="A2730" t="str">
        <f>Skills!A20</f>
        <v>MAGIC_CRITICAL_RATE</v>
      </c>
      <c r="B2730" t="str">
        <f>Skills!B20</f>
        <v>Magic Critical (Crit Rate)</v>
      </c>
      <c r="C2730" t="b">
        <f>TRUE</f>
        <v>1</v>
      </c>
      <c r="D2730">
        <f>IF(Skills!C20=1,60+Inputs!$B$25+Inputs!$B$29,IF(Skills!C20=2,90+Inputs!$B$26+Inputs!$B$29,IF(Skills!C20=3,120+Inputs!$B$27+Inputs!$B$29,MAX(0,(Inputs!$B$3-100)*3)+Inputs!$B$28+Inputs!$B$29)))</f>
        <v>184</v>
      </c>
      <c r="E2730">
        <f>INDEX(FactorTable!$B$2:$Y$301, MATCH(ROUND(MIN(300,MAX(1,D2730)),0), FactorTable!$A$2:$A$301,0), Skills!M20+1)</f>
        <v>1552</v>
      </c>
      <c r="F2730">
        <f>IF(Skills!N20=TRUE,(Skills!L20/10)*(E2730/1000),Skills!L20/10)+Skills!O20</f>
        <v>12.416</v>
      </c>
      <c r="G2730">
        <f>Calc!G20</f>
        <v>1</v>
      </c>
      <c r="H2730">
        <f>Calc!H20</f>
        <v>1</v>
      </c>
      <c r="I2730">
        <f>IF(Skills!X20&lt;&gt;"",1+(Skills!X20/10)*(Z2713/1000)/100,1)</f>
        <v>1</v>
      </c>
      <c r="O2730">
        <f>(1-Summary!$B$11)*S2730+Summary!$B$11*U2730</f>
        <v>0</v>
      </c>
      <c r="P2730">
        <f>IF(B2751=0,0,O2730/B2751)</f>
        <v>0</v>
      </c>
      <c r="Q2730">
        <f>IFERROR(1/(IF(Inputs!$B$38="pvp",15,MAX(0.1,Skills!E20-IF(TRUE=TRUE,Inputs!$B$32,0)))*(1-IF(AND(ArtifactsInput!$M$27,Inputs!$B$4="Chapter Hunt"),CHOOSE(ArtifactsInput!$N$27+1,20,24,28,32,36,40),0)/100)),0)</f>
        <v>10</v>
      </c>
      <c r="R2730">
        <v>0</v>
      </c>
      <c r="S2730">
        <v>0</v>
      </c>
      <c r="U2730">
        <v>0</v>
      </c>
    </row>
    <row r="2731" spans="1:21" x14ac:dyDescent="0.2">
      <c r="A2731" t="str">
        <f>Skills!A21</f>
        <v>MAGIC_CRITICAL_DAMAGE</v>
      </c>
      <c r="B2731" t="str">
        <f>Skills!B21</f>
        <v>Magic Critical (Crit Damage)</v>
      </c>
      <c r="C2731" t="b">
        <f>TRUE</f>
        <v>1</v>
      </c>
      <c r="D2731">
        <f>IF(Skills!C21=1,60+Inputs!$B$25+Inputs!$B$29,IF(Skills!C21=2,90+Inputs!$B$26+Inputs!$B$29,IF(Skills!C21=3,120+Inputs!$B$27+Inputs!$B$29,MAX(0,(Inputs!$B$3-100)*3)+Inputs!$B$28+Inputs!$B$29)))</f>
        <v>184</v>
      </c>
      <c r="E2731">
        <f>INDEX(FactorTable!$B$2:$Y$301, MATCH(ROUND(MIN(300,MAX(1,D2731)),0), FactorTable!$A$2:$A$301,0), Skills!M21+1)</f>
        <v>1552</v>
      </c>
      <c r="F2731">
        <f>IF(Skills!N21=TRUE,(Skills!L21/10)*(E2731/1000),Skills!L21/10)+Skills!O21</f>
        <v>18.624000000000002</v>
      </c>
      <c r="G2731">
        <f>Calc!G21</f>
        <v>1</v>
      </c>
      <c r="H2731">
        <f>Calc!H21</f>
        <v>1</v>
      </c>
      <c r="I2731">
        <f>IF(Skills!X21&lt;&gt;"",1+(Skills!X21/10)*(Z2713/1000)/100,1)</f>
        <v>1</v>
      </c>
      <c r="O2731">
        <f>(1-Summary!$B$11)*S2731+Summary!$B$11*U2731</f>
        <v>0</v>
      </c>
      <c r="P2731">
        <f>IF(B2751=0,0,O2731/B2751)</f>
        <v>0</v>
      </c>
      <c r="Q2731">
        <f>IFERROR(1/(IF(Inputs!$B$38="pvp",15,MAX(0.1,Skills!E21-IF(TRUE=TRUE,Inputs!$B$32,0)))*(1-IF(AND(ArtifactsInput!$M$27,Inputs!$B$4="Chapter Hunt"),CHOOSE(ArtifactsInput!$N$27+1,20,24,28,32,36,40),0)/100)),0)</f>
        <v>10</v>
      </c>
      <c r="R2731">
        <v>0</v>
      </c>
      <c r="S2731">
        <v>0</v>
      </c>
      <c r="U2731">
        <v>0</v>
      </c>
    </row>
    <row r="2732" spans="1:21" x14ac:dyDescent="0.2">
      <c r="A2732" t="str">
        <f>Skills!A22</f>
        <v>SPELL_MASTERY</v>
      </c>
      <c r="B2732" t="str">
        <f>Skills!B22</f>
        <v>Spell Mastery</v>
      </c>
      <c r="C2732" t="b">
        <f>TRUE</f>
        <v>1</v>
      </c>
      <c r="D2732">
        <f>IF(Skills!C22=1,60+Inputs!$B$25+Inputs!$B$29,IF(Skills!C22=2,90+Inputs!$B$26+Inputs!$B$29,IF(Skills!C22=3,120+Inputs!$B$27+Inputs!$B$29,MAX(0,(Inputs!$B$3-100)*3)+Inputs!$B$28+Inputs!$B$29)))</f>
        <v>168</v>
      </c>
      <c r="E2732">
        <f>INDEX(FactorTable!$B$2:$Y$301, MATCH(ROUND(MIN(300,MAX(1,D2732)),0), FactorTable!$A$2:$A$301,0), Skills!M22+1)</f>
        <v>1504</v>
      </c>
      <c r="F2732">
        <f>IF(Skills!N22=TRUE,(Skills!L22/10)*(E2732/1000),Skills!L22/10)+Skills!O22</f>
        <v>22.56</v>
      </c>
      <c r="G2732">
        <f>Calc!G22</f>
        <v>1</v>
      </c>
      <c r="H2732">
        <f>Calc!H22</f>
        <v>1</v>
      </c>
      <c r="I2732">
        <f>IF(Skills!X22&lt;&gt;"",1+(Skills!X22/10)*(Z2713/1000)/100,1)</f>
        <v>1</v>
      </c>
      <c r="O2732">
        <f>(1-Summary!$B$11)*S2732+Summary!$B$11*U2732</f>
        <v>0</v>
      </c>
      <c r="P2732">
        <f>IF(B2751=0,0,O2732/B2751)</f>
        <v>0</v>
      </c>
      <c r="Q2732">
        <f>IFERROR(1/(IF(Inputs!$B$38="pvp",15,MAX(0.1,Skills!E22-IF(TRUE=TRUE,Inputs!$B$32,0)))*(1-IF(AND(ArtifactsInput!$M$27,Inputs!$B$4="Chapter Hunt"),CHOOSE(ArtifactsInput!$N$27+1,20,24,28,32,36,40),0)/100)),0)</f>
        <v>10</v>
      </c>
      <c r="R2732">
        <v>0</v>
      </c>
      <c r="S2732">
        <v>0</v>
      </c>
      <c r="U2732">
        <v>0</v>
      </c>
    </row>
    <row r="2733" spans="1:21" x14ac:dyDescent="0.2">
      <c r="A2733" t="str">
        <f>Skills!A23</f>
        <v>ELEMENT_AMPLIFICATION</v>
      </c>
      <c r="B2733" t="str">
        <f>Skills!B23</f>
        <v>Element Amplification</v>
      </c>
      <c r="C2733" t="b">
        <f>TRUE</f>
        <v>1</v>
      </c>
      <c r="D2733">
        <f>IF(Skills!C23=1,60+Inputs!$B$25+Inputs!$B$29,IF(Skills!C23=2,90+Inputs!$B$26+Inputs!$B$29,IF(Skills!C23=3,120+Inputs!$B$27+Inputs!$B$29,MAX(0,(Inputs!$B$3-100)*3)+Inputs!$B$28+Inputs!$B$29)))</f>
        <v>185</v>
      </c>
      <c r="E2733">
        <f>INDEX(FactorTable!$B$2:$Y$301, MATCH(ROUND(MIN(300,MAX(1,D2733)),0), FactorTable!$A$2:$A$301,0), Skills!M23+1)</f>
        <v>1555</v>
      </c>
      <c r="F2733">
        <f>IF(Skills!N23=TRUE,(Skills!L23/10)*(E2733/1000),Skills!L23/10)+Skills!O23</f>
        <v>23.324999999999999</v>
      </c>
      <c r="G2733">
        <f>Calc!G23</f>
        <v>1</v>
      </c>
      <c r="H2733">
        <f>Calc!H23</f>
        <v>1</v>
      </c>
      <c r="I2733">
        <f>IF(Skills!X23&lt;&gt;"",1+(Skills!X23/10)*(Z2713/1000)/100,1)</f>
        <v>1</v>
      </c>
      <c r="O2733">
        <f>(1-Summary!$B$11)*S2733+Summary!$B$11*U2733</f>
        <v>0</v>
      </c>
      <c r="P2733">
        <f>IF(B2751=0,0,O2733/B2751)</f>
        <v>0</v>
      </c>
      <c r="Q2733">
        <f>IFERROR(1/(IF(Inputs!$B$38="pvp",15,MAX(0.1,Skills!E23-IF(TRUE=TRUE,Inputs!$B$32,0)))*(1-IF(AND(ArtifactsInput!$M$27,Inputs!$B$4="Chapter Hunt"),CHOOSE(ArtifactsInput!$N$27+1,20,24,28,32,36,40),0)/100)),0)</f>
        <v>10</v>
      </c>
      <c r="R2733">
        <v>0</v>
      </c>
      <c r="S2733">
        <v>0</v>
      </c>
      <c r="U2733">
        <v>0</v>
      </c>
    </row>
    <row r="2734" spans="1:21" x14ac:dyDescent="0.2">
      <c r="A2734" t="str">
        <f>Skills!A24</f>
        <v>IFRIT</v>
      </c>
      <c r="B2734" t="str">
        <f>Skills!B24</f>
        <v>Ifrit</v>
      </c>
      <c r="C2734" t="b">
        <f>Inputs!$B$3&gt;=115</f>
        <v>1</v>
      </c>
      <c r="D2734">
        <f>IF(Skills!C24=1,60+Inputs!$B$25+Inputs!$B$29,IF(Skills!C24=2,90+Inputs!$B$26+Inputs!$B$29,IF(Skills!C24=3,120+Inputs!$B$27+Inputs!$B$29,MAX(0,(Inputs!$B$3-100)*3)+Inputs!$B$28+Inputs!$B$29)))</f>
        <v>185</v>
      </c>
      <c r="E2734">
        <f>INDEX(FactorTable!$B$2:$Y$301, MATCH(ROUND(MIN(300,MAX(1,D2734)),0), FactorTable!$A$2:$A$301,0), Skills!M24+1)</f>
        <v>1925</v>
      </c>
      <c r="F2734">
        <f>IF(Skills!N24=TRUE,(Skills!L24/10)*(E2734/1000),Skills!L24/10)+Skills!O24</f>
        <v>6737.5</v>
      </c>
      <c r="G2734">
        <f>Calc!G24</f>
        <v>7.5</v>
      </c>
      <c r="H2734">
        <f>Calc!H24</f>
        <v>1</v>
      </c>
      <c r="I2734">
        <f>IF(Skills!X24&lt;&gt;"",1+(Skills!X24/10)*(Z2713/1000)/100,1)</f>
        <v>1</v>
      </c>
      <c r="J2734">
        <f>((Inputs!$B$6*(1+Inputs!$B$7/100))+(((Inputs!$B$12*(1+Inputs!$B$13/100))-(Inputs!$B$12*(1+Inputs!$B$13/100)))+0.25*(Inputs!$B$14-Inputs!$B$14))*(1+Inputs!$B$7/100))*(F2734/100)</f>
        <v>24331438378.718628</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100436805180439.28</v>
      </c>
      <c r="L2734">
        <f>K2734*(MIN(Inputs!$B$22+(F2732-Calc!F22),(Inputs!$B$23+(IF(ArtifactsInput!$M$15,CHOOSE(ArtifactsInput!$N$15+1,25,30,35,40,45,50)/100*(Inputs!$B$11-Inputs!$B$11),0))))/100+(Inputs!$B$23+(IF(ArtifactsInput!$M$15,CHOOSE(ArtifactsInput!$N$15+1,25,30,35,40,45,50)/100*(Inputs!$B$11-Inputs!$B$11),0)))/100)/2</f>
        <v>333952377224960.62</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1575921268124589</v>
      </c>
      <c r="N2734">
        <f>L2734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1575921268124589</v>
      </c>
      <c r="O2734">
        <f>(1-Summary!$B$11)*S2734+Summary!$B$11*U2734</f>
        <v>1802459950417498.5</v>
      </c>
      <c r="P2734">
        <f>IF(B2751=0,0,O2734/B2751)</f>
        <v>6.7186361529967223E-2</v>
      </c>
      <c r="Q2734">
        <f>IFERROR(1/(IF(Inputs!$B$38="pvp",15,MAX(0.1,Skills!E24-IF(TRUE=TRUE,Inputs!$B$32,0)))*(1-IF(AND(ArtifactsInput!$M$27,Inputs!$B$4="Chapter Hunt"),CHOOSE(ArtifactsInput!$N$27+1,20,24,28,32,36,40),0)/100)),0)</f>
        <v>1.2500000000000001E-2</v>
      </c>
      <c r="R2734">
        <f>IF(AND(Inputs!$B$38&lt;&gt;"pvp",Inputs!$B$43&gt;0),IF(MAX(0,Inputs!$B$43-B2748)&lt;=0,0,(INT(MAX(0,Inputs!$B$43-B2748)/(IF(Inputs!$B$38="pvp",15,MAX(0.1,Skills!E24-IF(TRUE=TRUE,Inputs!$B$32,0)))*(1-IF(AND(ArtifactsInput!$M$27,Inputs!$B$4="Chapter Hunt"),CHOOSE(ArtifactsInput!$N$27+1,20,24,28,32,36,40),0)/100)))+1)),0)</f>
        <v>1</v>
      </c>
      <c r="S2734">
        <f>IF(C2734,(H2734*N2734*IF(AND(Inputs!$B$38&lt;&gt;"pvp",Inputs!$B$43&gt;0),((Skills!G24*((R2734-1)*IF(Skills!H24&gt;0,Skills!I24/Skills!H24,1)+IF(Skills!H24&gt;0,MIN(Skills!I24,MAX(0,MAX(0,Inputs!$B$43-B2748)-((R2734-1)*(IF(Inputs!$B$38="pvp",15,MAX(0.1,Skills!E24-IF(TRUE=TRUE,Inputs!$B$32,0)))*(1-IF(AND(ArtifactsInput!$M$27,Inputs!$B$4="Chapter Hunt"),CHOOSE(ArtifactsInput!$N$27+1,20,24,28,32,36,40),0)/100)))))/Skills!H24,1)))/Inputs!$B$43),G2734*Q2734)*(1+IF(Inputs!$B$3&gt;=130,0.2*(Skills!I16/(1/Q2725)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936688203741552.62</v>
      </c>
      <c r="U2734">
        <f>IF(C2734,(H2734*N2734*IF(AND(Inputs!$B$38&lt;&gt;"pvp",Inputs!$B$43&gt;0),((Skills!G24*((R2734-1)*IF(Skills!H24&gt;0,Skills!I24/Skills!H24,1)+IF(Skills!H24&gt;0,MIN(Skills!I24,MAX(0,MAX(0,Inputs!$B$43-B2748)-((R2734-1)*(IF(Inputs!$B$38="pvp",15,MAX(0.1,Skills!E24-IF(TRUE=TRUE,Inputs!$B$32,0)))*(1-IF(AND(ArtifactsInput!$M$27,Inputs!$B$4="Chapter Hunt"),CHOOSE(ArtifactsInput!$N$27+1,20,24,28,32,36,40),0)/100)))))/Skills!H24,1)))/Inputs!$B$43),G2734*Q2734)*(1+IF(Inputs!$B$3&gt;=130,0.2*(Skills!I16/(1/Q2725)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2668231697093444.5</v>
      </c>
    </row>
    <row r="2735" spans="1:21" x14ac:dyDescent="0.2">
      <c r="A2735" t="str">
        <f>Skills!A25</f>
        <v>BUFF_MASTERY</v>
      </c>
      <c r="B2735" t="str">
        <f>Skills!B25</f>
        <v>Buff Mastery</v>
      </c>
      <c r="C2735" t="b">
        <f>Inputs!$B$3&gt;=117</f>
        <v>1</v>
      </c>
      <c r="D2735">
        <f>IF(Skills!C25=1,60+Inputs!$B$25+Inputs!$B$29,IF(Skills!C25=2,90+Inputs!$B$26+Inputs!$B$29,IF(Skills!C25=3,120+Inputs!$B$27+Inputs!$B$29,MAX(0,(Inputs!$B$3-100)*3)+Inputs!$B$28+Inputs!$B$29)))</f>
        <v>185</v>
      </c>
      <c r="E2735">
        <f>INDEX(FactorTable!$B$2:$Y$301, MATCH(ROUND(MIN(300,MAX(1,D2735)),0), FactorTable!$A$2:$A$301,0), Skills!M25+1)</f>
        <v>1555</v>
      </c>
      <c r="F2735">
        <f>IF(Skills!N25=TRUE,(Skills!L25/10)*(E2735/1000),Skills!L25/10)+Skills!O25</f>
        <v>15.549999999999999</v>
      </c>
      <c r="G2735">
        <f>Calc!G25</f>
        <v>1</v>
      </c>
      <c r="H2735">
        <f>Calc!H25</f>
        <v>1</v>
      </c>
      <c r="I2735">
        <f>IF(Skills!X25&lt;&gt;"",1+(Skills!X25/10)*(Z2713/1000)/100,1)</f>
        <v>1</v>
      </c>
      <c r="O2735">
        <f>(1-Summary!$B$11)*S2735+Summary!$B$11*U2735</f>
        <v>0</v>
      </c>
      <c r="P2735">
        <f>IF(B2751=0,0,O2735/B2751)</f>
        <v>0</v>
      </c>
      <c r="Q2735">
        <f>IFERROR(1/(IF(Inputs!$B$38="pvp",15,MAX(0.1,Skills!E25-IF(TRUE=TRUE,Inputs!$B$32,0)))*(1-IF(AND(ArtifactsInput!$M$27,Inputs!$B$4="Chapter Hunt"),CHOOSE(ArtifactsInput!$N$27+1,20,24,28,32,36,40),0)/100)),0)</f>
        <v>10</v>
      </c>
      <c r="R2735">
        <v>0</v>
      </c>
      <c r="S2735">
        <v>0</v>
      </c>
      <c r="U2735">
        <v>0</v>
      </c>
    </row>
    <row r="2736" spans="1:21" x14ac:dyDescent="0.2">
      <c r="A2736" t="str">
        <f>Skills!A26</f>
        <v>ARCANE_AIM</v>
      </c>
      <c r="B2736" t="str">
        <f>Skills!B26</f>
        <v>Arcane Aim</v>
      </c>
      <c r="C2736" t="b">
        <f>Inputs!$B$3&gt;=120</f>
        <v>0</v>
      </c>
      <c r="D2736">
        <f>IF(Skills!C26=1,60+Inputs!$B$25+Inputs!$B$29,IF(Skills!C26=2,90+Inputs!$B$26+Inputs!$B$29,IF(Skills!C26=3,120+Inputs!$B$27+Inputs!$B$29,MAX(0,(Inputs!$B$3-100)*3)+Inputs!$B$28+Inputs!$B$29)))</f>
        <v>185</v>
      </c>
      <c r="E2736">
        <f>INDEX(FactorTable!$B$2:$Y$301, MATCH(ROUND(MIN(300,MAX(1,D2736)),0), FactorTable!$A$2:$A$301,0), Skills!M26+1)</f>
        <v>1555</v>
      </c>
      <c r="F2736">
        <f>IF(Skills!N26=TRUE,(Skills!L26/10)*(E2736/1000),Skills!L26/10)+Skills!O26</f>
        <v>4.665</v>
      </c>
      <c r="G2736">
        <f>Calc!G26</f>
        <v>1</v>
      </c>
      <c r="H2736">
        <f>Calc!H26</f>
        <v>1</v>
      </c>
      <c r="I2736">
        <f>IF(Skills!X26&lt;&gt;"",1+(Skills!X26/10)*(Z2713/1000)/100,1)</f>
        <v>1</v>
      </c>
      <c r="O2736">
        <f>(1-Summary!$B$11)*S2736+Summary!$B$11*U2736</f>
        <v>0</v>
      </c>
      <c r="P2736">
        <f>IF(B2751=0,0,O2736/B2751)</f>
        <v>0</v>
      </c>
      <c r="Q2736">
        <f>IFERROR(1/(IF(Inputs!$B$38="pvp",15,MAX(0.1,Skills!E26-IF(TRUE=TRUE,Inputs!$B$32,0)))*(1-IF(AND(ArtifactsInput!$M$27,Inputs!$B$4="Chapter Hunt"),CHOOSE(ArtifactsInput!$N$27+1,20,24,28,32,36,40),0)/100)),0)</f>
        <v>10</v>
      </c>
      <c r="R2736">
        <v>0</v>
      </c>
      <c r="S2736">
        <v>0</v>
      </c>
      <c r="U2736">
        <v>0</v>
      </c>
    </row>
    <row r="2737" spans="1:21" x14ac:dyDescent="0.2">
      <c r="A2737" t="str">
        <f>Skills!A27</f>
        <v>FERVENT_DRAIN</v>
      </c>
      <c r="B2737" t="str">
        <f>Skills!B27</f>
        <v>Fervent Drain</v>
      </c>
      <c r="C2737" t="b">
        <f>Inputs!$B$3&gt;=125</f>
        <v>0</v>
      </c>
      <c r="D2737">
        <f>IF(Skills!C27=1,60+Inputs!$B$25+Inputs!$B$29,IF(Skills!C27=2,90+Inputs!$B$26+Inputs!$B$29,IF(Skills!C27=3,120+Inputs!$B$27+Inputs!$B$29,MAX(0,(Inputs!$B$3-100)*3)+Inputs!$B$28+Inputs!$B$29)))</f>
        <v>185</v>
      </c>
      <c r="E2737">
        <f>INDEX(FactorTable!$B$2:$Y$301, MATCH(ROUND(MIN(300,MAX(1,D2737)),0), FactorTable!$A$2:$A$301,0), Skills!M27+1)</f>
        <v>1555</v>
      </c>
      <c r="F2737">
        <f>IF(Skills!N27=TRUE,(Skills!L27/10)*(E2737/1000),Skills!L27/10)+Skills!O27</f>
        <v>6.22</v>
      </c>
      <c r="G2737">
        <f>Calc!G27</f>
        <v>1</v>
      </c>
      <c r="H2737">
        <f>Calc!H27</f>
        <v>1</v>
      </c>
      <c r="I2737">
        <f>IF(Skills!X27&lt;&gt;"",1+(Skills!X27/10)*(Z2713/1000)/100,1)</f>
        <v>1</v>
      </c>
      <c r="O2737">
        <f>(1-Summary!$B$11)*S2737+Summary!$B$11*U2737</f>
        <v>0</v>
      </c>
      <c r="P2737">
        <f>IF(B2751=0,0,O2737/B2751)</f>
        <v>0</v>
      </c>
      <c r="Q2737">
        <f>IFERROR(1/(IF(Inputs!$B$38="pvp",15,MAX(0.1,Skills!E27-IF(TRUE=TRUE,Inputs!$B$32,0)))*(1-IF(AND(ArtifactsInput!$M$27,Inputs!$B$4="Chapter Hunt"),CHOOSE(ArtifactsInput!$N$27+1,20,24,28,32,36,40),0)/100)),0)</f>
        <v>10</v>
      </c>
      <c r="R2737">
        <v>0</v>
      </c>
      <c r="S2737">
        <v>0</v>
      </c>
      <c r="U2737">
        <v>0</v>
      </c>
    </row>
    <row r="2738" spans="1:21" x14ac:dyDescent="0.2">
      <c r="A2738" t="str">
        <f>Skills!A28</f>
        <v>FLAME_HAZE_FOG</v>
      </c>
      <c r="B2738" t="str">
        <f>Skills!B28</f>
        <v>Flame Haze (poison fog DoT)</v>
      </c>
      <c r="C2738" t="b">
        <f>Inputs!$B$3&gt;=118</f>
        <v>0</v>
      </c>
      <c r="D2738">
        <f>IF(Skills!C28=1,60+Inputs!$B$25+Inputs!$B$29,IF(Skills!C28=2,90+Inputs!$B$26+Inputs!$B$29,IF(Skills!C28=3,120+Inputs!$B$27+Inputs!$B$29,MAX(0,(Inputs!$B$3-100)*3)+Inputs!$B$28+Inputs!$B$29)))</f>
        <v>185</v>
      </c>
      <c r="E2738">
        <f>INDEX(FactorTable!$B$2:$Y$301, MATCH(ROUND(MIN(300,MAX(1,D2738)),0), FactorTable!$A$2:$A$301,0), Skills!M28+1)</f>
        <v>1925</v>
      </c>
      <c r="F2738">
        <f>IF(Skills!N28=TRUE,(Skills!L28/10)*(E2738/1000),Skills!L28/10)+Skills!O28</f>
        <v>134.75</v>
      </c>
      <c r="G2738">
        <f>Calc!G28</f>
        <v>50</v>
      </c>
      <c r="H2738">
        <f>Calc!H28</f>
        <v>1</v>
      </c>
      <c r="I2738">
        <f>IF(Skills!X28&lt;&gt;"",1+(Skills!X28/10)*(Z2713/1000)/100,1)</f>
        <v>1</v>
      </c>
      <c r="J2738">
        <f>((Inputs!$B$6*(1+Inputs!$B$7/100))+(((Inputs!$B$12*(1+Inputs!$B$13/100))-(Inputs!$B$12*(1+Inputs!$B$13/100)))+0.25*(Inputs!$B$14-Inputs!$B$14))*(1+Inputs!$B$7/100))*(F2738/100)</f>
        <v>486628767.57437253</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2008736103608.7854</v>
      </c>
      <c r="L2738">
        <f>K2738*(MIN(Inputs!$B$22+(F2732-Calc!F22),(Inputs!$B$23+(IF(ArtifactsInput!$M$15,CHOOSE(ArtifactsInput!$N$15+1,25,30,35,40,45,50)/100*(Inputs!$B$11-Inputs!$B$11),0))))/100+(Inputs!$B$23+(IF(ArtifactsInput!$M$15,CHOOSE(ArtifactsInput!$N$15+1,25,30,35,40,45,50)/100*(Inputs!$B$11-Inputs!$B$11),0)))/100)/2</f>
        <v>6679047544499.2119</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31518425362491.777</v>
      </c>
      <c r="N2738">
        <f>L2738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31518425362491.777</v>
      </c>
      <c r="O2738">
        <f>(1-Summary!$B$11)*S2738+Summary!$B$11*U2738</f>
        <v>0</v>
      </c>
      <c r="P2738">
        <f>IF(B2751=0,0,O2738/B2751)</f>
        <v>0</v>
      </c>
      <c r="Q2738">
        <f>IFERROR(1/(IF(Inputs!$B$38="pvp",15,MAX(0.1,Skills!E28-IF(TRUE=TRUE,Inputs!$B$32,0)))*(1-IF(AND(ArtifactsInput!$M$27,Inputs!$B$4="Chapter Hunt"),CHOOSE(ArtifactsInput!$N$27+1,20,24,28,32,36,40),0)/100)),0)</f>
        <v>0.04</v>
      </c>
      <c r="R2738">
        <f>IF(AND(Inputs!$B$38&lt;&gt;"pvp",Inputs!$B$43&gt;0),IF(MAX(0,Inputs!$B$43-B2748)&lt;=0,0,(INT(MAX(0,Inputs!$B$43-B2748)/(IF(Inputs!$B$38="pvp",15,MAX(0.1,Skills!E28-IF(TRUE=TRUE,Inputs!$B$32,0)))*(1-IF(AND(ArtifactsInput!$M$27,Inputs!$B$4="Chapter Hunt"),CHOOSE(ArtifactsInput!$N$27+1,20,24,28,32,36,40),0)/100)))+1)),0)</f>
        <v>2</v>
      </c>
      <c r="S2738">
        <f>IF(C2738,(H2738*N2738*IF(AND(Inputs!$B$38&lt;&gt;"pvp",Inputs!$B$43&gt;0),((Skills!G28*((R2738-1)*IF(Skills!H28&gt;0,Skills!I28/Skills!H28,1)+IF(Skills!H28&gt;0,MIN(Skills!I28,MAX(0,MAX(0,Inputs!$B$43-B2748)-((R2738-1)*(IF(Inputs!$B$38="pvp",15,MAX(0.1,Skills!E28-IF(TRUE=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38">
        <f>IF(C2738,(H2738*N2738*IF(AND(Inputs!$B$38&lt;&gt;"pvp",Inputs!$B$43&gt;0),((Skills!G28*((R2738-1)*IF(Skills!H28&gt;0,Skills!I28/Skills!H28,1)+IF(Skills!H28&gt;0,MIN(Skills!I28,MAX(0,MAX(0,Inputs!$B$43-B2748)-((R2738-1)*(IF(Inputs!$B$38="pvp",15,MAX(0.1,Skills!E28-IF(TRUE=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40" spans="1:21" x14ac:dyDescent="0.2">
      <c r="A2740" t="s">
        <v>356</v>
      </c>
      <c r="B2740">
        <f>1+(F2721*Skills!Z11)/100</f>
        <v>1.25</v>
      </c>
    </row>
    <row r="2741" spans="1:21" x14ac:dyDescent="0.2">
      <c r="A2741" t="s">
        <v>435</v>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1.18624</v>
      </c>
    </row>
    <row r="2742" spans="1:21" x14ac:dyDescent="0.2">
      <c r="A2742" t="s">
        <v>358</v>
      </c>
      <c r="B2742">
        <f>(1+(F2716*IF(AND(Inputs!$B$38&lt;&gt;"pvp",Inputs!$B$43&gt;0),(((R2716-1)*MIN((Skills!T6*(1+((Inputs!$B$34+(ArtifactsInput!$M$7-ArtifactsInput!$M$7)*CHOOSE(ArtifactsInput!$N$7+1,6,7.2,8.4,9.6,10.8,12)))/100)),(1/Q2716))+MIN((Skills!T6*(1+((Inputs!$B$34+(ArtifactsInput!$M$7-ArtifactsInput!$M$7)*CHOOSE(ArtifactsInput!$N$7+1,6,7.2,8.4,9.6,10.8,12)))/100)),MAX(0,Inputs!$B$43-((R2716-1)*(1/Q2716)))))/Inputs!$B$43),IF(Inputs!$B$38="pvp",MIN((Skills!T6*(1+((Inputs!$B$34+(ArtifactsInput!$M$7-ArtifactsInput!$M$7)*CHOOSE(ArtifactsInput!$N$7+1,6,7.2,8.4,9.6,10.8,12)))/100)),15)/15,MIN(1,(Skills!T6*(1+((Inputs!$B$34+(ArtifactsInput!$M$7-ArtifactsInput!$M$7)*CHOOSE(ArtifactsInput!$N$7+1,6,7.2,8.4,9.6,10.8,12)))/100))/(1/Q2716))))+F2727*IF(AND(Inputs!$B$38&lt;&gt;"pvp",Inputs!$B$43&gt;0),(((R2727-1)*MIN((Skills!T17*(1+((Inputs!$B$34+(ArtifactsInput!$M$7-ArtifactsInput!$M$7)*CHOOSE(ArtifactsInput!$N$7+1,6,7.2,8.4,9.6,10.8,12)))/100)),(1/Q2727))+MIN((Skills!T17*(1+((Inputs!$B$34+(ArtifactsInput!$M$7-ArtifactsInput!$M$7)*CHOOSE(ArtifactsInput!$N$7+1,6,7.2,8.4,9.6,10.8,12)))/100)),MAX(0,Inputs!$B$43-((R2727-1)*(1/Q2727)))))/Inputs!$B$43),IF(Inputs!$B$38="pvp",MIN((Skills!T17*(1+((Inputs!$B$34+(ArtifactsInput!$M$7-ArtifactsInput!$M$7)*CHOOSE(ArtifactsInput!$N$7+1,6,7.2,8.4,9.6,10.8,12)))/100)),15)/15,MIN(1,(Skills!T17*(1+((Inputs!$B$34+(ArtifactsInput!$M$7-ArtifactsInput!$M$7)*CHOOSE(ArtifactsInput!$N$7+1,6,7.2,8.4,9.6,10.8,12)))/100))/(1/Q2727)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MIN((Skills!T19*(1+((Inputs!$B$34+(ArtifactsInput!$M$7-ArtifactsInput!$M$7)*CHOOSE(ArtifactsInput!$N$7+1,6,7.2,8.4,9.6,10.8,12)))/100)),(1/Q2729))+MIN((Skills!T19*(1+((Inputs!$B$34+(ArtifactsInput!$M$7-ArtifactsInput!$M$7)*CHOOSE(ArtifactsInput!$N$7+1,6,7.2,8.4,9.6,10.8,12)))/100)),MAX(0,Inputs!$B$43-((R2729-1)*(1/Q2729)))))/Inputs!$B$43),IF(Inputs!$B$38="pvp",MIN((Skills!T19*(1+((Inputs!$B$34+(ArtifactsInput!$M$7-ArtifactsInput!$M$7)*CHOOSE(ArtifactsInput!$N$7+1,6,7.2,8.4,9.6,10.8,12)))/100)),15)/15,MIN(1,(Skills!T19*(1+((Inputs!$B$34+(ArtifactsInput!$M$7-ArtifactsInput!$M$7)*CHOOSE(ArtifactsInput!$N$7+1,6,7.2,8.4,9.6,10.8,12)))/100))/(1/Q2729))))/100),1)</f>
        <v>1.7965808377980694</v>
      </c>
    </row>
    <row r="2743" spans="1:21" x14ac:dyDescent="0.2">
      <c r="A2743" t="s">
        <v>359</v>
      </c>
      <c r="B2743">
        <f>F2728*IF(AND(Inputs!$B$38&lt;&gt;"pvp",Inputs!$B$43&gt;0),(((R2728-1)*MIN((Skills!T18*(1+((Inputs!$B$34+(ArtifactsInput!$M$7-ArtifactsInput!$M$7)*CHOOSE(ArtifactsInput!$N$7+1,6,7.2,8.4,9.6,10.8,12)))/100)),(1/Q2728))+MIN((Skills!T18*(1+((Inputs!$B$34+(ArtifactsInput!$M$7-ArtifactsInput!$M$7)*CHOOSE(ArtifactsInput!$N$7+1,6,7.2,8.4,9.6,10.8,12)))/100)),MAX(0,Inputs!$B$43-((R2728-1)*(1/Q2728)))))/Inputs!$B$43),IF(Inputs!$B$38="pvp",MIN((Skills!T18*(1+((Inputs!$B$34+(ArtifactsInput!$M$7-ArtifactsInput!$M$7)*CHOOSE(ArtifactsInput!$N$7+1,6,7.2,8.4,9.6,10.8,12)))/100)),15)/15,MIN(1,(Skills!T18*(1+((Inputs!$B$34+(ArtifactsInput!$M$7-ArtifactsInput!$M$7)*CHOOSE(ArtifactsInput!$N$7+1,6,7.2,8.4,9.6,10.8,12)))/100))/(1/Q2728))))</f>
        <v>6.4968749999999993</v>
      </c>
    </row>
    <row r="2744" spans="1:21" x14ac:dyDescent="0.2">
      <c r="A2744" t="s">
        <v>436</v>
      </c>
      <c r="B2744">
        <f>1+MIN(150,150*(1-(1-(Inputs!$B$11+(ArtifactsInput!$M$15-ArtifactsInput!$M$15)*CHOOSE(ArtifactsInput!$N$15+1,8,9.6,11.2,12.8,14.4,16))/150)*(1-B2743/150)))/100</f>
        <v>1.6982958749999999</v>
      </c>
    </row>
    <row r="2745" spans="1:21" x14ac:dyDescent="0.2">
      <c r="A2745" t="s">
        <v>437</v>
      </c>
      <c r="B2745">
        <f>IF(AND(Inputs!$B$38&lt;&gt;"pvp",Inputs!$B$43&gt;0),SUMPRODUCT((Skills!F2:F28=TRUE)*(C2712:C2738=TRUE)*R2712:R2738)/Inputs!$B$43,SUMPRODUCT((Skills!F2:F28=TRUE)*(C2712:C2738=TRUE)*Q2712:Q2738))</f>
        <v>0.47499999999999998</v>
      </c>
    </row>
    <row r="2746" spans="1:21" x14ac:dyDescent="0.2">
      <c r="A2746" t="s">
        <v>362</v>
      </c>
      <c r="B2746">
        <f>MAX(0,B2744-B2745)</f>
        <v>1.2232958749999998</v>
      </c>
    </row>
    <row r="2747" spans="1:21" x14ac:dyDescent="0.2">
      <c r="A2747" t="s">
        <v>438</v>
      </c>
      <c r="B2747">
        <f>IF(AND(Inputs!$B$38&lt;&gt;"pvp",Inputs!$B$43&gt;0),SUMPRODUCT((Skills!V2:V28=TRUE)*(C2712:C2738=TRUE)*R2712:R2738*Skills!W2:W28)/Inputs!$B$43,SUMPRODUCT((Skills!V2:V28=TRUE)*(C2712:C2738=TRUE)*Q2712:Q2738*Skills!W2:W28))+B2746</f>
        <v>1.5482958749999998</v>
      </c>
    </row>
    <row r="2748" spans="1:21" x14ac:dyDescent="0.2">
      <c r="A2748" t="s">
        <v>439</v>
      </c>
      <c r="B2748">
        <f>IF(AND(Inputs!$B$38&lt;&gt;"pvp",Inputs!$B$43&gt;0),SUMPRODUCT((Skills!T2:T28&gt;0)*(Skills!F2:F28=TRUE)*(C2712:C2738=TRUE))/B2744,0)</f>
        <v>2.3553021937358238</v>
      </c>
    </row>
    <row r="2749" spans="1:21" x14ac:dyDescent="0.2">
      <c r="A2749" t="s">
        <v>440</v>
      </c>
      <c r="B2749">
        <f>SUM(S2712:S2738)</f>
        <v>7759844151879521</v>
      </c>
    </row>
    <row r="2750" spans="1:21" x14ac:dyDescent="0.2">
      <c r="A2750" t="s">
        <v>441</v>
      </c>
      <c r="B2750">
        <f>SUM(U2712:U2738)</f>
        <v>4.5895686803269608E+16</v>
      </c>
    </row>
    <row r="2751" spans="1:21" x14ac:dyDescent="0.2">
      <c r="A2751" s="6" t="s">
        <v>348</v>
      </c>
      <c r="B2751" s="6">
        <f>SUM(O2712:O2738)</f>
        <v>2.6827765477574564E+16</v>
      </c>
    </row>
    <row r="2754" spans="1:4" ht="16" x14ac:dyDescent="0.2">
      <c r="A2754" s="9" t="s">
        <v>502</v>
      </c>
    </row>
    <row r="2755" spans="1:4" x14ac:dyDescent="0.2">
      <c r="A2755" s="5" t="s">
        <v>503</v>
      </c>
      <c r="B2755" s="5" t="s">
        <v>504</v>
      </c>
      <c r="C2755" s="5" t="s">
        <v>505</v>
      </c>
      <c r="D2755" s="5" t="s">
        <v>506</v>
      </c>
    </row>
    <row r="2756" spans="1:4" x14ac:dyDescent="0.2">
      <c r="A2756">
        <v>0.5</v>
      </c>
      <c r="B2756">
        <f>B2809</f>
        <v>3.3384137203069172E+16</v>
      </c>
      <c r="C2756">
        <v>0</v>
      </c>
      <c r="D2756">
        <f>IF(Summary!$B$3=0,0,(B2756-Summary!$B$3)/Summary!$B$3*100)</f>
        <v>0.89851881848361981</v>
      </c>
    </row>
    <row r="2757" spans="1:4" x14ac:dyDescent="0.2">
      <c r="A2757">
        <v>1</v>
      </c>
      <c r="B2757">
        <f>B2853</f>
        <v>3.341883222204398E+16</v>
      </c>
      <c r="C2757">
        <f t="shared" ref="C2757:C2765" si="1">B2757-B2756</f>
        <v>34695018974808</v>
      </c>
      <c r="D2757">
        <f>IF(Summary!$B$3=0,0,(B2757-Summary!$B$3)/Summary!$B$3*100)</f>
        <v>1.0033792797153536</v>
      </c>
    </row>
    <row r="2758" spans="1:4" x14ac:dyDescent="0.2">
      <c r="A2758">
        <v>1.5</v>
      </c>
      <c r="B2758">
        <f>B2897</f>
        <v>3.382369666232598E+16</v>
      </c>
      <c r="C2758">
        <f t="shared" si="1"/>
        <v>404864440282000</v>
      </c>
      <c r="D2758">
        <f>IF(Summary!$B$3=0,0,(B2758-Summary!$B$3)/Summary!$B$3*100)</f>
        <v>2.2270209781137371</v>
      </c>
    </row>
    <row r="2759" spans="1:4" x14ac:dyDescent="0.2">
      <c r="A2759">
        <v>2</v>
      </c>
      <c r="B2759">
        <f>B2941</f>
        <v>3.4231575799202972E+16</v>
      </c>
      <c r="C2759">
        <f t="shared" si="1"/>
        <v>407879136876992</v>
      </c>
      <c r="D2759">
        <f>IF(Summary!$B$3=0,0,(B2759-Summary!$B$3)/Summary!$B$3*100)</f>
        <v>3.4597741422142754</v>
      </c>
    </row>
    <row r="2760" spans="1:4" x14ac:dyDescent="0.2">
      <c r="A2760">
        <v>2.5</v>
      </c>
      <c r="B2760">
        <f>B2985</f>
        <v>3.4632156722993784E+16</v>
      </c>
      <c r="C2760">
        <f t="shared" si="1"/>
        <v>400580923790812</v>
      </c>
      <c r="D2760">
        <f>IF(Summary!$B$3=0,0,(B2760-Summary!$B$3)/Summary!$B$3*100)</f>
        <v>4.6704695581711979</v>
      </c>
    </row>
    <row r="2761" spans="1:4" x14ac:dyDescent="0.2">
      <c r="A2761">
        <v>3</v>
      </c>
      <c r="B2761">
        <f>B3029</f>
        <v>3.5009980685349504E+16</v>
      </c>
      <c r="C2761">
        <f t="shared" si="1"/>
        <v>377823962355720</v>
      </c>
      <c r="D2761">
        <f>IF(Summary!$B$3=0,0,(B2761-Summary!$B$3)/Summary!$B$3*100)</f>
        <v>5.8123854909968609</v>
      </c>
    </row>
    <row r="2762" spans="1:4" x14ac:dyDescent="0.2">
      <c r="A2762">
        <v>3.5</v>
      </c>
      <c r="B2762">
        <f>B3073</f>
        <v>3.539015842924682E+16</v>
      </c>
      <c r="C2762">
        <f t="shared" si="1"/>
        <v>380177743897316</v>
      </c>
      <c r="D2762">
        <f>IF(Summary!$B$3=0,0,(B2762-Summary!$B$3)/Summary!$B$3*100)</f>
        <v>6.9614153734724642</v>
      </c>
    </row>
    <row r="2763" spans="1:4" x14ac:dyDescent="0.2">
      <c r="A2763">
        <v>4</v>
      </c>
      <c r="B2763">
        <f>B3117</f>
        <v>3.5702059610297652E+16</v>
      </c>
      <c r="C2763">
        <f t="shared" si="1"/>
        <v>311901181050832</v>
      </c>
      <c r="D2763">
        <f>IF(Summary!$B$3=0,0,(B2763-Summary!$B$3)/Summary!$B$3*100)</f>
        <v>7.9040896440200763</v>
      </c>
    </row>
    <row r="2764" spans="1:4" x14ac:dyDescent="0.2">
      <c r="A2764">
        <v>4.5</v>
      </c>
      <c r="B2764">
        <f>B3161</f>
        <v>3.5975441421789264E+16</v>
      </c>
      <c r="C2764">
        <f t="shared" si="1"/>
        <v>273381811491612</v>
      </c>
      <c r="D2764">
        <f>IF(Summary!$B$3=0,0,(B2764-Summary!$B$3)/Summary!$B$3*100)</f>
        <v>8.730344930584188</v>
      </c>
    </row>
    <row r="2765" spans="1:4" x14ac:dyDescent="0.2">
      <c r="A2765">
        <v>5</v>
      </c>
      <c r="B2765">
        <f>B3205</f>
        <v>3.6245226781795344E+16</v>
      </c>
      <c r="C2765">
        <f t="shared" si="1"/>
        <v>269785360006080</v>
      </c>
      <c r="D2765">
        <f>IF(Summary!$B$3=0,0,(B2765-Summary!$B$3)/Summary!$B$3*100)</f>
        <v>9.5457304850451337</v>
      </c>
    </row>
    <row r="2768" spans="1:4" x14ac:dyDescent="0.2">
      <c r="A2768" s="6" t="s">
        <v>507</v>
      </c>
    </row>
    <row r="2769" spans="1:26" x14ac:dyDescent="0.2">
      <c r="A2769" s="5" t="s">
        <v>136</v>
      </c>
      <c r="B2769" s="5" t="s">
        <v>137</v>
      </c>
      <c r="C2769" s="5" t="s">
        <v>328</v>
      </c>
      <c r="D2769" s="5" t="s">
        <v>329</v>
      </c>
      <c r="E2769" s="5" t="s">
        <v>330</v>
      </c>
      <c r="F2769" s="5" t="s">
        <v>331</v>
      </c>
      <c r="G2769" s="5" t="s">
        <v>332</v>
      </c>
      <c r="H2769" s="5" t="s">
        <v>333</v>
      </c>
      <c r="I2769" s="5" t="s">
        <v>334</v>
      </c>
      <c r="J2769" s="5" t="s">
        <v>335</v>
      </c>
      <c r="K2769" s="5" t="s">
        <v>336</v>
      </c>
      <c r="L2769" s="5" t="s">
        <v>337</v>
      </c>
      <c r="M2769" s="5" t="s">
        <v>338</v>
      </c>
      <c r="N2769" s="5" t="s">
        <v>339</v>
      </c>
      <c r="O2769" s="5" t="s">
        <v>340</v>
      </c>
      <c r="P2769" s="5" t="s">
        <v>341</v>
      </c>
      <c r="R2769" t="s">
        <v>434</v>
      </c>
    </row>
    <row r="2770" spans="1:26" x14ac:dyDescent="0.2">
      <c r="A2770" t="str">
        <f>Skills!A2</f>
        <v>BASIC_ATTACK</v>
      </c>
      <c r="B2770" t="str">
        <f>Skills!B2</f>
        <v>Basic Attack</v>
      </c>
      <c r="C2770" t="b">
        <f>TRUE</f>
        <v>1</v>
      </c>
      <c r="F2770">
        <f>T2772+Skills!O2</f>
        <v>537.6</v>
      </c>
      <c r="G2770">
        <f>Calc!G2</f>
        <v>5</v>
      </c>
      <c r="H2770">
        <f>Calc!H2</f>
        <v>1</v>
      </c>
      <c r="I2770">
        <f>IF(Skills!X2&lt;&gt;"",1+(Skills!X2/10)*(Z2771/1000)/100,1)</f>
        <v>1</v>
      </c>
      <c r="J2770">
        <f>((Inputs!$B$6*(1+Inputs!$B$7/100))+(((Inputs!$B$12*(1+Inputs!$B$13/100))-(Inputs!$B$12*(1+Inputs!$B$13/100)))+0.25*(Inputs!$B$14-Inputs!$B$14))*(1+Inputs!$B$7/100))*(F2770/100)</f>
        <v>1941459186.9980164</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6664542466071.2773</v>
      </c>
      <c r="L2770">
        <f>K2770*(MIN(Inputs!$B$22+(F2790-Calc!F22),(Inputs!$B$23+(IF(ArtifactsInput!$M$15,CHOOSE(ArtifactsInput!$N$15+1,25,30,35,40,45,50)/100*(Inputs!$B$11-Inputs!$B$11),0))))/100+(Inputs!$B$23+(IF(ArtifactsInput!$M$15,CHOOSE(ArtifactsInput!$N$15+1,25,30,35,40,45,50)/100*(Inputs!$B$11-Inputs!$B$11),0)))/100)/2</f>
        <v>22159603699687</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104571169858822.94</v>
      </c>
      <c r="N2770">
        <f>L2770*(1-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104571169858822.94</v>
      </c>
      <c r="O2770">
        <f>(1-Summary!$B$11)*S2770+Summary!$B$11*U2770</f>
        <v>1.25970678151056E+16</v>
      </c>
      <c r="P2770">
        <f>IF(B2809=0,0,O2770/B2809)</f>
        <v>0.37733692916728989</v>
      </c>
      <c r="Q2770">
        <f>IFERROR(1/(IF(Inputs!$B$38="pvp",15,MAX(0.1,Skills!E2-IF(TRUE=TRUE,0.5,0)))*(1-IF(AND(ArtifactsInput!$M$27,Inputs!$B$4="Chapter Hunt"),CHOOSE(ArtifactsInput!$N$27+1,20,24,28,32,36,40),0)/100)),0)</f>
        <v>10</v>
      </c>
      <c r="R2770">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2091516209971836.2</v>
      </c>
      <c r="T2770">
        <f>MAX(0,(Inputs!$B$3-100)*3)+Inputs!$B$28+Inputs!$B$29</f>
        <v>185</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2.3102619420239364E+16</v>
      </c>
      <c r="Z2770">
        <f>MAX(0,(Inputs!$B$3-100)*3)+Inputs!$B$28+Inputs!$B$29</f>
        <v>185</v>
      </c>
    </row>
    <row r="2771" spans="1:26" x14ac:dyDescent="0.2">
      <c r="A2771" t="str">
        <f>Skills!A3</f>
        <v>IGNITE</v>
      </c>
      <c r="B2771" t="str">
        <f>Skills!B3</f>
        <v>Ignite</v>
      </c>
      <c r="C2771" t="b">
        <f>TRUE</f>
        <v>1</v>
      </c>
      <c r="D2771">
        <f>IF(Skills!C3=1,60+Inputs!$B$25+Inputs!$B$29,IF(Skills!C3=2,90+Inputs!$B$26+Inputs!$B$29,IF(Skills!C3=3,120+Inputs!$B$27+Inputs!$B$29,MAX(0,(Inputs!$B$3-100)*3)+Inputs!$B$28+Inputs!$B$29)))</f>
        <v>168</v>
      </c>
      <c r="E2771">
        <f>INDEX(FactorTable!$B$2:$Y$301, MATCH(ROUND(MIN(300,MAX(1,D2771)),0), FactorTable!$A$2:$A$301,0), Skills!M3+1)</f>
        <v>1672</v>
      </c>
      <c r="F2771">
        <f>IF(Skills!N3=TRUE,(Skills!L3/10)*(E2771/1000),Skills!L3/10)+Skills!O3</f>
        <v>121.736</v>
      </c>
      <c r="G2771">
        <f>Calc!G3</f>
        <v>3</v>
      </c>
      <c r="H2771">
        <f>Calc!H3</f>
        <v>1</v>
      </c>
      <c r="I2771">
        <f>IF(Skills!X3&lt;&gt;"",1+(Skills!X3/10)*(Z2771/1000)/100,1)</f>
        <v>4.8250000000000002</v>
      </c>
      <c r="J2771">
        <f>((Inputs!$B$6*(1+Inputs!$B$7/100))+(((Inputs!$B$12*(1+Inputs!$B$13/100))-(Inputs!$B$12*(1+Inputs!$B$13/100)))+0.25*(Inputs!$B$14-Inputs!$B$14))*(1+Inputs!$B$7/100))*(F2771/100)</f>
        <v>439630720.9605478</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10729799183952.275</v>
      </c>
      <c r="L2771">
        <f>K2771*(MIN(Inputs!$B$22+(F2790-Calc!F22),(Inputs!$B$23+(IF(ArtifactsInput!$M$15,CHOOSE(ArtifactsInput!$N$15+1,25,30,35,40,45,50)/100*(Inputs!$B$11-Inputs!$B$11),0))))/100+(Inputs!$B$23+(IF(ArtifactsInput!$M$15,CHOOSE(ArtifactsInput!$N$15+1,25,30,35,40,45,50)/100*(Inputs!$B$11-Inputs!$B$11),0)))/100)/2</f>
        <v>35676582286641.32</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168357791810660.38</v>
      </c>
      <c r="N2771">
        <f>L2771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168357791810660.38</v>
      </c>
      <c r="O2771">
        <f>(1-Summary!$B$11)*S2771+Summary!$B$11*U2771</f>
        <v>2926900210628330</v>
      </c>
      <c r="P2771">
        <f>IF(B2809=0,0,O2771/B2809)</f>
        <v>8.7673381906639342E-2</v>
      </c>
      <c r="Q2771">
        <f>IFERROR(1/(IF(Inputs!$B$38="pvp",15,MAX(0.1,Skills!E3-IF(FALSE=TRUE,0.5,0)))*(1-IF(AND(ArtifactsInput!$M$27,Inputs!$B$4="Chapter Hunt"),CHOOSE(ArtifactsInput!$N$27+1,20,24,28,32,36,40),0)/100)),0)</f>
        <v>1</v>
      </c>
      <c r="R2771">
        <f>IF(AND(Inputs!$B$38&lt;&gt;"pvp",Inputs!$B$43&gt;0),IF(MAX(0,Inputs!$B$43-B2806)&lt;=0,0,(INT(MAX(0,Inputs!$B$43-B2806)/(IF(Inputs!$B$38="pvp",15,MAX(0.1,Skills!E3-IF(FALSE=TRUE,0.5,0)))*(1-IF(AND(ArtifactsInput!$M$27,Inputs!$B$4="Chapter Hunt"),CHOOSE(ArtifactsInput!$N$27+1,20,24,28,32,36,40),0)/100)))+1)),0)</f>
        <v>38</v>
      </c>
      <c r="S2771">
        <f>IF(C2771,(H2771*N2771*IF(AND(Inputs!$B$38&lt;&gt;"pvp",Inputs!$B$43&gt;0),((Skills!G3*((R2771-1)*IF(Skills!H3&gt;0,Skills!I3/Skills!H3,1)+IF(Skills!H3&gt;0,MIN(Skills!I3,MAX(0,MAX(0,Inputs!$B$43-B2806)-((R2771-1)*(IF(Inputs!$B$38="pvp",15,MAX(0.1,Skills!E3-IF(FALSE=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1521028470113411</v>
      </c>
      <c r="T2771">
        <f>INDEX(FactorTable!$B$2:$Y$301, MATCH(ROUND(MIN(300,MAX(1,T2770)),0), FactorTable!$A$2:$A$301,0), 22)</f>
        <v>1740</v>
      </c>
      <c r="U2771">
        <f>IF(C2771,(H2771*N2771*IF(AND(Inputs!$B$38&lt;&gt;"pvp",Inputs!$B$43&gt;0),((Skills!G3*((R2771-1)*IF(Skills!H3&gt;0,Skills!I3/Skills!H3,1)+IF(Skills!H3&gt;0,MIN(Skills!I3,MAX(0,MAX(0,Inputs!$B$43-B2806)-((R2771-1)*(IF(Inputs!$B$38="pvp",15,MAX(0.1,Skills!E3-IF(FALSE=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4332771951143249.5</v>
      </c>
      <c r="Z2771">
        <f>INDEX(FactorTable!$B$2:$Y$301, MATCH(ROUND(MIN(300,MAX(1,Z2770)),0), FactorTable!$A$2:$A$301,0), 24)</f>
        <v>7650</v>
      </c>
    </row>
    <row r="2772" spans="1:26" x14ac:dyDescent="0.2">
      <c r="A2772" t="str">
        <f>Skills!A4</f>
        <v>POISON_BREATH</v>
      </c>
      <c r="B2772" t="str">
        <f>Skills!B4</f>
        <v>Poison Breath</v>
      </c>
      <c r="C2772" t="b">
        <f>TRUE</f>
        <v>1</v>
      </c>
      <c r="D2772">
        <f>IF(Skills!C4=1,60+Inputs!$B$25+Inputs!$B$29,IF(Skills!C4=2,90+Inputs!$B$26+Inputs!$B$29,IF(Skills!C4=3,120+Inputs!$B$27+Inputs!$B$29,MAX(0,(Inputs!$B$3-100)*3)+Inputs!$B$28+Inputs!$B$29)))</f>
        <v>168</v>
      </c>
      <c r="E2772">
        <f>INDEX(FactorTable!$B$2:$Y$301, MATCH(ROUND(MIN(300,MAX(1,D2772)),0), FactorTable!$A$2:$A$301,0), Skills!M4+1)</f>
        <v>1840</v>
      </c>
      <c r="F2772">
        <f>IF(Skills!N4=TRUE,(Skills!L4/10)*(E2772/1000),Skills!L4/10)+Skills!O4</f>
        <v>438</v>
      </c>
      <c r="G2772">
        <f>Calc!G4</f>
        <v>3</v>
      </c>
      <c r="H2772">
        <f>Calc!H4</f>
        <v>1</v>
      </c>
      <c r="I2772">
        <f>IF(Skills!X4&lt;&gt;"",1+(Skills!X4/10)*(Z2771/1000)/100,1)</f>
        <v>7.12</v>
      </c>
      <c r="J2772">
        <f>((Inputs!$B$6*(1+Inputs!$B$7/100))+(((Inputs!$B$12*(1+Inputs!$B$13/100))-(Inputs!$B$12*(1+Inputs!$B$13/100)))+0.25*(Inputs!$B$14-Inputs!$B$14))*(1+Inputs!$B$7/100))*(F2772/100)</f>
        <v>1581769203.69258</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56967787498210.188</v>
      </c>
      <c r="L2772">
        <f>K2772*(MIN(Inputs!$B$22+(F2790-Calc!F22),(Inputs!$B$23+(IF(ArtifactsInput!$M$15,CHOOSE(ArtifactsInput!$N$15+1,25,30,35,40,45,50)/100*(Inputs!$B$11-Inputs!$B$11),0))))/100+(Inputs!$B$23+(IF(ArtifactsInput!$M$15,CHOOSE(ArtifactsInput!$N$15+1,25,30,35,40,45,50)/100*(Inputs!$B$11-Inputs!$B$11),0)))/100)/2</f>
        <v>189417893431548.88</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893863039103479</v>
      </c>
      <c r="N2772">
        <f>L2772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893863039103479</v>
      </c>
      <c r="O2772">
        <f>(1-Summary!$B$11)*S2772+Summary!$B$11*U2772</f>
        <v>2134880136018771.8</v>
      </c>
      <c r="P2772">
        <f>IF(B2809=0,0,O2772/B2809)</f>
        <v>6.3948938474363254E-2</v>
      </c>
      <c r="Q2772">
        <f>IFERROR(1/(IF(Inputs!$B$38="pvp",15,MAX(0.1,Skills!E4-IF(TRUE=TRUE,0.5,0)))*(1-IF(AND(ArtifactsInput!$M$27,Inputs!$B$4="Chapter Hunt"),CHOOSE(ArtifactsInput!$N$27+1,20,24,28,32,36,40),0)/100)),0)</f>
        <v>5.7142857142857141E-2</v>
      </c>
      <c r="R2772">
        <f>IF(AND(Inputs!$B$38&lt;&gt;"pvp",Inputs!$B$43&gt;0),IF(MAX(0,Inputs!$B$43-B2806)&lt;=0,0,(INT(MAX(0,Inputs!$B$43-B2806)/(IF(Inputs!$B$38="pvp",15,MAX(0.1,Skills!E4-IF(TRUE=TRUE,0.5,0)))*(1-IF(AND(ArtifactsInput!$M$27,Inputs!$B$4="Chapter Hunt"),CHOOSE(ArtifactsInput!$N$27+1,20,24,28,32,36,40),0)/100)))+1)),0)</f>
        <v>3</v>
      </c>
      <c r="S2772">
        <f>IF(C2772,(H2772*N2772*IF(AND(Inputs!$B$38&lt;&gt;"pvp",Inputs!$B$43&gt;0),((Skills!G4*((R2772-1)*IF(Skills!H4&gt;0,Skills!I4/Skills!H4,1)+IF(Skills!H4&gt;0,MIN(Skills!I4,MAX(0,MAX(0,Inputs!$B$43-B2806)-((R2772-1)*(IF(Inputs!$B$38="pvp",15,MAX(0.1,Skills!E4-IF(TRUE=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637547812640556.38</v>
      </c>
      <c r="T2772">
        <f>290*T2771/1000</f>
        <v>504.6</v>
      </c>
      <c r="U2772">
        <f>IF(C2772,(H2772*N2772*IF(AND(Inputs!$B$38&lt;&gt;"pvp",Inputs!$B$43&gt;0),((Skills!G4*((R2772-1)*IF(Skills!H4&gt;0,Skills!I4/Skills!H4,1)+IF(Skills!H4&gt;0,MIN(Skills!I4,MAX(0,MAX(0,Inputs!$B$43-B2806)-((R2772-1)*(IF(Inputs!$B$38="pvp",15,MAX(0.1,Skills!E4-IF(TRUE=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3632212459396987</v>
      </c>
    </row>
    <row r="2773" spans="1:26" x14ac:dyDescent="0.2">
      <c r="A2773" t="str">
        <f>Skills!A5</f>
        <v>ELEMENTAL_DRAIN</v>
      </c>
      <c r="B2773" t="str">
        <f>Skills!B5</f>
        <v>Elemental Drain</v>
      </c>
      <c r="C2773" t="b">
        <f>TRUE</f>
        <v>1</v>
      </c>
      <c r="D2773">
        <f>IF(Skills!C5=1,60+Inputs!$B$25+Inputs!$B$29,IF(Skills!C5=2,90+Inputs!$B$26+Inputs!$B$29,IF(Skills!C5=3,120+Inputs!$B$27+Inputs!$B$29,MAX(0,(Inputs!$B$3-100)*3)+Inputs!$B$28+Inputs!$B$29)))</f>
        <v>168</v>
      </c>
      <c r="E2773">
        <f>INDEX(FactorTable!$B$2:$Y$301, MATCH(ROUND(MIN(300,MAX(1,D2773)),0), FactorTable!$A$2:$A$301,0), Skills!M5+1)</f>
        <v>1672</v>
      </c>
      <c r="F2773">
        <f>IF(Skills!N5=TRUE,(Skills!L5/10)*(E2773/1000),Skills!L5/10)+Skills!O5</f>
        <v>20.064</v>
      </c>
      <c r="G2773">
        <f>Calc!G5</f>
        <v>5</v>
      </c>
      <c r="H2773">
        <f>Calc!H5</f>
        <v>1</v>
      </c>
      <c r="I2773">
        <f>IF(Skills!X5&lt;&gt;"",1+(Skills!X5/10)*(Z2771/1000)/100,1)</f>
        <v>12.475</v>
      </c>
      <c r="J2773">
        <f>((Inputs!$B$6*(1+Inputs!$B$7/100))+(((Inputs!$B$12*(1+Inputs!$B$13/100))-(Inputs!$B$12*(1+Inputs!$B$13/100)))+0.25*(Inputs!$B$14-Inputs!$B$14))*(1+Inputs!$B$7/100))*(F2773/100)</f>
        <v>72458030.371890247</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4572285305507.0342</v>
      </c>
      <c r="L2773">
        <f>K2773*(MIN(Inputs!$B$22+(F2790-Calc!F22),(Inputs!$B$23+(IF(ArtifactsInput!$M$15,CHOOSE(ArtifactsInput!$N$15+1,25,30,35,40,45,50)/100*(Inputs!$B$11-Inputs!$B$11),0))))/100+(Inputs!$B$23+(IF(ArtifactsInput!$M$15,CHOOSE(ArtifactsInput!$N$15+1,25,30,35,40,45,50)/100*(Inputs!$B$11-Inputs!$B$11),0)))/100)/2</f>
        <v>15202848640810.889</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71742242735986.578</v>
      </c>
      <c r="N2773">
        <f>L2773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71742242735986.578</v>
      </c>
      <c r="O2773">
        <f>(1-Summary!$B$11)*S2773+Summary!$B$11*U2773</f>
        <v>1052996767757443</v>
      </c>
      <c r="P2773">
        <f>IF(B2809=0,0,O2773/B2809)</f>
        <v>3.1541829622621961E-2</v>
      </c>
      <c r="Q2773">
        <f>IFERROR(1/(IF(Inputs!$B$38="pvp",15,MAX(0.1,Skills!E5-IF(FALSE=TRUE,0.5,0)))*(1-IF(AND(ArtifactsInput!$M$27,Inputs!$B$4="Chapter Hunt"),CHOOSE(ArtifactsInput!$N$27+1,20,24,28,32,36,40),0)/100)),0)</f>
        <v>1</v>
      </c>
      <c r="R2773">
        <f>IF(AND(Inputs!$B$38&lt;&gt;"pvp",Inputs!$B$43&gt;0),IF(MAX(0,Inputs!$B$43-B2806)&lt;=0,0,(INT(MAX(0,Inputs!$B$43-B2806)/(IF(Inputs!$B$38="pvp",15,MAX(0.1,Skills!E5-IF(FALSE=TRUE,0.5,0)))*(1-IF(AND(ArtifactsInput!$M$27,Inputs!$B$4="Chapter Hunt"),CHOOSE(ArtifactsInput!$N$27+1,20,24,28,32,36,40),0)/100)))+1)),0)</f>
        <v>38</v>
      </c>
      <c r="S2773">
        <f>IF(C2773,(H2773*N2773*IF(AND(Inputs!$B$38&lt;&gt;"pvp",Inputs!$B$43&gt;0),((Skills!G5*((R2773-1)*IF(Skills!H5&gt;0,Skills!I5/Skills!H5,1)+IF(Skills!H5&gt;0,MIN(Skills!I5,MAX(0,MAX(0,Inputs!$B$43-B2806)-((R2773-1)*(IF(Inputs!$B$38="pvp",15,MAX(0.1,Skills!E5-IF(FALSE=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1080258819997117.9</v>
      </c>
      <c r="U2773">
        <f>IF(C2773,(H2773*N2773*IF(AND(Inputs!$B$38&lt;&gt;"pvp",Inputs!$B$43&gt;0),((Skills!G5*((R2773-1)*IF(Skills!H5&gt;0,Skills!I5/Skills!H5,1)+IF(Skills!H5&gt;0,MIN(Skills!I5,MAX(0,MAX(0,Inputs!$B$43-B2806)-((R2773-1)*(IF(Inputs!$B$38="pvp",15,MAX(0.1,Skills!E5-IF(FALSE=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1025734715517768</v>
      </c>
    </row>
    <row r="2774" spans="1:26" x14ac:dyDescent="0.2">
      <c r="A2774" t="str">
        <f>Skills!A6</f>
        <v>MEDITATION</v>
      </c>
      <c r="B2774" t="str">
        <f>Skills!B6</f>
        <v>Meditation</v>
      </c>
      <c r="C2774" t="b">
        <f>TRUE</f>
        <v>1</v>
      </c>
      <c r="D2774">
        <f>IF(Skills!C6=1,60+Inputs!$B$25+Inputs!$B$29,IF(Skills!C6=2,90+Inputs!$B$26+Inputs!$B$29,IF(Skills!C6=3,120+Inputs!$B$27+Inputs!$B$29,MAX(0,(Inputs!$B$3-100)*3)+Inputs!$B$28+Inputs!$B$29)))</f>
        <v>168</v>
      </c>
      <c r="E2774">
        <f>INDEX(FactorTable!$B$2:$Y$301, MATCH(ROUND(MIN(300,MAX(1,D2774)),0), FactorTable!$A$2:$A$301,0), Skills!M6+1)</f>
        <v>1672</v>
      </c>
      <c r="F2774">
        <f>IF(Skills!N6=TRUE,(Skills!L6/10)*(E2774/1000),Skills!L6/10)+Skills!O6</f>
        <v>33.44</v>
      </c>
      <c r="G2774">
        <f>Calc!G6</f>
        <v>1</v>
      </c>
      <c r="H2774">
        <f>Calc!H6</f>
        <v>1</v>
      </c>
      <c r="I2774">
        <f>IF(Skills!X6&lt;&gt;"",1+(Skills!X6/10)*(Z2771/1000)/100,1)</f>
        <v>1</v>
      </c>
      <c r="O2774">
        <f>(1-Summary!$B$11)*S2774+Summary!$B$11*U2774</f>
        <v>0</v>
      </c>
      <c r="P2774">
        <f>IF(B2809=0,0,O2774/B2809)</f>
        <v>0</v>
      </c>
      <c r="Q2774">
        <f>IFERROR(1/(IF(Inputs!$B$38="pvp",15,MAX(0.1,Skills!E6-IF(TRUE=TRUE,0.5,0)))*(1-IF(AND(ArtifactsInput!$M$27,Inputs!$B$4="Chapter Hunt"),CHOOSE(ArtifactsInput!$N$27+1,20,24,28,32,36,40),0)/100)),0)</f>
        <v>3.3898305084745763E-2</v>
      </c>
      <c r="R2774">
        <f>IF(AND(Inputs!$B$38&lt;&gt;"pvp",Inputs!$B$43&gt;0),IF(Inputs!$B$43&lt;=0,0,(INT(Inputs!$B$43/(IF(Inputs!$B$38="pvp",15,MAX(0.1,Skills!E6-IF(TRUE=TRUE,0.5,0)))*(1-IF(AND(ArtifactsInput!$M$27,Inputs!$B$4="Chapter Hunt"),CHOOSE(ArtifactsInput!$N$27+1,20,24,28,32,36,40),0)/100)))+1)),0)</f>
        <v>2</v>
      </c>
      <c r="S2774">
        <v>0</v>
      </c>
      <c r="U2774">
        <v>0</v>
      </c>
    </row>
    <row r="2775" spans="1:26" x14ac:dyDescent="0.2">
      <c r="A2775" t="str">
        <f>Skills!A7</f>
        <v>POISON_MIST_BURST</v>
      </c>
      <c r="B2775" t="str">
        <f>Skills!B7</f>
        <v>Poison Mist (burst)</v>
      </c>
      <c r="C2775" t="b">
        <f>TRUE</f>
        <v>1</v>
      </c>
      <c r="D2775">
        <f>IF(Skills!C7=1,60+Inputs!$B$25+Inputs!$B$29,IF(Skills!C7=2,90+Inputs!$B$26+Inputs!$B$29,IF(Skills!C7=3,120+Inputs!$B$27+Inputs!$B$29,MAX(0,(Inputs!$B$3-100)*3)+Inputs!$B$28+Inputs!$B$29)))</f>
        <v>184</v>
      </c>
      <c r="E2775">
        <f>INDEX(FactorTable!$B$2:$Y$301, MATCH(ROUND(MIN(300,MAX(1,D2775)),0), FactorTable!$A$2:$A$301,0), Skills!M7+1)</f>
        <v>1920</v>
      </c>
      <c r="F2775">
        <f>IF(Skills!N7=TRUE,(Skills!L7/10)*(E2775/1000),Skills!L7/10)+Skills!O7</f>
        <v>357.2</v>
      </c>
      <c r="G2775">
        <f>Calc!G7</f>
        <v>3</v>
      </c>
      <c r="H2775">
        <f>Calc!H7</f>
        <v>1</v>
      </c>
      <c r="I2775">
        <f>IF(Skills!X7&lt;&gt;"",1+(Skills!X7/10)*(Z2771/1000)/100,1)</f>
        <v>1.7650000000000001</v>
      </c>
      <c r="J2775">
        <f>((Inputs!$B$6*(1+Inputs!$B$7/100))+(((Inputs!$B$12*(1+Inputs!$B$13/100))-(Inputs!$B$12*(1+Inputs!$B$13/100)))+0.25*(Inputs!$B$14-Inputs!$B$14))*(1+Inputs!$B$7/100))*(F2775/100)</f>
        <v>1289972510.4086521</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11516788957258.033</v>
      </c>
      <c r="L2775">
        <f>K2775*(MIN(Inputs!$B$22+(F2790-Calc!F22),(Inputs!$B$23+(IF(ArtifactsInput!$M$15,CHOOSE(ArtifactsInput!$N$15+1,25,30,35,40,45,50)/100*(Inputs!$B$11-Inputs!$B$11),0))))/100+(Inputs!$B$23+(IF(ArtifactsInput!$M$15,CHOOSE(ArtifactsInput!$N$15+1,25,30,35,40,45,50)/100*(Inputs!$B$11-Inputs!$B$11),0)))/100)/2</f>
        <v>38293323282882.961</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180706192571924.66</v>
      </c>
      <c r="N2775">
        <f>L2775*(1-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180706192571924.66</v>
      </c>
      <c r="O2775">
        <f>(1-Summary!$B$11)*S2775+Summary!$B$11*U2775</f>
        <v>450907127015094.94</v>
      </c>
      <c r="P2775">
        <f>IF(B2809=0,0,O2775/B2809)</f>
        <v>1.3506628141153242E-2</v>
      </c>
      <c r="Q2775">
        <f>IFERROR(1/(IF(Inputs!$B$38="pvp",15,MAX(0.1,Skills!E7-IF(TRUE=TRUE,0.5,0)))*(1-IF(AND(ArtifactsInput!$M$27,Inputs!$B$4="Chapter Hunt"),CHOOSE(ArtifactsInput!$N$27+1,20,24,28,32,36,40),0)/100)),0)</f>
        <v>4.1666666666666664E-2</v>
      </c>
      <c r="R2775">
        <f>IF(AND(Inputs!$B$38&lt;&gt;"pvp",Inputs!$B$43&gt;0),IF(MAX(0,Inputs!$B$43-B2806)&lt;=0,0,(INT(MAX(0,Inputs!$B$43-B2806)/(IF(Inputs!$B$38="pvp",15,MAX(0.1,Skills!E7-IF(TRUE=TRUE,0.5,0)))*(1-IF(AND(ArtifactsInput!$M$27,Inputs!$B$4="Chapter Hunt"),CHOOSE(ArtifactsInput!$N$27+1,20,24,28,32,36,40),0)/100)))+1)),0)</f>
        <v>2</v>
      </c>
      <c r="S2775">
        <f>IF(C2775,(H2775*N2775*IF(AND(Inputs!$B$38&lt;&gt;"pvp",Inputs!$B$43&gt;0),((Skills!G7*((R2775-1)*IF(Skills!H7&gt;0,Skills!I7/Skills!H7,1)+IF(Skills!H7&gt;0,MIN(Skills!I7,MAX(0,MAX(0,Inputs!$B$43-B2806)-((R2775-1)*(IF(Inputs!$B$38="pvp",15,MAX(0.1,Skills!E7-IF(TRUE=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85925794567950.172</v>
      </c>
      <c r="U2775">
        <f>IF(C2775,(H2775*N2775*IF(AND(Inputs!$B$38&lt;&gt;"pvp",Inputs!$B$43&gt;0),((Skills!G7*((R2775-1)*IF(Skills!H7&gt;0,Skills!I7/Skills!H7,1)+IF(Skills!H7&gt;0,MIN(Skills!I7,MAX(0,MAX(0,Inputs!$B$43-B2806)-((R2775-1)*(IF(Inputs!$B$38="pvp",15,MAX(0.1,Skills!E7-IF(TRUE=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815888459462239.75</v>
      </c>
    </row>
    <row r="2776" spans="1:26" x14ac:dyDescent="0.2">
      <c r="A2776" t="str">
        <f>Skills!A8</f>
        <v>POISON_MIST_DOT</v>
      </c>
      <c r="B2776" t="str">
        <f>Skills!B8</f>
        <v>Poison Mist (fog DoT)</v>
      </c>
      <c r="C2776" t="b">
        <f>TRUE</f>
        <v>1</v>
      </c>
      <c r="D2776">
        <f>IF(Skills!C8=1,60+Inputs!$B$25+Inputs!$B$29,IF(Skills!C8=2,90+Inputs!$B$26+Inputs!$B$29,IF(Skills!C8=3,120+Inputs!$B$27+Inputs!$B$29,MAX(0,(Inputs!$B$3-100)*3)+Inputs!$B$28+Inputs!$B$29)))</f>
        <v>184</v>
      </c>
      <c r="E2776">
        <f>INDEX(FactorTable!$B$2:$Y$301, MATCH(ROUND(MIN(300,MAX(1,D2776)),0), FactorTable!$A$2:$A$301,0), Skills!M8+1)</f>
        <v>1920</v>
      </c>
      <c r="F2776">
        <f>IF(Skills!N8=TRUE,(Skills!L8/10)*(E2776/1000),Skills!L8/10)+Skills!O8</f>
        <v>134.4</v>
      </c>
      <c r="G2776">
        <f>Calc!G8</f>
        <v>50</v>
      </c>
      <c r="H2776">
        <f>Calc!H8</f>
        <v>1</v>
      </c>
      <c r="I2776">
        <f>IF(Skills!X8&lt;&gt;"",1+(Skills!X8/10)*(Z2771/1000)/100,1)</f>
        <v>1.7650000000000001</v>
      </c>
      <c r="J2776">
        <f>((Inputs!$B$6*(1+Inputs!$B$7/100))+(((Inputs!$B$12*(1+Inputs!$B$13/100))-(Inputs!$B$12*(1+Inputs!$B$13/100)))+0.25*(Inputs!$B$14-Inputs!$B$14))*(1+Inputs!$B$7/100))*(F2776/100)</f>
        <v>485364796.74950409</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4333304691644.6797</v>
      </c>
      <c r="L2776">
        <f>K2776*(MIN(Inputs!$B$22+(F2790-Calc!F22),(Inputs!$B$23+(IF(ArtifactsInput!$M$15,CHOOSE(ArtifactsInput!$N$15+1,25,30,35,40,45,50)/100*(Inputs!$B$11-Inputs!$B$11),0))))/100+(Inputs!$B$23+(IF(ArtifactsInput!$M$15,CHOOSE(ArtifactsInput!$N$15+1,25,30,35,40,45,50)/100*(Inputs!$B$11-Inputs!$B$11),0)))/100)/2</f>
        <v>14408238099718.561</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67992475592571.875</v>
      </c>
      <c r="N2776">
        <f>L2776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67992475592571.875</v>
      </c>
      <c r="O2776">
        <f>(1-Summary!$B$11)*S2776+Summary!$B$11*U2776</f>
        <v>2378374875471344.5</v>
      </c>
      <c r="P2776">
        <f>IF(B2809=0,0,O2776/B2809)</f>
        <v>7.1242664173231607E-2</v>
      </c>
      <c r="Q2776">
        <f>IFERROR(1/(IF(Inputs!$B$38="pvp",15,MAX(0.1,Skills!E8-IF(TRUE=TRUE,0.5,0)))*(1-IF(AND(ArtifactsInput!$M$27,Inputs!$B$4="Chapter Hunt"),CHOOSE(ArtifactsInput!$N$27+1,20,24,28,32,36,40),0)/100)),0)</f>
        <v>4.1666666666666664E-2</v>
      </c>
      <c r="R2776">
        <f>IF(AND(Inputs!$B$38&lt;&gt;"pvp",Inputs!$B$43&gt;0),IF(MAX(0,Inputs!$B$43-B2806)&lt;=0,0,(INT(MAX(0,Inputs!$B$43-B2806)/(IF(Inputs!$B$38="pvp",15,MAX(0.1,Skills!E8-IF(TRUE=TRUE,0.5,0)))*(1-IF(AND(ArtifactsInput!$M$27,Inputs!$B$4="Chapter Hunt"),CHOOSE(ArtifactsInput!$N$27+1,20,24,28,32,36,40),0)/100)))+1)),0)</f>
        <v>2</v>
      </c>
      <c r="S2776">
        <f>IF(C2776,(H2776*N2776*IF(AND(Inputs!$B$38&lt;&gt;"pvp",Inputs!$B$43&gt;0),((Skills!G8*((R2776-1)*IF(Skills!H8&gt;0,Skills!I8/Skills!H8,1)+IF(Skills!H8&gt;0,MIN(Skills!I8,MAX(0,MAX(0,Inputs!$B$43-B2806)-((R2776-1)*(IF(Inputs!$B$38="pvp",15,MAX(0.1,Skills!E8-IF(TRUE=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453228034580352.44</v>
      </c>
      <c r="U2776">
        <f>IF(C2776,(H2776*N2776*IF(AND(Inputs!$B$38&lt;&gt;"pvp",Inputs!$B$43&gt;0),((Skills!G8*((R2776-1)*IF(Skills!H8&gt;0,Skills!I8/Skills!H8,1)+IF(Skills!H8&gt;0,MIN(Skills!I8,MAX(0,MAX(0,Inputs!$B$43-B2806)-((R2776-1)*(IF(Inputs!$B$38="pvp",15,MAX(0.1,Skills!E8-IF(TRUE=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4303521716362336.5</v>
      </c>
    </row>
    <row r="2777" spans="1:26" x14ac:dyDescent="0.2">
      <c r="A2777" t="str">
        <f>Skills!A9</f>
        <v>MIST_ERUPTION</v>
      </c>
      <c r="B2777" t="str">
        <f>Skills!B9</f>
        <v>Mist Eruption</v>
      </c>
      <c r="C2777" t="b">
        <f>Inputs!$B$3&gt;=103</f>
        <v>1</v>
      </c>
      <c r="D2777">
        <f>IF(Skills!C9=1,60+Inputs!$B$25+Inputs!$B$29,IF(Skills!C9=2,90+Inputs!$B$26+Inputs!$B$29,IF(Skills!C9=3,120+Inputs!$B$27+Inputs!$B$29,MAX(0,(Inputs!$B$3-100)*3)+Inputs!$B$28+Inputs!$B$29)))</f>
        <v>185</v>
      </c>
      <c r="E2777">
        <f>INDEX(FactorTable!$B$2:$Y$301, MATCH(ROUND(MIN(300,MAX(1,D2777)),0), FactorTable!$A$2:$A$301,0), Skills!M9+1)</f>
        <v>1925</v>
      </c>
      <c r="F2777">
        <f>IF(Skills!N9=TRUE,(Skills!L9/10)*(E2777/1000),Skills!L9/10)+Skills!O9</f>
        <v>5775</v>
      </c>
      <c r="G2777">
        <f>Calc!G9</f>
        <v>2.5</v>
      </c>
      <c r="H2777">
        <f>Calc!H9</f>
        <v>1</v>
      </c>
      <c r="I2777">
        <f>IF(Skills!X9&lt;&gt;"",1+(Skills!X9/10)*(Z2771/1000)/100,1)</f>
        <v>1</v>
      </c>
      <c r="J2777">
        <f>((Inputs!$B$6*(1+Inputs!$B$7/100))+(((Inputs!$B$12*(1+Inputs!$B$13/100))-(Inputs!$B$12*(1+Inputs!$B$13/100)))+0.25*(Inputs!$B$14-Inputs!$B$14))*(1+Inputs!$B$7/100))*(F2777/100)</f>
        <v>20855518610.330254</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105493873070315.75</v>
      </c>
      <c r="L2777">
        <f>K2777*(MIN(Inputs!$B$22+(F2790-Calc!F22),(Inputs!$B$23+(IF(ArtifactsInput!$M$15,CHOOSE(ArtifactsInput!$N$15+1,25,30,35,40,45,50)/100*(Inputs!$B$11-Inputs!$B$11),0))))/100+(Inputs!$B$23+(IF(ArtifactsInput!$M$15,CHOOSE(ArtifactsInput!$N$15+1,25,30,35,40,45,50)/100*(Inputs!$B$11-Inputs!$B$11),0)))/100)/2</f>
        <v>350767127958799.88</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1655270076837576.5</v>
      </c>
      <c r="N2777">
        <f>L2777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1655270076837576.5</v>
      </c>
      <c r="O2777">
        <f>(1-Summary!$B$11)*S2777+Summary!$B$11*U2777</f>
        <v>3441927216024135.5</v>
      </c>
      <c r="P2777">
        <f>IF(B2809=0,0,O2777/B2809)</f>
        <v>0.10310067907663949</v>
      </c>
      <c r="Q2777">
        <f>IFERROR(1/(IF(Inputs!$B$38="pvp",15,MAX(0.1,Skills!E9-IF(TRUE=TRUE,0.5,0)))*(1-IF(AND(ArtifactsInput!$M$27,Inputs!$B$4="Chapter Hunt"),CHOOSE(ArtifactsInput!$N$27+1,20,24,28,32,36,40),0)/100)),0)</f>
        <v>4.1666666666666664E-2</v>
      </c>
      <c r="R2777">
        <f>IF(AND(Inputs!$B$38&lt;&gt;"pvp",Inputs!$B$43&gt;0),IF(MAX(0,Inputs!$B$43-B2806)&lt;=0,0,(INT(MAX(0,Inputs!$B$43-B2806)/(IF(Inputs!$B$38="pvp",15,MAX(0.1,Skills!E9-IF(TRUE=TRUE,0.5,0)))*(1-IF(AND(ArtifactsInput!$M$27,Inputs!$B$4="Chapter Hunt"),CHOOSE(ArtifactsInput!$N$27+1,20,24,28,32,36,40),0)/100)))+1)),0)</f>
        <v>2</v>
      </c>
      <c r="S2777">
        <f>IF(C2777,(H2777*N2777*IF(AND(Inputs!$B$38&lt;&gt;"pvp",Inputs!$B$43&gt;0),((Skills!G9*((R2777-1)*IF(Skills!H9&gt;0,Skills!I9/Skills!H9,1)+IF(Skills!H9&gt;0,MIN(Skills!I9,MAX(0,MAX(0,Inputs!$B$43-B2806)-((R2777-1)*(IF(Inputs!$B$38="pvp",15,MAX(0.1,Skills!E9-IF(TRUE=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655900767946889.62</v>
      </c>
      <c r="U2777">
        <f>IF(C2777,(H2777*N2777*IF(AND(Inputs!$B$38&lt;&gt;"pvp",Inputs!$B$43&gt;0),((Skills!G9*((R2777-1)*IF(Skills!H9&gt;0,Skills!I9/Skills!H9,1)+IF(Skills!H9&gt;0,MIN(Skills!I9,MAX(0,MAX(0,Inputs!$B$43-B2806)-((R2777-1)*(IF(Inputs!$B$38="pvp",15,MAX(0.1,Skills!E9-IF(TRUE=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6227953664101381</v>
      </c>
    </row>
    <row r="2778" spans="1:26" x14ac:dyDescent="0.2">
      <c r="A2778" t="str">
        <f>Skills!A10</f>
        <v>CREEPING_TOXIN</v>
      </c>
      <c r="B2778" t="str">
        <f>Skills!B10</f>
        <v>Creeping Toxin</v>
      </c>
      <c r="C2778" t="b">
        <f>TRUE</f>
        <v>1</v>
      </c>
      <c r="D2778">
        <f>IF(Skills!C10=1,60+Inputs!$B$25+Inputs!$B$29,IF(Skills!C10=2,90+Inputs!$B$26+Inputs!$B$29,IF(Skills!C10=3,120+Inputs!$B$27+Inputs!$B$29,MAX(0,(Inputs!$B$3-100)*3)+Inputs!$B$28+Inputs!$B$29)))</f>
        <v>184</v>
      </c>
      <c r="E2778">
        <f>INDEX(FactorTable!$B$2:$Y$301, MATCH(ROUND(MIN(300,MAX(1,D2778)),0), FactorTable!$A$2:$A$301,0), Skills!M10+1)</f>
        <v>1920</v>
      </c>
      <c r="F2778">
        <f>IF(Skills!N10=TRUE,(Skills!L10/10)*(E2778/1000),Skills!L10/10)+Skills!O10</f>
        <v>280.39999999999998</v>
      </c>
      <c r="G2778">
        <f>Calc!G10</f>
        <v>15</v>
      </c>
      <c r="H2778">
        <f>Calc!H10</f>
        <v>1</v>
      </c>
      <c r="I2778">
        <f>IF(Skills!X10&lt;&gt;"",1+(Skills!X10/10)*(Z2771/1000)/100,1)</f>
        <v>1.7650000000000001</v>
      </c>
      <c r="J2778">
        <f>((Inputs!$B$6*(1+Inputs!$B$7/100))+(((Inputs!$B$12*(1+Inputs!$B$13/100))-(Inputs!$B$12*(1+Inputs!$B$13/100)))+0.25*(Inputs!$B$14-Inputs!$B$14))*(1+Inputs!$B$7/100))*(F2778/100)</f>
        <v>1012621197.9803641</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9040614847746.7852</v>
      </c>
      <c r="L2778">
        <f>K2778*(MIN(Inputs!$B$22+(F2790-Calc!F22),(Inputs!$B$23+(IF(ArtifactsInput!$M$15,CHOOSE(ArtifactsInput!$N$15+1,25,30,35,40,45,50)/100*(Inputs!$B$11-Inputs!$B$11),0))))/100+(Inputs!$B$23+(IF(ArtifactsInput!$M$15,CHOOSE(ArtifactsInput!$N$15+1,25,30,35,40,45,50)/100*(Inputs!$B$11-Inputs!$B$11),0)))/100)/2</f>
        <v>30060044368758.062</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141853349376169.28</v>
      </c>
      <c r="N2778">
        <f>L2778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141853349376169.28</v>
      </c>
      <c r="O2778">
        <f>(1-Summary!$B$11)*S2778+Summary!$B$11*U2778</f>
        <v>332856987464110.69</v>
      </c>
      <c r="P2778">
        <f>IF(B2809=0,0,O2778/B2809)</f>
        <v>9.9705134039980367E-3</v>
      </c>
      <c r="Q2778">
        <f>IFERROR(1/(IF(Inputs!$B$38="pvp",15,MAX(0.1,Skills!E10-IF(TRUE=TRUE,0.5,0)))*(1-IF(AND(ArtifactsInput!$M$27,Inputs!$B$4="Chapter Hunt"),CHOOSE(ArtifactsInput!$N$27+1,20,24,28,32,36,40),0)/100)),0)</f>
        <v>3.7735849056603772E-2</v>
      </c>
      <c r="R2778">
        <f>IF(AND(Inputs!$B$38&lt;&gt;"pvp",Inputs!$B$43&gt;0),IF(MAX(0,Inputs!$B$43-B2806)&lt;=0,0,(INT(MAX(0,Inputs!$B$43-B2806)/(IF(Inputs!$B$38="pvp",15,MAX(0.1,Skills!E10-IF(TRUE=TRUE,0.5,0)))*(1-IF(AND(ArtifactsInput!$M$27,Inputs!$B$4="Chapter Hunt"),CHOOSE(ArtifactsInput!$N$27+1,20,24,28,32,36,40),0)/100)))+1)),0)</f>
        <v>2</v>
      </c>
      <c r="S2778">
        <f>IF(C2778,(H2778*N2778*IF(AND(Inputs!$B$38&lt;&gt;"pvp",Inputs!$B$43&gt;0),((Skills!G10*((R2778-1)*IF(Skills!H10&gt;0,Skills!I10/Skills!H10,1)+IF(Skills!H10&gt;0,MIN(Skills!I10,MAX(0,MAX(0,Inputs!$B$43-B2806)-((R2778-1)*(IF(Inputs!$B$38="pvp",15,MAX(0.1,Skills!E10-IF(TRUE=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293915501465523.94</v>
      </c>
      <c r="U2778">
        <f>IF(C2778,(H2778*N2778*IF(AND(Inputs!$B$38&lt;&gt;"pvp",Inputs!$B$43&gt;0),((Skills!G10*((R2778-1)*IF(Skills!H10&gt;0,Skills!I10/Skills!H10,1)+IF(Skills!H10&gt;0,MIN(Skills!I10,MAX(0,MAX(0,Inputs!$B$43-B2806)-((R2778-1)*(IF(Inputs!$B$38="pvp",15,MAX(0.1,Skills!E10-IF(TRUE=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371798473462697.44</v>
      </c>
    </row>
    <row r="2779" spans="1:26" x14ac:dyDescent="0.2">
      <c r="A2779" t="str">
        <f>Skills!A11</f>
        <v>BURNING_MAGIC</v>
      </c>
      <c r="B2779" t="str">
        <f>Skills!B11</f>
        <v>Burning Magic</v>
      </c>
      <c r="C2779" t="b">
        <f>TRUE</f>
        <v>1</v>
      </c>
      <c r="D2779">
        <f>IF(Skills!C11=1,60+Inputs!$B$25+Inputs!$B$29,IF(Skills!C11=2,90+Inputs!$B$26+Inputs!$B$29,IF(Skills!C11=3,120+Inputs!$B$27+Inputs!$B$29,MAX(0,(Inputs!$B$3-100)*3)+Inputs!$B$28+Inputs!$B$29)))</f>
        <v>184</v>
      </c>
      <c r="E2779">
        <f>INDEX(FactorTable!$B$2:$Y$301, MATCH(ROUND(MIN(300,MAX(1,D2779)),0), FactorTable!$A$2:$A$301,0), Skills!M11+1)</f>
        <v>0</v>
      </c>
      <c r="F2779">
        <f>IF(Skills!N11=TRUE,(Skills!L11/10)*(E2779/1000),Skills!L11/10)+Skills!O11</f>
        <v>5</v>
      </c>
      <c r="G2779">
        <f>Calc!G11</f>
        <v>1</v>
      </c>
      <c r="H2779">
        <f>Calc!H11</f>
        <v>1</v>
      </c>
      <c r="I2779">
        <f>IF(Skills!X11&lt;&gt;"",1+(Skills!X11/10)*(Z2771/1000)/100,1)</f>
        <v>1</v>
      </c>
      <c r="O2779">
        <f>(1-Summary!$B$11)*S2779+Summary!$B$11*U2779</f>
        <v>0</v>
      </c>
      <c r="P2779">
        <f>IF(B2809=0,0,O2779/B2809)</f>
        <v>0</v>
      </c>
      <c r="Q2779">
        <f>IFERROR(1/(IF(Inputs!$B$38="pvp",15,MAX(0.1,Skills!E11-IF(TRUE=TRUE,0.5,0)))*(1-IF(AND(ArtifactsInput!$M$27,Inputs!$B$4="Chapter Hunt"),CHOOSE(ArtifactsInput!$N$27+1,20,24,28,32,36,40),0)/100)),0)</f>
        <v>10</v>
      </c>
      <c r="R2779">
        <v>0</v>
      </c>
      <c r="S2779">
        <v>0</v>
      </c>
      <c r="U2779">
        <v>0</v>
      </c>
    </row>
    <row r="2780" spans="1:26" x14ac:dyDescent="0.2">
      <c r="A2780" t="str">
        <f>Skills!A12</f>
        <v>ELEMENTAL_DECREASE</v>
      </c>
      <c r="B2780" t="str">
        <f>Skills!B12</f>
        <v>Elemental Decrease</v>
      </c>
      <c r="C2780" t="b">
        <f>TRUE</f>
        <v>1</v>
      </c>
      <c r="D2780">
        <f>IF(Skills!C12=1,60+Inputs!$B$25+Inputs!$B$29,IF(Skills!C12=2,90+Inputs!$B$26+Inputs!$B$29,IF(Skills!C12=3,120+Inputs!$B$27+Inputs!$B$29,MAX(0,(Inputs!$B$3-100)*3)+Inputs!$B$28+Inputs!$B$29)))</f>
        <v>184</v>
      </c>
      <c r="E2780">
        <f>INDEX(FactorTable!$B$2:$Y$301, MATCH(ROUND(MIN(300,MAX(1,D2780)),0), FactorTable!$A$2:$A$301,0), Skills!M12+1)</f>
        <v>1552</v>
      </c>
      <c r="F2780">
        <f>IF(Skills!N12=TRUE,(Skills!L12/10)*(E2780/1000),Skills!L12/10)+Skills!O12</f>
        <v>18.624000000000002</v>
      </c>
      <c r="G2780">
        <f>Calc!G12</f>
        <v>1</v>
      </c>
      <c r="H2780">
        <f>Calc!H12</f>
        <v>0.5</v>
      </c>
      <c r="I2780">
        <f>IF(Skills!X12&lt;&gt;"",1+(Skills!X12/10)*(Z2771/1000)/100,1)</f>
        <v>1</v>
      </c>
      <c r="O2780">
        <f>(1-Summary!$B$11)*S2780+Summary!$B$11*U2780</f>
        <v>0</v>
      </c>
      <c r="P2780">
        <f>IF(B2809=0,0,O2780/B2809)</f>
        <v>0</v>
      </c>
      <c r="Q2780">
        <f>IFERROR(1/(IF(Inputs!$B$38="pvp",15,MAX(0.1,Skills!E12-IF(TRUE=TRUE,0.5,0)))*(1-IF(AND(ArtifactsInput!$M$27,Inputs!$B$4="Chapter Hunt"),CHOOSE(ArtifactsInput!$N$27+1,20,24,28,32,36,40),0)/100)),0)</f>
        <v>10</v>
      </c>
      <c r="R2780">
        <v>0</v>
      </c>
      <c r="S2780">
        <v>0</v>
      </c>
      <c r="U2780">
        <v>0</v>
      </c>
    </row>
    <row r="2781" spans="1:26" x14ac:dyDescent="0.2">
      <c r="A2781" t="str">
        <f>Skills!A13</f>
        <v>METEOR_SHOWER_BURST</v>
      </c>
      <c r="B2781" t="str">
        <f>Skills!B13</f>
        <v>Meteor Shower (burst)</v>
      </c>
      <c r="C2781" t="b">
        <f>Inputs!$B$3&gt;=105</f>
        <v>1</v>
      </c>
      <c r="D2781">
        <f>IF(Skills!C13=1,60+Inputs!$B$25+Inputs!$B$29,IF(Skills!C13=2,90+Inputs!$B$26+Inputs!$B$29,IF(Skills!C13=3,120+Inputs!$B$27+Inputs!$B$29,MAX(0,(Inputs!$B$3-100)*3)+Inputs!$B$28+Inputs!$B$29)))</f>
        <v>185</v>
      </c>
      <c r="E2781">
        <f>INDEX(FactorTable!$B$2:$Y$301, MATCH(ROUND(MIN(300,MAX(1,D2781)),0), FactorTable!$A$2:$A$301,0), Skills!M13+1)</f>
        <v>1925</v>
      </c>
      <c r="F2781">
        <f>IF(Skills!N13=TRUE,(Skills!L13/10)*(E2781/1000),Skills!L13/10)+Skills!O13</f>
        <v>1155</v>
      </c>
      <c r="G2781">
        <f>Calc!G13</f>
        <v>9</v>
      </c>
      <c r="H2781">
        <f>Calc!H13</f>
        <v>1</v>
      </c>
      <c r="I2781">
        <f>IF(Skills!X13&lt;&gt;"",1+(Skills!X13/10)*(Z2771/1000)/100,1)</f>
        <v>1</v>
      </c>
      <c r="J2781">
        <f>((Inputs!$B$6*(1+Inputs!$B$7/100))+(((Inputs!$B$12*(1+Inputs!$B$13/100))-(Inputs!$B$12*(1+Inputs!$B$13/100)))+0.25*(Inputs!$B$14-Inputs!$B$14))*(1+Inputs!$B$7/100))*(F2781/100)</f>
        <v>4171103722.0660505</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21098774614063.152</v>
      </c>
      <c r="L2781">
        <f>K2781*(MIN(Inputs!$B$22+(F2790-Calc!F22),(Inputs!$B$23+(IF(ArtifactsInput!$M$15,CHOOSE(ArtifactsInput!$N$15+1,25,30,35,40,45,50)/100*(Inputs!$B$11-Inputs!$B$11),0))))/100+(Inputs!$B$23+(IF(ArtifactsInput!$M$15,CHOOSE(ArtifactsInput!$N$15+1,25,30,35,40,45,50)/100*(Inputs!$B$11-Inputs!$B$11),0)))/100)/2</f>
        <v>70153425591759.984</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331054015367515.31</v>
      </c>
      <c r="N2781">
        <f>L2781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331054015367515.31</v>
      </c>
      <c r="O2781">
        <f>(1-Summary!$B$11)*S2781+Summary!$B$11*U2781</f>
        <v>1805568599814428.8</v>
      </c>
      <c r="P2781">
        <f>IF(B2809=0,0,O2781/B2809)</f>
        <v>5.4084626744477726E-2</v>
      </c>
      <c r="Q2781">
        <f>IFERROR(1/(IF(Inputs!$B$38="pvp",15,MAX(0.1,Skills!E13-IF(TRUE=TRUE,0.5,0)))*(1-IF(AND(ArtifactsInput!$M$27,Inputs!$B$4="Chapter Hunt"),CHOOSE(ArtifactsInput!$N$27+1,20,24,28,32,36,40),0)/100)),0)</f>
        <v>3.0769230769230771E-2</v>
      </c>
      <c r="R2781">
        <f>IF(AND(Inputs!$B$38&lt;&gt;"pvp",Inputs!$B$43&gt;0),IF(MAX(0,Inputs!$B$43-B2806)&lt;=0,0,(INT(MAX(0,Inputs!$B$43-B2806)/(IF(Inputs!$B$38="pvp",15,MAX(0.1,Skills!E13-IF(TRUE=TRUE,0.5,0)))*(1-IF(AND(ArtifactsInput!$M$27,Inputs!$B$4="Chapter Hunt"),CHOOSE(ArtifactsInput!$N$27+1,20,24,28,32,36,40),0)/100)))+1)),0)</f>
        <v>2</v>
      </c>
      <c r="S2781">
        <f>IF(C2781,(H2781*N2781*IF(AND(Inputs!$B$38&lt;&gt;"pvp",Inputs!$B$43&gt;0),((Skills!G13*((R2781-1)*IF(Skills!H13&gt;0,Skills!I13/Skills!H13,1)+IF(Skills!H13&gt;0,MIN(Skills!I13,MAX(0,MAX(0,Inputs!$B$43-B2806)-((R2781-1)*(IF(Inputs!$B$38="pvp",15,MAX(0.1,Skills!E13-IF(TRUE=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472248552921760.62</v>
      </c>
      <c r="U2781">
        <f>IF(C2781,(H2781*N2781*IF(AND(Inputs!$B$38&lt;&gt;"pvp",Inputs!$B$43&gt;0),((Skills!G13*((R2781-1)*IF(Skills!H13&gt;0,Skills!I13/Skills!H13,1)+IF(Skills!H13&gt;0,MIN(Skills!I13,MAX(0,MAX(0,Inputs!$B$43-B2806)-((R2781-1)*(IF(Inputs!$B$38="pvp",15,MAX(0.1,Skills!E13-IF(TRUE=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3138888646707097</v>
      </c>
    </row>
    <row r="2782" spans="1:26" x14ac:dyDescent="0.2">
      <c r="A2782" t="str">
        <f>Skills!A14</f>
        <v>METEOR_PROC</v>
      </c>
      <c r="B2782" t="str">
        <f>Skills!B14</f>
        <v>Meteor Proc (30% on-hit, 1s ICD)</v>
      </c>
      <c r="C2782" t="b">
        <f>Inputs!$B$3&gt;=113</f>
        <v>1</v>
      </c>
      <c r="D2782">
        <f>IF(Skills!C14=1,60+Inputs!$B$25+Inputs!$B$29,IF(Skills!C14=2,90+Inputs!$B$26+Inputs!$B$29,IF(Skills!C14=3,120+Inputs!$B$27+Inputs!$B$29,MAX(0,(Inputs!$B$3-100)*3)+Inputs!$B$28+Inputs!$B$29)))</f>
        <v>185</v>
      </c>
      <c r="E2782">
        <f>INDEX(FactorTable!$B$2:$Y$301, MATCH(ROUND(MIN(300,MAX(1,D2782)),0), FactorTable!$A$2:$A$301,0), Skills!M14+1)</f>
        <v>1740</v>
      </c>
      <c r="F2782">
        <f>IF(Skills!N14=TRUE,(Skills!L14/10)*(E2782/1000),Skills!L14/10)+Skills!O14</f>
        <v>1653</v>
      </c>
      <c r="G2782">
        <f>Calc!G14</f>
        <v>0</v>
      </c>
      <c r="H2782">
        <f>Calc!H14</f>
        <v>0.30000000000000004</v>
      </c>
      <c r="I2782">
        <f>IF(Skills!X14&lt;&gt;"",1+(Skills!X14/10)*(Z2771/1000)/100,1)</f>
        <v>1</v>
      </c>
      <c r="J2782">
        <f>((Inputs!$B$6*(1+Inputs!$B$7/100))+(((Inputs!$B$12*(1+Inputs!$B$13/100))-(Inputs!$B$12*(1+Inputs!$B$13/100)))+0.25*(Inputs!$B$14-Inputs!$B$14))*(1+Inputs!$B$7/100))*(F2782/100)</f>
        <v>5969553638.5932312</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30195908603503.359</v>
      </c>
      <c r="L2782">
        <f>K2782*(MIN(Inputs!$B$22+(F2790-Calc!F22),(Inputs!$B$23+(IF(ArtifactsInput!$M$15,CHOOSE(ArtifactsInput!$N$15+1,25,30,35,40,45,50)/100*(Inputs!$B$11-Inputs!$B$11),0))))/100+(Inputs!$B$23+(IF(ArtifactsInput!$M$15,CHOOSE(ArtifactsInput!$N$15+1,25,30,35,40,45,50)/100*(Inputs!$B$11-Inputs!$B$11),0)))/100)/2</f>
        <v>100401396106648.67</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473794188227275</v>
      </c>
      <c r="N2782">
        <f>L2782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473794188227275</v>
      </c>
      <c r="O2782">
        <f>(1-Summary!$B$11)*S2782+Summary!$B$11*U2782</f>
        <v>464341367975079.44</v>
      </c>
      <c r="P2782">
        <f>IF(B2809=0,0,O2782/B2809)</f>
        <v>1.3909042044447092E-2</v>
      </c>
      <c r="Q2782">
        <f>IFERROR(1/(IF(Inputs!$B$38="pvp",15,MAX(0.1,Skills!E14-IF(TRUE=TRUE,0.5,0)))*(1-IF(AND(ArtifactsInput!$M$27,Inputs!$B$4="Chapter Hunt"),CHOOSE(ArtifactsInput!$N$27+1,20,24,28,32,36,40),0)/100)),0)</f>
        <v>10</v>
      </c>
      <c r="R2782">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476363150964725.5</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452319584985433.38</v>
      </c>
    </row>
    <row r="2783" spans="1:26" x14ac:dyDescent="0.2">
      <c r="A2783" t="str">
        <f>Skills!A15</f>
        <v>FLAME_HAZE_BURST</v>
      </c>
      <c r="B2783" t="str">
        <f>Skills!B15</f>
        <v>Flame Haze (burst)</v>
      </c>
      <c r="C2783" t="b">
        <f>Inputs!$B$3&gt;=107</f>
        <v>1</v>
      </c>
      <c r="D2783">
        <f>IF(Skills!C15=1,60+Inputs!$B$25+Inputs!$B$29,IF(Skills!C15=2,90+Inputs!$B$26+Inputs!$B$29,IF(Skills!C15=3,120+Inputs!$B$27+Inputs!$B$29,MAX(0,(Inputs!$B$3-100)*3)+Inputs!$B$28+Inputs!$B$29)))</f>
        <v>185</v>
      </c>
      <c r="E2783">
        <f>INDEX(FactorTable!$B$2:$Y$301, MATCH(ROUND(MIN(300,MAX(1,D2783)),0), FactorTable!$A$2:$A$301,0), Skills!M15+1)</f>
        <v>1925</v>
      </c>
      <c r="F2783">
        <f>IF(Skills!N15=TRUE,(Skills!L15/10)*(E2783/1000),Skills!L15/10)+Skills!O15</f>
        <v>2310</v>
      </c>
      <c r="G2783">
        <f>Calc!G15</f>
        <v>3</v>
      </c>
      <c r="H2783">
        <f>Calc!H15</f>
        <v>1</v>
      </c>
      <c r="I2783">
        <f>IF(Skills!X15&lt;&gt;"",1+(Skills!X15/10)*(Z2771/1000)/100,1)</f>
        <v>1</v>
      </c>
      <c r="J2783">
        <f>((Inputs!$B$6*(1+Inputs!$B$7/100))+(((Inputs!$B$12*(1+Inputs!$B$13/100))-(Inputs!$B$12*(1+Inputs!$B$13/100)))+0.25*(Inputs!$B$14-Inputs!$B$14))*(1+Inputs!$B$7/100))*(F2783/100)</f>
        <v>8342207444.1321011</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42197549228126.305</v>
      </c>
      <c r="L2783">
        <f>K2783*(MIN(Inputs!$B$22+(F2790-Calc!F22),(Inputs!$B$23+(IF(ArtifactsInput!$M$15,CHOOSE(ArtifactsInput!$N$15+1,25,30,35,40,45,50)/100*(Inputs!$B$11-Inputs!$B$11),0))))/100+(Inputs!$B$23+(IF(ArtifactsInput!$M$15,CHOOSE(ArtifactsInput!$N$15+1,25,30,35,40,45,50)/100*(Inputs!$B$11-Inputs!$B$11),0)))/100)/2</f>
        <v>140306851183519.97</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662108030735030.62</v>
      </c>
      <c r="N2783">
        <f>L2783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662108030735030.62</v>
      </c>
      <c r="O2783">
        <f>(1-Summary!$B$11)*S2783+Summary!$B$11*U2783</f>
        <v>1652125063691585</v>
      </c>
      <c r="P2783">
        <f>IF(B2809=0,0,O2783/B2809)</f>
        <v>4.9488325956786948E-2</v>
      </c>
      <c r="Q2783">
        <f>IFERROR(1/(IF(Inputs!$B$38="pvp",15,MAX(0.1,Skills!E15-IF(TRUE=TRUE,0.5,0)))*(1-IF(AND(ArtifactsInput!$M$27,Inputs!$B$4="Chapter Hunt"),CHOOSE(ArtifactsInput!$N$27+1,20,24,28,32,36,40),0)/100)),0)</f>
        <v>4.0816326530612242E-2</v>
      </c>
      <c r="R2783">
        <f>IF(AND(Inputs!$B$38&lt;&gt;"pvp",Inputs!$B$43&gt;0),IF(MAX(0,Inputs!$B$43-B2806)&lt;=0,0,(INT(MAX(0,Inputs!$B$43-B2806)/(IF(Inputs!$B$38="pvp",15,MAX(0.1,Skills!E15-IF(TRUE=TRUE,0.5,0)))*(1-IF(AND(ArtifactsInput!$M$27,Inputs!$B$4="Chapter Hunt"),CHOOSE(ArtifactsInput!$N$27+1,20,24,28,32,36,40),0)/100)))+1)),0)</f>
        <v>2</v>
      </c>
      <c r="S2783">
        <f>IF(C2783,(H2783*N2783*IF(AND(Inputs!$B$38&lt;&gt;"pvp",Inputs!$B$43&gt;0),((Skills!G15*((R2783-1)*IF(Skills!H15&gt;0,Skills!I15/Skills!H15,1)+IF(Skills!H15&gt;0,MIN(Skills!I15,MAX(0,MAX(0,Inputs!$B$43-B2806)-((R2783-1)*(IF(Inputs!$B$38="pvp",15,MAX(0.1,Skills!E15-IF(TRUE=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314832368614507.06</v>
      </c>
      <c r="U2783">
        <f>IF(C2783,(H2783*N2783*IF(AND(Inputs!$B$38&lt;&gt;"pvp",Inputs!$B$43&gt;0),((Skills!G15*((R2783-1)*IF(Skills!H15&gt;0,Skills!I15/Skills!H15,1)+IF(Skills!H15&gt;0,MIN(Skills!I15,MAX(0,MAX(0,Inputs!$B$43-B2806)-((R2783-1)*(IF(Inputs!$B$38="pvp",15,MAX(0.1,Skills!E15-IF(TRUE=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2989417758768663</v>
      </c>
    </row>
    <row r="2784" spans="1:26" x14ac:dyDescent="0.2">
      <c r="A2784" t="str">
        <f>Skills!A16</f>
        <v>FLAME_HAZE_DOT</v>
      </c>
      <c r="B2784" t="str">
        <f>Skills!B16</f>
        <v>Flame Haze (burn DoT)</v>
      </c>
      <c r="C2784" t="b">
        <f>Inputs!$B$3&gt;=107</f>
        <v>1</v>
      </c>
      <c r="D2784">
        <f>IF(Skills!C16=1,60+Inputs!$B$25+Inputs!$B$29,IF(Skills!C16=2,90+Inputs!$B$26+Inputs!$B$29,IF(Skills!C16=3,120+Inputs!$B$27+Inputs!$B$29,MAX(0,(Inputs!$B$3-100)*3)+Inputs!$B$28+Inputs!$B$29)))</f>
        <v>185</v>
      </c>
      <c r="E2784">
        <f>INDEX(FactorTable!$B$2:$Y$301, MATCH(ROUND(MIN(300,MAX(1,D2784)),0), FactorTable!$A$2:$A$301,0), Skills!M16+1)</f>
        <v>1925</v>
      </c>
      <c r="F2784">
        <f>IF(Skills!N16=TRUE,(Skills!L16/10)*(E2784/1000),Skills!L16/10)+Skills!O16</f>
        <v>288.75</v>
      </c>
      <c r="G2784">
        <f>Calc!G16</f>
        <v>30</v>
      </c>
      <c r="H2784">
        <f>Calc!H16</f>
        <v>1</v>
      </c>
      <c r="I2784">
        <f>IF(Skills!X16&lt;&gt;"",1+(Skills!X16/10)*(Z2771/1000)/100,1)</f>
        <v>1</v>
      </c>
      <c r="J2784">
        <f>((Inputs!$B$6*(1+Inputs!$B$7/100))+(((Inputs!$B$12*(1+Inputs!$B$13/100))-(Inputs!$B$12*(1+Inputs!$B$13/100)))+0.25*(Inputs!$B$14-Inputs!$B$14))*(1+Inputs!$B$7/100))*(F2784/100)</f>
        <v>1042775930.5165126</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5274693653515.7881</v>
      </c>
      <c r="L2784">
        <f>K2784*(MIN(Inputs!$B$22+(F2790-Calc!F22),(Inputs!$B$23+(IF(ArtifactsInput!$M$15,CHOOSE(ArtifactsInput!$N$15+1,25,30,35,40,45,50)/100*(Inputs!$B$11-Inputs!$B$11),0))))/100+(Inputs!$B$23+(IF(ArtifactsInput!$M$15,CHOOSE(ArtifactsInput!$N$15+1,25,30,35,40,45,50)/100*(Inputs!$B$11-Inputs!$B$11),0)))/100)/2</f>
        <v>17538356397939.996</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82763503841878.828</v>
      </c>
      <c r="N2784">
        <f>L2784*(1-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82763503841878.828</v>
      </c>
      <c r="O2784">
        <f>(1-Summary!$B$11)*S2784+Summary!$B$11*U2784</f>
        <v>1937440027323109</v>
      </c>
      <c r="P2784">
        <f>IF(B2809=0,0,O2784/B2809)</f>
        <v>5.803474912465284E-2</v>
      </c>
      <c r="Q2784">
        <f>IFERROR(1/(IF(Inputs!$B$38="pvp",15,MAX(0.1,Skills!E16-IF(TRUE=TRUE,0.5,0)))*(1-IF(AND(ArtifactsInput!$M$27,Inputs!$B$4="Chapter Hunt"),CHOOSE(ArtifactsInput!$N$27+1,20,24,28,32,36,40),0)/100)),0)</f>
        <v>4.0816326530612242E-2</v>
      </c>
      <c r="R2784">
        <f>IF(AND(Inputs!$B$38&lt;&gt;"pvp",Inputs!$B$43&gt;0),IF(MAX(0,Inputs!$B$43-B2806)&lt;=0,0,(INT(MAX(0,Inputs!$B$43-B2806)/(IF(Inputs!$B$38="pvp",15,MAX(0.1,Skills!E16-IF(TRUE=TRUE,0.5,0)))*(1-IF(AND(ArtifactsInput!$M$27,Inputs!$B$4="Chapter Hunt"),CHOOSE(ArtifactsInput!$N$27+1,20,24,28,32,36,40),0)/100)))+1)),0)</f>
        <v>2</v>
      </c>
      <c r="S2784">
        <f>IF(C2784,(H2784*N2784*IF(AND(Inputs!$B$38&lt;&gt;"pvp",Inputs!$B$43&gt;0),((Skills!G16*((R2784-1)*IF(Skills!H16&gt;0,Skills!I16/Skills!H16,1)+IF(Skills!H16&gt;0,MIN(Skills!I16,MAX(0,MAX(0,Inputs!$B$43-B2806)-((R2784-1)*(IF(Inputs!$B$38="pvp",15,MAX(0.1,Skills!E16-IF(TRUE=TRUE,0.5,0)))*(1-IF(AND(ArtifactsInput!$M$27,Inputs!$B$4="Chapter Hunt"),CHOOSE(ArtifactsInput!$N$27+1,20,24,28,32,36,40),0)/100)))))/Skills!H16,1)))/Inputs!$B$43),G2784*Q2784)*(1+IF(Inputs!$B$3&gt;=126,0.05*(B2804+Q2781+(H2782*B2805)/(1+Skills!H14*H2782*B2805)+Q2792),0)*(1/Q2783)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369202578095236.31</v>
      </c>
      <c r="U2784">
        <f>IF(C2784,(H2784*N2784*IF(AND(Inputs!$B$38&lt;&gt;"pvp",Inputs!$B$43&gt;0),((Skills!G16*((R2784-1)*IF(Skills!H16&gt;0,Skills!I16/Skills!H16,1)+IF(Skills!H16&gt;0,MIN(Skills!I16,MAX(0,MAX(0,Inputs!$B$43-B2806)-((R2784-1)*(IF(Inputs!$B$38="pvp",15,MAX(0.1,Skills!E16-IF(TRUE=TRUE,0.5,0)))*(1-IF(AND(ArtifactsInput!$M$27,Inputs!$B$4="Chapter Hunt"),CHOOSE(ArtifactsInput!$N$27+1,20,24,28,32,36,40),0)/100)))))/Skills!H16,1)))/Inputs!$B$43),G2784*Q2784)*(1+IF(Inputs!$B$3&gt;=126,0.05*(B2804+Q2781+(H2782*B2805)/(1+Skills!H14*H2782*B2805)+Q2792),0)*(1/Q2783)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3505677476550981.5</v>
      </c>
    </row>
    <row r="2785" spans="1:21" x14ac:dyDescent="0.2">
      <c r="A2785" t="str">
        <f>Skills!A17</f>
        <v>MAGIC_GUARD</v>
      </c>
      <c r="B2785" t="str">
        <f>Skills!B17</f>
        <v>Magic Guard</v>
      </c>
      <c r="C2785" t="b">
        <f>TRUE</f>
        <v>1</v>
      </c>
      <c r="D2785">
        <f>IF(Skills!C17=1,60+Inputs!$B$25+Inputs!$B$29,IF(Skills!C17=2,90+Inputs!$B$26+Inputs!$B$29,IF(Skills!C17=3,120+Inputs!$B$27+Inputs!$B$29,MAX(0,(Inputs!$B$3-100)*3)+Inputs!$B$28+Inputs!$B$29)))</f>
        <v>127</v>
      </c>
      <c r="E2785">
        <f>INDEX(FactorTable!$B$2:$Y$301, MATCH(ROUND(MIN(300,MAX(1,D2785)),0), FactorTable!$A$2:$A$301,0), Skills!M17+1)</f>
        <v>1508</v>
      </c>
      <c r="F2785">
        <f>IF(Skills!N17=TRUE,(Skills!L17/10)*(E2785/1000),Skills!L17/10)+Skills!O17</f>
        <v>18.096</v>
      </c>
      <c r="G2785">
        <f>Calc!G17</f>
        <v>1</v>
      </c>
      <c r="H2785">
        <f>Calc!H17</f>
        <v>1</v>
      </c>
      <c r="I2785">
        <f>IF(Skills!X17&lt;&gt;"",1+(Skills!X17/10)*(Z2771/1000)/100,1)</f>
        <v>1</v>
      </c>
      <c r="O2785">
        <f>(1-Summary!$B$11)*S2785+Summary!$B$11*U2785</f>
        <v>0</v>
      </c>
      <c r="P2785">
        <f>IF(B2809=0,0,O2785/B2809)</f>
        <v>0</v>
      </c>
      <c r="Q2785">
        <f>IFERROR(1/(IF(Inputs!$B$38="pvp",15,MAX(0.1,Skills!E17-IF(TRUE=TRUE,0.5,0)))*(1-IF(AND(ArtifactsInput!$M$27,Inputs!$B$4="Chapter Hunt"),CHOOSE(ArtifactsInput!$N$27+1,20,24,28,32,36,40),0)/100)),0)</f>
        <v>4.878048780487805E-2</v>
      </c>
      <c r="R2785">
        <f>IF(AND(Inputs!$B$38&lt;&gt;"pvp",Inputs!$B$43&gt;0),IF(Inputs!$B$43&lt;=0,0,(INT(Inputs!$B$43/(IF(Inputs!$B$38="pvp",15,MAX(0.1,Skills!E17-IF(TRUE=TRUE,0.5,0)))*(1-IF(AND(ArtifactsInput!$M$27,Inputs!$B$4="Chapter Hunt"),CHOOSE(ArtifactsInput!$N$27+1,20,24,28,32,36,40),0)/100)))+1)),0)</f>
        <v>2</v>
      </c>
      <c r="S2785">
        <v>0</v>
      </c>
      <c r="U2785">
        <v>0</v>
      </c>
    </row>
    <row r="2786" spans="1:21" x14ac:dyDescent="0.2">
      <c r="A2786" t="str">
        <f>Skills!A18</f>
        <v>NIMBLE_FEET</v>
      </c>
      <c r="B2786" t="str">
        <f>Skills!B18</f>
        <v>Nimble Feet</v>
      </c>
      <c r="C2786" t="b">
        <f>TRUE</f>
        <v>1</v>
      </c>
      <c r="D2786">
        <f>IF(Skills!C18=1,60+Inputs!$B$25+Inputs!$B$29,IF(Skills!C18=2,90+Inputs!$B$26+Inputs!$B$29,IF(Skills!C18=3,120+Inputs!$B$27+Inputs!$B$29,MAX(0,(Inputs!$B$3-100)*3)+Inputs!$B$28+Inputs!$B$29)))</f>
        <v>127</v>
      </c>
      <c r="E2786">
        <f>INDEX(FactorTable!$B$2:$Y$301, MATCH(ROUND(MIN(300,MAX(1,D2786)),0), FactorTable!$A$2:$A$301,0), Skills!M18+1)</f>
        <v>0</v>
      </c>
      <c r="F2786">
        <f>IF(Skills!N18=TRUE,(Skills!L18/10)*(E2786/1000),Skills!L18/10)+Skills!O18</f>
        <v>15</v>
      </c>
      <c r="G2786">
        <f>Calc!G18</f>
        <v>1</v>
      </c>
      <c r="H2786">
        <f>Calc!H18</f>
        <v>1</v>
      </c>
      <c r="I2786">
        <f>IF(Skills!X18&lt;&gt;"",1+(Skills!X18/10)*(Z2771/1000)/100,1)</f>
        <v>1</v>
      </c>
      <c r="O2786">
        <f>(1-Summary!$B$11)*S2786+Summary!$B$11*U2786</f>
        <v>0</v>
      </c>
      <c r="P2786">
        <f>IF(B2809=0,0,O2786/B2809)</f>
        <v>0</v>
      </c>
      <c r="Q2786">
        <f>IFERROR(1/(IF(Inputs!$B$38="pvp",15,MAX(0.1,Skills!E18-IF(TRUE=TRUE,0.5,0)))*(1-IF(AND(ArtifactsInput!$M$27,Inputs!$B$4="Chapter Hunt"),CHOOSE(ArtifactsInput!$N$27+1,20,24,28,32,36,40),0)/100)),0)</f>
        <v>1.680672268907563E-2</v>
      </c>
      <c r="R2786">
        <f>IF(AND(Inputs!$B$38&lt;&gt;"pvp",Inputs!$B$43&gt;0),IF(Inputs!$B$43&lt;=0,0,(INT(Inputs!$B$43/(IF(Inputs!$B$38="pvp",15,MAX(0.1,Skills!E18-IF(TRUE=TRUE,0.5,0)))*(1-IF(AND(ArtifactsInput!$M$27,Inputs!$B$4="Chapter Hunt"),CHOOSE(ArtifactsInput!$N$27+1,20,24,28,32,36,40),0)/100)))+1)),0)</f>
        <v>1</v>
      </c>
      <c r="S2786">
        <v>0</v>
      </c>
      <c r="U2786">
        <v>0</v>
      </c>
    </row>
    <row r="2787" spans="1:21" x14ac:dyDescent="0.2">
      <c r="A2787" t="str">
        <f>Skills!A19</f>
        <v>INFINITY</v>
      </c>
      <c r="B2787" t="str">
        <f>Skills!B19</f>
        <v>Infinity</v>
      </c>
      <c r="C2787" t="b">
        <f>Inputs!$B$3&gt;=110</f>
        <v>1</v>
      </c>
      <c r="D2787">
        <f>IF(Skills!C19=1,60+Inputs!$B$25+Inputs!$B$29,IF(Skills!C19=2,90+Inputs!$B$26+Inputs!$B$29,IF(Skills!C19=3,120+Inputs!$B$27+Inputs!$B$29,MAX(0,(Inputs!$B$3-100)*3)+Inputs!$B$28+Inputs!$B$29)))</f>
        <v>185</v>
      </c>
      <c r="E2787">
        <f>INDEX(FactorTable!$B$2:$Y$301, MATCH(ROUND(MIN(300,MAX(1,D2787)),0), FactorTable!$A$2:$A$301,0), Skills!M19+1)</f>
        <v>1740</v>
      </c>
      <c r="F2787">
        <f>IF(Skills!N19=TRUE,(Skills!L19/10)*(E2787/1000),Skills!L19/10)+Skills!O19</f>
        <v>37.700579999999995</v>
      </c>
      <c r="G2787">
        <f>Calc!G19</f>
        <v>1</v>
      </c>
      <c r="H2787">
        <f>Calc!H19</f>
        <v>1</v>
      </c>
      <c r="I2787">
        <f>IF(Skills!X19&lt;&gt;"",1+(Skills!X19/10)*(Z2771/1000)/100,1)</f>
        <v>1</v>
      </c>
      <c r="O2787">
        <f>(1-Summary!$B$11)*S2787+Summary!$B$11*U2787</f>
        <v>0</v>
      </c>
      <c r="P2787">
        <f>IF(B2809=0,0,O2787/B2809)</f>
        <v>0</v>
      </c>
      <c r="Q2787">
        <f>IFERROR(1/(IF(Inputs!$B$38="pvp",15,MAX(0.1,Skills!E19-IF(TRUE=TRUE,0.5,0)))*(1-IF(AND(ArtifactsInput!$M$27,Inputs!$B$4="Chapter Hunt"),CHOOSE(ArtifactsInput!$N$27+1,20,24,28,32,36,40),0)/100)),0)</f>
        <v>3.3898305084745763E-2</v>
      </c>
      <c r="R2787">
        <f>IF(AND(Inputs!$B$38&lt;&gt;"pvp",Inputs!$B$43&gt;0),IF(Inputs!$B$43&lt;=0,0,(INT(Inputs!$B$43/(IF(Inputs!$B$38="pvp",15,MAX(0.1,Skills!E19-IF(TRUE=TRUE,0.5,0)))*(1-IF(AND(ArtifactsInput!$M$27,Inputs!$B$4="Chapter Hunt"),CHOOSE(ArtifactsInput!$N$27+1,20,24,28,32,36,40),0)/100)))+1)),0)</f>
        <v>2</v>
      </c>
      <c r="S2787">
        <v>0</v>
      </c>
      <c r="U2787">
        <v>0</v>
      </c>
    </row>
    <row r="2788" spans="1:21" x14ac:dyDescent="0.2">
      <c r="A2788" t="str">
        <f>Skills!A20</f>
        <v>MAGIC_CRITICAL_RATE</v>
      </c>
      <c r="B2788" t="str">
        <f>Skills!B20</f>
        <v>Magic Critical (Crit Rate)</v>
      </c>
      <c r="C2788" t="b">
        <f>TRUE</f>
        <v>1</v>
      </c>
      <c r="D2788">
        <f>IF(Skills!C20=1,60+Inputs!$B$25+Inputs!$B$29,IF(Skills!C20=2,90+Inputs!$B$26+Inputs!$B$29,IF(Skills!C20=3,120+Inputs!$B$27+Inputs!$B$29,MAX(0,(Inputs!$B$3-100)*3)+Inputs!$B$28+Inputs!$B$29)))</f>
        <v>184</v>
      </c>
      <c r="E2788">
        <f>INDEX(FactorTable!$B$2:$Y$301, MATCH(ROUND(MIN(300,MAX(1,D2788)),0), FactorTable!$A$2:$A$301,0), Skills!M20+1)</f>
        <v>1552</v>
      </c>
      <c r="F2788">
        <f>IF(Skills!N20=TRUE,(Skills!L20/10)*(E2788/1000),Skills!L20/10)+Skills!O20</f>
        <v>12.416</v>
      </c>
      <c r="G2788">
        <f>Calc!G20</f>
        <v>1</v>
      </c>
      <c r="H2788">
        <f>Calc!H20</f>
        <v>1</v>
      </c>
      <c r="I2788">
        <f>IF(Skills!X20&lt;&gt;"",1+(Skills!X20/10)*(Z2771/1000)/100,1)</f>
        <v>1</v>
      </c>
      <c r="O2788">
        <f>(1-Summary!$B$11)*S2788+Summary!$B$11*U2788</f>
        <v>0</v>
      </c>
      <c r="P2788">
        <f>IF(B2809=0,0,O2788/B2809)</f>
        <v>0</v>
      </c>
      <c r="Q2788">
        <f>IFERROR(1/(IF(Inputs!$B$38="pvp",15,MAX(0.1,Skills!E20-IF(TRUE=TRUE,0.5,0)))*(1-IF(AND(ArtifactsInput!$M$27,Inputs!$B$4="Chapter Hunt"),CHOOSE(ArtifactsInput!$N$27+1,20,24,28,32,36,40),0)/100)),0)</f>
        <v>10</v>
      </c>
      <c r="R2788">
        <v>0</v>
      </c>
      <c r="S2788">
        <v>0</v>
      </c>
      <c r="U2788">
        <v>0</v>
      </c>
    </row>
    <row r="2789" spans="1:21" x14ac:dyDescent="0.2">
      <c r="A2789" t="str">
        <f>Skills!A21</f>
        <v>MAGIC_CRITICAL_DAMAGE</v>
      </c>
      <c r="B2789" t="str">
        <f>Skills!B21</f>
        <v>Magic Critical (Crit Damage)</v>
      </c>
      <c r="C2789" t="b">
        <f>TRUE</f>
        <v>1</v>
      </c>
      <c r="D2789">
        <f>IF(Skills!C21=1,60+Inputs!$B$25+Inputs!$B$29,IF(Skills!C21=2,90+Inputs!$B$26+Inputs!$B$29,IF(Skills!C21=3,120+Inputs!$B$27+Inputs!$B$29,MAX(0,(Inputs!$B$3-100)*3)+Inputs!$B$28+Inputs!$B$29)))</f>
        <v>184</v>
      </c>
      <c r="E2789">
        <f>INDEX(FactorTable!$B$2:$Y$301, MATCH(ROUND(MIN(300,MAX(1,D2789)),0), FactorTable!$A$2:$A$301,0), Skills!M21+1)</f>
        <v>1552</v>
      </c>
      <c r="F2789">
        <f>IF(Skills!N21=TRUE,(Skills!L21/10)*(E2789/1000),Skills!L21/10)+Skills!O21</f>
        <v>18.624000000000002</v>
      </c>
      <c r="G2789">
        <f>Calc!G21</f>
        <v>1</v>
      </c>
      <c r="H2789">
        <f>Calc!H21</f>
        <v>1</v>
      </c>
      <c r="I2789">
        <f>IF(Skills!X21&lt;&gt;"",1+(Skills!X21/10)*(Z2771/1000)/100,1)</f>
        <v>1</v>
      </c>
      <c r="O2789">
        <f>(1-Summary!$B$11)*S2789+Summary!$B$11*U2789</f>
        <v>0</v>
      </c>
      <c r="P2789">
        <f>IF(B2809=0,0,O2789/B2809)</f>
        <v>0</v>
      </c>
      <c r="Q2789">
        <f>IFERROR(1/(IF(Inputs!$B$38="pvp",15,MAX(0.1,Skills!E21-IF(TRUE=TRUE,0.5,0)))*(1-IF(AND(ArtifactsInput!$M$27,Inputs!$B$4="Chapter Hunt"),CHOOSE(ArtifactsInput!$N$27+1,20,24,28,32,36,40),0)/100)),0)</f>
        <v>10</v>
      </c>
      <c r="R2789">
        <v>0</v>
      </c>
      <c r="S2789">
        <v>0</v>
      </c>
      <c r="U2789">
        <v>0</v>
      </c>
    </row>
    <row r="2790" spans="1:21" x14ac:dyDescent="0.2">
      <c r="A2790" t="str">
        <f>Skills!A22</f>
        <v>SPELL_MASTERY</v>
      </c>
      <c r="B2790" t="str">
        <f>Skills!B22</f>
        <v>Spell Mastery</v>
      </c>
      <c r="C2790" t="b">
        <f>TRUE</f>
        <v>1</v>
      </c>
      <c r="D2790">
        <f>IF(Skills!C22=1,60+Inputs!$B$25+Inputs!$B$29,IF(Skills!C22=2,90+Inputs!$B$26+Inputs!$B$29,IF(Skills!C22=3,120+Inputs!$B$27+Inputs!$B$29,MAX(0,(Inputs!$B$3-100)*3)+Inputs!$B$28+Inputs!$B$29)))</f>
        <v>168</v>
      </c>
      <c r="E2790">
        <f>INDEX(FactorTable!$B$2:$Y$301, MATCH(ROUND(MIN(300,MAX(1,D2790)),0), FactorTable!$A$2:$A$301,0), Skills!M22+1)</f>
        <v>1504</v>
      </c>
      <c r="F2790">
        <f>IF(Skills!N22=TRUE,(Skills!L22/10)*(E2790/1000),Skills!L22/10)+Skills!O22</f>
        <v>22.56</v>
      </c>
      <c r="G2790">
        <f>Calc!G22</f>
        <v>1</v>
      </c>
      <c r="H2790">
        <f>Calc!H22</f>
        <v>1</v>
      </c>
      <c r="I2790">
        <f>IF(Skills!X22&lt;&gt;"",1+(Skills!X22/10)*(Z2771/1000)/100,1)</f>
        <v>1</v>
      </c>
      <c r="O2790">
        <f>(1-Summary!$B$11)*S2790+Summary!$B$11*U2790</f>
        <v>0</v>
      </c>
      <c r="P2790">
        <f>IF(B2809=0,0,O2790/B2809)</f>
        <v>0</v>
      </c>
      <c r="Q2790">
        <f>IFERROR(1/(IF(Inputs!$B$38="pvp",15,MAX(0.1,Skills!E22-IF(TRUE=TRUE,0.5,0)))*(1-IF(AND(ArtifactsInput!$M$27,Inputs!$B$4="Chapter Hunt"),CHOOSE(ArtifactsInput!$N$27+1,20,24,28,32,36,40),0)/100)),0)</f>
        <v>10</v>
      </c>
      <c r="R2790">
        <v>0</v>
      </c>
      <c r="S2790">
        <v>0</v>
      </c>
      <c r="U2790">
        <v>0</v>
      </c>
    </row>
    <row r="2791" spans="1:21" x14ac:dyDescent="0.2">
      <c r="A2791" t="str">
        <f>Skills!A23</f>
        <v>ELEMENT_AMPLIFICATION</v>
      </c>
      <c r="B2791" t="str">
        <f>Skills!B23</f>
        <v>Element Amplification</v>
      </c>
      <c r="C2791" t="b">
        <f>TRUE</f>
        <v>1</v>
      </c>
      <c r="D2791">
        <f>IF(Skills!C23=1,60+Inputs!$B$25+Inputs!$B$29,IF(Skills!C23=2,90+Inputs!$B$26+Inputs!$B$29,IF(Skills!C23=3,120+Inputs!$B$27+Inputs!$B$29,MAX(0,(Inputs!$B$3-100)*3)+Inputs!$B$28+Inputs!$B$29)))</f>
        <v>185</v>
      </c>
      <c r="E2791">
        <f>INDEX(FactorTable!$B$2:$Y$301, MATCH(ROUND(MIN(300,MAX(1,D2791)),0), FactorTable!$A$2:$A$301,0), Skills!M23+1)</f>
        <v>1555</v>
      </c>
      <c r="F2791">
        <f>IF(Skills!N23=TRUE,(Skills!L23/10)*(E2791/1000),Skills!L23/10)+Skills!O23</f>
        <v>23.324999999999999</v>
      </c>
      <c r="G2791">
        <f>Calc!G23</f>
        <v>1</v>
      </c>
      <c r="H2791">
        <f>Calc!H23</f>
        <v>1</v>
      </c>
      <c r="I2791">
        <f>IF(Skills!X23&lt;&gt;"",1+(Skills!X23/10)*(Z2771/1000)/100,1)</f>
        <v>1</v>
      </c>
      <c r="O2791">
        <f>(1-Summary!$B$11)*S2791+Summary!$B$11*U2791</f>
        <v>0</v>
      </c>
      <c r="P2791">
        <f>IF(B2809=0,0,O2791/B2809)</f>
        <v>0</v>
      </c>
      <c r="Q2791">
        <f>IFERROR(1/(IF(Inputs!$B$38="pvp",15,MAX(0.1,Skills!E23-IF(TRUE=TRUE,0.5,0)))*(1-IF(AND(ArtifactsInput!$M$27,Inputs!$B$4="Chapter Hunt"),CHOOSE(ArtifactsInput!$N$27+1,20,24,28,32,36,40),0)/100)),0)</f>
        <v>10</v>
      </c>
      <c r="R2791">
        <v>0</v>
      </c>
      <c r="S2791">
        <v>0</v>
      </c>
      <c r="U2791">
        <v>0</v>
      </c>
    </row>
    <row r="2792" spans="1:21" x14ac:dyDescent="0.2">
      <c r="A2792" t="str">
        <f>Skills!A24</f>
        <v>IFRIT</v>
      </c>
      <c r="B2792" t="str">
        <f>Skills!B24</f>
        <v>Ifrit</v>
      </c>
      <c r="C2792" t="b">
        <f>Inputs!$B$3&gt;=115</f>
        <v>1</v>
      </c>
      <c r="D2792">
        <f>IF(Skills!C24=1,60+Inputs!$B$25+Inputs!$B$29,IF(Skills!C24=2,90+Inputs!$B$26+Inputs!$B$29,IF(Skills!C24=3,120+Inputs!$B$27+Inputs!$B$29,MAX(0,(Inputs!$B$3-100)*3)+Inputs!$B$28+Inputs!$B$29)))</f>
        <v>185</v>
      </c>
      <c r="E2792">
        <f>INDEX(FactorTable!$B$2:$Y$301, MATCH(ROUND(MIN(300,MAX(1,D2792)),0), FactorTable!$A$2:$A$301,0), Skills!M24+1)</f>
        <v>1925</v>
      </c>
      <c r="F2792">
        <f>IF(Skills!N24=TRUE,(Skills!L24/10)*(E2792/1000),Skills!L24/10)+Skills!O24</f>
        <v>6737.5</v>
      </c>
      <c r="G2792">
        <f>Calc!G24</f>
        <v>7.5</v>
      </c>
      <c r="H2792">
        <f>Calc!H24</f>
        <v>1</v>
      </c>
      <c r="I2792">
        <f>IF(Skills!X24&lt;&gt;"",1+(Skills!X24/10)*(Z2771/1000)/100,1)</f>
        <v>1</v>
      </c>
      <c r="J2792">
        <f>((Inputs!$B$6*(1+Inputs!$B$7/100))+(((Inputs!$B$12*(1+Inputs!$B$13/100))-(Inputs!$B$12*(1+Inputs!$B$13/100)))+0.25*(Inputs!$B$14-Inputs!$B$14))*(1+Inputs!$B$7/100))*(F2792/100)</f>
        <v>24331438378.718628</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123076185248701.72</v>
      </c>
      <c r="L2792">
        <f>K2792*(MIN(Inputs!$B$22+(F2790-Calc!F22),(Inputs!$B$23+(IF(ArtifactsInput!$M$15,CHOOSE(ArtifactsInput!$N$15+1,25,30,35,40,45,50)/100*(Inputs!$B$11-Inputs!$B$11),0))))/100+(Inputs!$B$23+(IF(ArtifactsInput!$M$15,CHOOSE(ArtifactsInput!$N$15+1,25,30,35,40,45,50)/100*(Inputs!$B$11-Inputs!$B$11),0)))/100)/2</f>
        <v>409228315951933.25</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1931148422977172.8</v>
      </c>
      <c r="N2792">
        <f>L2792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1931148422977172.8</v>
      </c>
      <c r="O2792">
        <f>(1-Summary!$B$11)*S2792+Summary!$B$11*U2792</f>
        <v>2208751008780141</v>
      </c>
      <c r="P2792">
        <f>IF(B2809=0,0,O2792/B2809)</f>
        <v>6.6161692163698618E-2</v>
      </c>
      <c r="Q2792">
        <f>IFERROR(1/(IF(Inputs!$B$38="pvp",15,MAX(0.1,Skills!E24-IF(TRUE=TRUE,0.5,0)))*(1-IF(AND(ArtifactsInput!$M$27,Inputs!$B$4="Chapter Hunt"),CHOOSE(ArtifactsInput!$N$27+1,20,24,28,32,36,40),0)/100)),0)</f>
        <v>1.2578616352201259E-2</v>
      </c>
      <c r="R2792">
        <f>IF(AND(Inputs!$B$38&lt;&gt;"pvp",Inputs!$B$43&gt;0),IF(MAX(0,Inputs!$B$43-B2806)&lt;=0,0,(INT(MAX(0,Inputs!$B$43-B2806)/(IF(Inputs!$B$38="pvp",15,MAX(0.1,Skills!E24-IF(TRUE=TRUE,0.5,0)))*(1-IF(AND(ArtifactsInput!$M$27,Inputs!$B$4="Chapter Hunt"),CHOOSE(ArtifactsInput!$N$27+1,20,24,28,32,36,40),0)/100)))+1)),0)</f>
        <v>1</v>
      </c>
      <c r="S2792">
        <f>IF(C2792,(H2792*N2792*IF(AND(Inputs!$B$38&lt;&gt;"pvp",Inputs!$B$43&gt;0),((Skills!G24*((R2792-1)*IF(Skills!H24&gt;0,Skills!I24/Skills!H24,1)+IF(Skills!H24&gt;0,MIN(Skills!I24,MAX(0,MAX(0,Inputs!$B$43-B2806)-((R2792-1)*(IF(Inputs!$B$38="pvp",15,MAX(0.1,Skills!E24-IF(TRUE=TRUE,0.5,0)))*(1-IF(AND(ArtifactsInput!$M$27,Inputs!$B$4="Chapter Hunt"),CHOOSE(ArtifactsInput!$N$27+1,20,24,28,32,36,40),0)/100)))))/Skills!H24,1)))/Inputs!$B$43),G2792*Q2792)*(1+IF(Inputs!$B$3&gt;=130,0.2*(Skills!I16/(1/Q2783)+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1147826343907057</v>
      </c>
      <c r="U2792">
        <f>IF(C2792,(H2792*N2792*IF(AND(Inputs!$B$38&lt;&gt;"pvp",Inputs!$B$43&gt;0),((Skills!G24*((R2792-1)*IF(Skills!H24&gt;0,Skills!I24/Skills!H24,1)+IF(Skills!H24&gt;0,MIN(Skills!I24,MAX(0,MAX(0,Inputs!$B$43-B2806)-((R2792-1)*(IF(Inputs!$B$38="pvp",15,MAX(0.1,Skills!E24-IF(TRUE=TRUE,0.5,0)))*(1-IF(AND(ArtifactsInput!$M$27,Inputs!$B$4="Chapter Hunt"),CHOOSE(ArtifactsInput!$N$27+1,20,24,28,32,36,40),0)/100)))))/Skills!H24,1)))/Inputs!$B$43),G2792*Q2792)*(1+IF(Inputs!$B$3&gt;=130,0.2*(Skills!I16/(1/Q2783)+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3269675673653225</v>
      </c>
    </row>
    <row r="2793" spans="1:21" x14ac:dyDescent="0.2">
      <c r="A2793" t="str">
        <f>Skills!A25</f>
        <v>BUFF_MASTERY</v>
      </c>
      <c r="B2793" t="str">
        <f>Skills!B25</f>
        <v>Buff Mastery</v>
      </c>
      <c r="C2793" t="b">
        <f>Inputs!$B$3&gt;=117</f>
        <v>1</v>
      </c>
      <c r="D2793">
        <f>IF(Skills!C25=1,60+Inputs!$B$25+Inputs!$B$29,IF(Skills!C25=2,90+Inputs!$B$26+Inputs!$B$29,IF(Skills!C25=3,120+Inputs!$B$27+Inputs!$B$29,MAX(0,(Inputs!$B$3-100)*3)+Inputs!$B$28+Inputs!$B$29)))</f>
        <v>185</v>
      </c>
      <c r="E2793">
        <f>INDEX(FactorTable!$B$2:$Y$301, MATCH(ROUND(MIN(300,MAX(1,D2793)),0), FactorTable!$A$2:$A$301,0), Skills!M25+1)</f>
        <v>1555</v>
      </c>
      <c r="F2793">
        <f>IF(Skills!N25=TRUE,(Skills!L25/10)*(E2793/1000),Skills!L25/10)+Skills!O25</f>
        <v>15.549999999999999</v>
      </c>
      <c r="G2793">
        <f>Calc!G25</f>
        <v>1</v>
      </c>
      <c r="H2793">
        <f>Calc!H25</f>
        <v>1</v>
      </c>
      <c r="I2793">
        <f>IF(Skills!X25&lt;&gt;"",1+(Skills!X25/10)*(Z2771/1000)/100,1)</f>
        <v>1</v>
      </c>
      <c r="O2793">
        <f>(1-Summary!$B$11)*S2793+Summary!$B$11*U2793</f>
        <v>0</v>
      </c>
      <c r="P2793">
        <f>IF(B2809=0,0,O2793/B2809)</f>
        <v>0</v>
      </c>
      <c r="Q2793">
        <f>IFERROR(1/(IF(Inputs!$B$38="pvp",15,MAX(0.1,Skills!E25-IF(TRUE=TRUE,0.5,0)))*(1-IF(AND(ArtifactsInput!$M$27,Inputs!$B$4="Chapter Hunt"),CHOOSE(ArtifactsInput!$N$27+1,20,24,28,32,36,40),0)/100)),0)</f>
        <v>10</v>
      </c>
      <c r="R2793">
        <v>0</v>
      </c>
      <c r="S2793">
        <v>0</v>
      </c>
      <c r="U2793">
        <v>0</v>
      </c>
    </row>
    <row r="2794" spans="1:21" x14ac:dyDescent="0.2">
      <c r="A2794" t="str">
        <f>Skills!A26</f>
        <v>ARCANE_AIM</v>
      </c>
      <c r="B2794" t="str">
        <f>Skills!B26</f>
        <v>Arcane Aim</v>
      </c>
      <c r="C2794" t="b">
        <f>Inputs!$B$3&gt;=120</f>
        <v>0</v>
      </c>
      <c r="D2794">
        <f>IF(Skills!C26=1,60+Inputs!$B$25+Inputs!$B$29,IF(Skills!C26=2,90+Inputs!$B$26+Inputs!$B$29,IF(Skills!C26=3,120+Inputs!$B$27+Inputs!$B$29,MAX(0,(Inputs!$B$3-100)*3)+Inputs!$B$28+Inputs!$B$29)))</f>
        <v>185</v>
      </c>
      <c r="E2794">
        <f>INDEX(FactorTable!$B$2:$Y$301, MATCH(ROUND(MIN(300,MAX(1,D2794)),0), FactorTable!$A$2:$A$301,0), Skills!M26+1)</f>
        <v>1555</v>
      </c>
      <c r="F2794">
        <f>IF(Skills!N26=TRUE,(Skills!L26/10)*(E2794/1000),Skills!L26/10)+Skills!O26</f>
        <v>4.665</v>
      </c>
      <c r="G2794">
        <f>Calc!G26</f>
        <v>1</v>
      </c>
      <c r="H2794">
        <f>Calc!H26</f>
        <v>1</v>
      </c>
      <c r="I2794">
        <f>IF(Skills!X26&lt;&gt;"",1+(Skills!X26/10)*(Z2771/1000)/100,1)</f>
        <v>1</v>
      </c>
      <c r="O2794">
        <f>(1-Summary!$B$11)*S2794+Summary!$B$11*U2794</f>
        <v>0</v>
      </c>
      <c r="P2794">
        <f>IF(B2809=0,0,O2794/B2809)</f>
        <v>0</v>
      </c>
      <c r="Q2794">
        <f>IFERROR(1/(IF(Inputs!$B$38="pvp",15,MAX(0.1,Skills!E26-IF(TRUE=TRUE,0.5,0)))*(1-IF(AND(ArtifactsInput!$M$27,Inputs!$B$4="Chapter Hunt"),CHOOSE(ArtifactsInput!$N$27+1,20,24,28,32,36,40),0)/100)),0)</f>
        <v>10</v>
      </c>
      <c r="R2794">
        <v>0</v>
      </c>
      <c r="S2794">
        <v>0</v>
      </c>
      <c r="U2794">
        <v>0</v>
      </c>
    </row>
    <row r="2795" spans="1:21" x14ac:dyDescent="0.2">
      <c r="A2795" t="str">
        <f>Skills!A27</f>
        <v>FERVENT_DRAIN</v>
      </c>
      <c r="B2795" t="str">
        <f>Skills!B27</f>
        <v>Fervent Drain</v>
      </c>
      <c r="C2795" t="b">
        <f>Inputs!$B$3&gt;=125</f>
        <v>0</v>
      </c>
      <c r="D2795">
        <f>IF(Skills!C27=1,60+Inputs!$B$25+Inputs!$B$29,IF(Skills!C27=2,90+Inputs!$B$26+Inputs!$B$29,IF(Skills!C27=3,120+Inputs!$B$27+Inputs!$B$29,MAX(0,(Inputs!$B$3-100)*3)+Inputs!$B$28+Inputs!$B$29)))</f>
        <v>185</v>
      </c>
      <c r="E2795">
        <f>INDEX(FactorTable!$B$2:$Y$301, MATCH(ROUND(MIN(300,MAX(1,D2795)),0), FactorTable!$A$2:$A$301,0), Skills!M27+1)</f>
        <v>1555</v>
      </c>
      <c r="F2795">
        <f>IF(Skills!N27=TRUE,(Skills!L27/10)*(E2795/1000),Skills!L27/10)+Skills!O27</f>
        <v>6.22</v>
      </c>
      <c r="G2795">
        <f>Calc!G27</f>
        <v>1</v>
      </c>
      <c r="H2795">
        <f>Calc!H27</f>
        <v>1</v>
      </c>
      <c r="I2795">
        <f>IF(Skills!X27&lt;&gt;"",1+(Skills!X27/10)*(Z2771/1000)/100,1)</f>
        <v>1</v>
      </c>
      <c r="O2795">
        <f>(1-Summary!$B$11)*S2795+Summary!$B$11*U2795</f>
        <v>0</v>
      </c>
      <c r="P2795">
        <f>IF(B2809=0,0,O2795/B2809)</f>
        <v>0</v>
      </c>
      <c r="Q2795">
        <f>IFERROR(1/(IF(Inputs!$B$38="pvp",15,MAX(0.1,Skills!E27-IF(TRUE=TRUE,0.5,0)))*(1-IF(AND(ArtifactsInput!$M$27,Inputs!$B$4="Chapter Hunt"),CHOOSE(ArtifactsInput!$N$27+1,20,24,28,32,36,40),0)/100)),0)</f>
        <v>10</v>
      </c>
      <c r="R2795">
        <v>0</v>
      </c>
      <c r="S2795">
        <v>0</v>
      </c>
      <c r="U2795">
        <v>0</v>
      </c>
    </row>
    <row r="2796" spans="1:21" x14ac:dyDescent="0.2">
      <c r="A2796" t="str">
        <f>Skills!A28</f>
        <v>FLAME_HAZE_FOG</v>
      </c>
      <c r="B2796" t="str">
        <f>Skills!B28</f>
        <v>Flame Haze (poison fog DoT)</v>
      </c>
      <c r="C2796" t="b">
        <f>Inputs!$B$3&gt;=118</f>
        <v>0</v>
      </c>
      <c r="D2796">
        <f>IF(Skills!C28=1,60+Inputs!$B$25+Inputs!$B$29,IF(Skills!C28=2,90+Inputs!$B$26+Inputs!$B$29,IF(Skills!C28=3,120+Inputs!$B$27+Inputs!$B$29,MAX(0,(Inputs!$B$3-100)*3)+Inputs!$B$28+Inputs!$B$29)))</f>
        <v>185</v>
      </c>
      <c r="E2796">
        <f>INDEX(FactorTable!$B$2:$Y$301, MATCH(ROUND(MIN(300,MAX(1,D2796)),0), FactorTable!$A$2:$A$301,0), Skills!M28+1)</f>
        <v>1925</v>
      </c>
      <c r="F2796">
        <f>IF(Skills!N28=TRUE,(Skills!L28/10)*(E2796/1000),Skills!L28/10)+Skills!O28</f>
        <v>134.75</v>
      </c>
      <c r="G2796">
        <f>Calc!G28</f>
        <v>50</v>
      </c>
      <c r="H2796">
        <f>Calc!H28</f>
        <v>1</v>
      </c>
      <c r="I2796">
        <f>IF(Skills!X28&lt;&gt;"",1+(Skills!X28/10)*(Z2771/1000)/100,1)</f>
        <v>1</v>
      </c>
      <c r="J2796">
        <f>((Inputs!$B$6*(1+Inputs!$B$7/100))+(((Inputs!$B$12*(1+Inputs!$B$13/100))-(Inputs!$B$12*(1+Inputs!$B$13/100)))+0.25*(Inputs!$B$14-Inputs!$B$14))*(1+Inputs!$B$7/100))*(F2796/100)</f>
        <v>486628767.57437253</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2461523704974.0337</v>
      </c>
      <c r="L2796">
        <f>K2796*(MIN(Inputs!$B$22+(F2790-Calc!F22),(Inputs!$B$23+(IF(ArtifactsInput!$M$15,CHOOSE(ArtifactsInput!$N$15+1,25,30,35,40,45,50)/100*(Inputs!$B$11-Inputs!$B$11),0))))/100+(Inputs!$B$23+(IF(ArtifactsInput!$M$15,CHOOSE(ArtifactsInput!$N$15+1,25,30,35,40,45,50)/100*(Inputs!$B$11-Inputs!$B$11),0)))/100)/2</f>
        <v>8184566319038.6621</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38622968459543.445</v>
      </c>
      <c r="N2796">
        <f>L2796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38622968459543.445</v>
      </c>
      <c r="O2796">
        <f>(1-Summary!$B$11)*S2796+Summary!$B$11*U2796</f>
        <v>0</v>
      </c>
      <c r="P2796">
        <f>IF(B2809=0,0,O2796/B2809)</f>
        <v>0</v>
      </c>
      <c r="Q2796">
        <f>IFERROR(1/(IF(Inputs!$B$38="pvp",15,MAX(0.1,Skills!E28-IF(TRUE=TRUE,0.5,0)))*(1-IF(AND(ArtifactsInput!$M$27,Inputs!$B$4="Chapter Hunt"),CHOOSE(ArtifactsInput!$N$27+1,20,24,28,32,36,40),0)/100)),0)</f>
        <v>4.0816326530612242E-2</v>
      </c>
      <c r="R2796">
        <f>IF(AND(Inputs!$B$38&lt;&gt;"pvp",Inputs!$B$43&gt;0),IF(MAX(0,Inputs!$B$43-B2806)&lt;=0,0,(INT(MAX(0,Inputs!$B$43-B2806)/(IF(Inputs!$B$38="pvp",15,MAX(0.1,Skills!E28-IF(TRUE=TRUE,0.5,0)))*(1-IF(AND(ArtifactsInput!$M$27,Inputs!$B$4="Chapter Hunt"),CHOOSE(ArtifactsInput!$N$27+1,20,24,28,32,36,40),0)/100)))+1)),0)</f>
        <v>2</v>
      </c>
      <c r="S2796">
        <f>IF(C2796,(H2796*N2796*IF(AND(Inputs!$B$38&lt;&gt;"pvp",Inputs!$B$43&gt;0),((Skills!G28*((R2796-1)*IF(Skills!H28&gt;0,Skills!I28/Skills!H28,1)+IF(Skills!H28&gt;0,MIN(Skills!I28,MAX(0,MAX(0,Inputs!$B$43-B2806)-((R2796-1)*(IF(Inputs!$B$38="pvp",15,MAX(0.1,Skills!E28-IF(TRUE=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96">
        <f>IF(C2796,(H2796*N2796*IF(AND(Inputs!$B$38&lt;&gt;"pvp",Inputs!$B$43&gt;0),((Skills!G28*((R2796-1)*IF(Skills!H28&gt;0,Skills!I28/Skills!H28,1)+IF(Skills!H28&gt;0,MIN(Skills!I28,MAX(0,MAX(0,Inputs!$B$43-B2806)-((R2796-1)*(IF(Inputs!$B$38="pvp",15,MAX(0.1,Skills!E28-IF(TRUE=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98" spans="1:21" x14ac:dyDescent="0.2">
      <c r="A2798" t="s">
        <v>356</v>
      </c>
      <c r="B2798">
        <f>1+(F2779*Skills!Z11)/100</f>
        <v>1.25</v>
      </c>
    </row>
    <row r="2799" spans="1:21" x14ac:dyDescent="0.2">
      <c r="A2799" t="s">
        <v>435</v>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1.18624</v>
      </c>
    </row>
    <row r="2800" spans="1:21" x14ac:dyDescent="0.2">
      <c r="A2800" t="s">
        <v>358</v>
      </c>
      <c r="B2800">
        <f>(1+(F2774*IF(AND(Inputs!$B$38&lt;&gt;"pvp",Inputs!$B$43&gt;0),(((R2774-1)*MIN((Skills!T6*(1+((Inputs!$B$34+(ArtifactsInput!$M$7-ArtifactsInput!$M$7)*CHOOSE(ArtifactsInput!$N$7+1,6,7.2,8.4,9.6,10.8,12)))/100)),(1/Q2774))+MIN((Skills!T6*(1+((Inputs!$B$34+(ArtifactsInput!$M$7-ArtifactsInput!$M$7)*CHOOSE(ArtifactsInput!$N$7+1,6,7.2,8.4,9.6,10.8,12)))/100)),MAX(0,Inputs!$B$43-((R2774-1)*(1/Q2774)))))/Inputs!$B$43),IF(Inputs!$B$38="pvp",MIN((Skills!T6*(1+((Inputs!$B$34+(ArtifactsInput!$M$7-ArtifactsInput!$M$7)*CHOOSE(ArtifactsInput!$N$7+1,6,7.2,8.4,9.6,10.8,12)))/100)),15)/15,MIN(1,(Skills!T6*(1+((Inputs!$B$34+(ArtifactsInput!$M$7-ArtifactsInput!$M$7)*CHOOSE(ArtifactsInput!$N$7+1,6,7.2,8.4,9.6,10.8,12)))/100))/(1/Q2774))))+F2785*IF(AND(Inputs!$B$38&lt;&gt;"pvp",Inputs!$B$43&gt;0),(((R2785-1)*MIN((Skills!T17*(1+((Inputs!$B$34+(ArtifactsInput!$M$7-ArtifactsInput!$M$7)*CHOOSE(ArtifactsInput!$N$7+1,6,7.2,8.4,9.6,10.8,12)))/100)),(1/Q2785))+MIN((Skills!T17*(1+((Inputs!$B$34+(ArtifactsInput!$M$7-ArtifactsInput!$M$7)*CHOOSE(ArtifactsInput!$N$7+1,6,7.2,8.4,9.6,10.8,12)))/100)),MAX(0,Inputs!$B$43-((R2785-1)*(1/Q2785)))))/Inputs!$B$43),IF(Inputs!$B$38="pvp",MIN((Skills!T17*(1+((Inputs!$B$34+(ArtifactsInput!$M$7-ArtifactsInput!$M$7)*CHOOSE(ArtifactsInput!$N$7+1,6,7.2,8.4,9.6,10.8,12)))/100)),15)/15,MIN(1,(Skills!T17*(1+((Inputs!$B$34+(ArtifactsInput!$M$7-ArtifactsInput!$M$7)*CHOOSE(ArtifactsInput!$N$7+1,6,7.2,8.4,9.6,10.8,12)))/100))/(1/Q2785)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MIN((Skills!T19*(1+((Inputs!$B$34+(ArtifactsInput!$M$7-ArtifactsInput!$M$7)*CHOOSE(ArtifactsInput!$N$7+1,6,7.2,8.4,9.6,10.8,12)))/100)),(1/Q2787))+MIN((Skills!T19*(1+((Inputs!$B$34+(ArtifactsInput!$M$7-ArtifactsInput!$M$7)*CHOOSE(ArtifactsInput!$N$7+1,6,7.2,8.4,9.6,10.8,12)))/100)),MAX(0,Inputs!$B$43-((R2787-1)*(1/Q2787)))))/Inputs!$B$43),IF(Inputs!$B$38="pvp",MIN((Skills!T19*(1+((Inputs!$B$34+(ArtifactsInput!$M$7-ArtifactsInput!$M$7)*CHOOSE(ArtifactsInput!$N$7+1,6,7.2,8.4,9.6,10.8,12)))/100)),15)/15,MIN(1,(Skills!T19*(1+((Inputs!$B$34+(ArtifactsInput!$M$7-ArtifactsInput!$M$7)*CHOOSE(ArtifactsInput!$N$7+1,6,7.2,8.4,9.6,10.8,12)))/100))/(1/Q2787))))/100),1)</f>
        <v>1.8085896540007924</v>
      </c>
    </row>
    <row r="2801" spans="1:26" x14ac:dyDescent="0.2">
      <c r="A2801" t="s">
        <v>359</v>
      </c>
      <c r="B2801">
        <f>F2786*IF(AND(Inputs!$B$38&lt;&gt;"pvp",Inputs!$B$43&gt;0),(((R2786-1)*MIN((Skills!T18*(1+((Inputs!$B$34+(ArtifactsInput!$M$7-ArtifactsInput!$M$7)*CHOOSE(ArtifactsInput!$N$7+1,6,7.2,8.4,9.6,10.8,12)))/100)),(1/Q2786))+MIN((Skills!T18*(1+((Inputs!$B$34+(ArtifactsInput!$M$7-ArtifactsInput!$M$7)*CHOOSE(ArtifactsInput!$N$7+1,6,7.2,8.4,9.6,10.8,12)))/100)),MAX(0,Inputs!$B$43-((R2786-1)*(1/Q2786)))))/Inputs!$B$43),IF(Inputs!$B$38="pvp",MIN((Skills!T18*(1+((Inputs!$B$34+(ArtifactsInput!$M$7-ArtifactsInput!$M$7)*CHOOSE(ArtifactsInput!$N$7+1,6,7.2,8.4,9.6,10.8,12)))/100)),15)/15,MIN(1,(Skills!T18*(1+((Inputs!$B$34+(ArtifactsInput!$M$7-ArtifactsInput!$M$7)*CHOOSE(ArtifactsInput!$N$7+1,6,7.2,8.4,9.6,10.8,12)))/100))/(1/Q2786))))</f>
        <v>6.4968749999999993</v>
      </c>
    </row>
    <row r="2802" spans="1:26" x14ac:dyDescent="0.2">
      <c r="A2802" t="s">
        <v>436</v>
      </c>
      <c r="B2802">
        <f>1+MIN(150,150*(1-(1-(Inputs!$B$11+(ArtifactsInput!$M$15-ArtifactsInput!$M$15)*CHOOSE(ArtifactsInput!$N$15+1,8,9.6,11.2,12.8,14.4,16))/150)*(1-B2801/150)))/100</f>
        <v>1.6982958749999999</v>
      </c>
    </row>
    <row r="2803" spans="1:26" x14ac:dyDescent="0.2">
      <c r="A2803" t="s">
        <v>437</v>
      </c>
      <c r="B2803">
        <f>IF(AND(Inputs!$B$38&lt;&gt;"pvp",Inputs!$B$43&gt;0),SUMPRODUCT((Skills!F2:F28=TRUE)*(C2770:C2796=TRUE)*R2770:R2796)/Inputs!$B$43,SUMPRODUCT((Skills!F2:F28=TRUE)*(C2770:C2796=TRUE)*Q2770:Q2796))</f>
        <v>0.47499999999999998</v>
      </c>
    </row>
    <row r="2804" spans="1:26" x14ac:dyDescent="0.2">
      <c r="A2804" t="s">
        <v>362</v>
      </c>
      <c r="B2804">
        <f>MAX(0,B2802-B2803)</f>
        <v>1.2232958749999998</v>
      </c>
    </row>
    <row r="2805" spans="1:26" x14ac:dyDescent="0.2">
      <c r="A2805" t="s">
        <v>438</v>
      </c>
      <c r="B2805">
        <f>IF(AND(Inputs!$B$38&lt;&gt;"pvp",Inputs!$B$43&gt;0),SUMPRODUCT((Skills!V2:V28=TRUE)*(C2770:C2796=TRUE)*R2770:R2796*Skills!W2:W28)/Inputs!$B$43,SUMPRODUCT((Skills!V2:V28=TRUE)*(C2770:C2796=TRUE)*Q2770:Q2796*Skills!W2:W28))+B2804</f>
        <v>1.5482958749999998</v>
      </c>
    </row>
    <row r="2806" spans="1:26" x14ac:dyDescent="0.2">
      <c r="A2806" t="s">
        <v>439</v>
      </c>
      <c r="B2806">
        <f>IF(AND(Inputs!$B$38&lt;&gt;"pvp",Inputs!$B$43&gt;0),SUMPRODUCT((Skills!T2:T28&gt;0)*(Skills!F2:F28=TRUE)*(C2770:C2796=TRUE))/B2802,0)</f>
        <v>2.3553021937358238</v>
      </c>
    </row>
    <row r="2807" spans="1:26" x14ac:dyDescent="0.2">
      <c r="A2807" t="s">
        <v>440</v>
      </c>
      <c r="B2807">
        <f>SUM(S2770:S2796)</f>
        <v>9599794405786924</v>
      </c>
    </row>
    <row r="2808" spans="1:26" x14ac:dyDescent="0.2">
      <c r="A2808" t="s">
        <v>441</v>
      </c>
      <c r="B2808">
        <f>SUM(U2770:U2796)</f>
        <v>5.7168480000351424E+16</v>
      </c>
    </row>
    <row r="2809" spans="1:26" x14ac:dyDescent="0.2">
      <c r="A2809" s="6" t="s">
        <v>348</v>
      </c>
      <c r="B2809" s="6">
        <f>SUM(O2770:O2796)</f>
        <v>3.3384137203069172E+16</v>
      </c>
    </row>
    <row r="2812" spans="1:26" x14ac:dyDescent="0.2">
      <c r="A2812" s="6" t="s">
        <v>508</v>
      </c>
    </row>
    <row r="2813" spans="1:26" x14ac:dyDescent="0.2">
      <c r="A2813" s="5" t="s">
        <v>136</v>
      </c>
      <c r="B2813" s="5" t="s">
        <v>137</v>
      </c>
      <c r="C2813" s="5" t="s">
        <v>328</v>
      </c>
      <c r="D2813" s="5" t="s">
        <v>329</v>
      </c>
      <c r="E2813" s="5" t="s">
        <v>330</v>
      </c>
      <c r="F2813" s="5" t="s">
        <v>331</v>
      </c>
      <c r="G2813" s="5" t="s">
        <v>332</v>
      </c>
      <c r="H2813" s="5" t="s">
        <v>333</v>
      </c>
      <c r="I2813" s="5" t="s">
        <v>334</v>
      </c>
      <c r="J2813" s="5" t="s">
        <v>335</v>
      </c>
      <c r="K2813" s="5" t="s">
        <v>336</v>
      </c>
      <c r="L2813" s="5" t="s">
        <v>337</v>
      </c>
      <c r="M2813" s="5" t="s">
        <v>338</v>
      </c>
      <c r="N2813" s="5" t="s">
        <v>339</v>
      </c>
      <c r="O2813" s="5" t="s">
        <v>340</v>
      </c>
      <c r="P2813" s="5" t="s">
        <v>341</v>
      </c>
      <c r="R2813" t="s">
        <v>434</v>
      </c>
    </row>
    <row r="2814" spans="1:26" x14ac:dyDescent="0.2">
      <c r="A2814" t="str">
        <f>Skills!A2</f>
        <v>BASIC_ATTACK</v>
      </c>
      <c r="B2814" t="str">
        <f>Skills!B2</f>
        <v>Basic Attack</v>
      </c>
      <c r="C2814" t="b">
        <f>TRUE</f>
        <v>1</v>
      </c>
      <c r="F2814">
        <f>T2816+Skills!O2</f>
        <v>537.6</v>
      </c>
      <c r="G2814">
        <f>Calc!G2</f>
        <v>5</v>
      </c>
      <c r="H2814">
        <f>Calc!H2</f>
        <v>1</v>
      </c>
      <c r="I2814">
        <f>IF(Skills!X2&lt;&gt;"",1+(Skills!X2/10)*(Z2815/1000)/100,1)</f>
        <v>1</v>
      </c>
      <c r="J2814">
        <f>((Inputs!$B$6*(1+Inputs!$B$7/100))+(((Inputs!$B$12*(1+Inputs!$B$13/100))-(Inputs!$B$12*(1+Inputs!$B$13/100)))+0.25*(Inputs!$B$14-Inputs!$B$14))*(1+Inputs!$B$7/100))*(F2814/100)</f>
        <v>1941459186.9980164</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6708939396607.3535</v>
      </c>
      <c r="L2814">
        <f>K2814*(MIN(Inputs!$B$22+(F2834-Calc!F22),(Inputs!$B$23+(IF(ArtifactsInput!$M$15,CHOOSE(ArtifactsInput!$N$15+1,25,30,35,40,45,50)/100*(Inputs!$B$11-Inputs!$B$11),0))))/100+(Inputs!$B$23+(IF(ArtifactsInput!$M$15,CHOOSE(ArtifactsInput!$N$15+1,25,30,35,40,45,50)/100*(Inputs!$B$11-Inputs!$B$11),0)))/100)/2</f>
        <v>22307223493719.453</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105267787666862.09</v>
      </c>
      <c r="N2814">
        <f>L2814*(1-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105267787666862.09</v>
      </c>
      <c r="O2814">
        <f>(1-Summary!$B$11)*S2814+Summary!$B$11*U2814</f>
        <v>1.2421829090667018E+16</v>
      </c>
      <c r="P2814">
        <f>IF(B2853=0,0,O2814/B2853)</f>
        <v>0.37170147083934424</v>
      </c>
      <c r="Q2814">
        <f>IFERROR(1/(IF(Inputs!$B$38="pvp",15,MAX(0.1,Skills!E2-IF(TRUE=TRUE,1,0)))*(1-IF(AND(ArtifactsInput!$M$27,Inputs!$B$4="Chapter Hunt"),CHOOSE(ArtifactsInput!$N$27+1,20,24,28,32,36,40),0)/100)),0)</f>
        <v>10</v>
      </c>
      <c r="R2814">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2062420976211279.5</v>
      </c>
      <c r="T2814">
        <f>MAX(0,(Inputs!$B$3-100)*3)+Inputs!$B$28+Inputs!$B$29</f>
        <v>185</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2.2781237205122756E+16</v>
      </c>
      <c r="Z2814">
        <f>MAX(0,(Inputs!$B$3-100)*3)+Inputs!$B$28+Inputs!$B$29</f>
        <v>185</v>
      </c>
    </row>
    <row r="2815" spans="1:26" x14ac:dyDescent="0.2">
      <c r="A2815" t="str">
        <f>Skills!A3</f>
        <v>IGNITE</v>
      </c>
      <c r="B2815" t="str">
        <f>Skills!B3</f>
        <v>Ignite</v>
      </c>
      <c r="C2815" t="b">
        <f>TRUE</f>
        <v>1</v>
      </c>
      <c r="D2815">
        <f>IF(Skills!C3=1,60+Inputs!$B$25+Inputs!$B$29,IF(Skills!C3=2,90+Inputs!$B$26+Inputs!$B$29,IF(Skills!C3=3,120+Inputs!$B$27+Inputs!$B$29,MAX(0,(Inputs!$B$3-100)*3)+Inputs!$B$28+Inputs!$B$29)))</f>
        <v>168</v>
      </c>
      <c r="E2815">
        <f>INDEX(FactorTable!$B$2:$Y$301, MATCH(ROUND(MIN(300,MAX(1,D2815)),0), FactorTable!$A$2:$A$301,0), Skills!M3+1)</f>
        <v>1672</v>
      </c>
      <c r="F2815">
        <f>IF(Skills!N3=TRUE,(Skills!L3/10)*(E2815/1000),Skills!L3/10)+Skills!O3</f>
        <v>121.736</v>
      </c>
      <c r="G2815">
        <f>Calc!G3</f>
        <v>3</v>
      </c>
      <c r="H2815">
        <f>Calc!H3</f>
        <v>1</v>
      </c>
      <c r="I2815">
        <f>IF(Skills!X3&lt;&gt;"",1+(Skills!X3/10)*(Z2815/1000)/100,1)</f>
        <v>4.8250000000000002</v>
      </c>
      <c r="J2815">
        <f>((Inputs!$B$6*(1+Inputs!$B$7/100))+(((Inputs!$B$12*(1+Inputs!$B$13/100))-(Inputs!$B$12*(1+Inputs!$B$13/100)))+0.25*(Inputs!$B$14-Inputs!$B$14))*(1+Inputs!$B$7/100))*(F2815/100)</f>
        <v>439630720.9605478</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10801277481443.984</v>
      </c>
      <c r="L2815">
        <f>K2815*(MIN(Inputs!$B$22+(F2834-Calc!F22),(Inputs!$B$23+(IF(ArtifactsInput!$M$15,CHOOSE(ArtifactsInput!$N$15+1,25,30,35,40,45,50)/100*(Inputs!$B$11-Inputs!$B$11),0))))/100+(Inputs!$B$23+(IF(ArtifactsInput!$M$15,CHOOSE(ArtifactsInput!$N$15+1,25,30,35,40,45,50)/100*(Inputs!$B$11-Inputs!$B$11),0)))/100)/2</f>
        <v>35914247625801.25</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169479334546156.06</v>
      </c>
      <c r="N2815">
        <f>L2815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169479334546156.06</v>
      </c>
      <c r="O2815">
        <f>(1-Summary!$B$11)*S2815+Summary!$B$11*U2815</f>
        <v>2946398231084923</v>
      </c>
      <c r="P2815">
        <f>IF(B2853=0,0,O2815/B2853)</f>
        <v>8.8165804583123578E-2</v>
      </c>
      <c r="Q2815">
        <f>IFERROR(1/(IF(Inputs!$B$38="pvp",15,MAX(0.1,Skills!E3-IF(FALSE=TRUE,1,0)))*(1-IF(AND(ArtifactsInput!$M$27,Inputs!$B$4="Chapter Hunt"),CHOOSE(ArtifactsInput!$N$27+1,20,24,28,32,36,40),0)/100)),0)</f>
        <v>1</v>
      </c>
      <c r="R2815">
        <f>IF(AND(Inputs!$B$38&lt;&gt;"pvp",Inputs!$B$43&gt;0),IF(MAX(0,Inputs!$B$43-B2850)&lt;=0,0,(INT(MAX(0,Inputs!$B$43-B2850)/(IF(Inputs!$B$38="pvp",15,MAX(0.1,Skills!E3-IF(FALSE=TRUE,1,0)))*(1-IF(AND(ArtifactsInput!$M$27,Inputs!$B$4="Chapter Hunt"),CHOOSE(ArtifactsInput!$N$27+1,20,24,28,32,36,40),0)/100)))+1)),0)</f>
        <v>38</v>
      </c>
      <c r="S2815">
        <f>IF(C2815,(H2815*N2815*IF(AND(Inputs!$B$38&lt;&gt;"pvp",Inputs!$B$43&gt;0),((Skills!G3*((R2815-1)*IF(Skills!H3&gt;0,Skills!I3/Skills!H3,1)+IF(Skills!H3&gt;0,MIN(Skills!I3,MAX(0,MAX(0,Inputs!$B$43-B2850)-((R2815-1)*(IF(Inputs!$B$38="pvp",15,MAX(0.1,Skills!E3-IF(FALSE=TRUE,1,0)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1531161047957247</v>
      </c>
      <c r="T2815">
        <f>INDEX(FactorTable!$B$2:$Y$301, MATCH(ROUND(MIN(300,MAX(1,T2814)),0), FactorTable!$A$2:$A$301,0), 22)</f>
        <v>1740</v>
      </c>
      <c r="U2815">
        <f>IF(C2815,(H2815*N2815*IF(AND(Inputs!$B$38&lt;&gt;"pvp",Inputs!$B$43&gt;0),((Skills!G3*((R2815-1)*IF(Skills!H3&gt;0,Skills!I3/Skills!H3,1)+IF(Skills!H3&gt;0,MIN(Skills!I3,MAX(0,MAX(0,Inputs!$B$43-B2850)-((R2815-1)*(IF(Inputs!$B$38="pvp",15,MAX(0.1,Skills!E3-IF(FALSE=TRUE,1,0)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4361635414212599.5</v>
      </c>
      <c r="Z2815">
        <f>INDEX(FactorTable!$B$2:$Y$301, MATCH(ROUND(MIN(300,MAX(1,Z2814)),0), FactorTable!$A$2:$A$301,0), 24)</f>
        <v>7650</v>
      </c>
    </row>
    <row r="2816" spans="1:26" x14ac:dyDescent="0.2">
      <c r="A2816" t="str">
        <f>Skills!A4</f>
        <v>POISON_BREATH</v>
      </c>
      <c r="B2816" t="str">
        <f>Skills!B4</f>
        <v>Poison Breath</v>
      </c>
      <c r="C2816" t="b">
        <f>TRUE</f>
        <v>1</v>
      </c>
      <c r="D2816">
        <f>IF(Skills!C4=1,60+Inputs!$B$25+Inputs!$B$29,IF(Skills!C4=2,90+Inputs!$B$26+Inputs!$B$29,IF(Skills!C4=3,120+Inputs!$B$27+Inputs!$B$29,MAX(0,(Inputs!$B$3-100)*3)+Inputs!$B$28+Inputs!$B$29)))</f>
        <v>168</v>
      </c>
      <c r="E2816">
        <f>INDEX(FactorTable!$B$2:$Y$301, MATCH(ROUND(MIN(300,MAX(1,D2816)),0), FactorTable!$A$2:$A$301,0), Skills!M4+1)</f>
        <v>1840</v>
      </c>
      <c r="F2816">
        <f>IF(Skills!N4=TRUE,(Skills!L4/10)*(E2816/1000),Skills!L4/10)+Skills!O4</f>
        <v>438</v>
      </c>
      <c r="G2816">
        <f>Calc!G4</f>
        <v>3</v>
      </c>
      <c r="H2816">
        <f>Calc!H4</f>
        <v>1</v>
      </c>
      <c r="I2816">
        <f>IF(Skills!X4&lt;&gt;"",1+(Skills!X4/10)*(Z2815/1000)/100,1)</f>
        <v>7.12</v>
      </c>
      <c r="J2816">
        <f>((Inputs!$B$6*(1+Inputs!$B$7/100))+(((Inputs!$B$12*(1+Inputs!$B$13/100))-(Inputs!$B$12*(1+Inputs!$B$13/100)))+0.25*(Inputs!$B$14-Inputs!$B$14))*(1+Inputs!$B$7/100))*(F2816/100)</f>
        <v>1581769203.69258</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57347287654031.523</v>
      </c>
      <c r="L2816">
        <f>K2816*(MIN(Inputs!$B$22+(F2834-Calc!F22),(Inputs!$B$23+(IF(ArtifactsInput!$M$15,CHOOSE(ArtifactsInput!$N$15+1,25,30,35,40,45,50)/100*(Inputs!$B$11-Inputs!$B$11),0))))/100+(Inputs!$B$23+(IF(ArtifactsInput!$M$15,CHOOSE(ArtifactsInput!$N$15+1,25,30,35,40,45,50)/100*(Inputs!$B$11-Inputs!$B$11),0)))/100)/2</f>
        <v>190679731449654.81</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899817652710921</v>
      </c>
      <c r="N2816">
        <f>L2816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899817652710921</v>
      </c>
      <c r="O2816">
        <f>(1-Summary!$B$11)*S2816+Summary!$B$11*U2816</f>
        <v>2149101986293445.8</v>
      </c>
      <c r="P2816">
        <f>IF(B2853=0,0,O2816/B2853)</f>
        <v>6.4308111426940859E-2</v>
      </c>
      <c r="Q2816">
        <f>IFERROR(1/(IF(Inputs!$B$38="pvp",15,MAX(0.1,Skills!E4-IF(TRUE=TRUE,1,0)))*(1-IF(AND(ArtifactsInput!$M$27,Inputs!$B$4="Chapter Hunt"),CHOOSE(ArtifactsInput!$N$27+1,20,24,28,32,36,40),0)/100)),0)</f>
        <v>5.8823529411764705E-2</v>
      </c>
      <c r="R2816">
        <f>IF(AND(Inputs!$B$38&lt;&gt;"pvp",Inputs!$B$43&gt;0),IF(MAX(0,Inputs!$B$43-B2850)&lt;=0,0,(INT(MAX(0,Inputs!$B$43-B2850)/(IF(Inputs!$B$38="pvp",15,MAX(0.1,Skills!E4-IF(TRUE=TRUE,1,0)))*(1-IF(AND(ArtifactsInput!$M$27,Inputs!$B$4="Chapter Hunt"),CHOOSE(ArtifactsInput!$N$27+1,20,24,28,32,36,40),0)/100)))+1)),0)</f>
        <v>3</v>
      </c>
      <c r="S2816">
        <f>IF(C2816,(H2816*N2816*IF(AND(Inputs!$B$38&lt;&gt;"pvp",Inputs!$B$43&gt;0),((Skills!G4*((R2816-1)*IF(Skills!H4&gt;0,Skills!I4/Skills!H4,1)+IF(Skills!H4&gt;0,MIN(Skills!I4,MAX(0,MAX(0,Inputs!$B$43-B2850)-((R2816-1)*(IF(Inputs!$B$38="pvp",15,MAX(0.1,Skills!E4-IF(TRUE=TRUE,1,0)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641794940796064.38</v>
      </c>
      <c r="T2816">
        <f>290*T2815/1000</f>
        <v>504.6</v>
      </c>
      <c r="U2816">
        <f>IF(C2816,(H2816*N2816*IF(AND(Inputs!$B$38&lt;&gt;"pvp",Inputs!$B$43&gt;0),((Skills!G4*((R2816-1)*IF(Skills!H4&gt;0,Skills!I4/Skills!H4,1)+IF(Skills!H4&gt;0,MIN(Skills!I4,MAX(0,MAX(0,Inputs!$B$43-B2850)-((R2816-1)*(IF(Inputs!$B$38="pvp",15,MAX(0.1,Skills!E4-IF(TRUE=TRUE,1,0)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3656409031790827</v>
      </c>
    </row>
    <row r="2817" spans="1:21" x14ac:dyDescent="0.2">
      <c r="A2817" t="str">
        <f>Skills!A5</f>
        <v>ELEMENTAL_DRAIN</v>
      </c>
      <c r="B2817" t="str">
        <f>Skills!B5</f>
        <v>Elemental Drain</v>
      </c>
      <c r="C2817" t="b">
        <f>TRUE</f>
        <v>1</v>
      </c>
      <c r="D2817">
        <f>IF(Skills!C5=1,60+Inputs!$B$25+Inputs!$B$29,IF(Skills!C5=2,90+Inputs!$B$26+Inputs!$B$29,IF(Skills!C5=3,120+Inputs!$B$27+Inputs!$B$29,MAX(0,(Inputs!$B$3-100)*3)+Inputs!$B$28+Inputs!$B$29)))</f>
        <v>168</v>
      </c>
      <c r="E2817">
        <f>INDEX(FactorTable!$B$2:$Y$301, MATCH(ROUND(MIN(300,MAX(1,D2817)),0), FactorTable!$A$2:$A$301,0), Skills!M5+1)</f>
        <v>1672</v>
      </c>
      <c r="F2817">
        <f>IF(Skills!N5=TRUE,(Skills!L5/10)*(E2817/1000),Skills!L5/10)+Skills!O5</f>
        <v>20.064</v>
      </c>
      <c r="G2817">
        <f>Calc!G5</f>
        <v>5</v>
      </c>
      <c r="H2817">
        <f>Calc!H5</f>
        <v>1</v>
      </c>
      <c r="I2817">
        <f>IF(Skills!X5&lt;&gt;"",1+(Skills!X5/10)*(Z2815/1000)/100,1)</f>
        <v>12.475</v>
      </c>
      <c r="J2817">
        <f>((Inputs!$B$6*(1+Inputs!$B$7/100))+(((Inputs!$B$12*(1+Inputs!$B$13/100))-(Inputs!$B$12*(1+Inputs!$B$13/100)))+0.25*(Inputs!$B$14-Inputs!$B$14))*(1+Inputs!$B$7/100))*(F2817/100)</f>
        <v>72458030.371890247</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4602744325632.293</v>
      </c>
      <c r="L2817">
        <f>K2817*(MIN(Inputs!$B$22+(F2834-Calc!F22),(Inputs!$B$23+(IF(ArtifactsInput!$M$15,CHOOSE(ArtifactsInput!$N$15+1,25,30,35,40,45,50)/100*(Inputs!$B$11-Inputs!$B$11),0))))/100+(Inputs!$B$23+(IF(ArtifactsInput!$M$15,CHOOSE(ArtifactsInput!$N$15+1,25,30,35,40,45,50)/100*(Inputs!$B$11-Inputs!$B$11),0)))/100)/2</f>
        <v>15304124882727.375</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72220165321590.469</v>
      </c>
      <c r="N2817">
        <f>L2817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72220165321590.469</v>
      </c>
      <c r="O2817">
        <f>(1-Summary!$B$11)*S2817+Summary!$B$11*U2817</f>
        <v>1060011476507644.1</v>
      </c>
      <c r="P2817">
        <f>IF(B2853=0,0,O2817/B2853)</f>
        <v>3.1718986153215473E-2</v>
      </c>
      <c r="Q2817">
        <f>IFERROR(1/(IF(Inputs!$B$38="pvp",15,MAX(0.1,Skills!E5-IF(FALSE=TRUE,1,0)))*(1-IF(AND(ArtifactsInput!$M$27,Inputs!$B$4="Chapter Hunt"),CHOOSE(ArtifactsInput!$N$27+1,20,24,28,32,36,40),0)/100)),0)</f>
        <v>1</v>
      </c>
      <c r="R2817">
        <f>IF(AND(Inputs!$B$38&lt;&gt;"pvp",Inputs!$B$43&gt;0),IF(MAX(0,Inputs!$B$43-B2850)&lt;=0,0,(INT(MAX(0,Inputs!$B$43-B2850)/(IF(Inputs!$B$38="pvp",15,MAX(0.1,Skills!E5-IF(FALSE=TRUE,1,0)))*(1-IF(AND(ArtifactsInput!$M$27,Inputs!$B$4="Chapter Hunt"),CHOOSE(ArtifactsInput!$N$27+1,20,24,28,32,36,40),0)/100)))+1)),0)</f>
        <v>38</v>
      </c>
      <c r="S2817">
        <f>IF(C2817,(H2817*N2817*IF(AND(Inputs!$B$38&lt;&gt;"pvp",Inputs!$B$43&gt;0),((Skills!G5*((R2817-1)*IF(Skills!H5&gt;0,Skills!I5/Skills!H5,1)+IF(Skills!H5&gt;0,MIN(Skills!I5,MAX(0,MAX(0,Inputs!$B$43-B2850)-((R2817-1)*(IF(Inputs!$B$38="pvp",15,MAX(0.1,Skills!E5-IF(FALSE=TRUE,1,0)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1087455139329848.5</v>
      </c>
      <c r="U2817">
        <f>IF(C2817,(H2817*N2817*IF(AND(Inputs!$B$38&lt;&gt;"pvp",Inputs!$B$43&gt;0),((Skills!G5*((R2817-1)*IF(Skills!H5&gt;0,Skills!I5/Skills!H5,1)+IF(Skills!H5&gt;0,MIN(Skills!I5,MAX(0,MAX(0,Inputs!$B$43-B2850)-((R2817-1)*(IF(Inputs!$B$38="pvp",15,MAX(0.1,Skills!E5-IF(FALSE=TRUE,1,0)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1032567813685439.8</v>
      </c>
    </row>
    <row r="2818" spans="1:21" x14ac:dyDescent="0.2">
      <c r="A2818" t="str">
        <f>Skills!A6</f>
        <v>MEDITATION</v>
      </c>
      <c r="B2818" t="str">
        <f>Skills!B6</f>
        <v>Meditation</v>
      </c>
      <c r="C2818" t="b">
        <f>TRUE</f>
        <v>1</v>
      </c>
      <c r="D2818">
        <f>IF(Skills!C6=1,60+Inputs!$B$25+Inputs!$B$29,IF(Skills!C6=2,90+Inputs!$B$26+Inputs!$B$29,IF(Skills!C6=3,120+Inputs!$B$27+Inputs!$B$29,MAX(0,(Inputs!$B$3-100)*3)+Inputs!$B$28+Inputs!$B$29)))</f>
        <v>168</v>
      </c>
      <c r="E2818">
        <f>INDEX(FactorTable!$B$2:$Y$301, MATCH(ROUND(MIN(300,MAX(1,D2818)),0), FactorTable!$A$2:$A$301,0), Skills!M6+1)</f>
        <v>1672</v>
      </c>
      <c r="F2818">
        <f>IF(Skills!N6=TRUE,(Skills!L6/10)*(E2818/1000),Skills!L6/10)+Skills!O6</f>
        <v>33.44</v>
      </c>
      <c r="G2818">
        <f>Calc!G6</f>
        <v>1</v>
      </c>
      <c r="H2818">
        <f>Calc!H6</f>
        <v>1</v>
      </c>
      <c r="I2818">
        <f>IF(Skills!X6&lt;&gt;"",1+(Skills!X6/10)*(Z2815/1000)/100,1)</f>
        <v>1</v>
      </c>
      <c r="O2818">
        <f>(1-Summary!$B$11)*S2818+Summary!$B$11*U2818</f>
        <v>0</v>
      </c>
      <c r="P2818">
        <f>IF(B2853=0,0,O2818/B2853)</f>
        <v>0</v>
      </c>
      <c r="Q2818">
        <f>IFERROR(1/(IF(Inputs!$B$38="pvp",15,MAX(0.1,Skills!E6-IF(TRUE=TRUE,1,0)))*(1-IF(AND(ArtifactsInput!$M$27,Inputs!$B$4="Chapter Hunt"),CHOOSE(ArtifactsInput!$N$27+1,20,24,28,32,36,40),0)/100)),0)</f>
        <v>3.4482758620689655E-2</v>
      </c>
      <c r="R2818">
        <f>IF(AND(Inputs!$B$38&lt;&gt;"pvp",Inputs!$B$43&gt;0),IF(Inputs!$B$43&lt;=0,0,(INT(Inputs!$B$43/(IF(Inputs!$B$38="pvp",15,MAX(0.1,Skills!E6-IF(TRUE=TRUE,1,0)))*(1-IF(AND(ArtifactsInput!$M$27,Inputs!$B$4="Chapter Hunt"),CHOOSE(ArtifactsInput!$N$27+1,20,24,28,32,36,40),0)/100)))+1)),0)</f>
        <v>2</v>
      </c>
      <c r="S2818">
        <v>0</v>
      </c>
      <c r="U2818">
        <v>0</v>
      </c>
    </row>
    <row r="2819" spans="1:21" x14ac:dyDescent="0.2">
      <c r="A2819" t="str">
        <f>Skills!A7</f>
        <v>POISON_MIST_BURST</v>
      </c>
      <c r="B2819" t="str">
        <f>Skills!B7</f>
        <v>Poison Mist (burst)</v>
      </c>
      <c r="C2819" t="b">
        <f>TRUE</f>
        <v>1</v>
      </c>
      <c r="D2819">
        <f>IF(Skills!C7=1,60+Inputs!$B$25+Inputs!$B$29,IF(Skills!C7=2,90+Inputs!$B$26+Inputs!$B$29,IF(Skills!C7=3,120+Inputs!$B$27+Inputs!$B$29,MAX(0,(Inputs!$B$3-100)*3)+Inputs!$B$28+Inputs!$B$29)))</f>
        <v>184</v>
      </c>
      <c r="E2819">
        <f>INDEX(FactorTable!$B$2:$Y$301, MATCH(ROUND(MIN(300,MAX(1,D2819)),0), FactorTable!$A$2:$A$301,0), Skills!M7+1)</f>
        <v>1920</v>
      </c>
      <c r="F2819">
        <f>IF(Skills!N7=TRUE,(Skills!L7/10)*(E2819/1000),Skills!L7/10)+Skills!O7</f>
        <v>357.2</v>
      </c>
      <c r="G2819">
        <f>Calc!G7</f>
        <v>3</v>
      </c>
      <c r="H2819">
        <f>Calc!H7</f>
        <v>1</v>
      </c>
      <c r="I2819">
        <f>IF(Skills!X7&lt;&gt;"",1+(Skills!X7/10)*(Z2815/1000)/100,1)</f>
        <v>1.7650000000000001</v>
      </c>
      <c r="J2819">
        <f>((Inputs!$B$6*(1+Inputs!$B$7/100))+(((Inputs!$B$12*(1+Inputs!$B$13/100))-(Inputs!$B$12*(1+Inputs!$B$13/100)))+0.25*(Inputs!$B$14-Inputs!$B$14))*(1+Inputs!$B$7/100))*(F2819/100)</f>
        <v>1289972510.4086521</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11593509914763.678</v>
      </c>
      <c r="L2819">
        <f>K2819*(MIN(Inputs!$B$22+(F2834-Calc!F22),(Inputs!$B$23+(IF(ArtifactsInput!$M$15,CHOOSE(ArtifactsInput!$N$15+1,25,30,35,40,45,50)/100*(Inputs!$B$11-Inputs!$B$11),0))))/100+(Inputs!$B$23+(IF(ArtifactsInput!$M$15,CHOOSE(ArtifactsInput!$N$15+1,25,30,35,40,45,50)/100*(Inputs!$B$11-Inputs!$B$11),0)))/100)/2</f>
        <v>38548420466589.234</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181909996181834.56</v>
      </c>
      <c r="N2819">
        <f>L2819*(1-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181909996181834.56</v>
      </c>
      <c r="O2819">
        <f>(1-Summary!$B$11)*S2819+Summary!$B$11*U2819</f>
        <v>453910917972722.69</v>
      </c>
      <c r="P2819">
        <f>IF(B2853=0,0,O2819/B2853)</f>
        <v>1.3582488907955036E-2</v>
      </c>
      <c r="Q2819">
        <f>IFERROR(1/(IF(Inputs!$B$38="pvp",15,MAX(0.1,Skills!E7-IF(TRUE=TRUE,1,0)))*(1-IF(AND(ArtifactsInput!$M$27,Inputs!$B$4="Chapter Hunt"),CHOOSE(ArtifactsInput!$N$27+1,20,24,28,32,36,40),0)/100)),0)</f>
        <v>4.2553191489361701E-2</v>
      </c>
      <c r="R2819">
        <f>IF(AND(Inputs!$B$38&lt;&gt;"pvp",Inputs!$B$43&gt;0),IF(MAX(0,Inputs!$B$43-B2850)&lt;=0,0,(INT(MAX(0,Inputs!$B$43-B2850)/(IF(Inputs!$B$38="pvp",15,MAX(0.1,Skills!E7-IF(TRUE=TRUE,1,0)))*(1-IF(AND(ArtifactsInput!$M$27,Inputs!$B$4="Chapter Hunt"),CHOOSE(ArtifactsInput!$N$27+1,20,24,28,32,36,40),0)/100)))+1)),0)</f>
        <v>2</v>
      </c>
      <c r="S2819">
        <f>IF(C2819,(H2819*N2819*IF(AND(Inputs!$B$38&lt;&gt;"pvp",Inputs!$B$43&gt;0),((Skills!G7*((R2819-1)*IF(Skills!H7&gt;0,Skills!I7/Skills!H7,1)+IF(Skills!H7&gt;0,MIN(Skills!I7,MAX(0,MAX(0,Inputs!$B$43-B2850)-((R2819-1)*(IF(Inputs!$B$38="pvp",15,MAX(0.1,Skills!E7-IF(TRUE=TRUE,1,0)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86498203184462.328</v>
      </c>
      <c r="U2819">
        <f>IF(C2819,(H2819*N2819*IF(AND(Inputs!$B$38&lt;&gt;"pvp",Inputs!$B$43&gt;0),((Skills!G7*((R2819-1)*IF(Skills!H7&gt;0,Skills!I7/Skills!H7,1)+IF(Skills!H7&gt;0,MIN(Skills!I7,MAX(0,MAX(0,Inputs!$B$43-B2850)-((R2819-1)*(IF(Inputs!$B$38="pvp",15,MAX(0.1,Skills!E7-IF(TRUE=TRUE,1,0)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821323632760983</v>
      </c>
    </row>
    <row r="2820" spans="1:21" x14ac:dyDescent="0.2">
      <c r="A2820" t="str">
        <f>Skills!A8</f>
        <v>POISON_MIST_DOT</v>
      </c>
      <c r="B2820" t="str">
        <f>Skills!B8</f>
        <v>Poison Mist (fog DoT)</v>
      </c>
      <c r="C2820" t="b">
        <f>TRUE</f>
        <v>1</v>
      </c>
      <c r="D2820">
        <f>IF(Skills!C8=1,60+Inputs!$B$25+Inputs!$B$29,IF(Skills!C8=2,90+Inputs!$B$26+Inputs!$B$29,IF(Skills!C8=3,120+Inputs!$B$27+Inputs!$B$29,MAX(0,(Inputs!$B$3-100)*3)+Inputs!$B$28+Inputs!$B$29)))</f>
        <v>184</v>
      </c>
      <c r="E2820">
        <f>INDEX(FactorTable!$B$2:$Y$301, MATCH(ROUND(MIN(300,MAX(1,D2820)),0), FactorTable!$A$2:$A$301,0), Skills!M8+1)</f>
        <v>1920</v>
      </c>
      <c r="F2820">
        <f>IF(Skills!N8=TRUE,(Skills!L8/10)*(E2820/1000),Skills!L8/10)+Skills!O8</f>
        <v>134.4</v>
      </c>
      <c r="G2820">
        <f>Calc!G8</f>
        <v>50</v>
      </c>
      <c r="H2820">
        <f>Calc!H8</f>
        <v>1</v>
      </c>
      <c r="I2820">
        <f>IF(Skills!X8&lt;&gt;"",1+(Skills!X8/10)*(Z2815/1000)/100,1)</f>
        <v>1.7650000000000001</v>
      </c>
      <c r="J2820">
        <f>((Inputs!$B$6*(1+Inputs!$B$7/100))+(((Inputs!$B$12*(1+Inputs!$B$13/100))-(Inputs!$B$12*(1+Inputs!$B$13/100)))+0.25*(Inputs!$B$14-Inputs!$B$14))*(1+Inputs!$B$7/100))*(F2820/100)</f>
        <v>485364796.74950409</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4362171703651.2827</v>
      </c>
      <c r="L2820">
        <f>K2820*(MIN(Inputs!$B$22+(F2834-Calc!F22),(Inputs!$B$23+(IF(ArtifactsInput!$M$15,CHOOSE(ArtifactsInput!$N$15+1,25,30,35,40,45,50)/100*(Inputs!$B$11-Inputs!$B$11),0))))/100+(Inputs!$B$23+(IF(ArtifactsInput!$M$15,CHOOSE(ArtifactsInput!$N$15+1,25,30,35,40,45,50)/100*(Inputs!$B$11-Inputs!$B$11),0)))/100)/2</f>
        <v>14504220914640.516</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68445418496188.586</v>
      </c>
      <c r="N2820">
        <f>L2820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68445418496188.586</v>
      </c>
      <c r="O2820">
        <f>(1-Summary!$B$11)*S2820+Summary!$B$11*U2820</f>
        <v>2429799728465802</v>
      </c>
      <c r="P2820">
        <f>IF(B2853=0,0,O2820/B2853)</f>
        <v>7.2707499541621909E-2</v>
      </c>
      <c r="Q2820">
        <f>IFERROR(1/(IF(Inputs!$B$38="pvp",15,MAX(0.1,Skills!E8-IF(TRUE=TRUE,1,0)))*(1-IF(AND(ArtifactsInput!$M$27,Inputs!$B$4="Chapter Hunt"),CHOOSE(ArtifactsInput!$N$27+1,20,24,28,32,36,40),0)/100)),0)</f>
        <v>4.2553191489361701E-2</v>
      </c>
      <c r="R2820">
        <f>IF(AND(Inputs!$B$38&lt;&gt;"pvp",Inputs!$B$43&gt;0),IF(MAX(0,Inputs!$B$43-B2850)&lt;=0,0,(INT(MAX(0,Inputs!$B$43-B2850)/(IF(Inputs!$B$38="pvp",15,MAX(0.1,Skills!E8-IF(TRUE=TRUE,1,0)))*(1-IF(AND(ArtifactsInput!$M$27,Inputs!$B$4="Chapter Hunt"),CHOOSE(ArtifactsInput!$N$27+1,20,24,28,32,36,40),0)/100)))+1)),0)</f>
        <v>2</v>
      </c>
      <c r="S2820">
        <f>IF(C2820,(H2820*N2820*IF(AND(Inputs!$B$38&lt;&gt;"pvp",Inputs!$B$43&gt;0),((Skills!G8*((R2820-1)*IF(Skills!H8&gt;0,Skills!I8/Skills!H8,1)+IF(Skills!H8&gt;0,MIN(Skills!I8,MAX(0,MAX(0,Inputs!$B$43-B2850)-((R2820-1)*(IF(Inputs!$B$38="pvp",15,MAX(0.1,Skills!E8-IF(TRUE=TRUE,1,0)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463027660909924.44</v>
      </c>
      <c r="U2820">
        <f>IF(C2820,(H2820*N2820*IF(AND(Inputs!$B$38&lt;&gt;"pvp",Inputs!$B$43&gt;0),((Skills!G8*((R2820-1)*IF(Skills!H8&gt;0,Skills!I8/Skills!H8,1)+IF(Skills!H8&gt;0,MIN(Skills!I8,MAX(0,MAX(0,Inputs!$B$43-B2850)-((R2820-1)*(IF(Inputs!$B$38="pvp",15,MAX(0.1,Skills!E8-IF(TRUE=TRUE,1,0)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4396571796021680</v>
      </c>
    </row>
    <row r="2821" spans="1:21" x14ac:dyDescent="0.2">
      <c r="A2821" t="str">
        <f>Skills!A9</f>
        <v>MIST_ERUPTION</v>
      </c>
      <c r="B2821" t="str">
        <f>Skills!B9</f>
        <v>Mist Eruption</v>
      </c>
      <c r="C2821" t="b">
        <f>Inputs!$B$3&gt;=103</f>
        <v>1</v>
      </c>
      <c r="D2821">
        <f>IF(Skills!C9=1,60+Inputs!$B$25+Inputs!$B$29,IF(Skills!C9=2,90+Inputs!$B$26+Inputs!$B$29,IF(Skills!C9=3,120+Inputs!$B$27+Inputs!$B$29,MAX(0,(Inputs!$B$3-100)*3)+Inputs!$B$28+Inputs!$B$29)))</f>
        <v>185</v>
      </c>
      <c r="E2821">
        <f>INDEX(FactorTable!$B$2:$Y$301, MATCH(ROUND(MIN(300,MAX(1,D2821)),0), FactorTable!$A$2:$A$301,0), Skills!M9+1)</f>
        <v>1925</v>
      </c>
      <c r="F2821">
        <f>IF(Skills!N9=TRUE,(Skills!L9/10)*(E2821/1000),Skills!L9/10)+Skills!O9</f>
        <v>5775</v>
      </c>
      <c r="G2821">
        <f>Calc!G9</f>
        <v>2.5</v>
      </c>
      <c r="H2821">
        <f>Calc!H9</f>
        <v>1</v>
      </c>
      <c r="I2821">
        <f>IF(Skills!X9&lt;&gt;"",1+(Skills!X9/10)*(Z2815/1000)/100,1)</f>
        <v>1</v>
      </c>
      <c r="J2821">
        <f>((Inputs!$B$6*(1+Inputs!$B$7/100))+(((Inputs!$B$12*(1+Inputs!$B$13/100))-(Inputs!$B$12*(1+Inputs!$B$13/100)))+0.25*(Inputs!$B$14-Inputs!$B$14))*(1+Inputs!$B$7/100))*(F2821/100)</f>
        <v>20855518610.330254</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106196637615448.19</v>
      </c>
      <c r="L2821">
        <f>K2821*(MIN(Inputs!$B$22+(F2834-Calc!F22),(Inputs!$B$23+(IF(ArtifactsInput!$M$15,CHOOSE(ArtifactsInput!$N$15+1,25,30,35,40,45,50)/100*(Inputs!$B$11-Inputs!$B$11),0))))/100+(Inputs!$B$23+(IF(ArtifactsInput!$M$15,CHOOSE(ArtifactsInput!$N$15+1,25,30,35,40,45,50)/100*(Inputs!$B$11-Inputs!$B$11),0)))/100)/2</f>
        <v>353103820071365.25</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1666296926916772.5</v>
      </c>
      <c r="N2821">
        <f>L2821*(1-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1666296926916772.5</v>
      </c>
      <c r="O2821">
        <f>(1-Summary!$B$11)*S2821+Summary!$B$11*U2821</f>
        <v>3464856172407563.5</v>
      </c>
      <c r="P2821">
        <f>IF(B2853=0,0,O2821/B2853)</f>
        <v>0.10367975006984383</v>
      </c>
      <c r="Q2821">
        <f>IFERROR(1/(IF(Inputs!$B$38="pvp",15,MAX(0.1,Skills!E9-IF(TRUE=TRUE,1,0)))*(1-IF(AND(ArtifactsInput!$M$27,Inputs!$B$4="Chapter Hunt"),CHOOSE(ArtifactsInput!$N$27+1,20,24,28,32,36,40),0)/100)),0)</f>
        <v>4.2553191489361701E-2</v>
      </c>
      <c r="R2821">
        <f>IF(AND(Inputs!$B$38&lt;&gt;"pvp",Inputs!$B$43&gt;0),IF(MAX(0,Inputs!$B$43-B2850)&lt;=0,0,(INT(MAX(0,Inputs!$B$43-B2850)/(IF(Inputs!$B$38="pvp",15,MAX(0.1,Skills!E9-IF(TRUE=TRUE,1,0)))*(1-IF(AND(ArtifactsInput!$M$27,Inputs!$B$4="Chapter Hunt"),CHOOSE(ArtifactsInput!$N$27+1,20,24,28,32,36,40),0)/100)))+1)),0)</f>
        <v>2</v>
      </c>
      <c r="S2821">
        <f>IF(C2821,(H2821*N2821*IF(AND(Inputs!$B$38&lt;&gt;"pvp",Inputs!$B$43&gt;0),((Skills!G9*((R2821-1)*IF(Skills!H9&gt;0,Skills!I9/Skills!H9,1)+IF(Skills!H9&gt;0,MIN(Skills!I9,MAX(0,MAX(0,Inputs!$B$43-B2850)-((R2821-1)*(IF(Inputs!$B$38="pvp",15,MAX(0.1,Skills!E9-IF(TRUE=TRUE,1,0)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660270157290771.12</v>
      </c>
      <c r="U2821">
        <f>IF(C2821,(H2821*N2821*IF(AND(Inputs!$B$38&lt;&gt;"pvp",Inputs!$B$43&gt;0),((Skills!G9*((R2821-1)*IF(Skills!H9&gt;0,Skills!I9/Skills!H9,1)+IF(Skills!H9&gt;0,MIN(Skills!I9,MAX(0,MAX(0,Inputs!$B$43-B2850)-((R2821-1)*(IF(Inputs!$B$38="pvp",15,MAX(0.1,Skills!E9-IF(TRUE=TRUE,1,0)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6269442187524356</v>
      </c>
    </row>
    <row r="2822" spans="1:21" x14ac:dyDescent="0.2">
      <c r="A2822" t="str">
        <f>Skills!A10</f>
        <v>CREEPING_TOXIN</v>
      </c>
      <c r="B2822" t="str">
        <f>Skills!B10</f>
        <v>Creeping Toxin</v>
      </c>
      <c r="C2822" t="b">
        <f>TRUE</f>
        <v>1</v>
      </c>
      <c r="D2822">
        <f>IF(Skills!C10=1,60+Inputs!$B$25+Inputs!$B$29,IF(Skills!C10=2,90+Inputs!$B$26+Inputs!$B$29,IF(Skills!C10=3,120+Inputs!$B$27+Inputs!$B$29,MAX(0,(Inputs!$B$3-100)*3)+Inputs!$B$28+Inputs!$B$29)))</f>
        <v>184</v>
      </c>
      <c r="E2822">
        <f>INDEX(FactorTable!$B$2:$Y$301, MATCH(ROUND(MIN(300,MAX(1,D2822)),0), FactorTable!$A$2:$A$301,0), Skills!M10+1)</f>
        <v>1920</v>
      </c>
      <c r="F2822">
        <f>IF(Skills!N10=TRUE,(Skills!L10/10)*(E2822/1000),Skills!L10/10)+Skills!O10</f>
        <v>280.39999999999998</v>
      </c>
      <c r="G2822">
        <f>Calc!G10</f>
        <v>15</v>
      </c>
      <c r="H2822">
        <f>Calc!H10</f>
        <v>1</v>
      </c>
      <c r="I2822">
        <f>IF(Skills!X10&lt;&gt;"",1+(Skills!X10/10)*(Z2815/1000)/100,1)</f>
        <v>1.7650000000000001</v>
      </c>
      <c r="J2822">
        <f>((Inputs!$B$6*(1+Inputs!$B$7/100))+(((Inputs!$B$12*(1+Inputs!$B$13/100))-(Inputs!$B$12*(1+Inputs!$B$13/100)))+0.25*(Inputs!$B$14-Inputs!$B$14))*(1+Inputs!$B$7/100))*(F2822/100)</f>
        <v>1012621197.9803641</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9100840369820.0859</v>
      </c>
      <c r="L2822">
        <f>K2822*(MIN(Inputs!$B$22+(F2834-Calc!F22),(Inputs!$B$23+(IF(ArtifactsInput!$M$15,CHOOSE(ArtifactsInput!$N$15+1,25,30,35,40,45,50)/100*(Inputs!$B$11-Inputs!$B$11),0))))/100+(Inputs!$B$23+(IF(ArtifactsInput!$M$15,CHOOSE(ArtifactsInput!$N$15+1,25,30,35,40,45,50)/100*(Inputs!$B$11-Inputs!$B$11),0)))/100)/2</f>
        <v>30260294229651.789</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142798328469726.78</v>
      </c>
      <c r="N2822">
        <f>L2822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142798328469726.78</v>
      </c>
      <c r="O2822">
        <f>(1-Summary!$B$11)*S2822+Summary!$B$11*U2822</f>
        <v>341482443261068</v>
      </c>
      <c r="P2822">
        <f>IF(B2853=0,0,O2822/B2853)</f>
        <v>1.0218263791869329E-2</v>
      </c>
      <c r="Q2822">
        <f>IFERROR(1/(IF(Inputs!$B$38="pvp",15,MAX(0.1,Skills!E10-IF(TRUE=TRUE,1,0)))*(1-IF(AND(ArtifactsInput!$M$27,Inputs!$B$4="Chapter Hunt"),CHOOSE(ArtifactsInput!$N$27+1,20,24,28,32,36,40),0)/100)),0)</f>
        <v>3.8461538461538464E-2</v>
      </c>
      <c r="R2822">
        <f>IF(AND(Inputs!$B$38&lt;&gt;"pvp",Inputs!$B$43&gt;0),IF(MAX(0,Inputs!$B$43-B2850)&lt;=0,0,(INT(MAX(0,Inputs!$B$43-B2850)/(IF(Inputs!$B$38="pvp",15,MAX(0.1,Skills!E10-IF(TRUE=TRUE,1,0)))*(1-IF(AND(ArtifactsInput!$M$27,Inputs!$B$4="Chapter Hunt"),CHOOSE(ArtifactsInput!$N$27+1,20,24,28,32,36,40),0)/100)))+1)),0)</f>
        <v>2</v>
      </c>
      <c r="S2822">
        <f>IF(C2822,(H2822*N2822*IF(AND(Inputs!$B$38&lt;&gt;"pvp",Inputs!$B$43&gt;0),((Skills!G10*((R2822-1)*IF(Skills!H10&gt;0,Skills!I10/Skills!H10,1)+IF(Skills!H10&gt;0,MIN(Skills!I10,MAX(0,MAX(0,Inputs!$B$43-B2850)-((R2822-1)*(IF(Inputs!$B$38="pvp",15,MAX(0.1,Skills!E10-IF(TRUE=TRUE,1,0)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301531851013255</v>
      </c>
      <c r="U2822">
        <f>IF(C2822,(H2822*N2822*IF(AND(Inputs!$B$38&lt;&gt;"pvp",Inputs!$B$43&gt;0),((Skills!G10*((R2822-1)*IF(Skills!H10&gt;0,Skills!I10/Skills!H10,1)+IF(Skills!H10&gt;0,MIN(Skills!I10,MAX(0,MAX(0,Inputs!$B$43-B2850)-((R2822-1)*(IF(Inputs!$B$38="pvp",15,MAX(0.1,Skills!E10-IF(TRUE=TRUE,1,0)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381433035508880.94</v>
      </c>
    </row>
    <row r="2823" spans="1:21" x14ac:dyDescent="0.2">
      <c r="A2823" t="str">
        <f>Skills!A11</f>
        <v>BURNING_MAGIC</v>
      </c>
      <c r="B2823" t="str">
        <f>Skills!B11</f>
        <v>Burning Magic</v>
      </c>
      <c r="C2823" t="b">
        <f>TRUE</f>
        <v>1</v>
      </c>
      <c r="D2823">
        <f>IF(Skills!C11=1,60+Inputs!$B$25+Inputs!$B$29,IF(Skills!C11=2,90+Inputs!$B$26+Inputs!$B$29,IF(Skills!C11=3,120+Inputs!$B$27+Inputs!$B$29,MAX(0,(Inputs!$B$3-100)*3)+Inputs!$B$28+Inputs!$B$29)))</f>
        <v>184</v>
      </c>
      <c r="E2823">
        <f>INDEX(FactorTable!$B$2:$Y$301, MATCH(ROUND(MIN(300,MAX(1,D2823)),0), FactorTable!$A$2:$A$301,0), Skills!M11+1)</f>
        <v>0</v>
      </c>
      <c r="F2823">
        <f>IF(Skills!N11=TRUE,(Skills!L11/10)*(E2823/1000),Skills!L11/10)+Skills!O11</f>
        <v>5</v>
      </c>
      <c r="G2823">
        <f>Calc!G11</f>
        <v>1</v>
      </c>
      <c r="H2823">
        <f>Calc!H11</f>
        <v>1</v>
      </c>
      <c r="I2823">
        <f>IF(Skills!X11&lt;&gt;"",1+(Skills!X11/10)*(Z2815/1000)/100,1)</f>
        <v>1</v>
      </c>
      <c r="O2823">
        <f>(1-Summary!$B$11)*S2823+Summary!$B$11*U2823</f>
        <v>0</v>
      </c>
      <c r="P2823">
        <f>IF(B2853=0,0,O2823/B2853)</f>
        <v>0</v>
      </c>
      <c r="Q2823">
        <f>IFERROR(1/(IF(Inputs!$B$38="pvp",15,MAX(0.1,Skills!E11-IF(TRUE=TRUE,1,0)))*(1-IF(AND(ArtifactsInput!$M$27,Inputs!$B$4="Chapter Hunt"),CHOOSE(ArtifactsInput!$N$27+1,20,24,28,32,36,40),0)/100)),0)</f>
        <v>10</v>
      </c>
      <c r="R2823">
        <v>0</v>
      </c>
      <c r="S2823">
        <v>0</v>
      </c>
      <c r="U2823">
        <v>0</v>
      </c>
    </row>
    <row r="2824" spans="1:21" x14ac:dyDescent="0.2">
      <c r="A2824" t="str">
        <f>Skills!A12</f>
        <v>ELEMENTAL_DECREASE</v>
      </c>
      <c r="B2824" t="str">
        <f>Skills!B12</f>
        <v>Elemental Decrease</v>
      </c>
      <c r="C2824" t="b">
        <f>TRUE</f>
        <v>1</v>
      </c>
      <c r="D2824">
        <f>IF(Skills!C12=1,60+Inputs!$B$25+Inputs!$B$29,IF(Skills!C12=2,90+Inputs!$B$26+Inputs!$B$29,IF(Skills!C12=3,120+Inputs!$B$27+Inputs!$B$29,MAX(0,(Inputs!$B$3-100)*3)+Inputs!$B$28+Inputs!$B$29)))</f>
        <v>184</v>
      </c>
      <c r="E2824">
        <f>INDEX(FactorTable!$B$2:$Y$301, MATCH(ROUND(MIN(300,MAX(1,D2824)),0), FactorTable!$A$2:$A$301,0), Skills!M12+1)</f>
        <v>1552</v>
      </c>
      <c r="F2824">
        <f>IF(Skills!N12=TRUE,(Skills!L12/10)*(E2824/1000),Skills!L12/10)+Skills!O12</f>
        <v>18.624000000000002</v>
      </c>
      <c r="G2824">
        <f>Calc!G12</f>
        <v>1</v>
      </c>
      <c r="H2824">
        <f>Calc!H12</f>
        <v>0.5</v>
      </c>
      <c r="I2824">
        <f>IF(Skills!X12&lt;&gt;"",1+(Skills!X12/10)*(Z2815/1000)/100,1)</f>
        <v>1</v>
      </c>
      <c r="O2824">
        <f>(1-Summary!$B$11)*S2824+Summary!$B$11*U2824</f>
        <v>0</v>
      </c>
      <c r="P2824">
        <f>IF(B2853=0,0,O2824/B2853)</f>
        <v>0</v>
      </c>
      <c r="Q2824">
        <f>IFERROR(1/(IF(Inputs!$B$38="pvp",15,MAX(0.1,Skills!E12-IF(TRUE=TRUE,1,0)))*(1-IF(AND(ArtifactsInput!$M$27,Inputs!$B$4="Chapter Hunt"),CHOOSE(ArtifactsInput!$N$27+1,20,24,28,32,36,40),0)/100)),0)</f>
        <v>10</v>
      </c>
      <c r="R2824">
        <v>0</v>
      </c>
      <c r="S2824">
        <v>0</v>
      </c>
      <c r="U2824">
        <v>0</v>
      </c>
    </row>
    <row r="2825" spans="1:21" x14ac:dyDescent="0.2">
      <c r="A2825" t="str">
        <f>Skills!A13</f>
        <v>METEOR_SHOWER_BURST</v>
      </c>
      <c r="B2825" t="str">
        <f>Skills!B13</f>
        <v>Meteor Shower (burst)</v>
      </c>
      <c r="C2825" t="b">
        <f>Inputs!$B$3&gt;=105</f>
        <v>1</v>
      </c>
      <c r="D2825">
        <f>IF(Skills!C13=1,60+Inputs!$B$25+Inputs!$B$29,IF(Skills!C13=2,90+Inputs!$B$26+Inputs!$B$29,IF(Skills!C13=3,120+Inputs!$B$27+Inputs!$B$29,MAX(0,(Inputs!$B$3-100)*3)+Inputs!$B$28+Inputs!$B$29)))</f>
        <v>185</v>
      </c>
      <c r="E2825">
        <f>INDEX(FactorTable!$B$2:$Y$301, MATCH(ROUND(MIN(300,MAX(1,D2825)),0), FactorTable!$A$2:$A$301,0), Skills!M13+1)</f>
        <v>1925</v>
      </c>
      <c r="F2825">
        <f>IF(Skills!N13=TRUE,(Skills!L13/10)*(E2825/1000),Skills!L13/10)+Skills!O13</f>
        <v>1155</v>
      </c>
      <c r="G2825">
        <f>Calc!G13</f>
        <v>9</v>
      </c>
      <c r="H2825">
        <f>Calc!H13</f>
        <v>1</v>
      </c>
      <c r="I2825">
        <f>IF(Skills!X13&lt;&gt;"",1+(Skills!X13/10)*(Z2815/1000)/100,1)</f>
        <v>1</v>
      </c>
      <c r="J2825">
        <f>((Inputs!$B$6*(1+Inputs!$B$7/100))+(((Inputs!$B$12*(1+Inputs!$B$13/100))-(Inputs!$B$12*(1+Inputs!$B$13/100)))+0.25*(Inputs!$B$14-Inputs!$B$14))*(1+Inputs!$B$7/100))*(F2825/100)</f>
        <v>4171103722.0660505</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21239327523089.637</v>
      </c>
      <c r="L2825">
        <f>K2825*(MIN(Inputs!$B$22+(F2834-Calc!F22),(Inputs!$B$23+(IF(ArtifactsInput!$M$15,CHOOSE(ArtifactsInput!$N$15+1,25,30,35,40,45,50)/100*(Inputs!$B$11-Inputs!$B$11),0))))/100+(Inputs!$B$23+(IF(ArtifactsInput!$M$15,CHOOSE(ArtifactsInput!$N$15+1,25,30,35,40,45,50)/100*(Inputs!$B$11-Inputs!$B$11),0)))/100)/2</f>
        <v>70620764014273.047</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333259385383354.44</v>
      </c>
      <c r="N2825">
        <f>L2825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333259385383354.44</v>
      </c>
      <c r="O2825">
        <f>(1-Summary!$B$11)*S2825+Summary!$B$11*U2825</f>
        <v>1817596687880815</v>
      </c>
      <c r="P2825">
        <f>IF(B2853=0,0,O2825/B2853)</f>
        <v>5.4388396213374511E-2</v>
      </c>
      <c r="Q2825">
        <f>IFERROR(1/(IF(Inputs!$B$38="pvp",15,MAX(0.1,Skills!E13-IF(TRUE=TRUE,1,0)))*(1-IF(AND(ArtifactsInput!$M$27,Inputs!$B$4="Chapter Hunt"),CHOOSE(ArtifactsInput!$N$27+1,20,24,28,32,36,40),0)/100)),0)</f>
        <v>3.125E-2</v>
      </c>
      <c r="R2825">
        <f>IF(AND(Inputs!$B$38&lt;&gt;"pvp",Inputs!$B$43&gt;0),IF(MAX(0,Inputs!$B$43-B2850)&lt;=0,0,(INT(MAX(0,Inputs!$B$43-B2850)/(IF(Inputs!$B$38="pvp",15,MAX(0.1,Skills!E13-IF(TRUE=TRUE,1,0)))*(1-IF(AND(ArtifactsInput!$M$27,Inputs!$B$4="Chapter Hunt"),CHOOSE(ArtifactsInput!$N$27+1,20,24,28,32,36,40),0)/100)))+1)),0)</f>
        <v>2</v>
      </c>
      <c r="S2825">
        <f>IF(C2825,(H2825*N2825*IF(AND(Inputs!$B$38&lt;&gt;"pvp",Inputs!$B$43&gt;0),((Skills!G13*((R2825-1)*IF(Skills!H13&gt;0,Skills!I13/Skills!H13,1)+IF(Skills!H13&gt;0,MIN(Skills!I13,MAX(0,MAX(0,Inputs!$B$43-B2850)-((R2825-1)*(IF(Inputs!$B$38="pvp",15,MAX(0.1,Skills!E13-IF(TRUE=TRUE,1,0)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475394513249355.12</v>
      </c>
      <c r="U2825">
        <f>IF(C2825,(H2825*N2825*IF(AND(Inputs!$B$38&lt;&gt;"pvp",Inputs!$B$43&gt;0),((Skills!G13*((R2825-1)*IF(Skills!H13&gt;0,Skills!I13/Skills!H13,1)+IF(Skills!H13&gt;0,MIN(Skills!I13,MAX(0,MAX(0,Inputs!$B$43-B2850)-((R2825-1)*(IF(Inputs!$B$38="pvp",15,MAX(0.1,Skills!E13-IF(TRUE=TRUE,1,0)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3159798862512275</v>
      </c>
    </row>
    <row r="2826" spans="1:21" x14ac:dyDescent="0.2">
      <c r="A2826" t="str">
        <f>Skills!A14</f>
        <v>METEOR_PROC</v>
      </c>
      <c r="B2826" t="str">
        <f>Skills!B14</f>
        <v>Meteor Proc (30% on-hit, 1s ICD)</v>
      </c>
      <c r="C2826" t="b">
        <f>Inputs!$B$3&gt;=113</f>
        <v>1</v>
      </c>
      <c r="D2826">
        <f>IF(Skills!C14=1,60+Inputs!$B$25+Inputs!$B$29,IF(Skills!C14=2,90+Inputs!$B$26+Inputs!$B$29,IF(Skills!C14=3,120+Inputs!$B$27+Inputs!$B$29,MAX(0,(Inputs!$B$3-100)*3)+Inputs!$B$28+Inputs!$B$29)))</f>
        <v>185</v>
      </c>
      <c r="E2826">
        <f>INDEX(FactorTable!$B$2:$Y$301, MATCH(ROUND(MIN(300,MAX(1,D2826)),0), FactorTable!$A$2:$A$301,0), Skills!M14+1)</f>
        <v>1740</v>
      </c>
      <c r="F2826">
        <f>IF(Skills!N14=TRUE,(Skills!L14/10)*(E2826/1000),Skills!L14/10)+Skills!O14</f>
        <v>1653</v>
      </c>
      <c r="G2826">
        <f>Calc!G14</f>
        <v>0</v>
      </c>
      <c r="H2826">
        <f>Calc!H14</f>
        <v>0.30000000000000004</v>
      </c>
      <c r="I2826">
        <f>IF(Skills!X14&lt;&gt;"",1+(Skills!X14/10)*(Z2815/1000)/100,1)</f>
        <v>1</v>
      </c>
      <c r="J2826">
        <f>((Inputs!$B$6*(1+Inputs!$B$7/100))+(((Inputs!$B$12*(1+Inputs!$B$13/100))-(Inputs!$B$12*(1+Inputs!$B$13/100)))+0.25*(Inputs!$B$14-Inputs!$B$14))*(1+Inputs!$B$7/100))*(F2826/100)</f>
        <v>5969553638.5932312</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30397063546032.176</v>
      </c>
      <c r="L2826">
        <f>K2826*(MIN(Inputs!$B$22+(F2834-Calc!F22),(Inputs!$B$23+(IF(ArtifactsInput!$M$15,CHOOSE(ArtifactsInput!$N$15+1,25,30,35,40,45,50)/100*(Inputs!$B$11-Inputs!$B$11),0))))/100+(Inputs!$B$23+(IF(ArtifactsInput!$M$15,CHOOSE(ArtifactsInput!$N$15+1,25,30,35,40,45,50)/100*(Inputs!$B$11-Inputs!$B$11),0)))/100)/2</f>
        <v>101070236290556.98</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476950445055138.38</v>
      </c>
      <c r="N2826">
        <f>L2826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476950445055138.38</v>
      </c>
      <c r="O2826">
        <f>(1-Summary!$B$11)*S2826+Summary!$B$11*U2826</f>
        <v>462254402877096.5</v>
      </c>
      <c r="P2826">
        <f>IF(B2853=0,0,O2826/B2853)</f>
        <v>1.3832153074821711E-2</v>
      </c>
      <c r="Q2826">
        <f>IFERROR(1/(IF(Inputs!$B$38="pvp",15,MAX(0.1,Skills!E14-IF(TRUE=TRUE,1,0)))*(1-IF(AND(ArtifactsInput!$M$27,Inputs!$B$4="Chapter Hunt"),CHOOSE(ArtifactsInput!$N$27+1,20,24,28,32,36,40),0)/100)),0)</f>
        <v>10</v>
      </c>
      <c r="R2826">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474222154407895.12</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450286651346297.88</v>
      </c>
    </row>
    <row r="2827" spans="1:21" x14ac:dyDescent="0.2">
      <c r="A2827" t="str">
        <f>Skills!A15</f>
        <v>FLAME_HAZE_BURST</v>
      </c>
      <c r="B2827" t="str">
        <f>Skills!B15</f>
        <v>Flame Haze (burst)</v>
      </c>
      <c r="C2827" t="b">
        <f>Inputs!$B$3&gt;=107</f>
        <v>1</v>
      </c>
      <c r="D2827">
        <f>IF(Skills!C15=1,60+Inputs!$B$25+Inputs!$B$29,IF(Skills!C15=2,90+Inputs!$B$26+Inputs!$B$29,IF(Skills!C15=3,120+Inputs!$B$27+Inputs!$B$29,MAX(0,(Inputs!$B$3-100)*3)+Inputs!$B$28+Inputs!$B$29)))</f>
        <v>185</v>
      </c>
      <c r="E2827">
        <f>INDEX(FactorTable!$B$2:$Y$301, MATCH(ROUND(MIN(300,MAX(1,D2827)),0), FactorTable!$A$2:$A$301,0), Skills!M15+1)</f>
        <v>1925</v>
      </c>
      <c r="F2827">
        <f>IF(Skills!N15=TRUE,(Skills!L15/10)*(E2827/1000),Skills!L15/10)+Skills!O15</f>
        <v>2310</v>
      </c>
      <c r="G2827">
        <f>Calc!G15</f>
        <v>3</v>
      </c>
      <c r="H2827">
        <f>Calc!H15</f>
        <v>1</v>
      </c>
      <c r="I2827">
        <f>IF(Skills!X15&lt;&gt;"",1+(Skills!X15/10)*(Z2815/1000)/100,1)</f>
        <v>1</v>
      </c>
      <c r="J2827">
        <f>((Inputs!$B$6*(1+Inputs!$B$7/100))+(((Inputs!$B$12*(1+Inputs!$B$13/100))-(Inputs!$B$12*(1+Inputs!$B$13/100)))+0.25*(Inputs!$B$14-Inputs!$B$14))*(1+Inputs!$B$7/100))*(F2827/100)</f>
        <v>8342207444.1321011</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42478655046179.273</v>
      </c>
      <c r="L2827">
        <f>K2827*(MIN(Inputs!$B$22+(F2834-Calc!F22),(Inputs!$B$23+(IF(ArtifactsInput!$M$15,CHOOSE(ArtifactsInput!$N$15+1,25,30,35,40,45,50)/100*(Inputs!$B$11-Inputs!$B$11),0))))/100+(Inputs!$B$23+(IF(ArtifactsInput!$M$15,CHOOSE(ArtifactsInput!$N$15+1,25,30,35,40,45,50)/100*(Inputs!$B$11-Inputs!$B$11),0)))/100)/2</f>
        <v>141241528028546.09</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666518770766708.88</v>
      </c>
      <c r="N2827">
        <f>L2827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666518770766708.88</v>
      </c>
      <c r="O2827">
        <f>(1-Summary!$B$11)*S2827+Summary!$B$11*U2827</f>
        <v>1663130962755630.2</v>
      </c>
      <c r="P2827">
        <f>IF(B2853=0,0,O2827/B2853)</f>
        <v>4.9766280033525033E-2</v>
      </c>
      <c r="Q2827">
        <f>IFERROR(1/(IF(Inputs!$B$38="pvp",15,MAX(0.1,Skills!E15-IF(TRUE=TRUE,1,0)))*(1-IF(AND(ArtifactsInput!$M$27,Inputs!$B$4="Chapter Hunt"),CHOOSE(ArtifactsInput!$N$27+1,20,24,28,32,36,40),0)/100)),0)</f>
        <v>4.1666666666666664E-2</v>
      </c>
      <c r="R2827">
        <f>IF(AND(Inputs!$B$38&lt;&gt;"pvp",Inputs!$B$43&gt;0),IF(MAX(0,Inputs!$B$43-B2850)&lt;=0,0,(INT(MAX(0,Inputs!$B$43-B2850)/(IF(Inputs!$B$38="pvp",15,MAX(0.1,Skills!E15-IF(TRUE=TRUE,1,0)))*(1-IF(AND(ArtifactsInput!$M$27,Inputs!$B$4="Chapter Hunt"),CHOOSE(ArtifactsInput!$N$27+1,20,24,28,32,36,40),0)/100)))+1)),0)</f>
        <v>2</v>
      </c>
      <c r="S2827">
        <f>IF(C2827,(H2827*N2827*IF(AND(Inputs!$B$38&lt;&gt;"pvp",Inputs!$B$43&gt;0),((Skills!G15*((R2827-1)*IF(Skills!H15&gt;0,Skills!I15/Skills!H15,1)+IF(Skills!H15&gt;0,MIN(Skills!I15,MAX(0,MAX(0,Inputs!$B$43-B2850)-((R2827-1)*(IF(Inputs!$B$38="pvp",15,MAX(0.1,Skills!E15-IF(TRUE=TRUE,1,0)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316929675499570.06</v>
      </c>
      <c r="U2827">
        <f>IF(C2827,(H2827*N2827*IF(AND(Inputs!$B$38&lt;&gt;"pvp",Inputs!$B$43&gt;0),((Skills!G15*((R2827-1)*IF(Skills!H15&gt;0,Skills!I15/Skills!H15,1)+IF(Skills!H15&gt;0,MIN(Skills!I15,MAX(0,MAX(0,Inputs!$B$43-B2850)-((R2827-1)*(IF(Inputs!$B$38="pvp",15,MAX(0.1,Skills!E15-IF(TRUE=TRUE,1,0)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3009332250011690.5</v>
      </c>
    </row>
    <row r="2828" spans="1:21" x14ac:dyDescent="0.2">
      <c r="A2828" t="str">
        <f>Skills!A16</f>
        <v>FLAME_HAZE_DOT</v>
      </c>
      <c r="B2828" t="str">
        <f>Skills!B16</f>
        <v>Flame Haze (burn DoT)</v>
      </c>
      <c r="C2828" t="b">
        <f>Inputs!$B$3&gt;=107</f>
        <v>1</v>
      </c>
      <c r="D2828">
        <f>IF(Skills!C16=1,60+Inputs!$B$25+Inputs!$B$29,IF(Skills!C16=2,90+Inputs!$B$26+Inputs!$B$29,IF(Skills!C16=3,120+Inputs!$B$27+Inputs!$B$29,MAX(0,(Inputs!$B$3-100)*3)+Inputs!$B$28+Inputs!$B$29)))</f>
        <v>185</v>
      </c>
      <c r="E2828">
        <f>INDEX(FactorTable!$B$2:$Y$301, MATCH(ROUND(MIN(300,MAX(1,D2828)),0), FactorTable!$A$2:$A$301,0), Skills!M16+1)</f>
        <v>1925</v>
      </c>
      <c r="F2828">
        <f>IF(Skills!N16=TRUE,(Skills!L16/10)*(E2828/1000),Skills!L16/10)+Skills!O16</f>
        <v>288.75</v>
      </c>
      <c r="G2828">
        <f>Calc!G16</f>
        <v>30</v>
      </c>
      <c r="H2828">
        <f>Calc!H16</f>
        <v>1</v>
      </c>
      <c r="I2828">
        <f>IF(Skills!X16&lt;&gt;"",1+(Skills!X16/10)*(Z2815/1000)/100,1)</f>
        <v>1</v>
      </c>
      <c r="J2828">
        <f>((Inputs!$B$6*(1+Inputs!$B$7/100))+(((Inputs!$B$12*(1+Inputs!$B$13/100))-(Inputs!$B$12*(1+Inputs!$B$13/100)))+0.25*(Inputs!$B$14-Inputs!$B$14))*(1+Inputs!$B$7/100))*(F2828/100)</f>
        <v>1042775930.5165126</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5309831880772.4092</v>
      </c>
      <c r="L2828">
        <f>K2828*(MIN(Inputs!$B$22+(F2834-Calc!F22),(Inputs!$B$23+(IF(ArtifactsInput!$M$15,CHOOSE(ArtifactsInput!$N$15+1,25,30,35,40,45,50)/100*(Inputs!$B$11-Inputs!$B$11),0))))/100+(Inputs!$B$23+(IF(ArtifactsInput!$M$15,CHOOSE(ArtifactsInput!$N$15+1,25,30,35,40,45,50)/100*(Inputs!$B$11-Inputs!$B$11),0)))/100)/2</f>
        <v>17655191003568.262</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83314846345838.609</v>
      </c>
      <c r="N2828">
        <f>L2828*(1-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83314846345838.609</v>
      </c>
      <c r="O2828">
        <f>(1-Summary!$B$11)*S2828+Summary!$B$11*U2828</f>
        <v>1984995160015676</v>
      </c>
      <c r="P2828">
        <f>IF(B2853=0,0,O2828/B2853)</f>
        <v>5.9397502187593459E-2</v>
      </c>
      <c r="Q2828">
        <f>IFERROR(1/(IF(Inputs!$B$38="pvp",15,MAX(0.1,Skills!E16-IF(TRUE=TRUE,1,0)))*(1-IF(AND(ArtifactsInput!$M$27,Inputs!$B$4="Chapter Hunt"),CHOOSE(ArtifactsInput!$N$27+1,20,24,28,32,36,40),0)/100)),0)</f>
        <v>4.1666666666666664E-2</v>
      </c>
      <c r="R2828">
        <f>IF(AND(Inputs!$B$38&lt;&gt;"pvp",Inputs!$B$43&gt;0),IF(MAX(0,Inputs!$B$43-B2850)&lt;=0,0,(INT(MAX(0,Inputs!$B$43-B2850)/(IF(Inputs!$B$38="pvp",15,MAX(0.1,Skills!E16-IF(TRUE=TRUE,1,0)))*(1-IF(AND(ArtifactsInput!$M$27,Inputs!$B$4="Chapter Hunt"),CHOOSE(ArtifactsInput!$N$27+1,20,24,28,32,36,40),0)/100)))+1)),0)</f>
        <v>2</v>
      </c>
      <c r="S2828">
        <f>IF(C2828,(H2828*N2828*IF(AND(Inputs!$B$38&lt;&gt;"pvp",Inputs!$B$43&gt;0),((Skills!G16*((R2828-1)*IF(Skills!H16&gt;0,Skills!I16/Skills!H16,1)+IF(Skills!H16&gt;0,MIN(Skills!I16,MAX(0,MAX(0,Inputs!$B$43-B2850)-((R2828-1)*(IF(Inputs!$B$38="pvp",15,MAX(0.1,Skills!E16-IF(TRUE=TRUE,1,0)))*(1-IF(AND(ArtifactsInput!$M$27,Inputs!$B$4="Chapter Hunt"),CHOOSE(ArtifactsInput!$N$27+1,20,24,28,32,36,40),0)/100)))))/Skills!H16,1)))/Inputs!$B$43),G2828*Q2828)*(1+IF(Inputs!$B$3&gt;=126,0.05*(B2848+Q2825+(H2826*B2849)/(1+Skills!H14*H2826*B2849)+Q2836),0)*(1/Q2827)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378264782521773</v>
      </c>
      <c r="U2828">
        <f>IF(C2828,(H2828*N2828*IF(AND(Inputs!$B$38&lt;&gt;"pvp",Inputs!$B$43&gt;0),((Skills!G16*((R2828-1)*IF(Skills!H16&gt;0,Skills!I16/Skills!H16,1)+IF(Skills!H16&gt;0,MIN(Skills!I16,MAX(0,MAX(0,Inputs!$B$43-B2850)-((R2828-1)*(IF(Inputs!$B$38="pvp",15,MAX(0.1,Skills!E16-IF(TRUE=TRUE,1,0)))*(1-IF(AND(ArtifactsInput!$M$27,Inputs!$B$4="Chapter Hunt"),CHOOSE(ArtifactsInput!$N$27+1,20,24,28,32,36,40),0)/100)))))/Skills!H16,1)))/Inputs!$B$43),G2828*Q2828)*(1+IF(Inputs!$B$3&gt;=126,0.05*(B2848+Q2825+(H2826*B2849)/(1+Skills!H14*H2826*B2849)+Q2836),0)*(1/Q2827)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3591725537509579</v>
      </c>
    </row>
    <row r="2829" spans="1:21" x14ac:dyDescent="0.2">
      <c r="A2829" t="str">
        <f>Skills!A17</f>
        <v>MAGIC_GUARD</v>
      </c>
      <c r="B2829" t="str">
        <f>Skills!B17</f>
        <v>Magic Guard</v>
      </c>
      <c r="C2829" t="b">
        <f>TRUE</f>
        <v>1</v>
      </c>
      <c r="D2829">
        <f>IF(Skills!C17=1,60+Inputs!$B$25+Inputs!$B$29,IF(Skills!C17=2,90+Inputs!$B$26+Inputs!$B$29,IF(Skills!C17=3,120+Inputs!$B$27+Inputs!$B$29,MAX(0,(Inputs!$B$3-100)*3)+Inputs!$B$28+Inputs!$B$29)))</f>
        <v>127</v>
      </c>
      <c r="E2829">
        <f>INDEX(FactorTable!$B$2:$Y$301, MATCH(ROUND(MIN(300,MAX(1,D2829)),0), FactorTable!$A$2:$A$301,0), Skills!M17+1)</f>
        <v>1508</v>
      </c>
      <c r="F2829">
        <f>IF(Skills!N17=TRUE,(Skills!L17/10)*(E2829/1000),Skills!L17/10)+Skills!O17</f>
        <v>18.096</v>
      </c>
      <c r="G2829">
        <f>Calc!G17</f>
        <v>1</v>
      </c>
      <c r="H2829">
        <f>Calc!H17</f>
        <v>1</v>
      </c>
      <c r="I2829">
        <f>IF(Skills!X17&lt;&gt;"",1+(Skills!X17/10)*(Z2815/1000)/100,1)</f>
        <v>1</v>
      </c>
      <c r="O2829">
        <f>(1-Summary!$B$11)*S2829+Summary!$B$11*U2829</f>
        <v>0</v>
      </c>
      <c r="P2829">
        <f>IF(B2853=0,0,O2829/B2853)</f>
        <v>0</v>
      </c>
      <c r="Q2829">
        <f>IFERROR(1/(IF(Inputs!$B$38="pvp",15,MAX(0.1,Skills!E17-IF(TRUE=TRUE,1,0)))*(1-IF(AND(ArtifactsInput!$M$27,Inputs!$B$4="Chapter Hunt"),CHOOSE(ArtifactsInput!$N$27+1,20,24,28,32,36,40),0)/100)),0)</f>
        <v>0.05</v>
      </c>
      <c r="R2829">
        <f>IF(AND(Inputs!$B$38&lt;&gt;"pvp",Inputs!$B$43&gt;0),IF(Inputs!$B$43&lt;=0,0,(INT(Inputs!$B$43/(IF(Inputs!$B$38="pvp",15,MAX(0.1,Skills!E17-IF(TRUE=TRUE,1,0)))*(1-IF(AND(ArtifactsInput!$M$27,Inputs!$B$4="Chapter Hunt"),CHOOSE(ArtifactsInput!$N$27+1,20,24,28,32,36,40),0)/100)))+1)),0)</f>
        <v>3</v>
      </c>
      <c r="S2829">
        <v>0</v>
      </c>
      <c r="U2829">
        <v>0</v>
      </c>
    </row>
    <row r="2830" spans="1:21" x14ac:dyDescent="0.2">
      <c r="A2830" t="str">
        <f>Skills!A18</f>
        <v>NIMBLE_FEET</v>
      </c>
      <c r="B2830" t="str">
        <f>Skills!B18</f>
        <v>Nimble Feet</v>
      </c>
      <c r="C2830" t="b">
        <f>TRUE</f>
        <v>1</v>
      </c>
      <c r="D2830">
        <f>IF(Skills!C18=1,60+Inputs!$B$25+Inputs!$B$29,IF(Skills!C18=2,90+Inputs!$B$26+Inputs!$B$29,IF(Skills!C18=3,120+Inputs!$B$27+Inputs!$B$29,MAX(0,(Inputs!$B$3-100)*3)+Inputs!$B$28+Inputs!$B$29)))</f>
        <v>127</v>
      </c>
      <c r="E2830">
        <f>INDEX(FactorTable!$B$2:$Y$301, MATCH(ROUND(MIN(300,MAX(1,D2830)),0), FactorTable!$A$2:$A$301,0), Skills!M18+1)</f>
        <v>0</v>
      </c>
      <c r="F2830">
        <f>IF(Skills!N18=TRUE,(Skills!L18/10)*(E2830/1000),Skills!L18/10)+Skills!O18</f>
        <v>15</v>
      </c>
      <c r="G2830">
        <f>Calc!G18</f>
        <v>1</v>
      </c>
      <c r="H2830">
        <f>Calc!H18</f>
        <v>1</v>
      </c>
      <c r="I2830">
        <f>IF(Skills!X18&lt;&gt;"",1+(Skills!X18/10)*(Z2815/1000)/100,1)</f>
        <v>1</v>
      </c>
      <c r="O2830">
        <f>(1-Summary!$B$11)*S2830+Summary!$B$11*U2830</f>
        <v>0</v>
      </c>
      <c r="P2830">
        <f>IF(B2853=0,0,O2830/B2853)</f>
        <v>0</v>
      </c>
      <c r="Q2830">
        <f>IFERROR(1/(IF(Inputs!$B$38="pvp",15,MAX(0.1,Skills!E18-IF(TRUE=TRUE,1,0)))*(1-IF(AND(ArtifactsInput!$M$27,Inputs!$B$4="Chapter Hunt"),CHOOSE(ArtifactsInput!$N$27+1,20,24,28,32,36,40),0)/100)),0)</f>
        <v>1.6949152542372881E-2</v>
      </c>
      <c r="R2830">
        <f>IF(AND(Inputs!$B$38&lt;&gt;"pvp",Inputs!$B$43&gt;0),IF(Inputs!$B$43&lt;=0,0,(INT(Inputs!$B$43/(IF(Inputs!$B$38="pvp",15,MAX(0.1,Skills!E18-IF(TRUE=TRUE,1,0)))*(1-IF(AND(ArtifactsInput!$M$27,Inputs!$B$4="Chapter Hunt"),CHOOSE(ArtifactsInput!$N$27+1,20,24,28,32,36,40),0)/100)))+1)),0)</f>
        <v>1</v>
      </c>
      <c r="S2830">
        <v>0</v>
      </c>
      <c r="U2830">
        <v>0</v>
      </c>
    </row>
    <row r="2831" spans="1:21" x14ac:dyDescent="0.2">
      <c r="A2831" t="str">
        <f>Skills!A19</f>
        <v>INFINITY</v>
      </c>
      <c r="B2831" t="str">
        <f>Skills!B19</f>
        <v>Infinity</v>
      </c>
      <c r="C2831" t="b">
        <f>Inputs!$B$3&gt;=110</f>
        <v>1</v>
      </c>
      <c r="D2831">
        <f>IF(Skills!C19=1,60+Inputs!$B$25+Inputs!$B$29,IF(Skills!C19=2,90+Inputs!$B$26+Inputs!$B$29,IF(Skills!C19=3,120+Inputs!$B$27+Inputs!$B$29,MAX(0,(Inputs!$B$3-100)*3)+Inputs!$B$28+Inputs!$B$29)))</f>
        <v>185</v>
      </c>
      <c r="E2831">
        <f>INDEX(FactorTable!$B$2:$Y$301, MATCH(ROUND(MIN(300,MAX(1,D2831)),0), FactorTable!$A$2:$A$301,0), Skills!M19+1)</f>
        <v>1740</v>
      </c>
      <c r="F2831">
        <f>IF(Skills!N19=TRUE,(Skills!L19/10)*(E2831/1000),Skills!L19/10)+Skills!O19</f>
        <v>37.700579999999995</v>
      </c>
      <c r="G2831">
        <f>Calc!G19</f>
        <v>1</v>
      </c>
      <c r="H2831">
        <f>Calc!H19</f>
        <v>1</v>
      </c>
      <c r="I2831">
        <f>IF(Skills!X19&lt;&gt;"",1+(Skills!X19/10)*(Z2815/1000)/100,1)</f>
        <v>1</v>
      </c>
      <c r="O2831">
        <f>(1-Summary!$B$11)*S2831+Summary!$B$11*U2831</f>
        <v>0</v>
      </c>
      <c r="P2831">
        <f>IF(B2853=0,0,O2831/B2853)</f>
        <v>0</v>
      </c>
      <c r="Q2831">
        <f>IFERROR(1/(IF(Inputs!$B$38="pvp",15,MAX(0.1,Skills!E19-IF(TRUE=TRUE,1,0)))*(1-IF(AND(ArtifactsInput!$M$27,Inputs!$B$4="Chapter Hunt"),CHOOSE(ArtifactsInput!$N$27+1,20,24,28,32,36,40),0)/100)),0)</f>
        <v>3.4482758620689655E-2</v>
      </c>
      <c r="R2831">
        <f>IF(AND(Inputs!$B$38&lt;&gt;"pvp",Inputs!$B$43&gt;0),IF(Inputs!$B$43&lt;=0,0,(INT(Inputs!$B$43/(IF(Inputs!$B$38="pvp",15,MAX(0.1,Skills!E19-IF(TRUE=TRUE,1,0)))*(1-IF(AND(ArtifactsInput!$M$27,Inputs!$B$4="Chapter Hunt"),CHOOSE(ArtifactsInput!$N$27+1,20,24,28,32,36,40),0)/100)))+1)),0)</f>
        <v>2</v>
      </c>
      <c r="S2831">
        <v>0</v>
      </c>
      <c r="U2831">
        <v>0</v>
      </c>
    </row>
    <row r="2832" spans="1:21" x14ac:dyDescent="0.2">
      <c r="A2832" t="str">
        <f>Skills!A20</f>
        <v>MAGIC_CRITICAL_RATE</v>
      </c>
      <c r="B2832" t="str">
        <f>Skills!B20</f>
        <v>Magic Critical (Crit Rate)</v>
      </c>
      <c r="C2832" t="b">
        <f>TRUE</f>
        <v>1</v>
      </c>
      <c r="D2832">
        <f>IF(Skills!C20=1,60+Inputs!$B$25+Inputs!$B$29,IF(Skills!C20=2,90+Inputs!$B$26+Inputs!$B$29,IF(Skills!C20=3,120+Inputs!$B$27+Inputs!$B$29,MAX(0,(Inputs!$B$3-100)*3)+Inputs!$B$28+Inputs!$B$29)))</f>
        <v>184</v>
      </c>
      <c r="E2832">
        <f>INDEX(FactorTable!$B$2:$Y$301, MATCH(ROUND(MIN(300,MAX(1,D2832)),0), FactorTable!$A$2:$A$301,0), Skills!M20+1)</f>
        <v>1552</v>
      </c>
      <c r="F2832">
        <f>IF(Skills!N20=TRUE,(Skills!L20/10)*(E2832/1000),Skills!L20/10)+Skills!O20</f>
        <v>12.416</v>
      </c>
      <c r="G2832">
        <f>Calc!G20</f>
        <v>1</v>
      </c>
      <c r="H2832">
        <f>Calc!H20</f>
        <v>1</v>
      </c>
      <c r="I2832">
        <f>IF(Skills!X20&lt;&gt;"",1+(Skills!X20/10)*(Z2815/1000)/100,1)</f>
        <v>1</v>
      </c>
      <c r="O2832">
        <f>(1-Summary!$B$11)*S2832+Summary!$B$11*U2832</f>
        <v>0</v>
      </c>
      <c r="P2832">
        <f>IF(B2853=0,0,O2832/B2853)</f>
        <v>0</v>
      </c>
      <c r="Q2832">
        <f>IFERROR(1/(IF(Inputs!$B$38="pvp",15,MAX(0.1,Skills!E20-IF(TRUE=TRUE,1,0)))*(1-IF(AND(ArtifactsInput!$M$27,Inputs!$B$4="Chapter Hunt"),CHOOSE(ArtifactsInput!$N$27+1,20,24,28,32,36,40),0)/100)),0)</f>
        <v>10</v>
      </c>
      <c r="R2832">
        <v>0</v>
      </c>
      <c r="S2832">
        <v>0</v>
      </c>
      <c r="U2832">
        <v>0</v>
      </c>
    </row>
    <row r="2833" spans="1:21" x14ac:dyDescent="0.2">
      <c r="A2833" t="str">
        <f>Skills!A21</f>
        <v>MAGIC_CRITICAL_DAMAGE</v>
      </c>
      <c r="B2833" t="str">
        <f>Skills!B21</f>
        <v>Magic Critical (Crit Damage)</v>
      </c>
      <c r="C2833" t="b">
        <f>TRUE</f>
        <v>1</v>
      </c>
      <c r="D2833">
        <f>IF(Skills!C21=1,60+Inputs!$B$25+Inputs!$B$29,IF(Skills!C21=2,90+Inputs!$B$26+Inputs!$B$29,IF(Skills!C21=3,120+Inputs!$B$27+Inputs!$B$29,MAX(0,(Inputs!$B$3-100)*3)+Inputs!$B$28+Inputs!$B$29)))</f>
        <v>184</v>
      </c>
      <c r="E2833">
        <f>INDEX(FactorTable!$B$2:$Y$301, MATCH(ROUND(MIN(300,MAX(1,D2833)),0), FactorTable!$A$2:$A$301,0), Skills!M21+1)</f>
        <v>1552</v>
      </c>
      <c r="F2833">
        <f>IF(Skills!N21=TRUE,(Skills!L21/10)*(E2833/1000),Skills!L21/10)+Skills!O21</f>
        <v>18.624000000000002</v>
      </c>
      <c r="G2833">
        <f>Calc!G21</f>
        <v>1</v>
      </c>
      <c r="H2833">
        <f>Calc!H21</f>
        <v>1</v>
      </c>
      <c r="I2833">
        <f>IF(Skills!X21&lt;&gt;"",1+(Skills!X21/10)*(Z2815/1000)/100,1)</f>
        <v>1</v>
      </c>
      <c r="O2833">
        <f>(1-Summary!$B$11)*S2833+Summary!$B$11*U2833</f>
        <v>0</v>
      </c>
      <c r="P2833">
        <f>IF(B2853=0,0,O2833/B2853)</f>
        <v>0</v>
      </c>
      <c r="Q2833">
        <f>IFERROR(1/(IF(Inputs!$B$38="pvp",15,MAX(0.1,Skills!E21-IF(TRUE=TRUE,1,0)))*(1-IF(AND(ArtifactsInput!$M$27,Inputs!$B$4="Chapter Hunt"),CHOOSE(ArtifactsInput!$N$27+1,20,24,28,32,36,40),0)/100)),0)</f>
        <v>10</v>
      </c>
      <c r="R2833">
        <v>0</v>
      </c>
      <c r="S2833">
        <v>0</v>
      </c>
      <c r="U2833">
        <v>0</v>
      </c>
    </row>
    <row r="2834" spans="1:21" x14ac:dyDescent="0.2">
      <c r="A2834" t="str">
        <f>Skills!A22</f>
        <v>SPELL_MASTERY</v>
      </c>
      <c r="B2834" t="str">
        <f>Skills!B22</f>
        <v>Spell Mastery</v>
      </c>
      <c r="C2834" t="b">
        <f>TRUE</f>
        <v>1</v>
      </c>
      <c r="D2834">
        <f>IF(Skills!C22=1,60+Inputs!$B$25+Inputs!$B$29,IF(Skills!C22=2,90+Inputs!$B$26+Inputs!$B$29,IF(Skills!C22=3,120+Inputs!$B$27+Inputs!$B$29,MAX(0,(Inputs!$B$3-100)*3)+Inputs!$B$28+Inputs!$B$29)))</f>
        <v>168</v>
      </c>
      <c r="E2834">
        <f>INDEX(FactorTable!$B$2:$Y$301, MATCH(ROUND(MIN(300,MAX(1,D2834)),0), FactorTable!$A$2:$A$301,0), Skills!M22+1)</f>
        <v>1504</v>
      </c>
      <c r="F2834">
        <f>IF(Skills!N22=TRUE,(Skills!L22/10)*(E2834/1000),Skills!L22/10)+Skills!O22</f>
        <v>22.56</v>
      </c>
      <c r="G2834">
        <f>Calc!G22</f>
        <v>1</v>
      </c>
      <c r="H2834">
        <f>Calc!H22</f>
        <v>1</v>
      </c>
      <c r="I2834">
        <f>IF(Skills!X22&lt;&gt;"",1+(Skills!X22/10)*(Z2815/1000)/100,1)</f>
        <v>1</v>
      </c>
      <c r="O2834">
        <f>(1-Summary!$B$11)*S2834+Summary!$B$11*U2834</f>
        <v>0</v>
      </c>
      <c r="P2834">
        <f>IF(B2853=0,0,O2834/B2853)</f>
        <v>0</v>
      </c>
      <c r="Q2834">
        <f>IFERROR(1/(IF(Inputs!$B$38="pvp",15,MAX(0.1,Skills!E22-IF(TRUE=TRUE,1,0)))*(1-IF(AND(ArtifactsInput!$M$27,Inputs!$B$4="Chapter Hunt"),CHOOSE(ArtifactsInput!$N$27+1,20,24,28,32,36,40),0)/100)),0)</f>
        <v>10</v>
      </c>
      <c r="R2834">
        <v>0</v>
      </c>
      <c r="S2834">
        <v>0</v>
      </c>
      <c r="U2834">
        <v>0</v>
      </c>
    </row>
    <row r="2835" spans="1:21" x14ac:dyDescent="0.2">
      <c r="A2835" t="str">
        <f>Skills!A23</f>
        <v>ELEMENT_AMPLIFICATION</v>
      </c>
      <c r="B2835" t="str">
        <f>Skills!B23</f>
        <v>Element Amplification</v>
      </c>
      <c r="C2835" t="b">
        <f>TRUE</f>
        <v>1</v>
      </c>
      <c r="D2835">
        <f>IF(Skills!C23=1,60+Inputs!$B$25+Inputs!$B$29,IF(Skills!C23=2,90+Inputs!$B$26+Inputs!$B$29,IF(Skills!C23=3,120+Inputs!$B$27+Inputs!$B$29,MAX(0,(Inputs!$B$3-100)*3)+Inputs!$B$28+Inputs!$B$29)))</f>
        <v>185</v>
      </c>
      <c r="E2835">
        <f>INDEX(FactorTable!$B$2:$Y$301, MATCH(ROUND(MIN(300,MAX(1,D2835)),0), FactorTable!$A$2:$A$301,0), Skills!M23+1)</f>
        <v>1555</v>
      </c>
      <c r="F2835">
        <f>IF(Skills!N23=TRUE,(Skills!L23/10)*(E2835/1000),Skills!L23/10)+Skills!O23</f>
        <v>23.324999999999999</v>
      </c>
      <c r="G2835">
        <f>Calc!G23</f>
        <v>1</v>
      </c>
      <c r="H2835">
        <f>Calc!H23</f>
        <v>1</v>
      </c>
      <c r="I2835">
        <f>IF(Skills!X23&lt;&gt;"",1+(Skills!X23/10)*(Z2815/1000)/100,1)</f>
        <v>1</v>
      </c>
      <c r="O2835">
        <f>(1-Summary!$B$11)*S2835+Summary!$B$11*U2835</f>
        <v>0</v>
      </c>
      <c r="P2835">
        <f>IF(B2853=0,0,O2835/B2853)</f>
        <v>0</v>
      </c>
      <c r="Q2835">
        <f>IFERROR(1/(IF(Inputs!$B$38="pvp",15,MAX(0.1,Skills!E23-IF(TRUE=TRUE,1,0)))*(1-IF(AND(ArtifactsInput!$M$27,Inputs!$B$4="Chapter Hunt"),CHOOSE(ArtifactsInput!$N$27+1,20,24,28,32,36,40),0)/100)),0)</f>
        <v>10</v>
      </c>
      <c r="R2835">
        <v>0</v>
      </c>
      <c r="S2835">
        <v>0</v>
      </c>
      <c r="U2835">
        <v>0</v>
      </c>
    </row>
    <row r="2836" spans="1:21" x14ac:dyDescent="0.2">
      <c r="A2836" t="str">
        <f>Skills!A24</f>
        <v>IFRIT</v>
      </c>
      <c r="B2836" t="str">
        <f>Skills!B24</f>
        <v>Ifrit</v>
      </c>
      <c r="C2836" t="b">
        <f>Inputs!$B$3&gt;=115</f>
        <v>1</v>
      </c>
      <c r="D2836">
        <f>IF(Skills!C24=1,60+Inputs!$B$25+Inputs!$B$29,IF(Skills!C24=2,90+Inputs!$B$26+Inputs!$B$29,IF(Skills!C24=3,120+Inputs!$B$27+Inputs!$B$29,MAX(0,(Inputs!$B$3-100)*3)+Inputs!$B$28+Inputs!$B$29)))</f>
        <v>185</v>
      </c>
      <c r="E2836">
        <f>INDEX(FactorTable!$B$2:$Y$301, MATCH(ROUND(MIN(300,MAX(1,D2836)),0), FactorTable!$A$2:$A$301,0), Skills!M24+1)</f>
        <v>1925</v>
      </c>
      <c r="F2836">
        <f>IF(Skills!N24=TRUE,(Skills!L24/10)*(E2836/1000),Skills!L24/10)+Skills!O24</f>
        <v>6737.5</v>
      </c>
      <c r="G2836">
        <f>Calc!G24</f>
        <v>7.5</v>
      </c>
      <c r="H2836">
        <f>Calc!H24</f>
        <v>1</v>
      </c>
      <c r="I2836">
        <f>IF(Skills!X24&lt;&gt;"",1+(Skills!X24/10)*(Z2815/1000)/100,1)</f>
        <v>1</v>
      </c>
      <c r="J2836">
        <f>((Inputs!$B$6*(1+Inputs!$B$7/100))+(((Inputs!$B$12*(1+Inputs!$B$13/100))-(Inputs!$B$12*(1+Inputs!$B$13/100)))+0.25*(Inputs!$B$14-Inputs!$B$14))*(1+Inputs!$B$7/100))*(F2836/100)</f>
        <v>24331438378.718628</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123896077218022.89</v>
      </c>
      <c r="L2836">
        <f>K2836*(MIN(Inputs!$B$22+(F2834-Calc!F22),(Inputs!$B$23+(IF(ArtifactsInput!$M$15,CHOOSE(ArtifactsInput!$N$15+1,25,30,35,40,45,50)/100*(Inputs!$B$11-Inputs!$B$11),0))))/100+(Inputs!$B$23+(IF(ArtifactsInput!$M$15,CHOOSE(ArtifactsInput!$N$15+1,25,30,35,40,45,50)/100*(Inputs!$B$11-Inputs!$B$11),0)))/100)/2</f>
        <v>411954456749926.12</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1944013081402901.2</v>
      </c>
      <c r="N2836">
        <f>L2836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1944013081402901.2</v>
      </c>
      <c r="O2836">
        <f>(1-Summary!$B$11)*S2836+Summary!$B$11*U2836</f>
        <v>2223464961854568.2</v>
      </c>
      <c r="P2836">
        <f>IF(B2853=0,0,O2836/B2853)</f>
        <v>6.6533293176770841E-2</v>
      </c>
      <c r="Q2836">
        <f>IFERROR(1/(IF(Inputs!$B$38="pvp",15,MAX(0.1,Skills!E24-IF(TRUE=TRUE,1,0)))*(1-IF(AND(ArtifactsInput!$M$27,Inputs!$B$4="Chapter Hunt"),CHOOSE(ArtifactsInput!$N$27+1,20,24,28,32,36,40),0)/100)),0)</f>
        <v>1.2658227848101266E-2</v>
      </c>
      <c r="R2836">
        <f>IF(AND(Inputs!$B$38&lt;&gt;"pvp",Inputs!$B$43&gt;0),IF(MAX(0,Inputs!$B$43-B2850)&lt;=0,0,(INT(MAX(0,Inputs!$B$43-B2850)/(IF(Inputs!$B$38="pvp",15,MAX(0.1,Skills!E24-IF(TRUE=TRUE,1,0)))*(1-IF(AND(ArtifactsInput!$M$27,Inputs!$B$4="Chapter Hunt"),CHOOSE(ArtifactsInput!$N$27+1,20,24,28,32,36,40),0)/100)))+1)),0)</f>
        <v>1</v>
      </c>
      <c r="S2836">
        <f>IF(C2836,(H2836*N2836*IF(AND(Inputs!$B$38&lt;&gt;"pvp",Inputs!$B$43&gt;0),((Skills!G24*((R2836-1)*IF(Skills!H24&gt;0,Skills!I24/Skills!H24,1)+IF(Skills!H24&gt;0,MIN(Skills!I24,MAX(0,MAX(0,Inputs!$B$43-B2850)-((R2836-1)*(IF(Inputs!$B$38="pvp",15,MAX(0.1,Skills!E24-IF(TRUE=TRUE,1,0)))*(1-IF(AND(ArtifactsInput!$M$27,Inputs!$B$4="Chapter Hunt"),CHOOSE(ArtifactsInput!$N$27+1,20,24,28,32,36,40),0)/100)))))/Skills!H24,1)))/Inputs!$B$43),G2836*Q2836)*(1+IF(Inputs!$B$3&gt;=130,0.2*(Skills!I16/(1/Q2827)+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1155472775258849.5</v>
      </c>
      <c r="U2836">
        <f>IF(C2836,(H2836*N2836*IF(AND(Inputs!$B$38&lt;&gt;"pvp",Inputs!$B$43&gt;0),((Skills!G24*((R2836-1)*IF(Skills!H24&gt;0,Skills!I24/Skills!H24,1)+IF(Skills!H24&gt;0,MIN(Skills!I24,MAX(0,MAX(0,Inputs!$B$43-B2850)-((R2836-1)*(IF(Inputs!$B$38="pvp",15,MAX(0.1,Skills!E24-IF(TRUE=TRUE,1,0)))*(1-IF(AND(ArtifactsInput!$M$27,Inputs!$B$4="Chapter Hunt"),CHOOSE(ArtifactsInput!$N$27+1,20,24,28,32,36,40),0)/100)))))/Skills!H24,1)))/Inputs!$B$43),G2836*Q2836)*(1+IF(Inputs!$B$3&gt;=130,0.2*(Skills!I16/(1/Q2827)+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3291457148450287</v>
      </c>
    </row>
    <row r="2837" spans="1:21" x14ac:dyDescent="0.2">
      <c r="A2837" t="str">
        <f>Skills!A25</f>
        <v>BUFF_MASTERY</v>
      </c>
      <c r="B2837" t="str">
        <f>Skills!B25</f>
        <v>Buff Mastery</v>
      </c>
      <c r="C2837" t="b">
        <f>Inputs!$B$3&gt;=117</f>
        <v>1</v>
      </c>
      <c r="D2837">
        <f>IF(Skills!C25=1,60+Inputs!$B$25+Inputs!$B$29,IF(Skills!C25=2,90+Inputs!$B$26+Inputs!$B$29,IF(Skills!C25=3,120+Inputs!$B$27+Inputs!$B$29,MAX(0,(Inputs!$B$3-100)*3)+Inputs!$B$28+Inputs!$B$29)))</f>
        <v>185</v>
      </c>
      <c r="E2837">
        <f>INDEX(FactorTable!$B$2:$Y$301, MATCH(ROUND(MIN(300,MAX(1,D2837)),0), FactorTable!$A$2:$A$301,0), Skills!M25+1)</f>
        <v>1555</v>
      </c>
      <c r="F2837">
        <f>IF(Skills!N25=TRUE,(Skills!L25/10)*(E2837/1000),Skills!L25/10)+Skills!O25</f>
        <v>15.549999999999999</v>
      </c>
      <c r="G2837">
        <f>Calc!G25</f>
        <v>1</v>
      </c>
      <c r="H2837">
        <f>Calc!H25</f>
        <v>1</v>
      </c>
      <c r="I2837">
        <f>IF(Skills!X25&lt;&gt;"",1+(Skills!X25/10)*(Z2815/1000)/100,1)</f>
        <v>1</v>
      </c>
      <c r="O2837">
        <f>(1-Summary!$B$11)*S2837+Summary!$B$11*U2837</f>
        <v>0</v>
      </c>
      <c r="P2837">
        <f>IF(B2853=0,0,O2837/B2853)</f>
        <v>0</v>
      </c>
      <c r="Q2837">
        <f>IFERROR(1/(IF(Inputs!$B$38="pvp",15,MAX(0.1,Skills!E25-IF(TRUE=TRUE,1,0)))*(1-IF(AND(ArtifactsInput!$M$27,Inputs!$B$4="Chapter Hunt"),CHOOSE(ArtifactsInput!$N$27+1,20,24,28,32,36,40),0)/100)),0)</f>
        <v>10</v>
      </c>
      <c r="R2837">
        <v>0</v>
      </c>
      <c r="S2837">
        <v>0</v>
      </c>
      <c r="U2837">
        <v>0</v>
      </c>
    </row>
    <row r="2838" spans="1:21" x14ac:dyDescent="0.2">
      <c r="A2838" t="str">
        <f>Skills!A26</f>
        <v>ARCANE_AIM</v>
      </c>
      <c r="B2838" t="str">
        <f>Skills!B26</f>
        <v>Arcane Aim</v>
      </c>
      <c r="C2838" t="b">
        <f>Inputs!$B$3&gt;=120</f>
        <v>0</v>
      </c>
      <c r="D2838">
        <f>IF(Skills!C26=1,60+Inputs!$B$25+Inputs!$B$29,IF(Skills!C26=2,90+Inputs!$B$26+Inputs!$B$29,IF(Skills!C26=3,120+Inputs!$B$27+Inputs!$B$29,MAX(0,(Inputs!$B$3-100)*3)+Inputs!$B$28+Inputs!$B$29)))</f>
        <v>185</v>
      </c>
      <c r="E2838">
        <f>INDEX(FactorTable!$B$2:$Y$301, MATCH(ROUND(MIN(300,MAX(1,D2838)),0), FactorTable!$A$2:$A$301,0), Skills!M26+1)</f>
        <v>1555</v>
      </c>
      <c r="F2838">
        <f>IF(Skills!N26=TRUE,(Skills!L26/10)*(E2838/1000),Skills!L26/10)+Skills!O26</f>
        <v>4.665</v>
      </c>
      <c r="G2838">
        <f>Calc!G26</f>
        <v>1</v>
      </c>
      <c r="H2838">
        <f>Calc!H26</f>
        <v>1</v>
      </c>
      <c r="I2838">
        <f>IF(Skills!X26&lt;&gt;"",1+(Skills!X26/10)*(Z2815/1000)/100,1)</f>
        <v>1</v>
      </c>
      <c r="O2838">
        <f>(1-Summary!$B$11)*S2838+Summary!$B$11*U2838</f>
        <v>0</v>
      </c>
      <c r="P2838">
        <f>IF(B2853=0,0,O2838/B2853)</f>
        <v>0</v>
      </c>
      <c r="Q2838">
        <f>IFERROR(1/(IF(Inputs!$B$38="pvp",15,MAX(0.1,Skills!E26-IF(TRUE=TRUE,1,0)))*(1-IF(AND(ArtifactsInput!$M$27,Inputs!$B$4="Chapter Hunt"),CHOOSE(ArtifactsInput!$N$27+1,20,24,28,32,36,40),0)/100)),0)</f>
        <v>10</v>
      </c>
      <c r="R2838">
        <v>0</v>
      </c>
      <c r="S2838">
        <v>0</v>
      </c>
      <c r="U2838">
        <v>0</v>
      </c>
    </row>
    <row r="2839" spans="1:21" x14ac:dyDescent="0.2">
      <c r="A2839" t="str">
        <f>Skills!A27</f>
        <v>FERVENT_DRAIN</v>
      </c>
      <c r="B2839" t="str">
        <f>Skills!B27</f>
        <v>Fervent Drain</v>
      </c>
      <c r="C2839" t="b">
        <f>Inputs!$B$3&gt;=125</f>
        <v>0</v>
      </c>
      <c r="D2839">
        <f>IF(Skills!C27=1,60+Inputs!$B$25+Inputs!$B$29,IF(Skills!C27=2,90+Inputs!$B$26+Inputs!$B$29,IF(Skills!C27=3,120+Inputs!$B$27+Inputs!$B$29,MAX(0,(Inputs!$B$3-100)*3)+Inputs!$B$28+Inputs!$B$29)))</f>
        <v>185</v>
      </c>
      <c r="E2839">
        <f>INDEX(FactorTable!$B$2:$Y$301, MATCH(ROUND(MIN(300,MAX(1,D2839)),0), FactorTable!$A$2:$A$301,0), Skills!M27+1)</f>
        <v>1555</v>
      </c>
      <c r="F2839">
        <f>IF(Skills!N27=TRUE,(Skills!L27/10)*(E2839/1000),Skills!L27/10)+Skills!O27</f>
        <v>6.22</v>
      </c>
      <c r="G2839">
        <f>Calc!G27</f>
        <v>1</v>
      </c>
      <c r="H2839">
        <f>Calc!H27</f>
        <v>1</v>
      </c>
      <c r="I2839">
        <f>IF(Skills!X27&lt;&gt;"",1+(Skills!X27/10)*(Z2815/1000)/100,1)</f>
        <v>1</v>
      </c>
      <c r="O2839">
        <f>(1-Summary!$B$11)*S2839+Summary!$B$11*U2839</f>
        <v>0</v>
      </c>
      <c r="P2839">
        <f>IF(B2853=0,0,O2839/B2853)</f>
        <v>0</v>
      </c>
      <c r="Q2839">
        <f>IFERROR(1/(IF(Inputs!$B$38="pvp",15,MAX(0.1,Skills!E27-IF(TRUE=TRUE,1,0)))*(1-IF(AND(ArtifactsInput!$M$27,Inputs!$B$4="Chapter Hunt"),CHOOSE(ArtifactsInput!$N$27+1,20,24,28,32,36,40),0)/100)),0)</f>
        <v>10</v>
      </c>
      <c r="R2839">
        <v>0</v>
      </c>
      <c r="S2839">
        <v>0</v>
      </c>
      <c r="U2839">
        <v>0</v>
      </c>
    </row>
    <row r="2840" spans="1:21" x14ac:dyDescent="0.2">
      <c r="A2840" t="str">
        <f>Skills!A28</f>
        <v>FLAME_HAZE_FOG</v>
      </c>
      <c r="B2840" t="str">
        <f>Skills!B28</f>
        <v>Flame Haze (poison fog DoT)</v>
      </c>
      <c r="C2840" t="b">
        <f>Inputs!$B$3&gt;=118</f>
        <v>0</v>
      </c>
      <c r="D2840">
        <f>IF(Skills!C28=1,60+Inputs!$B$25+Inputs!$B$29,IF(Skills!C28=2,90+Inputs!$B$26+Inputs!$B$29,IF(Skills!C28=3,120+Inputs!$B$27+Inputs!$B$29,MAX(0,(Inputs!$B$3-100)*3)+Inputs!$B$28+Inputs!$B$29)))</f>
        <v>185</v>
      </c>
      <c r="E2840">
        <f>INDEX(FactorTable!$B$2:$Y$301, MATCH(ROUND(MIN(300,MAX(1,D2840)),0), FactorTable!$A$2:$A$301,0), Skills!M28+1)</f>
        <v>1925</v>
      </c>
      <c r="F2840">
        <f>IF(Skills!N28=TRUE,(Skills!L28/10)*(E2840/1000),Skills!L28/10)+Skills!O28</f>
        <v>134.75</v>
      </c>
      <c r="G2840">
        <f>Calc!G28</f>
        <v>50</v>
      </c>
      <c r="H2840">
        <f>Calc!H28</f>
        <v>1</v>
      </c>
      <c r="I2840">
        <f>IF(Skills!X28&lt;&gt;"",1+(Skills!X28/10)*(Z2815/1000)/100,1)</f>
        <v>1</v>
      </c>
      <c r="J2840">
        <f>((Inputs!$B$6*(1+Inputs!$B$7/100))+(((Inputs!$B$12*(1+Inputs!$B$13/100))-(Inputs!$B$12*(1+Inputs!$B$13/100)))+0.25*(Inputs!$B$14-Inputs!$B$14))*(1+Inputs!$B$7/100))*(F2840/100)</f>
        <v>486628767.57437253</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2477921544360.4575</v>
      </c>
      <c r="L2840">
        <f>K2840*(MIN(Inputs!$B$22+(F2834-Calc!F22),(Inputs!$B$23+(IF(ArtifactsInput!$M$15,CHOOSE(ArtifactsInput!$N$15+1,25,30,35,40,45,50)/100*(Inputs!$B$11-Inputs!$B$11),0))))/100+(Inputs!$B$23+(IF(ArtifactsInput!$M$15,CHOOSE(ArtifactsInput!$N$15+1,25,30,35,40,45,50)/100*(Inputs!$B$11-Inputs!$B$11),0)))/100)/2</f>
        <v>8239089134998.5215</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38880261628058.016</v>
      </c>
      <c r="N2840">
        <f>L2840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38880261628058.016</v>
      </c>
      <c r="O2840">
        <f>(1-Summary!$B$11)*S2840+Summary!$B$11*U2840</f>
        <v>0</v>
      </c>
      <c r="P2840">
        <f>IF(B2853=0,0,O2840/B2853)</f>
        <v>0</v>
      </c>
      <c r="Q2840">
        <f>IFERROR(1/(IF(Inputs!$B$38="pvp",15,MAX(0.1,Skills!E28-IF(TRUE=TRUE,1,0)))*(1-IF(AND(ArtifactsInput!$M$27,Inputs!$B$4="Chapter Hunt"),CHOOSE(ArtifactsInput!$N$27+1,20,24,28,32,36,40),0)/100)),0)</f>
        <v>4.1666666666666664E-2</v>
      </c>
      <c r="R2840">
        <f>IF(AND(Inputs!$B$38&lt;&gt;"pvp",Inputs!$B$43&gt;0),IF(MAX(0,Inputs!$B$43-B2850)&lt;=0,0,(INT(MAX(0,Inputs!$B$43-B2850)/(IF(Inputs!$B$38="pvp",15,MAX(0.1,Skills!E28-IF(TRUE=TRUE,1,0)))*(1-IF(AND(ArtifactsInput!$M$27,Inputs!$B$4="Chapter Hunt"),CHOOSE(ArtifactsInput!$N$27+1,20,24,28,32,36,40),0)/100)))+1)),0)</f>
        <v>2</v>
      </c>
      <c r="S2840">
        <f>IF(C2840,(H2840*N2840*IF(AND(Inputs!$B$38&lt;&gt;"pvp",Inputs!$B$43&gt;0),((Skills!G28*((R2840-1)*IF(Skills!H28&gt;0,Skills!I28/Skills!H28,1)+IF(Skills!H28&gt;0,MIN(Skills!I28,MAX(0,MAX(0,Inputs!$B$43-B2850)-((R2840-1)*(IF(Inputs!$B$38="pvp",15,MAX(0.1,Skills!E28-IF(TRUE=TRUE,1,0)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840">
        <f>IF(C2840,(H2840*N2840*IF(AND(Inputs!$B$38&lt;&gt;"pvp",Inputs!$B$43&gt;0),((Skills!G28*((R2840-1)*IF(Skills!H28&gt;0,Skills!I28/Skills!H28,1)+IF(Skills!H28&gt;0,MIN(Skills!I28,MAX(0,MAX(0,Inputs!$B$43-B2850)-((R2840-1)*(IF(Inputs!$B$38="pvp",15,MAX(0.1,Skills!E28-IF(TRUE=TRUE,1,0)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842" spans="1:21" x14ac:dyDescent="0.2">
      <c r="A2842" t="s">
        <v>356</v>
      </c>
      <c r="B2842">
        <f>1+(F2823*Skills!Z11)/100</f>
        <v>1.25</v>
      </c>
    </row>
    <row r="2843" spans="1:21" x14ac:dyDescent="0.2">
      <c r="A2843" t="s">
        <v>435</v>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1.18624</v>
      </c>
    </row>
    <row r="2844" spans="1:21" x14ac:dyDescent="0.2">
      <c r="A2844" t="s">
        <v>358</v>
      </c>
      <c r="B2844">
        <f>(1+(F2818*IF(AND(Inputs!$B$38&lt;&gt;"pvp",Inputs!$B$43&gt;0),(((R2818-1)*MIN((Skills!T6*(1+((Inputs!$B$34+(ArtifactsInput!$M$7-ArtifactsInput!$M$7)*CHOOSE(ArtifactsInput!$N$7+1,6,7.2,8.4,9.6,10.8,12)))/100)),(1/Q2818))+MIN((Skills!T6*(1+((Inputs!$B$34+(ArtifactsInput!$M$7-ArtifactsInput!$M$7)*CHOOSE(ArtifactsInput!$N$7+1,6,7.2,8.4,9.6,10.8,12)))/100)),MAX(0,Inputs!$B$43-((R2818-1)*(1/Q2818)))))/Inputs!$B$43),IF(Inputs!$B$38="pvp",MIN((Skills!T6*(1+((Inputs!$B$34+(ArtifactsInput!$M$7-ArtifactsInput!$M$7)*CHOOSE(ArtifactsInput!$N$7+1,6,7.2,8.4,9.6,10.8,12)))/100)),15)/15,MIN(1,(Skills!T6*(1+((Inputs!$B$34+(ArtifactsInput!$M$7-ArtifactsInput!$M$7)*CHOOSE(ArtifactsInput!$N$7+1,6,7.2,8.4,9.6,10.8,12)))/100))/(1/Q2818))))+F2829*IF(AND(Inputs!$B$38&lt;&gt;"pvp",Inputs!$B$43&gt;0),(((R2829-1)*MIN((Skills!T17*(1+((Inputs!$B$34+(ArtifactsInput!$M$7-ArtifactsInput!$M$7)*CHOOSE(ArtifactsInput!$N$7+1,6,7.2,8.4,9.6,10.8,12)))/100)),(1/Q2829))+MIN((Skills!T17*(1+((Inputs!$B$34+(ArtifactsInput!$M$7-ArtifactsInput!$M$7)*CHOOSE(ArtifactsInput!$N$7+1,6,7.2,8.4,9.6,10.8,12)))/100)),MAX(0,Inputs!$B$43-((R2829-1)*(1/Q2829)))))/Inputs!$B$43),IF(Inputs!$B$38="pvp",MIN((Skills!T17*(1+((Inputs!$B$34+(ArtifactsInput!$M$7-ArtifactsInput!$M$7)*CHOOSE(ArtifactsInput!$N$7+1,6,7.2,8.4,9.6,10.8,12)))/100)),15)/15,MIN(1,(Skills!T17*(1+((Inputs!$B$34+(ArtifactsInput!$M$7-ArtifactsInput!$M$7)*CHOOSE(ArtifactsInput!$N$7+1,6,7.2,8.4,9.6,10.8,12)))/100))/(1/Q2829)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MIN((Skills!T19*(1+((Inputs!$B$34+(ArtifactsInput!$M$7-ArtifactsInput!$M$7)*CHOOSE(ArtifactsInput!$N$7+1,6,7.2,8.4,9.6,10.8,12)))/100)),(1/Q2831))+MIN((Skills!T19*(1+((Inputs!$B$34+(ArtifactsInput!$M$7-ArtifactsInput!$M$7)*CHOOSE(ArtifactsInput!$N$7+1,6,7.2,8.4,9.6,10.8,12)))/100)),MAX(0,Inputs!$B$43-((R2831-1)*(1/Q2831)))))/Inputs!$B$43),IF(Inputs!$B$38="pvp",MIN((Skills!T19*(1+((Inputs!$B$34+(ArtifactsInput!$M$7-ArtifactsInput!$M$7)*CHOOSE(ArtifactsInput!$N$7+1,6,7.2,8.4,9.6,10.8,12)))/100)),15)/15,MIN(1,(Skills!T19*(1+((Inputs!$B$34+(ArtifactsInput!$M$7-ArtifactsInput!$M$7)*CHOOSE(ArtifactsInput!$N$7+1,6,7.2,8.4,9.6,10.8,12)))/100))/(1/Q2831))))/100),1)</f>
        <v>1.8206378673096157</v>
      </c>
    </row>
    <row r="2845" spans="1:21" x14ac:dyDescent="0.2">
      <c r="A2845" t="s">
        <v>359</v>
      </c>
      <c r="B2845">
        <f>F2830*IF(AND(Inputs!$B$38&lt;&gt;"pvp",Inputs!$B$43&gt;0),(((R2830-1)*MIN((Skills!T18*(1+((Inputs!$B$34+(ArtifactsInput!$M$7-ArtifactsInput!$M$7)*CHOOSE(ArtifactsInput!$N$7+1,6,7.2,8.4,9.6,10.8,12)))/100)),(1/Q2830))+MIN((Skills!T18*(1+((Inputs!$B$34+(ArtifactsInput!$M$7-ArtifactsInput!$M$7)*CHOOSE(ArtifactsInput!$N$7+1,6,7.2,8.4,9.6,10.8,12)))/100)),MAX(0,Inputs!$B$43-((R2830-1)*(1/Q2830)))))/Inputs!$B$43),IF(Inputs!$B$38="pvp",MIN((Skills!T18*(1+((Inputs!$B$34+(ArtifactsInput!$M$7-ArtifactsInput!$M$7)*CHOOSE(ArtifactsInput!$N$7+1,6,7.2,8.4,9.6,10.8,12)))/100)),15)/15,MIN(1,(Skills!T18*(1+((Inputs!$B$34+(ArtifactsInput!$M$7-ArtifactsInput!$M$7)*CHOOSE(ArtifactsInput!$N$7+1,6,7.2,8.4,9.6,10.8,12)))/100))/(1/Q2830))))</f>
        <v>6.4968749999999993</v>
      </c>
    </row>
    <row r="2846" spans="1:21" x14ac:dyDescent="0.2">
      <c r="A2846" t="s">
        <v>436</v>
      </c>
      <c r="B2846">
        <f>1+MIN(150,150*(1-(1-(Inputs!$B$11+(ArtifactsInput!$M$15-ArtifactsInput!$M$15)*CHOOSE(ArtifactsInput!$N$15+1,8,9.6,11.2,12.8,14.4,16))/150)*(1-B2845/150)))/100</f>
        <v>1.6982958749999999</v>
      </c>
    </row>
    <row r="2847" spans="1:21" x14ac:dyDescent="0.2">
      <c r="A2847" t="s">
        <v>437</v>
      </c>
      <c r="B2847">
        <f>IF(AND(Inputs!$B$38&lt;&gt;"pvp",Inputs!$B$43&gt;0),SUMPRODUCT((Skills!F2:F28=TRUE)*(C2814:C2840=TRUE)*R2814:R2840)/Inputs!$B$43,SUMPRODUCT((Skills!F2:F28=TRUE)*(C2814:C2840=TRUE)*Q2814:Q2840))</f>
        <v>0.5</v>
      </c>
    </row>
    <row r="2848" spans="1:21" x14ac:dyDescent="0.2">
      <c r="A2848" t="s">
        <v>362</v>
      </c>
      <c r="B2848">
        <f>MAX(0,B2846-B2847)</f>
        <v>1.1982958749999999</v>
      </c>
    </row>
    <row r="2849" spans="1:26" x14ac:dyDescent="0.2">
      <c r="A2849" t="s">
        <v>438</v>
      </c>
      <c r="B2849">
        <f>IF(AND(Inputs!$B$38&lt;&gt;"pvp",Inputs!$B$43&gt;0),SUMPRODUCT((Skills!V2:V28=TRUE)*(C2814:C2840=TRUE)*R2814:R2840*Skills!W2:W28)/Inputs!$B$43,SUMPRODUCT((Skills!V2:V28=TRUE)*(C2814:C2840=TRUE)*Q2814:Q2840*Skills!W2:W28))+B2848</f>
        <v>1.5232958749999999</v>
      </c>
    </row>
    <row r="2850" spans="1:26" x14ac:dyDescent="0.2">
      <c r="A2850" t="s">
        <v>439</v>
      </c>
      <c r="B2850">
        <f>IF(AND(Inputs!$B$38&lt;&gt;"pvp",Inputs!$B$43&gt;0),SUMPRODUCT((Skills!T2:T28&gt;0)*(Skills!F2:F28=TRUE)*(C2814:C2840=TRUE))/B2846,0)</f>
        <v>2.3553021937358238</v>
      </c>
    </row>
    <row r="2851" spans="1:26" x14ac:dyDescent="0.2">
      <c r="A2851" t="s">
        <v>440</v>
      </c>
      <c r="B2851">
        <f>SUM(S2814:S2840)</f>
        <v>9634443877630294</v>
      </c>
    </row>
    <row r="2852" spans="1:26" x14ac:dyDescent="0.2">
      <c r="A2852" t="s">
        <v>441</v>
      </c>
      <c r="B2852">
        <f>SUM(U2814:U2840)</f>
        <v>5.720322056645764E+16</v>
      </c>
    </row>
    <row r="2853" spans="1:26" x14ac:dyDescent="0.2">
      <c r="A2853" s="6" t="s">
        <v>348</v>
      </c>
      <c r="B2853" s="6">
        <f>SUM(O2814:O2840)</f>
        <v>3.341883222204398E+16</v>
      </c>
    </row>
    <row r="2856" spans="1:26" x14ac:dyDescent="0.2">
      <c r="A2856" s="6" t="s">
        <v>509</v>
      </c>
    </row>
    <row r="2857" spans="1:26" x14ac:dyDescent="0.2">
      <c r="A2857" s="5" t="s">
        <v>136</v>
      </c>
      <c r="B2857" s="5" t="s">
        <v>137</v>
      </c>
      <c r="C2857" s="5" t="s">
        <v>328</v>
      </c>
      <c r="D2857" s="5" t="s">
        <v>329</v>
      </c>
      <c r="E2857" s="5" t="s">
        <v>330</v>
      </c>
      <c r="F2857" s="5" t="s">
        <v>331</v>
      </c>
      <c r="G2857" s="5" t="s">
        <v>332</v>
      </c>
      <c r="H2857" s="5" t="s">
        <v>333</v>
      </c>
      <c r="I2857" s="5" t="s">
        <v>334</v>
      </c>
      <c r="J2857" s="5" t="s">
        <v>335</v>
      </c>
      <c r="K2857" s="5" t="s">
        <v>336</v>
      </c>
      <c r="L2857" s="5" t="s">
        <v>337</v>
      </c>
      <c r="M2857" s="5" t="s">
        <v>338</v>
      </c>
      <c r="N2857" s="5" t="s">
        <v>339</v>
      </c>
      <c r="O2857" s="5" t="s">
        <v>340</v>
      </c>
      <c r="P2857" s="5" t="s">
        <v>341</v>
      </c>
      <c r="R2857" t="s">
        <v>434</v>
      </c>
    </row>
    <row r="2858" spans="1:26" x14ac:dyDescent="0.2">
      <c r="A2858" t="str">
        <f>Skills!A2</f>
        <v>BASIC_ATTACK</v>
      </c>
      <c r="B2858" t="str">
        <f>Skills!B2</f>
        <v>Basic Attack</v>
      </c>
      <c r="C2858" t="b">
        <f>TRUE</f>
        <v>1</v>
      </c>
      <c r="F2858">
        <f>T2860+Skills!O2</f>
        <v>537.6</v>
      </c>
      <c r="G2858">
        <f>Calc!G2</f>
        <v>5</v>
      </c>
      <c r="H2858">
        <f>Calc!H2</f>
        <v>1</v>
      </c>
      <c r="I2858">
        <f>IF(Skills!X2&lt;&gt;"",1+(Skills!X2/10)*(Z2859/1000)/100,1)</f>
        <v>1</v>
      </c>
      <c r="J2858">
        <f>((Inputs!$B$6*(1+Inputs!$B$7/100))+(((Inputs!$B$12*(1+Inputs!$B$13/100))-(Inputs!$B$12*(1+Inputs!$B$13/100)))+0.25*(Inputs!$B$14-Inputs!$B$14))*(1+Inputs!$B$7/100))*(F2858/100)</f>
        <v>1941459186.9980164</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6774681249588.3691</v>
      </c>
      <c r="L2858">
        <f>K2858*(MIN(Inputs!$B$22+(F2878-Calc!F22),(Inputs!$B$23+(IF(ArtifactsInput!$M$15,CHOOSE(ArtifactsInput!$N$15+1,25,30,35,40,45,50)/100*(Inputs!$B$11-Inputs!$B$11),0))))/100+(Inputs!$B$23+(IF(ArtifactsInput!$M$15,CHOOSE(ArtifactsInput!$N$15+1,25,30,35,40,45,50)/100*(Inputs!$B$11-Inputs!$B$11),0)))/100)/2</f>
        <v>22525815154881.328</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106299321715884.97</v>
      </c>
      <c r="N2858">
        <f>L2858*(1-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106299321715884.97</v>
      </c>
      <c r="O2858">
        <f>(1-Summary!$B$11)*S2858+Summary!$B$11*U2858</f>
        <v>1.2543552363684936E+16</v>
      </c>
      <c r="P2858">
        <f>IF(B2897=0,0,O2858/B2897)</f>
        <v>0.37085101870773296</v>
      </c>
      <c r="Q2858">
        <f>IFERROR(1/(IF(Inputs!$B$38="pvp",15,MAX(0.1,Skills!E2-IF(TRUE=TRUE,1.5,0)))*(1-IF(AND(ArtifactsInput!$M$27,Inputs!$B$4="Chapter Hunt"),CHOOSE(ArtifactsInput!$N$27+1,20,24,28,32,36,40),0)/100)),0)</f>
        <v>10</v>
      </c>
      <c r="R2858">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2082630933193691</v>
      </c>
      <c r="T2858">
        <f>MAX(0,(Inputs!$B$3-100)*3)+Inputs!$B$28+Inputs!$B$29</f>
        <v>185</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2.300447379417618E+16</v>
      </c>
      <c r="Z2858">
        <f>MAX(0,(Inputs!$B$3-100)*3)+Inputs!$B$28+Inputs!$B$29</f>
        <v>185</v>
      </c>
    </row>
    <row r="2859" spans="1:26" x14ac:dyDescent="0.2">
      <c r="A2859" t="str">
        <f>Skills!A3</f>
        <v>IGNITE</v>
      </c>
      <c r="B2859" t="str">
        <f>Skills!B3</f>
        <v>Ignite</v>
      </c>
      <c r="C2859" t="b">
        <f>TRUE</f>
        <v>1</v>
      </c>
      <c r="D2859">
        <f>IF(Skills!C3=1,60+Inputs!$B$25+Inputs!$B$29,IF(Skills!C3=2,90+Inputs!$B$26+Inputs!$B$29,IF(Skills!C3=3,120+Inputs!$B$27+Inputs!$B$29,MAX(0,(Inputs!$B$3-100)*3)+Inputs!$B$28+Inputs!$B$29)))</f>
        <v>168</v>
      </c>
      <c r="E2859">
        <f>INDEX(FactorTable!$B$2:$Y$301, MATCH(ROUND(MIN(300,MAX(1,D2859)),0), FactorTable!$A$2:$A$301,0), Skills!M3+1)</f>
        <v>1672</v>
      </c>
      <c r="F2859">
        <f>IF(Skills!N3=TRUE,(Skills!L3/10)*(E2859/1000),Skills!L3/10)+Skills!O3</f>
        <v>121.736</v>
      </c>
      <c r="G2859">
        <f>Calc!G3</f>
        <v>3</v>
      </c>
      <c r="H2859">
        <f>Calc!H3</f>
        <v>1</v>
      </c>
      <c r="I2859">
        <f>IF(Skills!X3&lt;&gt;"",1+(Skills!X3/10)*(Z2859/1000)/100,1)</f>
        <v>4.8250000000000002</v>
      </c>
      <c r="J2859">
        <f>((Inputs!$B$6*(1+Inputs!$B$7/100))+(((Inputs!$B$12*(1+Inputs!$B$13/100))-(Inputs!$B$12*(1+Inputs!$B$13/100)))+0.25*(Inputs!$B$14-Inputs!$B$14))*(1+Inputs!$B$7/100))*(F2859/100)</f>
        <v>439630720.9605478</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10907120738360.471</v>
      </c>
      <c r="L2859">
        <f>K2859*(MIN(Inputs!$B$22+(F2878-Calc!F22),(Inputs!$B$23+(IF(ArtifactsInput!$M$15,CHOOSE(ArtifactsInput!$N$15+1,25,30,35,40,45,50)/100*(Inputs!$B$11-Inputs!$B$11),0))))/100+(Inputs!$B$23+(IF(ArtifactsInput!$M$15,CHOOSE(ArtifactsInput!$N$15+1,25,30,35,40,45,50)/100*(Inputs!$B$11-Inputs!$B$11),0)))/100)/2</f>
        <v>36266176455048.57</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171140086691374.19</v>
      </c>
      <c r="N2859">
        <f>L2859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171140086691374.19</v>
      </c>
      <c r="O2859">
        <f>(1-Summary!$B$11)*S2859+Summary!$B$11*U2859</f>
        <v>2975270407129540</v>
      </c>
      <c r="P2859">
        <f>IF(B2897=0,0,O2859/B2897)</f>
        <v>8.7964081419979759E-2</v>
      </c>
      <c r="Q2859">
        <f>IFERROR(1/(IF(Inputs!$B$38="pvp",15,MAX(0.1,Skills!E3-IF(FALSE=TRUE,1.5,0)))*(1-IF(AND(ArtifactsInput!$M$27,Inputs!$B$4="Chapter Hunt"),CHOOSE(ArtifactsInput!$N$27+1,20,24,28,32,36,40),0)/100)),0)</f>
        <v>1</v>
      </c>
      <c r="R2859">
        <f>IF(AND(Inputs!$B$38&lt;&gt;"pvp",Inputs!$B$43&gt;0),IF(MAX(0,Inputs!$B$43-B2894)&lt;=0,0,(INT(MAX(0,Inputs!$B$43-B2894)/(IF(Inputs!$B$38="pvp",15,MAX(0.1,Skills!E3-IF(FALSE=TRUE,1.5,0)))*(1-IF(AND(ArtifactsInput!$M$27,Inputs!$B$4="Chapter Hunt"),CHOOSE(ArtifactsInput!$N$27+1,20,24,28,32,36,40),0)/100)))+1)),0)</f>
        <v>38</v>
      </c>
      <c r="S2859">
        <f>IF(C2859,(H2859*N2859*IF(AND(Inputs!$B$38&lt;&gt;"pvp",Inputs!$B$43&gt;0),((Skills!G3*((R2859-1)*IF(Skills!H3&gt;0,Skills!I3/Skills!H3,1)+IF(Skills!H3&gt;0,MIN(Skills!I3,MAX(0,MAX(0,Inputs!$B$43-B2894)-((R2859-1)*(IF(Inputs!$B$38="pvp",15,MAX(0.1,Skills!E3-IF(FALSE=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1546165113213220</v>
      </c>
      <c r="T2859">
        <f>INDEX(FactorTable!$B$2:$Y$301, MATCH(ROUND(MIN(300,MAX(1,T2858)),0), FactorTable!$A$2:$A$301,0), 22)</f>
        <v>1740</v>
      </c>
      <c r="U2859">
        <f>IF(C2859,(H2859*N2859*IF(AND(Inputs!$B$38&lt;&gt;"pvp",Inputs!$B$43&gt;0),((Skills!G3*((R2859-1)*IF(Skills!H3&gt;0,Skills!I3/Skills!H3,1)+IF(Skills!H3&gt;0,MIN(Skills!I3,MAX(0,MAX(0,Inputs!$B$43-B2894)-((R2859-1)*(IF(Inputs!$B$38="pvp",15,MAX(0.1,Skills!E3-IF(FALSE=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4404375701045860</v>
      </c>
      <c r="Z2859">
        <f>INDEX(FactorTable!$B$2:$Y$301, MATCH(ROUND(MIN(300,MAX(1,Z2858)),0), FactorTable!$A$2:$A$301,0), 24)</f>
        <v>7650</v>
      </c>
    </row>
    <row r="2860" spans="1:26" x14ac:dyDescent="0.2">
      <c r="A2860" t="str">
        <f>Skills!A4</f>
        <v>POISON_BREATH</v>
      </c>
      <c r="B2860" t="str">
        <f>Skills!B4</f>
        <v>Poison Breath</v>
      </c>
      <c r="C2860" t="b">
        <f>TRUE</f>
        <v>1</v>
      </c>
      <c r="D2860">
        <f>IF(Skills!C4=1,60+Inputs!$B$25+Inputs!$B$29,IF(Skills!C4=2,90+Inputs!$B$26+Inputs!$B$29,IF(Skills!C4=3,120+Inputs!$B$27+Inputs!$B$29,MAX(0,(Inputs!$B$3-100)*3)+Inputs!$B$28+Inputs!$B$29)))</f>
        <v>168</v>
      </c>
      <c r="E2860">
        <f>INDEX(FactorTable!$B$2:$Y$301, MATCH(ROUND(MIN(300,MAX(1,D2860)),0), FactorTable!$A$2:$A$301,0), Skills!M4+1)</f>
        <v>1840</v>
      </c>
      <c r="F2860">
        <f>IF(Skills!N4=TRUE,(Skills!L4/10)*(E2860/1000),Skills!L4/10)+Skills!O4</f>
        <v>438</v>
      </c>
      <c r="G2860">
        <f>Calc!G4</f>
        <v>3</v>
      </c>
      <c r="H2860">
        <f>Calc!H4</f>
        <v>1</v>
      </c>
      <c r="I2860">
        <f>IF(Skills!X4&lt;&gt;"",1+(Skills!X4/10)*(Z2859/1000)/100,1)</f>
        <v>7.12</v>
      </c>
      <c r="J2860">
        <f>((Inputs!$B$6*(1+Inputs!$B$7/100))+(((Inputs!$B$12*(1+Inputs!$B$13/100))-(Inputs!$B$12*(1+Inputs!$B$13/100)))+0.25*(Inputs!$B$14-Inputs!$B$14))*(1+Inputs!$B$7/100))*(F2860/100)</f>
        <v>1581769203.69258</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57909241896116.031</v>
      </c>
      <c r="L2860">
        <f>K2860*(MIN(Inputs!$B$22+(F2878-Calc!F22),(Inputs!$B$23+(IF(ArtifactsInput!$M$15,CHOOSE(ArtifactsInput!$N$15+1,25,30,35,40,45,50)/100*(Inputs!$B$11-Inputs!$B$11),0))))/100+(Inputs!$B$23+(IF(ArtifactsInput!$M$15,CHOOSE(ArtifactsInput!$N$15+1,25,30,35,40,45,50)/100*(Inputs!$B$11-Inputs!$B$11),0)))/100)/2</f>
        <v>192548229304585.81</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908635094088340.38</v>
      </c>
      <c r="N2860">
        <f>L2860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908635094088340.38</v>
      </c>
      <c r="O2860">
        <f>(1-Summary!$B$11)*S2860+Summary!$B$11*U2860</f>
        <v>2170161342843240</v>
      </c>
      <c r="P2860">
        <f>IF(B2897=0,0,O2860/B2897)</f>
        <v>6.4160974612229235E-2</v>
      </c>
      <c r="Q2860">
        <f>IFERROR(1/(IF(Inputs!$B$38="pvp",15,MAX(0.1,Skills!E4-IF(TRUE=TRUE,1.5,0)))*(1-IF(AND(ArtifactsInput!$M$27,Inputs!$B$4="Chapter Hunt"),CHOOSE(ArtifactsInput!$N$27+1,20,24,28,32,36,40),0)/100)),0)</f>
        <v>6.0606060606060608E-2</v>
      </c>
      <c r="R2860">
        <f>IF(AND(Inputs!$B$38&lt;&gt;"pvp",Inputs!$B$43&gt;0),IF(MAX(0,Inputs!$B$43-B2894)&lt;=0,0,(INT(MAX(0,Inputs!$B$43-B2894)/(IF(Inputs!$B$38="pvp",15,MAX(0.1,Skills!E4-IF(TRUE=TRUE,1.5,0)))*(1-IF(AND(ArtifactsInput!$M$27,Inputs!$B$4="Chapter Hunt"),CHOOSE(ArtifactsInput!$N$27+1,20,24,28,32,36,40),0)/100)))+1)),0)</f>
        <v>3</v>
      </c>
      <c r="S2860">
        <f>IF(C2860,(H2860*N2860*IF(AND(Inputs!$B$38&lt;&gt;"pvp",Inputs!$B$43&gt;0),((Skills!G4*((R2860-1)*IF(Skills!H4&gt;0,Skills!I4/Skills!H4,1)+IF(Skills!H4&gt;0,MIN(Skills!I4,MAX(0,MAX(0,Inputs!$B$43-B2894)-((R2860-1)*(IF(Inputs!$B$38="pvp",15,MAX(0.1,Skills!E4-IF(TRUE=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648083980858508.75</v>
      </c>
      <c r="T2860">
        <f>290*T2859/1000</f>
        <v>504.6</v>
      </c>
      <c r="U2860">
        <f>IF(C2860,(H2860*N2860*IF(AND(Inputs!$B$38&lt;&gt;"pvp",Inputs!$B$43&gt;0),((Skills!G4*((R2860-1)*IF(Skills!H4&gt;0,Skills!I4/Skills!H4,1)+IF(Skills!H4&gt;0,MIN(Skills!I4,MAX(0,MAX(0,Inputs!$B$43-B2894)-((R2860-1)*(IF(Inputs!$B$38="pvp",15,MAX(0.1,Skills!E4-IF(TRUE=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3692238704827971</v>
      </c>
    </row>
    <row r="2861" spans="1:26" x14ac:dyDescent="0.2">
      <c r="A2861" t="str">
        <f>Skills!A5</f>
        <v>ELEMENTAL_DRAIN</v>
      </c>
      <c r="B2861" t="str">
        <f>Skills!B5</f>
        <v>Elemental Drain</v>
      </c>
      <c r="C2861" t="b">
        <f>TRUE</f>
        <v>1</v>
      </c>
      <c r="D2861">
        <f>IF(Skills!C5=1,60+Inputs!$B$25+Inputs!$B$29,IF(Skills!C5=2,90+Inputs!$B$26+Inputs!$B$29,IF(Skills!C5=3,120+Inputs!$B$27+Inputs!$B$29,MAX(0,(Inputs!$B$3-100)*3)+Inputs!$B$28+Inputs!$B$29)))</f>
        <v>168</v>
      </c>
      <c r="E2861">
        <f>INDEX(FactorTable!$B$2:$Y$301, MATCH(ROUND(MIN(300,MAX(1,D2861)),0), FactorTable!$A$2:$A$301,0), Skills!M5+1)</f>
        <v>1672</v>
      </c>
      <c r="F2861">
        <f>IF(Skills!N5=TRUE,(Skills!L5/10)*(E2861/1000),Skills!L5/10)+Skills!O5</f>
        <v>20.064</v>
      </c>
      <c r="G2861">
        <f>Calc!G5</f>
        <v>5</v>
      </c>
      <c r="H2861">
        <f>Calc!H5</f>
        <v>1</v>
      </c>
      <c r="I2861">
        <f>IF(Skills!X5&lt;&gt;"",1+(Skills!X5/10)*(Z2859/1000)/100,1)</f>
        <v>12.475</v>
      </c>
      <c r="J2861">
        <f>((Inputs!$B$6*(1+Inputs!$B$7/100))+(((Inputs!$B$12*(1+Inputs!$B$13/100))-(Inputs!$B$12*(1+Inputs!$B$13/100)))+0.25*(Inputs!$B$14-Inputs!$B$14))*(1+Inputs!$B$7/100))*(F2861/100)</f>
        <v>72458030.371890247</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4647847273039.7393</v>
      </c>
      <c r="L2861">
        <f>K2861*(MIN(Inputs!$B$22+(F2878-Calc!F22),(Inputs!$B$23+(IF(ArtifactsInput!$M$15,CHOOSE(ArtifactsInput!$N$15+1,25,30,35,40,45,50)/100*(Inputs!$B$11-Inputs!$B$11),0))))/100+(Inputs!$B$23+(IF(ArtifactsInput!$M$15,CHOOSE(ArtifactsInput!$N$15+1,25,30,35,40,45,50)/100*(Inputs!$B$11-Inputs!$B$11),0)))/100)/2</f>
        <v>15454092182857.135</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72927861010902.812</v>
      </c>
      <c r="N2861">
        <f>L2861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72927861010902.812</v>
      </c>
      <c r="O2861">
        <f>(1-Summary!$B$11)*S2861+Summary!$B$11*U2861</f>
        <v>1070398679987526</v>
      </c>
      <c r="P2861">
        <f>IF(B2897=0,0,O2861/B2897)</f>
        <v>3.1646413184037735E-2</v>
      </c>
      <c r="Q2861">
        <f>IFERROR(1/(IF(Inputs!$B$38="pvp",15,MAX(0.1,Skills!E5-IF(FALSE=TRUE,1.5,0)))*(1-IF(AND(ArtifactsInput!$M$27,Inputs!$B$4="Chapter Hunt"),CHOOSE(ArtifactsInput!$N$27+1,20,24,28,32,36,40),0)/100)),0)</f>
        <v>1</v>
      </c>
      <c r="R2861">
        <f>IF(AND(Inputs!$B$38&lt;&gt;"pvp",Inputs!$B$43&gt;0),IF(MAX(0,Inputs!$B$43-B2894)&lt;=0,0,(INT(MAX(0,Inputs!$B$43-B2894)/(IF(Inputs!$B$38="pvp",15,MAX(0.1,Skills!E5-IF(FALSE=TRUE,1.5,0)))*(1-IF(AND(ArtifactsInput!$M$27,Inputs!$B$4="Chapter Hunt"),CHOOSE(ArtifactsInput!$N$27+1,20,24,28,32,36,40),0)/100)))+1)),0)</f>
        <v>38</v>
      </c>
      <c r="S2861">
        <f>IF(C2861,(H2861*N2861*IF(AND(Inputs!$B$38&lt;&gt;"pvp",Inputs!$B$43&gt;0),((Skills!G5*((R2861-1)*IF(Skills!H5&gt;0,Skills!I5/Skills!H5,1)+IF(Skills!H5&gt;0,MIN(Skills!I5,MAX(0,MAX(0,Inputs!$B$43-B2894)-((R2861-1)*(IF(Inputs!$B$38="pvp",15,MAX(0.1,Skills!E5-IF(FALSE=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1098111267171669.1</v>
      </c>
      <c r="U2861">
        <f>IF(C2861,(H2861*N2861*IF(AND(Inputs!$B$38&lt;&gt;"pvp",Inputs!$B$43&gt;0),((Skills!G5*((R2861-1)*IF(Skills!H5&gt;0,Skills!I5/Skills!H5,1)+IF(Skills!H5&gt;0,MIN(Skills!I5,MAX(0,MAX(0,Inputs!$B$43-B2894)-((R2861-1)*(IF(Inputs!$B$38="pvp",15,MAX(0.1,Skills!E5-IF(FALSE=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1042686092803382.9</v>
      </c>
    </row>
    <row r="2862" spans="1:26" x14ac:dyDescent="0.2">
      <c r="A2862" t="str">
        <f>Skills!A6</f>
        <v>MEDITATION</v>
      </c>
      <c r="B2862" t="str">
        <f>Skills!B6</f>
        <v>Meditation</v>
      </c>
      <c r="C2862" t="b">
        <f>TRUE</f>
        <v>1</v>
      </c>
      <c r="D2862">
        <f>IF(Skills!C6=1,60+Inputs!$B$25+Inputs!$B$29,IF(Skills!C6=2,90+Inputs!$B$26+Inputs!$B$29,IF(Skills!C6=3,120+Inputs!$B$27+Inputs!$B$29,MAX(0,(Inputs!$B$3-100)*3)+Inputs!$B$28+Inputs!$B$29)))</f>
        <v>168</v>
      </c>
      <c r="E2862">
        <f>INDEX(FactorTable!$B$2:$Y$301, MATCH(ROUND(MIN(300,MAX(1,D2862)),0), FactorTable!$A$2:$A$301,0), Skills!M6+1)</f>
        <v>1672</v>
      </c>
      <c r="F2862">
        <f>IF(Skills!N6=TRUE,(Skills!L6/10)*(E2862/1000),Skills!L6/10)+Skills!O6</f>
        <v>33.44</v>
      </c>
      <c r="G2862">
        <f>Calc!G6</f>
        <v>1</v>
      </c>
      <c r="H2862">
        <f>Calc!H6</f>
        <v>1</v>
      </c>
      <c r="I2862">
        <f>IF(Skills!X6&lt;&gt;"",1+(Skills!X6/10)*(Z2859/1000)/100,1)</f>
        <v>1</v>
      </c>
      <c r="O2862">
        <f>(1-Summary!$B$11)*S2862+Summary!$B$11*U2862</f>
        <v>0</v>
      </c>
      <c r="P2862">
        <f>IF(B2897=0,0,O2862/B2897)</f>
        <v>0</v>
      </c>
      <c r="Q2862">
        <f>IFERROR(1/(IF(Inputs!$B$38="pvp",15,MAX(0.1,Skills!E6-IF(TRUE=TRUE,1.5,0)))*(1-IF(AND(ArtifactsInput!$M$27,Inputs!$B$4="Chapter Hunt"),CHOOSE(ArtifactsInput!$N$27+1,20,24,28,32,36,40),0)/100)),0)</f>
        <v>3.5087719298245612E-2</v>
      </c>
      <c r="R2862">
        <f>IF(AND(Inputs!$B$38&lt;&gt;"pvp",Inputs!$B$43&gt;0),IF(Inputs!$B$43&lt;=0,0,(INT(Inputs!$B$43/(IF(Inputs!$B$38="pvp",15,MAX(0.1,Skills!E6-IF(TRUE=TRUE,1.5,0)))*(1-IF(AND(ArtifactsInput!$M$27,Inputs!$B$4="Chapter Hunt"),CHOOSE(ArtifactsInput!$N$27+1,20,24,28,32,36,40),0)/100)))+1)),0)</f>
        <v>2</v>
      </c>
      <c r="S2862">
        <v>0</v>
      </c>
      <c r="U2862">
        <v>0</v>
      </c>
    </row>
    <row r="2863" spans="1:26" x14ac:dyDescent="0.2">
      <c r="A2863" t="str">
        <f>Skills!A7</f>
        <v>POISON_MIST_BURST</v>
      </c>
      <c r="B2863" t="str">
        <f>Skills!B7</f>
        <v>Poison Mist (burst)</v>
      </c>
      <c r="C2863" t="b">
        <f>TRUE</f>
        <v>1</v>
      </c>
      <c r="D2863">
        <f>IF(Skills!C7=1,60+Inputs!$B$25+Inputs!$B$29,IF(Skills!C7=2,90+Inputs!$B$26+Inputs!$B$29,IF(Skills!C7=3,120+Inputs!$B$27+Inputs!$B$29,MAX(0,(Inputs!$B$3-100)*3)+Inputs!$B$28+Inputs!$B$29)))</f>
        <v>184</v>
      </c>
      <c r="E2863">
        <f>INDEX(FactorTable!$B$2:$Y$301, MATCH(ROUND(MIN(300,MAX(1,D2863)),0), FactorTable!$A$2:$A$301,0), Skills!M7+1)</f>
        <v>1920</v>
      </c>
      <c r="F2863">
        <f>IF(Skills!N7=TRUE,(Skills!L7/10)*(E2863/1000),Skills!L7/10)+Skills!O7</f>
        <v>357.2</v>
      </c>
      <c r="G2863">
        <f>Calc!G7</f>
        <v>3</v>
      </c>
      <c r="H2863">
        <f>Calc!H7</f>
        <v>1</v>
      </c>
      <c r="I2863">
        <f>IF(Skills!X7&lt;&gt;"",1+(Skills!X7/10)*(Z2859/1000)/100,1)</f>
        <v>1.7650000000000001</v>
      </c>
      <c r="J2863">
        <f>((Inputs!$B$6*(1+Inputs!$B$7/100))+(((Inputs!$B$12*(1+Inputs!$B$13/100))-(Inputs!$B$12*(1+Inputs!$B$13/100)))+0.25*(Inputs!$B$14-Inputs!$B$14))*(1+Inputs!$B$7/100))*(F2863/100)</f>
        <v>1289972510.4086521</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11707116370164.926</v>
      </c>
      <c r="L2863">
        <f>K2863*(MIN(Inputs!$B$22+(F2878-Calc!F22),(Inputs!$B$23+(IF(ArtifactsInput!$M$15,CHOOSE(ArtifactsInput!$N$15+1,25,30,35,40,45,50)/100*(Inputs!$B$11-Inputs!$B$11),0))))/100+(Inputs!$B$23+(IF(ArtifactsInput!$M$15,CHOOSE(ArtifactsInput!$N$15+1,25,30,35,40,45,50)/100*(Inputs!$B$11-Inputs!$B$11),0)))/100)/2</f>
        <v>38926161930798.383</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183692558151437.53</v>
      </c>
      <c r="N2863">
        <f>L2863*(1-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183692558151437.53</v>
      </c>
      <c r="O2863">
        <f>(1-Summary!$B$11)*S2863+Summary!$B$11*U2863</f>
        <v>458358855727374.44</v>
      </c>
      <c r="P2863">
        <f>IF(B2897=0,0,O2863/B2897)</f>
        <v>1.3551412203797068E-2</v>
      </c>
      <c r="Q2863">
        <f>IFERROR(1/(IF(Inputs!$B$38="pvp",15,MAX(0.1,Skills!E7-IF(TRUE=TRUE,1.5,0)))*(1-IF(AND(ArtifactsInput!$M$27,Inputs!$B$4="Chapter Hunt"),CHOOSE(ArtifactsInput!$N$27+1,20,24,28,32,36,40),0)/100)),0)</f>
        <v>4.3478260869565216E-2</v>
      </c>
      <c r="R2863">
        <f>IF(AND(Inputs!$B$38&lt;&gt;"pvp",Inputs!$B$43&gt;0),IF(MAX(0,Inputs!$B$43-B2894)&lt;=0,0,(INT(MAX(0,Inputs!$B$43-B2894)/(IF(Inputs!$B$38="pvp",15,MAX(0.1,Skills!E7-IF(TRUE=TRUE,1.5,0)))*(1-IF(AND(ArtifactsInput!$M$27,Inputs!$B$4="Chapter Hunt"),CHOOSE(ArtifactsInput!$N$27+1,20,24,28,32,36,40),0)/100)))+1)),0)</f>
        <v>2</v>
      </c>
      <c r="S2863">
        <f>IF(C2863,(H2863*N2863*IF(AND(Inputs!$B$38&lt;&gt;"pvp",Inputs!$B$43&gt;0),((Skills!G7*((R2863-1)*IF(Skills!H7&gt;0,Skills!I7/Skills!H7,1)+IF(Skills!H7&gt;0,MIN(Skills!I7,MAX(0,MAX(0,Inputs!$B$43-B2894)-((R2863-1)*(IF(Inputs!$B$38="pvp",15,MAX(0.1,Skills!E7-IF(TRUE=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87345811401008.547</v>
      </c>
      <c r="U2863">
        <f>IF(C2863,(H2863*N2863*IF(AND(Inputs!$B$38&lt;&gt;"pvp",Inputs!$B$43&gt;0),((Skills!G7*((R2863-1)*IF(Skills!H7&gt;0,Skills!I7/Skills!H7,1)+IF(Skills!H7&gt;0,MIN(Skills!I7,MAX(0,MAX(0,Inputs!$B$43-B2894)-((R2863-1)*(IF(Inputs!$B$38="pvp",15,MAX(0.1,Skills!E7-IF(TRUE=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829371900053740.38</v>
      </c>
    </row>
    <row r="2864" spans="1:26" x14ac:dyDescent="0.2">
      <c r="A2864" t="str">
        <f>Skills!A8</f>
        <v>POISON_MIST_DOT</v>
      </c>
      <c r="B2864" t="str">
        <f>Skills!B8</f>
        <v>Poison Mist (fog DoT)</v>
      </c>
      <c r="C2864" t="b">
        <f>TRUE</f>
        <v>1</v>
      </c>
      <c r="D2864">
        <f>IF(Skills!C8=1,60+Inputs!$B$25+Inputs!$B$29,IF(Skills!C8=2,90+Inputs!$B$26+Inputs!$B$29,IF(Skills!C8=3,120+Inputs!$B$27+Inputs!$B$29,MAX(0,(Inputs!$B$3-100)*3)+Inputs!$B$28+Inputs!$B$29)))</f>
        <v>184</v>
      </c>
      <c r="E2864">
        <f>INDEX(FactorTable!$B$2:$Y$301, MATCH(ROUND(MIN(300,MAX(1,D2864)),0), FactorTable!$A$2:$A$301,0), Skills!M8+1)</f>
        <v>1920</v>
      </c>
      <c r="F2864">
        <f>IF(Skills!N8=TRUE,(Skills!L8/10)*(E2864/1000),Skills!L8/10)+Skills!O8</f>
        <v>134.4</v>
      </c>
      <c r="G2864">
        <f>Calc!G8</f>
        <v>50</v>
      </c>
      <c r="H2864">
        <f>Calc!H8</f>
        <v>1</v>
      </c>
      <c r="I2864">
        <f>IF(Skills!X8&lt;&gt;"",1+(Skills!X8/10)*(Z2859/1000)/100,1)</f>
        <v>1.7650000000000001</v>
      </c>
      <c r="J2864">
        <f>((Inputs!$B$6*(1+Inputs!$B$7/100))+(((Inputs!$B$12*(1+Inputs!$B$13/100))-(Inputs!$B$12*(1+Inputs!$B$13/100)))+0.25*(Inputs!$B$14-Inputs!$B$14))*(1+Inputs!$B$7/100))*(F2864/100)</f>
        <v>485364796.74950409</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4404917245661.1592</v>
      </c>
      <c r="L2864">
        <f>K2864*(MIN(Inputs!$B$22+(F2878-Calc!F22),(Inputs!$B$23+(IF(ArtifactsInput!$M$15,CHOOSE(ArtifactsInput!$N$15+1,25,30,35,40,45,50)/100*(Inputs!$B$11-Inputs!$B$11),0))))/100+(Inputs!$B$23+(IF(ArtifactsInput!$M$15,CHOOSE(ArtifactsInput!$N$15+1,25,30,35,40,45,50)/100*(Inputs!$B$11-Inputs!$B$11),0)))/100)/2</f>
        <v>14646349841823.355</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69116124903564.406</v>
      </c>
      <c r="N2864">
        <f>L2864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69116124903564.406</v>
      </c>
      <c r="O2864">
        <f>(1-Summary!$B$11)*S2864+Summary!$B$11*U2864</f>
        <v>2489539267737951</v>
      </c>
      <c r="P2864">
        <f>IF(B2897=0,0,O2864/B2897)</f>
        <v>7.3603405700799318E-2</v>
      </c>
      <c r="Q2864">
        <f>IFERROR(1/(IF(Inputs!$B$38="pvp",15,MAX(0.1,Skills!E8-IF(TRUE=TRUE,1.5,0)))*(1-IF(AND(ArtifactsInput!$M$27,Inputs!$B$4="Chapter Hunt"),CHOOSE(ArtifactsInput!$N$27+1,20,24,28,32,36,40),0)/100)),0)</f>
        <v>4.3478260869565216E-2</v>
      </c>
      <c r="R2864">
        <f>IF(AND(Inputs!$B$38&lt;&gt;"pvp",Inputs!$B$43&gt;0),IF(MAX(0,Inputs!$B$43-B2894)&lt;=0,0,(INT(MAX(0,Inputs!$B$43-B2894)/(IF(Inputs!$B$38="pvp",15,MAX(0.1,Skills!E8-IF(TRUE=TRUE,1.5,0)))*(1-IF(AND(ArtifactsInput!$M$27,Inputs!$B$4="Chapter Hunt"),CHOOSE(ArtifactsInput!$N$27+1,20,24,28,32,36,40),0)/100)))+1)),0)</f>
        <v>2</v>
      </c>
      <c r="S2864">
        <f>IF(C2864,(H2864*N2864*IF(AND(Inputs!$B$38&lt;&gt;"pvp",Inputs!$B$43&gt;0),((Skills!G8*((R2864-1)*IF(Skills!H8&gt;0,Skills!I8/Skills!H8,1)+IF(Skills!H8&gt;0,MIN(Skills!I8,MAX(0,MAX(0,Inputs!$B$43-B2894)-((R2864-1)*(IF(Inputs!$B$38="pvp",15,MAX(0.1,Skills!E8-IF(TRUE=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474411751050754.69</v>
      </c>
      <c r="U2864">
        <f>IF(C2864,(H2864*N2864*IF(AND(Inputs!$B$38&lt;&gt;"pvp",Inputs!$B$43&gt;0),((Skills!G8*((R2864-1)*IF(Skills!H8&gt;0,Skills!I8/Skills!H8,1)+IF(Skills!H8&gt;0,MIN(Skills!I8,MAX(0,MAX(0,Inputs!$B$43-B2894)-((R2864-1)*(IF(Inputs!$B$38="pvp",15,MAX(0.1,Skills!E8-IF(TRUE=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4504666784425147</v>
      </c>
    </row>
    <row r="2865" spans="1:21" x14ac:dyDescent="0.2">
      <c r="A2865" t="str">
        <f>Skills!A9</f>
        <v>MIST_ERUPTION</v>
      </c>
      <c r="B2865" t="str">
        <f>Skills!B9</f>
        <v>Mist Eruption</v>
      </c>
      <c r="C2865" t="b">
        <f>Inputs!$B$3&gt;=103</f>
        <v>1</v>
      </c>
      <c r="D2865">
        <f>IF(Skills!C9=1,60+Inputs!$B$25+Inputs!$B$29,IF(Skills!C9=2,90+Inputs!$B$26+Inputs!$B$29,IF(Skills!C9=3,120+Inputs!$B$27+Inputs!$B$29,MAX(0,(Inputs!$B$3-100)*3)+Inputs!$B$28+Inputs!$B$29)))</f>
        <v>185</v>
      </c>
      <c r="E2865">
        <f>INDEX(FactorTable!$B$2:$Y$301, MATCH(ROUND(MIN(300,MAX(1,D2865)),0), FactorTable!$A$2:$A$301,0), Skills!M9+1)</f>
        <v>1925</v>
      </c>
      <c r="F2865">
        <f>IF(Skills!N9=TRUE,(Skills!L9/10)*(E2865/1000),Skills!L9/10)+Skills!O9</f>
        <v>5775</v>
      </c>
      <c r="G2865">
        <f>Calc!G9</f>
        <v>2.5</v>
      </c>
      <c r="H2865">
        <f>Calc!H9</f>
        <v>1</v>
      </c>
      <c r="I2865">
        <f>IF(Skills!X9&lt;&gt;"",1+(Skills!X9/10)*(Z2859/1000)/100,1)</f>
        <v>1</v>
      </c>
      <c r="J2865">
        <f>((Inputs!$B$6*(1+Inputs!$B$7/100))+(((Inputs!$B$12*(1+Inputs!$B$13/100))-(Inputs!$B$12*(1+Inputs!$B$13/100)))+0.25*(Inputs!$B$14-Inputs!$B$14))*(1+Inputs!$B$7/100))*(F2865/100)</f>
        <v>20855518610.330254</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107237273597452.08</v>
      </c>
      <c r="L2865">
        <f>K2865*(MIN(Inputs!$B$22+(F2878-Calc!F22),(Inputs!$B$23+(IF(ArtifactsInput!$M$15,CHOOSE(ArtifactsInput!$N$15+1,25,30,35,40,45,50)/100*(Inputs!$B$11-Inputs!$B$11),0))))/100+(Inputs!$B$23+(IF(ArtifactsInput!$M$15,CHOOSE(ArtifactsInput!$N$15+1,25,30,35,40,45,50)/100*(Inputs!$B$11-Inputs!$B$11),0)))/100)/2</f>
        <v>356563934711528.19</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1682625207903701.2</v>
      </c>
      <c r="N2865">
        <f>L2865*(1-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1682625207903701.2</v>
      </c>
      <c r="O2865">
        <f>(1-Summary!$B$11)*S2865+Summary!$B$11*U2865</f>
        <v>3498808791684759</v>
      </c>
      <c r="P2865">
        <f>IF(B2897=0,0,O2865/B2897)</f>
        <v>0.10344253103422178</v>
      </c>
      <c r="Q2865">
        <f>IFERROR(1/(IF(Inputs!$B$38="pvp",15,MAX(0.1,Skills!E9-IF(TRUE=TRUE,1.5,0)))*(1-IF(AND(ArtifactsInput!$M$27,Inputs!$B$4="Chapter Hunt"),CHOOSE(ArtifactsInput!$N$27+1,20,24,28,32,36,40),0)/100)),0)</f>
        <v>4.3478260869565216E-2</v>
      </c>
      <c r="R2865">
        <f>IF(AND(Inputs!$B$38&lt;&gt;"pvp",Inputs!$B$43&gt;0),IF(MAX(0,Inputs!$B$43-B2894)&lt;=0,0,(INT(MAX(0,Inputs!$B$43-B2894)/(IF(Inputs!$B$38="pvp",15,MAX(0.1,Skills!E9-IF(TRUE=TRUE,1.5,0)))*(1-IF(AND(ArtifactsInput!$M$27,Inputs!$B$4="Chapter Hunt"),CHOOSE(ArtifactsInput!$N$27+1,20,24,28,32,36,40),0)/100)))+1)),0)</f>
        <v>2</v>
      </c>
      <c r="S2865">
        <f>IF(C2865,(H2865*N2865*IF(AND(Inputs!$B$38&lt;&gt;"pvp",Inputs!$B$43&gt;0),((Skills!G9*((R2865-1)*IF(Skills!H9&gt;0,Skills!I9/Skills!H9,1)+IF(Skills!H9&gt;0,MIN(Skills!I9,MAX(0,MAX(0,Inputs!$B$43-B2894)-((R2865-1)*(IF(Inputs!$B$38="pvp",15,MAX(0.1,Skills!E9-IF(TRUE=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666740238631841.62</v>
      </c>
      <c r="U2865">
        <f>IF(C2865,(H2865*N2865*IF(AND(Inputs!$B$38&lt;&gt;"pvp",Inputs!$B$43&gt;0),((Skills!G9*((R2865-1)*IF(Skills!H9&gt;0,Skills!I9/Skills!H9,1)+IF(Skills!H9&gt;0,MIN(Skills!I9,MAX(0,MAX(0,Inputs!$B$43-B2894)-((R2865-1)*(IF(Inputs!$B$38="pvp",15,MAX(0.1,Skills!E9-IF(TRUE=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6330877344737676</v>
      </c>
    </row>
    <row r="2866" spans="1:21" x14ac:dyDescent="0.2">
      <c r="A2866" t="str">
        <f>Skills!A10</f>
        <v>CREEPING_TOXIN</v>
      </c>
      <c r="B2866" t="str">
        <f>Skills!B10</f>
        <v>Creeping Toxin</v>
      </c>
      <c r="C2866" t="b">
        <f>TRUE</f>
        <v>1</v>
      </c>
      <c r="D2866">
        <f>IF(Skills!C10=1,60+Inputs!$B$25+Inputs!$B$29,IF(Skills!C10=2,90+Inputs!$B$26+Inputs!$B$29,IF(Skills!C10=3,120+Inputs!$B$27+Inputs!$B$29,MAX(0,(Inputs!$B$3-100)*3)+Inputs!$B$28+Inputs!$B$29)))</f>
        <v>184</v>
      </c>
      <c r="E2866">
        <f>INDEX(FactorTable!$B$2:$Y$301, MATCH(ROUND(MIN(300,MAX(1,D2866)),0), FactorTable!$A$2:$A$301,0), Skills!M10+1)</f>
        <v>1920</v>
      </c>
      <c r="F2866">
        <f>IF(Skills!N10=TRUE,(Skills!L10/10)*(E2866/1000),Skills!L10/10)+Skills!O10</f>
        <v>280.39999999999998</v>
      </c>
      <c r="G2866">
        <f>Calc!G10</f>
        <v>15</v>
      </c>
      <c r="H2866">
        <f>Calc!H10</f>
        <v>1</v>
      </c>
      <c r="I2866">
        <f>IF(Skills!X10&lt;&gt;"",1+(Skills!X10/10)*(Z2859/1000)/100,1)</f>
        <v>1.7650000000000001</v>
      </c>
      <c r="J2866">
        <f>((Inputs!$B$6*(1+Inputs!$B$7/100))+(((Inputs!$B$12*(1+Inputs!$B$13/100))-(Inputs!$B$12*(1+Inputs!$B$13/100)))+0.25*(Inputs!$B$14-Inputs!$B$14))*(1+Inputs!$B$7/100))*(F2866/100)</f>
        <v>1012621197.9803641</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9190020801215.6914</v>
      </c>
      <c r="L2866">
        <f>K2866*(MIN(Inputs!$B$22+(F2878-Calc!F22),(Inputs!$B$23+(IF(ArtifactsInput!$M$15,CHOOSE(ArtifactsInput!$N$15+1,25,30,35,40,45,50)/100*(Inputs!$B$11-Inputs!$B$11),0))))/100+(Inputs!$B$23+(IF(ArtifactsInput!$M$15,CHOOSE(ArtifactsInput!$N$15+1,25,30,35,40,45,50)/100*(Inputs!$B$11-Inputs!$B$11),0)))/100)/2</f>
        <v>30556819164042.176</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144197629635115</v>
      </c>
      <c r="N2866">
        <f>L2866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144197629635115</v>
      </c>
      <c r="O2866">
        <f>(1-Summary!$B$11)*S2866+Summary!$B$11*U2866</f>
        <v>351299547004025.75</v>
      </c>
      <c r="P2866">
        <f>IF(B2897=0,0,O2866/B2897)</f>
        <v>1.038619611898647E-2</v>
      </c>
      <c r="Q2866">
        <f>IFERROR(1/(IF(Inputs!$B$38="pvp",15,MAX(0.1,Skills!E10-IF(TRUE=TRUE,1.5,0)))*(1-IF(AND(ArtifactsInput!$M$27,Inputs!$B$4="Chapter Hunt"),CHOOSE(ArtifactsInput!$N$27+1,20,24,28,32,36,40),0)/100)),0)</f>
        <v>3.9215686274509803E-2</v>
      </c>
      <c r="R2866">
        <f>IF(AND(Inputs!$B$38&lt;&gt;"pvp",Inputs!$B$43&gt;0),IF(MAX(0,Inputs!$B$43-B2894)&lt;=0,0,(INT(MAX(0,Inputs!$B$43-B2894)/(IF(Inputs!$B$38="pvp",15,MAX(0.1,Skills!E10-IF(TRUE=TRUE,1.5,0)))*(1-IF(AND(ArtifactsInput!$M$27,Inputs!$B$4="Chapter Hunt"),CHOOSE(ArtifactsInput!$N$27+1,20,24,28,32,36,40),0)/100)))+1)),0)</f>
        <v>2</v>
      </c>
      <c r="S2866">
        <f>IF(C2866,(H2866*N2866*IF(AND(Inputs!$B$38&lt;&gt;"pvp",Inputs!$B$43&gt;0),((Skills!G10*((R2866-1)*IF(Skills!H10&gt;0,Skills!I10/Skills!H10,1)+IF(Skills!H10&gt;0,MIN(Skills!I10,MAX(0,MAX(0,Inputs!$B$43-B2894)-((R2866-1)*(IF(Inputs!$B$38="pvp",15,MAX(0.1,Skills!E10-IF(TRUE=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310200435655365.38</v>
      </c>
      <c r="U2866">
        <f>IF(C2866,(H2866*N2866*IF(AND(Inputs!$B$38&lt;&gt;"pvp",Inputs!$B$43&gt;0),((Skills!G10*((R2866-1)*IF(Skills!H10&gt;0,Skills!I10/Skills!H10,1)+IF(Skills!H10&gt;0,MIN(Skills!I10,MAX(0,MAX(0,Inputs!$B$43-B2894)-((R2866-1)*(IF(Inputs!$B$38="pvp",15,MAX(0.1,Skills!E10-IF(TRUE=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392398658352686.19</v>
      </c>
    </row>
    <row r="2867" spans="1:21" x14ac:dyDescent="0.2">
      <c r="A2867" t="str">
        <f>Skills!A11</f>
        <v>BURNING_MAGIC</v>
      </c>
      <c r="B2867" t="str">
        <f>Skills!B11</f>
        <v>Burning Magic</v>
      </c>
      <c r="C2867" t="b">
        <f>TRUE</f>
        <v>1</v>
      </c>
      <c r="D2867">
        <f>IF(Skills!C11=1,60+Inputs!$B$25+Inputs!$B$29,IF(Skills!C11=2,90+Inputs!$B$26+Inputs!$B$29,IF(Skills!C11=3,120+Inputs!$B$27+Inputs!$B$29,MAX(0,(Inputs!$B$3-100)*3)+Inputs!$B$28+Inputs!$B$29)))</f>
        <v>184</v>
      </c>
      <c r="E2867">
        <f>INDEX(FactorTable!$B$2:$Y$301, MATCH(ROUND(MIN(300,MAX(1,D2867)),0), FactorTable!$A$2:$A$301,0), Skills!M11+1)</f>
        <v>0</v>
      </c>
      <c r="F2867">
        <f>IF(Skills!N11=TRUE,(Skills!L11/10)*(E2867/1000),Skills!L11/10)+Skills!O11</f>
        <v>5</v>
      </c>
      <c r="G2867">
        <f>Calc!G11</f>
        <v>1</v>
      </c>
      <c r="H2867">
        <f>Calc!H11</f>
        <v>1</v>
      </c>
      <c r="I2867">
        <f>IF(Skills!X11&lt;&gt;"",1+(Skills!X11/10)*(Z2859/1000)/100,1)</f>
        <v>1</v>
      </c>
      <c r="O2867">
        <f>(1-Summary!$B$11)*S2867+Summary!$B$11*U2867</f>
        <v>0</v>
      </c>
      <c r="P2867">
        <f>IF(B2897=0,0,O2867/B2897)</f>
        <v>0</v>
      </c>
      <c r="Q2867">
        <f>IFERROR(1/(IF(Inputs!$B$38="pvp",15,MAX(0.1,Skills!E11-IF(TRUE=TRUE,1.5,0)))*(1-IF(AND(ArtifactsInput!$M$27,Inputs!$B$4="Chapter Hunt"),CHOOSE(ArtifactsInput!$N$27+1,20,24,28,32,36,40),0)/100)),0)</f>
        <v>10</v>
      </c>
      <c r="R2867">
        <v>0</v>
      </c>
      <c r="S2867">
        <v>0</v>
      </c>
      <c r="U2867">
        <v>0</v>
      </c>
    </row>
    <row r="2868" spans="1:21" x14ac:dyDescent="0.2">
      <c r="A2868" t="str">
        <f>Skills!A12</f>
        <v>ELEMENTAL_DECREASE</v>
      </c>
      <c r="B2868" t="str">
        <f>Skills!B12</f>
        <v>Elemental Decrease</v>
      </c>
      <c r="C2868" t="b">
        <f>TRUE</f>
        <v>1</v>
      </c>
      <c r="D2868">
        <f>IF(Skills!C12=1,60+Inputs!$B$25+Inputs!$B$29,IF(Skills!C12=2,90+Inputs!$B$26+Inputs!$B$29,IF(Skills!C12=3,120+Inputs!$B$27+Inputs!$B$29,MAX(0,(Inputs!$B$3-100)*3)+Inputs!$B$28+Inputs!$B$29)))</f>
        <v>184</v>
      </c>
      <c r="E2868">
        <f>INDEX(FactorTable!$B$2:$Y$301, MATCH(ROUND(MIN(300,MAX(1,D2868)),0), FactorTable!$A$2:$A$301,0), Skills!M12+1)</f>
        <v>1552</v>
      </c>
      <c r="F2868">
        <f>IF(Skills!N12=TRUE,(Skills!L12/10)*(E2868/1000),Skills!L12/10)+Skills!O12</f>
        <v>18.624000000000002</v>
      </c>
      <c r="G2868">
        <f>Calc!G12</f>
        <v>1</v>
      </c>
      <c r="H2868">
        <f>Calc!H12</f>
        <v>0.5</v>
      </c>
      <c r="I2868">
        <f>IF(Skills!X12&lt;&gt;"",1+(Skills!X12/10)*(Z2859/1000)/100,1)</f>
        <v>1</v>
      </c>
      <c r="O2868">
        <f>(1-Summary!$B$11)*S2868+Summary!$B$11*U2868</f>
        <v>0</v>
      </c>
      <c r="P2868">
        <f>IF(B2897=0,0,O2868/B2897)</f>
        <v>0</v>
      </c>
      <c r="Q2868">
        <f>IFERROR(1/(IF(Inputs!$B$38="pvp",15,MAX(0.1,Skills!E12-IF(TRUE=TRUE,1.5,0)))*(1-IF(AND(ArtifactsInput!$M$27,Inputs!$B$4="Chapter Hunt"),CHOOSE(ArtifactsInput!$N$27+1,20,24,28,32,36,40),0)/100)),0)</f>
        <v>10</v>
      </c>
      <c r="R2868">
        <v>0</v>
      </c>
      <c r="S2868">
        <v>0</v>
      </c>
      <c r="U2868">
        <v>0</v>
      </c>
    </row>
    <row r="2869" spans="1:21" x14ac:dyDescent="0.2">
      <c r="A2869" t="str">
        <f>Skills!A13</f>
        <v>METEOR_SHOWER_BURST</v>
      </c>
      <c r="B2869" t="str">
        <f>Skills!B13</f>
        <v>Meteor Shower (burst)</v>
      </c>
      <c r="C2869" t="b">
        <f>Inputs!$B$3&gt;=105</f>
        <v>1</v>
      </c>
      <c r="D2869">
        <f>IF(Skills!C13=1,60+Inputs!$B$25+Inputs!$B$29,IF(Skills!C13=2,90+Inputs!$B$26+Inputs!$B$29,IF(Skills!C13=3,120+Inputs!$B$27+Inputs!$B$29,MAX(0,(Inputs!$B$3-100)*3)+Inputs!$B$28+Inputs!$B$29)))</f>
        <v>185</v>
      </c>
      <c r="E2869">
        <f>INDEX(FactorTable!$B$2:$Y$301, MATCH(ROUND(MIN(300,MAX(1,D2869)),0), FactorTable!$A$2:$A$301,0), Skills!M13+1)</f>
        <v>1925</v>
      </c>
      <c r="F2869">
        <f>IF(Skills!N13=TRUE,(Skills!L13/10)*(E2869/1000),Skills!L13/10)+Skills!O13</f>
        <v>1155</v>
      </c>
      <c r="G2869">
        <f>Calc!G13</f>
        <v>9</v>
      </c>
      <c r="H2869">
        <f>Calc!H13</f>
        <v>1</v>
      </c>
      <c r="I2869">
        <f>IF(Skills!X13&lt;&gt;"",1+(Skills!X13/10)*(Z2859/1000)/100,1)</f>
        <v>1</v>
      </c>
      <c r="J2869">
        <f>((Inputs!$B$6*(1+Inputs!$B$7/100))+(((Inputs!$B$12*(1+Inputs!$B$13/100))-(Inputs!$B$12*(1+Inputs!$B$13/100)))+0.25*(Inputs!$B$14-Inputs!$B$14))*(1+Inputs!$B$7/100))*(F2869/100)</f>
        <v>4171103722.0660505</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21447454719490.414</v>
      </c>
      <c r="L2869">
        <f>K2869*(MIN(Inputs!$B$22+(F2878-Calc!F22),(Inputs!$B$23+(IF(ArtifactsInput!$M$15,CHOOSE(ArtifactsInput!$N$15+1,25,30,35,40,45,50)/100*(Inputs!$B$11-Inputs!$B$11),0))))/100+(Inputs!$B$23+(IF(ArtifactsInput!$M$15,CHOOSE(ArtifactsInput!$N$15+1,25,30,35,40,45,50)/100*(Inputs!$B$11-Inputs!$B$11),0)))/100)/2</f>
        <v>71312786942305.625</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336525041580740.19</v>
      </c>
      <c r="N2869">
        <f>L2869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336525041580740.19</v>
      </c>
      <c r="O2869">
        <f>(1-Summary!$B$11)*S2869+Summary!$B$11*U2869</f>
        <v>1835407576781357.2</v>
      </c>
      <c r="P2869">
        <f>IF(B2897=0,0,O2869/B2897)</f>
        <v>5.4263955684823138E-2</v>
      </c>
      <c r="Q2869">
        <f>IFERROR(1/(IF(Inputs!$B$38="pvp",15,MAX(0.1,Skills!E13-IF(TRUE=TRUE,1.5,0)))*(1-IF(AND(ArtifactsInput!$M$27,Inputs!$B$4="Chapter Hunt"),CHOOSE(ArtifactsInput!$N$27+1,20,24,28,32,36,40),0)/100)),0)</f>
        <v>3.1746031746031744E-2</v>
      </c>
      <c r="R2869">
        <f>IF(AND(Inputs!$B$38&lt;&gt;"pvp",Inputs!$B$43&gt;0),IF(MAX(0,Inputs!$B$43-B2894)&lt;=0,0,(INT(MAX(0,Inputs!$B$43-B2894)/(IF(Inputs!$B$38="pvp",15,MAX(0.1,Skills!E13-IF(TRUE=TRUE,1.5,0)))*(1-IF(AND(ArtifactsInput!$M$27,Inputs!$B$4="Chapter Hunt"),CHOOSE(ArtifactsInput!$N$27+1,20,24,28,32,36,40),0)/100)))+1)),0)</f>
        <v>2</v>
      </c>
      <c r="S2869">
        <f>IF(C2869,(H2869*N2869*IF(AND(Inputs!$B$38&lt;&gt;"pvp",Inputs!$B$43&gt;0),((Skills!G13*((R2869-1)*IF(Skills!H13&gt;0,Skills!I13/Skills!H13,1)+IF(Skills!H13&gt;0,MIN(Skills!I13,MAX(0,MAX(0,Inputs!$B$43-B2894)-((R2869-1)*(IF(Inputs!$B$38="pvp",15,MAX(0.1,Skills!E13-IF(TRUE=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480052971814925.88</v>
      </c>
      <c r="U2869">
        <f>IF(C2869,(H2869*N2869*IF(AND(Inputs!$B$38&lt;&gt;"pvp",Inputs!$B$43&gt;0),((Skills!G13*((R2869-1)*IF(Skills!H13&gt;0,Skills!I13/Skills!H13,1)+IF(Skills!H13&gt;0,MIN(Skills!I13,MAX(0,MAX(0,Inputs!$B$43-B2894)-((R2869-1)*(IF(Inputs!$B$38="pvp",15,MAX(0.1,Skills!E13-IF(TRUE=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3190762181747788.5</v>
      </c>
    </row>
    <row r="2870" spans="1:21" x14ac:dyDescent="0.2">
      <c r="A2870" t="str">
        <f>Skills!A14</f>
        <v>METEOR_PROC</v>
      </c>
      <c r="B2870" t="str">
        <f>Skills!B14</f>
        <v>Meteor Proc (30% on-hit, 1s ICD)</v>
      </c>
      <c r="C2870" t="b">
        <f>Inputs!$B$3&gt;=113</f>
        <v>1</v>
      </c>
      <c r="D2870">
        <f>IF(Skills!C14=1,60+Inputs!$B$25+Inputs!$B$29,IF(Skills!C14=2,90+Inputs!$B$26+Inputs!$B$29,IF(Skills!C14=3,120+Inputs!$B$27+Inputs!$B$29,MAX(0,(Inputs!$B$3-100)*3)+Inputs!$B$28+Inputs!$B$29)))</f>
        <v>185</v>
      </c>
      <c r="E2870">
        <f>INDEX(FactorTable!$B$2:$Y$301, MATCH(ROUND(MIN(300,MAX(1,D2870)),0), FactorTable!$A$2:$A$301,0), Skills!M14+1)</f>
        <v>1740</v>
      </c>
      <c r="F2870">
        <f>IF(Skills!N14=TRUE,(Skills!L14/10)*(E2870/1000),Skills!L14/10)+Skills!O14</f>
        <v>1653</v>
      </c>
      <c r="G2870">
        <f>Calc!G14</f>
        <v>0</v>
      </c>
      <c r="H2870">
        <f>Calc!H14</f>
        <v>0.30000000000000004</v>
      </c>
      <c r="I2870">
        <f>IF(Skills!X14&lt;&gt;"",1+(Skills!X14/10)*(Z2859/1000)/100,1)</f>
        <v>1</v>
      </c>
      <c r="J2870">
        <f>((Inputs!$B$6*(1+Inputs!$B$7/100))+(((Inputs!$B$12*(1+Inputs!$B$13/100))-(Inputs!$B$12*(1+Inputs!$B$13/100)))+0.25*(Inputs!$B$14-Inputs!$B$14))*(1+Inputs!$B$7/100))*(F2870/100)</f>
        <v>5969553638.5932312</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30694928702439.523</v>
      </c>
      <c r="L2870">
        <f>K2870*(MIN(Inputs!$B$22+(F2878-Calc!F22),(Inputs!$B$23+(IF(ArtifactsInput!$M$15,CHOOSE(ArtifactsInput!$N$15+1,25,30,35,40,45,50)/100*(Inputs!$B$11-Inputs!$B$11),0))))/100+(Inputs!$B$23+(IF(ArtifactsInput!$M$15,CHOOSE(ArtifactsInput!$N$15+1,25,30,35,40,45,50)/100*(Inputs!$B$11-Inputs!$B$11),0)))/100)/2</f>
        <v>102060637935611.42</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481624150418150.25</v>
      </c>
      <c r="N2870">
        <f>L2870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481624150418150.25</v>
      </c>
      <c r="O2870">
        <f>(1-Summary!$B$11)*S2870+Summary!$B$11*U2870</f>
        <v>466784099629036.38</v>
      </c>
      <c r="P2870">
        <f>IF(B2897=0,0,O2870/B2897)</f>
        <v>1.3800505139609913E-2</v>
      </c>
      <c r="Q2870">
        <f>IFERROR(1/(IF(Inputs!$B$38="pvp",15,MAX(0.1,Skills!E14-IF(TRUE=TRUE,1.5,0)))*(1-IF(AND(ArtifactsInput!$M$27,Inputs!$B$4="Chapter Hunt"),CHOOSE(ArtifactsInput!$N$27+1,20,24,28,32,36,40),0)/100)),0)</f>
        <v>10</v>
      </c>
      <c r="R2870">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478869124862150.56</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454699074395922.12</v>
      </c>
    </row>
    <row r="2871" spans="1:21" x14ac:dyDescent="0.2">
      <c r="A2871" t="str">
        <f>Skills!A15</f>
        <v>FLAME_HAZE_BURST</v>
      </c>
      <c r="B2871" t="str">
        <f>Skills!B15</f>
        <v>Flame Haze (burst)</v>
      </c>
      <c r="C2871" t="b">
        <f>Inputs!$B$3&gt;=107</f>
        <v>1</v>
      </c>
      <c r="D2871">
        <f>IF(Skills!C15=1,60+Inputs!$B$25+Inputs!$B$29,IF(Skills!C15=2,90+Inputs!$B$26+Inputs!$B$29,IF(Skills!C15=3,120+Inputs!$B$27+Inputs!$B$29,MAX(0,(Inputs!$B$3-100)*3)+Inputs!$B$28+Inputs!$B$29)))</f>
        <v>185</v>
      </c>
      <c r="E2871">
        <f>INDEX(FactorTable!$B$2:$Y$301, MATCH(ROUND(MIN(300,MAX(1,D2871)),0), FactorTable!$A$2:$A$301,0), Skills!M15+1)</f>
        <v>1925</v>
      </c>
      <c r="F2871">
        <f>IF(Skills!N15=TRUE,(Skills!L15/10)*(E2871/1000),Skills!L15/10)+Skills!O15</f>
        <v>2310</v>
      </c>
      <c r="G2871">
        <f>Calc!G15</f>
        <v>3</v>
      </c>
      <c r="H2871">
        <f>Calc!H15</f>
        <v>1</v>
      </c>
      <c r="I2871">
        <f>IF(Skills!X15&lt;&gt;"",1+(Skills!X15/10)*(Z2859/1000)/100,1)</f>
        <v>1</v>
      </c>
      <c r="J2871">
        <f>((Inputs!$B$6*(1+Inputs!$B$7/100))+(((Inputs!$B$12*(1+Inputs!$B$13/100))-(Inputs!$B$12*(1+Inputs!$B$13/100)))+0.25*(Inputs!$B$14-Inputs!$B$14))*(1+Inputs!$B$7/100))*(F2871/100)</f>
        <v>8342207444.1321011</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42894909438980.828</v>
      </c>
      <c r="L2871">
        <f>K2871*(MIN(Inputs!$B$22+(F2878-Calc!F22),(Inputs!$B$23+(IF(ArtifactsInput!$M$15,CHOOSE(ArtifactsInput!$N$15+1,25,30,35,40,45,50)/100*(Inputs!$B$11-Inputs!$B$11),0))))/100+(Inputs!$B$23+(IF(ArtifactsInput!$M$15,CHOOSE(ArtifactsInput!$N$15+1,25,30,35,40,45,50)/100*(Inputs!$B$11-Inputs!$B$11),0)))/100)/2</f>
        <v>142625573884611.25</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673050083161480.38</v>
      </c>
      <c r="N2871">
        <f>L2871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673050083161480.38</v>
      </c>
      <c r="O2871">
        <f>(1-Summary!$B$11)*S2871+Summary!$B$11*U2871</f>
        <v>1679428220008683.8</v>
      </c>
      <c r="P2871">
        <f>IF(B2897=0,0,O2871/B2897)</f>
        <v>4.9652414896426439E-2</v>
      </c>
      <c r="Q2871">
        <f>IFERROR(1/(IF(Inputs!$B$38="pvp",15,MAX(0.1,Skills!E15-IF(TRUE=TRUE,1.5,0)))*(1-IF(AND(ArtifactsInput!$M$27,Inputs!$B$4="Chapter Hunt"),CHOOSE(ArtifactsInput!$N$27+1,20,24,28,32,36,40),0)/100)),0)</f>
        <v>4.2553191489361701E-2</v>
      </c>
      <c r="R2871">
        <f>IF(AND(Inputs!$B$38&lt;&gt;"pvp",Inputs!$B$43&gt;0),IF(MAX(0,Inputs!$B$43-B2894)&lt;=0,0,(INT(MAX(0,Inputs!$B$43-B2894)/(IF(Inputs!$B$38="pvp",15,MAX(0.1,Skills!E15-IF(TRUE=TRUE,1.5,0)))*(1-IF(AND(ArtifactsInput!$M$27,Inputs!$B$4="Chapter Hunt"),CHOOSE(ArtifactsInput!$N$27+1,20,24,28,32,36,40),0)/100)))+1)),0)</f>
        <v>2</v>
      </c>
      <c r="S2871">
        <f>IF(C2871,(H2871*N2871*IF(AND(Inputs!$B$38&lt;&gt;"pvp",Inputs!$B$43&gt;0),((Skills!G15*((R2871-1)*IF(Skills!H15&gt;0,Skills!I15/Skills!H15,1)+IF(Skills!H15&gt;0,MIN(Skills!I15,MAX(0,MAX(0,Inputs!$B$43-B2894)-((R2871-1)*(IF(Inputs!$B$38="pvp",15,MAX(0.1,Skills!E15-IF(TRUE=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320035314543283.88</v>
      </c>
      <c r="U2871">
        <f>IF(C2871,(H2871*N2871*IF(AND(Inputs!$B$38&lt;&gt;"pvp",Inputs!$B$43&gt;0),((Skills!G15*((R2871-1)*IF(Skills!H15&gt;0,Skills!I15/Skills!H15,1)+IF(Skills!H15&gt;0,MIN(Skills!I15,MAX(0,MAX(0,Inputs!$B$43-B2894)-((R2871-1)*(IF(Inputs!$B$38="pvp",15,MAX(0.1,Skills!E15-IF(TRUE=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3038821125474083.5</v>
      </c>
    </row>
    <row r="2872" spans="1:21" x14ac:dyDescent="0.2">
      <c r="A2872" t="str">
        <f>Skills!A16</f>
        <v>FLAME_HAZE_DOT</v>
      </c>
      <c r="B2872" t="str">
        <f>Skills!B16</f>
        <v>Flame Haze (burn DoT)</v>
      </c>
      <c r="C2872" t="b">
        <f>Inputs!$B$3&gt;=107</f>
        <v>1</v>
      </c>
      <c r="D2872">
        <f>IF(Skills!C16=1,60+Inputs!$B$25+Inputs!$B$29,IF(Skills!C16=2,90+Inputs!$B$26+Inputs!$B$29,IF(Skills!C16=3,120+Inputs!$B$27+Inputs!$B$29,MAX(0,(Inputs!$B$3-100)*3)+Inputs!$B$28+Inputs!$B$29)))</f>
        <v>185</v>
      </c>
      <c r="E2872">
        <f>INDEX(FactorTable!$B$2:$Y$301, MATCH(ROUND(MIN(300,MAX(1,D2872)),0), FactorTable!$A$2:$A$301,0), Skills!M16+1)</f>
        <v>1925</v>
      </c>
      <c r="F2872">
        <f>IF(Skills!N16=TRUE,(Skills!L16/10)*(E2872/1000),Skills!L16/10)+Skills!O16</f>
        <v>288.75</v>
      </c>
      <c r="G2872">
        <f>Calc!G16</f>
        <v>30</v>
      </c>
      <c r="H2872">
        <f>Calc!H16</f>
        <v>1</v>
      </c>
      <c r="I2872">
        <f>IF(Skills!X16&lt;&gt;"",1+(Skills!X16/10)*(Z2859/1000)/100,1)</f>
        <v>1</v>
      </c>
      <c r="J2872">
        <f>((Inputs!$B$6*(1+Inputs!$B$7/100))+(((Inputs!$B$12*(1+Inputs!$B$13/100))-(Inputs!$B$12*(1+Inputs!$B$13/100)))+0.25*(Inputs!$B$14-Inputs!$B$14))*(1+Inputs!$B$7/100))*(F2872/100)</f>
        <v>1042775930.5165126</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5361863679872.6035</v>
      </c>
      <c r="L2872">
        <f>K2872*(MIN(Inputs!$B$22+(F2878-Calc!F22),(Inputs!$B$23+(IF(ArtifactsInput!$M$15,CHOOSE(ArtifactsInput!$N$15+1,25,30,35,40,45,50)/100*(Inputs!$B$11-Inputs!$B$11),0))))/100+(Inputs!$B$23+(IF(ArtifactsInput!$M$15,CHOOSE(ArtifactsInput!$N$15+1,25,30,35,40,45,50)/100*(Inputs!$B$11-Inputs!$B$11),0)))/100)/2</f>
        <v>17828196735576.406</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84131260395185.047</v>
      </c>
      <c r="N2872">
        <f>L2872*(1-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84131260395185.047</v>
      </c>
      <c r="O2872">
        <f>(1-Summary!$B$11)*S2872+Summary!$B$11*U2872</f>
        <v>2039434498311051.5</v>
      </c>
      <c r="P2872">
        <f>IF(B2897=0,0,O2872/B2897)</f>
        <v>6.0296026146149935E-2</v>
      </c>
      <c r="Q2872">
        <f>IFERROR(1/(IF(Inputs!$B$38="pvp",15,MAX(0.1,Skills!E16-IF(TRUE=TRUE,1.5,0)))*(1-IF(AND(ArtifactsInput!$M$27,Inputs!$B$4="Chapter Hunt"),CHOOSE(ArtifactsInput!$N$27+1,20,24,28,32,36,40),0)/100)),0)</f>
        <v>4.2553191489361701E-2</v>
      </c>
      <c r="R2872">
        <f>IF(AND(Inputs!$B$38&lt;&gt;"pvp",Inputs!$B$43&gt;0),IF(MAX(0,Inputs!$B$43-B2894)&lt;=0,0,(INT(MAX(0,Inputs!$B$43-B2894)/(IF(Inputs!$B$38="pvp",15,MAX(0.1,Skills!E16-IF(TRUE=TRUE,1.5,0)))*(1-IF(AND(ArtifactsInput!$M$27,Inputs!$B$4="Chapter Hunt"),CHOOSE(ArtifactsInput!$N$27+1,20,24,28,32,36,40),0)/100)))+1)),0)</f>
        <v>2</v>
      </c>
      <c r="S2872">
        <f>IF(C2872,(H2872*N2872*IF(AND(Inputs!$B$38&lt;&gt;"pvp",Inputs!$B$43&gt;0),((Skills!G16*((R2872-1)*IF(Skills!H16&gt;0,Skills!I16/Skills!H16,1)+IF(Skills!H16&gt;0,MIN(Skills!I16,MAX(0,MAX(0,Inputs!$B$43-B2894)-((R2872-1)*(IF(Inputs!$B$38="pvp",15,MAX(0.1,Skills!E16-IF(TRUE=TRUE,1.5,0)))*(1-IF(AND(ArtifactsInput!$M$27,Inputs!$B$4="Chapter Hunt"),CHOOSE(ArtifactsInput!$N$27+1,20,24,28,32,36,40),0)/100)))))/Skills!H16,1)))/Inputs!$B$43),G2872*Q2872)*(1+IF(Inputs!$B$3&gt;=126,0.05*(B2892+Q2869+(H2870*B2893)/(1+Skills!H14*H2870*B2893)+Q2880),0)*(1/Q2871)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388638855404029.69</v>
      </c>
      <c r="U2872">
        <f>IF(C2872,(H2872*N2872*IF(AND(Inputs!$B$38&lt;&gt;"pvp",Inputs!$B$43&gt;0),((Skills!G16*((R2872-1)*IF(Skills!H16&gt;0,Skills!I16/Skills!H16,1)+IF(Skills!H16&gt;0,MIN(Skills!I16,MAX(0,MAX(0,Inputs!$B$43-B2894)-((R2872-1)*(IF(Inputs!$B$38="pvp",15,MAX(0.1,Skills!E16-IF(TRUE=TRUE,1.5,0)))*(1-IF(AND(ArtifactsInput!$M$27,Inputs!$B$4="Chapter Hunt"),CHOOSE(ArtifactsInput!$N$27+1,20,24,28,32,36,40),0)/100)))))/Skills!H16,1)))/Inputs!$B$43),G2872*Q2872)*(1+IF(Inputs!$B$3&gt;=126,0.05*(B2892+Q2869+(H2870*B2893)/(1+Skills!H14*H2870*B2893)+Q2880),0)*(1/Q2871)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3690230141218073.5</v>
      </c>
    </row>
    <row r="2873" spans="1:21" x14ac:dyDescent="0.2">
      <c r="A2873" t="str">
        <f>Skills!A17</f>
        <v>MAGIC_GUARD</v>
      </c>
      <c r="B2873" t="str">
        <f>Skills!B17</f>
        <v>Magic Guard</v>
      </c>
      <c r="C2873" t="b">
        <f>TRUE</f>
        <v>1</v>
      </c>
      <c r="D2873">
        <f>IF(Skills!C17=1,60+Inputs!$B$25+Inputs!$B$29,IF(Skills!C17=2,90+Inputs!$B$26+Inputs!$B$29,IF(Skills!C17=3,120+Inputs!$B$27+Inputs!$B$29,MAX(0,(Inputs!$B$3-100)*3)+Inputs!$B$28+Inputs!$B$29)))</f>
        <v>127</v>
      </c>
      <c r="E2873">
        <f>INDEX(FactorTable!$B$2:$Y$301, MATCH(ROUND(MIN(300,MAX(1,D2873)),0), FactorTable!$A$2:$A$301,0), Skills!M17+1)</f>
        <v>1508</v>
      </c>
      <c r="F2873">
        <f>IF(Skills!N17=TRUE,(Skills!L17/10)*(E2873/1000),Skills!L17/10)+Skills!O17</f>
        <v>18.096</v>
      </c>
      <c r="G2873">
        <f>Calc!G17</f>
        <v>1</v>
      </c>
      <c r="H2873">
        <f>Calc!H17</f>
        <v>1</v>
      </c>
      <c r="I2873">
        <f>IF(Skills!X17&lt;&gt;"",1+(Skills!X17/10)*(Z2859/1000)/100,1)</f>
        <v>1</v>
      </c>
      <c r="O2873">
        <f>(1-Summary!$B$11)*S2873+Summary!$B$11*U2873</f>
        <v>0</v>
      </c>
      <c r="P2873">
        <f>IF(B2897=0,0,O2873/B2897)</f>
        <v>0</v>
      </c>
      <c r="Q2873">
        <f>IFERROR(1/(IF(Inputs!$B$38="pvp",15,MAX(0.1,Skills!E17-IF(TRUE=TRUE,1.5,0)))*(1-IF(AND(ArtifactsInput!$M$27,Inputs!$B$4="Chapter Hunt"),CHOOSE(ArtifactsInput!$N$27+1,20,24,28,32,36,40),0)/100)),0)</f>
        <v>5.128205128205128E-2</v>
      </c>
      <c r="R2873">
        <f>IF(AND(Inputs!$B$38&lt;&gt;"pvp",Inputs!$B$43&gt;0),IF(Inputs!$B$43&lt;=0,0,(INT(Inputs!$B$43/(IF(Inputs!$B$38="pvp",15,MAX(0.1,Skills!E17-IF(TRUE=TRUE,1.5,0)))*(1-IF(AND(ArtifactsInput!$M$27,Inputs!$B$4="Chapter Hunt"),CHOOSE(ArtifactsInput!$N$27+1,20,24,28,32,36,40),0)/100)))+1)),0)</f>
        <v>3</v>
      </c>
      <c r="S2873">
        <v>0</v>
      </c>
      <c r="U2873">
        <v>0</v>
      </c>
    </row>
    <row r="2874" spans="1:21" x14ac:dyDescent="0.2">
      <c r="A2874" t="str">
        <f>Skills!A18</f>
        <v>NIMBLE_FEET</v>
      </c>
      <c r="B2874" t="str">
        <f>Skills!B18</f>
        <v>Nimble Feet</v>
      </c>
      <c r="C2874" t="b">
        <f>TRUE</f>
        <v>1</v>
      </c>
      <c r="D2874">
        <f>IF(Skills!C18=1,60+Inputs!$B$25+Inputs!$B$29,IF(Skills!C18=2,90+Inputs!$B$26+Inputs!$B$29,IF(Skills!C18=3,120+Inputs!$B$27+Inputs!$B$29,MAX(0,(Inputs!$B$3-100)*3)+Inputs!$B$28+Inputs!$B$29)))</f>
        <v>127</v>
      </c>
      <c r="E2874">
        <f>INDEX(FactorTable!$B$2:$Y$301, MATCH(ROUND(MIN(300,MAX(1,D2874)),0), FactorTable!$A$2:$A$301,0), Skills!M18+1)</f>
        <v>0</v>
      </c>
      <c r="F2874">
        <f>IF(Skills!N18=TRUE,(Skills!L18/10)*(E2874/1000),Skills!L18/10)+Skills!O18</f>
        <v>15</v>
      </c>
      <c r="G2874">
        <f>Calc!G18</f>
        <v>1</v>
      </c>
      <c r="H2874">
        <f>Calc!H18</f>
        <v>1</v>
      </c>
      <c r="I2874">
        <f>IF(Skills!X18&lt;&gt;"",1+(Skills!X18/10)*(Z2859/1000)/100,1)</f>
        <v>1</v>
      </c>
      <c r="O2874">
        <f>(1-Summary!$B$11)*S2874+Summary!$B$11*U2874</f>
        <v>0</v>
      </c>
      <c r="P2874">
        <f>IF(B2897=0,0,O2874/B2897)</f>
        <v>0</v>
      </c>
      <c r="Q2874">
        <f>IFERROR(1/(IF(Inputs!$B$38="pvp",15,MAX(0.1,Skills!E18-IF(TRUE=TRUE,1.5,0)))*(1-IF(AND(ArtifactsInput!$M$27,Inputs!$B$4="Chapter Hunt"),CHOOSE(ArtifactsInput!$N$27+1,20,24,28,32,36,40),0)/100)),0)</f>
        <v>1.7094017094017096E-2</v>
      </c>
      <c r="R2874">
        <f>IF(AND(Inputs!$B$38&lt;&gt;"pvp",Inputs!$B$43&gt;0),IF(Inputs!$B$43&lt;=0,0,(INT(Inputs!$B$43/(IF(Inputs!$B$38="pvp",15,MAX(0.1,Skills!E18-IF(TRUE=TRUE,1.5,0)))*(1-IF(AND(ArtifactsInput!$M$27,Inputs!$B$4="Chapter Hunt"),CHOOSE(ArtifactsInput!$N$27+1,20,24,28,32,36,40),0)/100)))+1)),0)</f>
        <v>1</v>
      </c>
      <c r="S2874">
        <v>0</v>
      </c>
      <c r="U2874">
        <v>0</v>
      </c>
    </row>
    <row r="2875" spans="1:21" x14ac:dyDescent="0.2">
      <c r="A2875" t="str">
        <f>Skills!A19</f>
        <v>INFINITY</v>
      </c>
      <c r="B2875" t="str">
        <f>Skills!B19</f>
        <v>Infinity</v>
      </c>
      <c r="C2875" t="b">
        <f>Inputs!$B$3&gt;=110</f>
        <v>1</v>
      </c>
      <c r="D2875">
        <f>IF(Skills!C19=1,60+Inputs!$B$25+Inputs!$B$29,IF(Skills!C19=2,90+Inputs!$B$26+Inputs!$B$29,IF(Skills!C19=3,120+Inputs!$B$27+Inputs!$B$29,MAX(0,(Inputs!$B$3-100)*3)+Inputs!$B$28+Inputs!$B$29)))</f>
        <v>185</v>
      </c>
      <c r="E2875">
        <f>INDEX(FactorTable!$B$2:$Y$301, MATCH(ROUND(MIN(300,MAX(1,D2875)),0), FactorTable!$A$2:$A$301,0), Skills!M19+1)</f>
        <v>1740</v>
      </c>
      <c r="F2875">
        <f>IF(Skills!N19=TRUE,(Skills!L19/10)*(E2875/1000),Skills!L19/10)+Skills!O19</f>
        <v>37.700579999999995</v>
      </c>
      <c r="G2875">
        <f>Calc!G19</f>
        <v>1</v>
      </c>
      <c r="H2875">
        <f>Calc!H19</f>
        <v>1</v>
      </c>
      <c r="I2875">
        <f>IF(Skills!X19&lt;&gt;"",1+(Skills!X19/10)*(Z2859/1000)/100,1)</f>
        <v>1</v>
      </c>
      <c r="O2875">
        <f>(1-Summary!$B$11)*S2875+Summary!$B$11*U2875</f>
        <v>0</v>
      </c>
      <c r="P2875">
        <f>IF(B2897=0,0,O2875/B2897)</f>
        <v>0</v>
      </c>
      <c r="Q2875">
        <f>IFERROR(1/(IF(Inputs!$B$38="pvp",15,MAX(0.1,Skills!E19-IF(TRUE=TRUE,1.5,0)))*(1-IF(AND(ArtifactsInput!$M$27,Inputs!$B$4="Chapter Hunt"),CHOOSE(ArtifactsInput!$N$27+1,20,24,28,32,36,40),0)/100)),0)</f>
        <v>3.5087719298245612E-2</v>
      </c>
      <c r="R2875">
        <f>IF(AND(Inputs!$B$38&lt;&gt;"pvp",Inputs!$B$43&gt;0),IF(Inputs!$B$43&lt;=0,0,(INT(Inputs!$B$43/(IF(Inputs!$B$38="pvp",15,MAX(0.1,Skills!E19-IF(TRUE=TRUE,1.5,0)))*(1-IF(AND(ArtifactsInput!$M$27,Inputs!$B$4="Chapter Hunt"),CHOOSE(ArtifactsInput!$N$27+1,20,24,28,32,36,40),0)/100)))+1)),0)</f>
        <v>2</v>
      </c>
      <c r="S2875">
        <v>0</v>
      </c>
      <c r="U2875">
        <v>0</v>
      </c>
    </row>
    <row r="2876" spans="1:21" x14ac:dyDescent="0.2">
      <c r="A2876" t="str">
        <f>Skills!A20</f>
        <v>MAGIC_CRITICAL_RATE</v>
      </c>
      <c r="B2876" t="str">
        <f>Skills!B20</f>
        <v>Magic Critical (Crit Rate)</v>
      </c>
      <c r="C2876" t="b">
        <f>TRUE</f>
        <v>1</v>
      </c>
      <c r="D2876">
        <f>IF(Skills!C20=1,60+Inputs!$B$25+Inputs!$B$29,IF(Skills!C20=2,90+Inputs!$B$26+Inputs!$B$29,IF(Skills!C20=3,120+Inputs!$B$27+Inputs!$B$29,MAX(0,(Inputs!$B$3-100)*3)+Inputs!$B$28+Inputs!$B$29)))</f>
        <v>184</v>
      </c>
      <c r="E2876">
        <f>INDEX(FactorTable!$B$2:$Y$301, MATCH(ROUND(MIN(300,MAX(1,D2876)),0), FactorTable!$A$2:$A$301,0), Skills!M20+1)</f>
        <v>1552</v>
      </c>
      <c r="F2876">
        <f>IF(Skills!N20=TRUE,(Skills!L20/10)*(E2876/1000),Skills!L20/10)+Skills!O20</f>
        <v>12.416</v>
      </c>
      <c r="G2876">
        <f>Calc!G20</f>
        <v>1</v>
      </c>
      <c r="H2876">
        <f>Calc!H20</f>
        <v>1</v>
      </c>
      <c r="I2876">
        <f>IF(Skills!X20&lt;&gt;"",1+(Skills!X20/10)*(Z2859/1000)/100,1)</f>
        <v>1</v>
      </c>
      <c r="O2876">
        <f>(1-Summary!$B$11)*S2876+Summary!$B$11*U2876</f>
        <v>0</v>
      </c>
      <c r="P2876">
        <f>IF(B2897=0,0,O2876/B2897)</f>
        <v>0</v>
      </c>
      <c r="Q2876">
        <f>IFERROR(1/(IF(Inputs!$B$38="pvp",15,MAX(0.1,Skills!E20-IF(TRUE=TRUE,1.5,0)))*(1-IF(AND(ArtifactsInput!$M$27,Inputs!$B$4="Chapter Hunt"),CHOOSE(ArtifactsInput!$N$27+1,20,24,28,32,36,40),0)/100)),0)</f>
        <v>10</v>
      </c>
      <c r="R2876">
        <v>0</v>
      </c>
      <c r="S2876">
        <v>0</v>
      </c>
      <c r="U2876">
        <v>0</v>
      </c>
    </row>
    <row r="2877" spans="1:21" x14ac:dyDescent="0.2">
      <c r="A2877" t="str">
        <f>Skills!A21</f>
        <v>MAGIC_CRITICAL_DAMAGE</v>
      </c>
      <c r="B2877" t="str">
        <f>Skills!B21</f>
        <v>Magic Critical (Crit Damage)</v>
      </c>
      <c r="C2877" t="b">
        <f>TRUE</f>
        <v>1</v>
      </c>
      <c r="D2877">
        <f>IF(Skills!C21=1,60+Inputs!$B$25+Inputs!$B$29,IF(Skills!C21=2,90+Inputs!$B$26+Inputs!$B$29,IF(Skills!C21=3,120+Inputs!$B$27+Inputs!$B$29,MAX(0,(Inputs!$B$3-100)*3)+Inputs!$B$28+Inputs!$B$29)))</f>
        <v>184</v>
      </c>
      <c r="E2877">
        <f>INDEX(FactorTable!$B$2:$Y$301, MATCH(ROUND(MIN(300,MAX(1,D2877)),0), FactorTable!$A$2:$A$301,0), Skills!M21+1)</f>
        <v>1552</v>
      </c>
      <c r="F2877">
        <f>IF(Skills!N21=TRUE,(Skills!L21/10)*(E2877/1000),Skills!L21/10)+Skills!O21</f>
        <v>18.624000000000002</v>
      </c>
      <c r="G2877">
        <f>Calc!G21</f>
        <v>1</v>
      </c>
      <c r="H2877">
        <f>Calc!H21</f>
        <v>1</v>
      </c>
      <c r="I2877">
        <f>IF(Skills!X21&lt;&gt;"",1+(Skills!X21/10)*(Z2859/1000)/100,1)</f>
        <v>1</v>
      </c>
      <c r="O2877">
        <f>(1-Summary!$B$11)*S2877+Summary!$B$11*U2877</f>
        <v>0</v>
      </c>
      <c r="P2877">
        <f>IF(B2897=0,0,O2877/B2897)</f>
        <v>0</v>
      </c>
      <c r="Q2877">
        <f>IFERROR(1/(IF(Inputs!$B$38="pvp",15,MAX(0.1,Skills!E21-IF(TRUE=TRUE,1.5,0)))*(1-IF(AND(ArtifactsInput!$M$27,Inputs!$B$4="Chapter Hunt"),CHOOSE(ArtifactsInput!$N$27+1,20,24,28,32,36,40),0)/100)),0)</f>
        <v>10</v>
      </c>
      <c r="R2877">
        <v>0</v>
      </c>
      <c r="S2877">
        <v>0</v>
      </c>
      <c r="U2877">
        <v>0</v>
      </c>
    </row>
    <row r="2878" spans="1:21" x14ac:dyDescent="0.2">
      <c r="A2878" t="str">
        <f>Skills!A22</f>
        <v>SPELL_MASTERY</v>
      </c>
      <c r="B2878" t="str">
        <f>Skills!B22</f>
        <v>Spell Mastery</v>
      </c>
      <c r="C2878" t="b">
        <f>TRUE</f>
        <v>1</v>
      </c>
      <c r="D2878">
        <f>IF(Skills!C22=1,60+Inputs!$B$25+Inputs!$B$29,IF(Skills!C22=2,90+Inputs!$B$26+Inputs!$B$29,IF(Skills!C22=3,120+Inputs!$B$27+Inputs!$B$29,MAX(0,(Inputs!$B$3-100)*3)+Inputs!$B$28+Inputs!$B$29)))</f>
        <v>168</v>
      </c>
      <c r="E2878">
        <f>INDEX(FactorTable!$B$2:$Y$301, MATCH(ROUND(MIN(300,MAX(1,D2878)),0), FactorTable!$A$2:$A$301,0), Skills!M22+1)</f>
        <v>1504</v>
      </c>
      <c r="F2878">
        <f>IF(Skills!N22=TRUE,(Skills!L22/10)*(E2878/1000),Skills!L22/10)+Skills!O22</f>
        <v>22.56</v>
      </c>
      <c r="G2878">
        <f>Calc!G22</f>
        <v>1</v>
      </c>
      <c r="H2878">
        <f>Calc!H22</f>
        <v>1</v>
      </c>
      <c r="I2878">
        <f>IF(Skills!X22&lt;&gt;"",1+(Skills!X22/10)*(Z2859/1000)/100,1)</f>
        <v>1</v>
      </c>
      <c r="O2878">
        <f>(1-Summary!$B$11)*S2878+Summary!$B$11*U2878</f>
        <v>0</v>
      </c>
      <c r="P2878">
        <f>IF(B2897=0,0,O2878/B2897)</f>
        <v>0</v>
      </c>
      <c r="Q2878">
        <f>IFERROR(1/(IF(Inputs!$B$38="pvp",15,MAX(0.1,Skills!E22-IF(TRUE=TRUE,1.5,0)))*(1-IF(AND(ArtifactsInput!$M$27,Inputs!$B$4="Chapter Hunt"),CHOOSE(ArtifactsInput!$N$27+1,20,24,28,32,36,40),0)/100)),0)</f>
        <v>10</v>
      </c>
      <c r="R2878">
        <v>0</v>
      </c>
      <c r="S2878">
        <v>0</v>
      </c>
      <c r="U2878">
        <v>0</v>
      </c>
    </row>
    <row r="2879" spans="1:21" x14ac:dyDescent="0.2">
      <c r="A2879" t="str">
        <f>Skills!A23</f>
        <v>ELEMENT_AMPLIFICATION</v>
      </c>
      <c r="B2879" t="str">
        <f>Skills!B23</f>
        <v>Element Amplification</v>
      </c>
      <c r="C2879" t="b">
        <f>TRUE</f>
        <v>1</v>
      </c>
      <c r="D2879">
        <f>IF(Skills!C23=1,60+Inputs!$B$25+Inputs!$B$29,IF(Skills!C23=2,90+Inputs!$B$26+Inputs!$B$29,IF(Skills!C23=3,120+Inputs!$B$27+Inputs!$B$29,MAX(0,(Inputs!$B$3-100)*3)+Inputs!$B$28+Inputs!$B$29)))</f>
        <v>185</v>
      </c>
      <c r="E2879">
        <f>INDEX(FactorTable!$B$2:$Y$301, MATCH(ROUND(MIN(300,MAX(1,D2879)),0), FactorTable!$A$2:$A$301,0), Skills!M23+1)</f>
        <v>1555</v>
      </c>
      <c r="F2879">
        <f>IF(Skills!N23=TRUE,(Skills!L23/10)*(E2879/1000),Skills!L23/10)+Skills!O23</f>
        <v>23.324999999999999</v>
      </c>
      <c r="G2879">
        <f>Calc!G23</f>
        <v>1</v>
      </c>
      <c r="H2879">
        <f>Calc!H23</f>
        <v>1</v>
      </c>
      <c r="I2879">
        <f>IF(Skills!X23&lt;&gt;"",1+(Skills!X23/10)*(Z2859/1000)/100,1)</f>
        <v>1</v>
      </c>
      <c r="O2879">
        <f>(1-Summary!$B$11)*S2879+Summary!$B$11*U2879</f>
        <v>0</v>
      </c>
      <c r="P2879">
        <f>IF(B2897=0,0,O2879/B2897)</f>
        <v>0</v>
      </c>
      <c r="Q2879">
        <f>IFERROR(1/(IF(Inputs!$B$38="pvp",15,MAX(0.1,Skills!E23-IF(TRUE=TRUE,1.5,0)))*(1-IF(AND(ArtifactsInput!$M$27,Inputs!$B$4="Chapter Hunt"),CHOOSE(ArtifactsInput!$N$27+1,20,24,28,32,36,40),0)/100)),0)</f>
        <v>10</v>
      </c>
      <c r="R2879">
        <v>0</v>
      </c>
      <c r="S2879">
        <v>0</v>
      </c>
      <c r="U2879">
        <v>0</v>
      </c>
    </row>
    <row r="2880" spans="1:21" x14ac:dyDescent="0.2">
      <c r="A2880" t="str">
        <f>Skills!A24</f>
        <v>IFRIT</v>
      </c>
      <c r="B2880" t="str">
        <f>Skills!B24</f>
        <v>Ifrit</v>
      </c>
      <c r="C2880" t="b">
        <f>Inputs!$B$3&gt;=115</f>
        <v>1</v>
      </c>
      <c r="D2880">
        <f>IF(Skills!C24=1,60+Inputs!$B$25+Inputs!$B$29,IF(Skills!C24=2,90+Inputs!$B$26+Inputs!$B$29,IF(Skills!C24=3,120+Inputs!$B$27+Inputs!$B$29,MAX(0,(Inputs!$B$3-100)*3)+Inputs!$B$28+Inputs!$B$29)))</f>
        <v>185</v>
      </c>
      <c r="E2880">
        <f>INDEX(FactorTable!$B$2:$Y$301, MATCH(ROUND(MIN(300,MAX(1,D2880)),0), FactorTable!$A$2:$A$301,0), Skills!M24+1)</f>
        <v>1925</v>
      </c>
      <c r="F2880">
        <f>IF(Skills!N24=TRUE,(Skills!L24/10)*(E2880/1000),Skills!L24/10)+Skills!O24</f>
        <v>6737.5</v>
      </c>
      <c r="G2880">
        <f>Calc!G24</f>
        <v>7.5</v>
      </c>
      <c r="H2880">
        <f>Calc!H24</f>
        <v>1</v>
      </c>
      <c r="I2880">
        <f>IF(Skills!X24&lt;&gt;"",1+(Skills!X24/10)*(Z2859/1000)/100,1)</f>
        <v>1</v>
      </c>
      <c r="J2880">
        <f>((Inputs!$B$6*(1+Inputs!$B$7/100))+(((Inputs!$B$12*(1+Inputs!$B$13/100))-(Inputs!$B$12*(1+Inputs!$B$13/100)))+0.25*(Inputs!$B$14-Inputs!$B$14))*(1+Inputs!$B$7/100))*(F2880/100)</f>
        <v>24331438378.718628</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125110152530360.77</v>
      </c>
      <c r="L2880">
        <f>K2880*(MIN(Inputs!$B$22+(F2878-Calc!F22),(Inputs!$B$23+(IF(ArtifactsInput!$M$15,CHOOSE(ArtifactsInput!$N$15+1,25,30,35,40,45,50)/100*(Inputs!$B$11-Inputs!$B$11),0))))/100+(Inputs!$B$23+(IF(ArtifactsInput!$M$15,CHOOSE(ArtifactsInput!$N$15+1,25,30,35,40,45,50)/100*(Inputs!$B$11-Inputs!$B$11),0)))/100)/2</f>
        <v>415991257163449.56</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1963062742554318.2</v>
      </c>
      <c r="N2880">
        <f>L2880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1963062742554318.2</v>
      </c>
      <c r="O2880">
        <f>(1-Summary!$B$11)*S2880+Summary!$B$11*U2880</f>
        <v>2245253011796501.5</v>
      </c>
      <c r="P2880">
        <f>IF(B2897=0,0,O2880/B2897)</f>
        <v>6.6381065151206342E-2</v>
      </c>
      <c r="Q2880">
        <f>IFERROR(1/(IF(Inputs!$B$38="pvp",15,MAX(0.1,Skills!E24-IF(TRUE=TRUE,1.5,0)))*(1-IF(AND(ArtifactsInput!$M$27,Inputs!$B$4="Chapter Hunt"),CHOOSE(ArtifactsInput!$N$27+1,20,24,28,32,36,40),0)/100)),0)</f>
        <v>1.2738853503184714E-2</v>
      </c>
      <c r="R2880">
        <f>IF(AND(Inputs!$B$38&lt;&gt;"pvp",Inputs!$B$43&gt;0),IF(MAX(0,Inputs!$B$43-B2894)&lt;=0,0,(INT(MAX(0,Inputs!$B$43-B2894)/(IF(Inputs!$B$38="pvp",15,MAX(0.1,Skills!E24-IF(TRUE=TRUE,1.5,0)))*(1-IF(AND(ArtifactsInput!$M$27,Inputs!$B$4="Chapter Hunt"),CHOOSE(ArtifactsInput!$N$27+1,20,24,28,32,36,40),0)/100)))+1)),0)</f>
        <v>1</v>
      </c>
      <c r="S2880">
        <f>IF(C2880,(H2880*N2880*IF(AND(Inputs!$B$38&lt;&gt;"pvp",Inputs!$B$43&gt;0),((Skills!G24*((R2880-1)*IF(Skills!H24&gt;0,Skills!I24/Skills!H24,1)+IF(Skills!H24&gt;0,MIN(Skills!I24,MAX(0,MAX(0,Inputs!$B$43-B2894)-((R2880-1)*(IF(Inputs!$B$38="pvp",15,MAX(0.1,Skills!E24-IF(TRUE=TRUE,1.5,0)))*(1-IF(AND(ArtifactsInput!$M$27,Inputs!$B$4="Chapter Hunt"),CHOOSE(ArtifactsInput!$N$27+1,20,24,28,32,36,40),0)/100)))))/Skills!H24,1)))/Inputs!$B$43),G2880*Q2880)*(1+IF(Inputs!$B$3&gt;=130,0.2*(Skills!I16/(1/Q2871)+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1166795417605723</v>
      </c>
      <c r="U2880">
        <f>IF(C2880,(H2880*N2880*IF(AND(Inputs!$B$38&lt;&gt;"pvp",Inputs!$B$43&gt;0),((Skills!G24*((R2880-1)*IF(Skills!H24&gt;0,Skills!I24/Skills!H24,1)+IF(Skills!H24&gt;0,MIN(Skills!I24,MAX(0,MAX(0,Inputs!$B$43-B2894)-((R2880-1)*(IF(Inputs!$B$38="pvp",15,MAX(0.1,Skills!E24-IF(TRUE=TRUE,1.5,0)))*(1-IF(AND(ArtifactsInput!$M$27,Inputs!$B$4="Chapter Hunt"),CHOOSE(ArtifactsInput!$N$27+1,20,24,28,32,36,40),0)/100)))))/Skills!H24,1)))/Inputs!$B$43),G2880*Q2880)*(1+IF(Inputs!$B$3&gt;=130,0.2*(Skills!I16/(1/Q2871)+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3323710605987280</v>
      </c>
    </row>
    <row r="2881" spans="1:21" x14ac:dyDescent="0.2">
      <c r="A2881" t="str">
        <f>Skills!A25</f>
        <v>BUFF_MASTERY</v>
      </c>
      <c r="B2881" t="str">
        <f>Skills!B25</f>
        <v>Buff Mastery</v>
      </c>
      <c r="C2881" t="b">
        <f>Inputs!$B$3&gt;=117</f>
        <v>1</v>
      </c>
      <c r="D2881">
        <f>IF(Skills!C25=1,60+Inputs!$B$25+Inputs!$B$29,IF(Skills!C25=2,90+Inputs!$B$26+Inputs!$B$29,IF(Skills!C25=3,120+Inputs!$B$27+Inputs!$B$29,MAX(0,(Inputs!$B$3-100)*3)+Inputs!$B$28+Inputs!$B$29)))</f>
        <v>185</v>
      </c>
      <c r="E2881">
        <f>INDEX(FactorTable!$B$2:$Y$301, MATCH(ROUND(MIN(300,MAX(1,D2881)),0), FactorTable!$A$2:$A$301,0), Skills!M25+1)</f>
        <v>1555</v>
      </c>
      <c r="F2881">
        <f>IF(Skills!N25=TRUE,(Skills!L25/10)*(E2881/1000),Skills!L25/10)+Skills!O25</f>
        <v>15.549999999999999</v>
      </c>
      <c r="G2881">
        <f>Calc!G25</f>
        <v>1</v>
      </c>
      <c r="H2881">
        <f>Calc!H25</f>
        <v>1</v>
      </c>
      <c r="I2881">
        <f>IF(Skills!X25&lt;&gt;"",1+(Skills!X25/10)*(Z2859/1000)/100,1)</f>
        <v>1</v>
      </c>
      <c r="O2881">
        <f>(1-Summary!$B$11)*S2881+Summary!$B$11*U2881</f>
        <v>0</v>
      </c>
      <c r="P2881">
        <f>IF(B2897=0,0,O2881/B2897)</f>
        <v>0</v>
      </c>
      <c r="Q2881">
        <f>IFERROR(1/(IF(Inputs!$B$38="pvp",15,MAX(0.1,Skills!E25-IF(TRUE=TRUE,1.5,0)))*(1-IF(AND(ArtifactsInput!$M$27,Inputs!$B$4="Chapter Hunt"),CHOOSE(ArtifactsInput!$N$27+1,20,24,28,32,36,40),0)/100)),0)</f>
        <v>10</v>
      </c>
      <c r="R2881">
        <v>0</v>
      </c>
      <c r="S2881">
        <v>0</v>
      </c>
      <c r="U2881">
        <v>0</v>
      </c>
    </row>
    <row r="2882" spans="1:21" x14ac:dyDescent="0.2">
      <c r="A2882" t="str">
        <f>Skills!A26</f>
        <v>ARCANE_AIM</v>
      </c>
      <c r="B2882" t="str">
        <f>Skills!B26</f>
        <v>Arcane Aim</v>
      </c>
      <c r="C2882" t="b">
        <f>Inputs!$B$3&gt;=120</f>
        <v>0</v>
      </c>
      <c r="D2882">
        <f>IF(Skills!C26=1,60+Inputs!$B$25+Inputs!$B$29,IF(Skills!C26=2,90+Inputs!$B$26+Inputs!$B$29,IF(Skills!C26=3,120+Inputs!$B$27+Inputs!$B$29,MAX(0,(Inputs!$B$3-100)*3)+Inputs!$B$28+Inputs!$B$29)))</f>
        <v>185</v>
      </c>
      <c r="E2882">
        <f>INDEX(FactorTable!$B$2:$Y$301, MATCH(ROUND(MIN(300,MAX(1,D2882)),0), FactorTable!$A$2:$A$301,0), Skills!M26+1)</f>
        <v>1555</v>
      </c>
      <c r="F2882">
        <f>IF(Skills!N26=TRUE,(Skills!L26/10)*(E2882/1000),Skills!L26/10)+Skills!O26</f>
        <v>4.665</v>
      </c>
      <c r="G2882">
        <f>Calc!G26</f>
        <v>1</v>
      </c>
      <c r="H2882">
        <f>Calc!H26</f>
        <v>1</v>
      </c>
      <c r="I2882">
        <f>IF(Skills!X26&lt;&gt;"",1+(Skills!X26/10)*(Z2859/1000)/100,1)</f>
        <v>1</v>
      </c>
      <c r="O2882">
        <f>(1-Summary!$B$11)*S2882+Summary!$B$11*U2882</f>
        <v>0</v>
      </c>
      <c r="P2882">
        <f>IF(B2897=0,0,O2882/B2897)</f>
        <v>0</v>
      </c>
      <c r="Q2882">
        <f>IFERROR(1/(IF(Inputs!$B$38="pvp",15,MAX(0.1,Skills!E26-IF(TRUE=TRUE,1.5,0)))*(1-IF(AND(ArtifactsInput!$M$27,Inputs!$B$4="Chapter Hunt"),CHOOSE(ArtifactsInput!$N$27+1,20,24,28,32,36,40),0)/100)),0)</f>
        <v>10</v>
      </c>
      <c r="R2882">
        <v>0</v>
      </c>
      <c r="S2882">
        <v>0</v>
      </c>
      <c r="U2882">
        <v>0</v>
      </c>
    </row>
    <row r="2883" spans="1:21" x14ac:dyDescent="0.2">
      <c r="A2883" t="str">
        <f>Skills!A27</f>
        <v>FERVENT_DRAIN</v>
      </c>
      <c r="B2883" t="str">
        <f>Skills!B27</f>
        <v>Fervent Drain</v>
      </c>
      <c r="C2883" t="b">
        <f>Inputs!$B$3&gt;=125</f>
        <v>0</v>
      </c>
      <c r="D2883">
        <f>IF(Skills!C27=1,60+Inputs!$B$25+Inputs!$B$29,IF(Skills!C27=2,90+Inputs!$B$26+Inputs!$B$29,IF(Skills!C27=3,120+Inputs!$B$27+Inputs!$B$29,MAX(0,(Inputs!$B$3-100)*3)+Inputs!$B$28+Inputs!$B$29)))</f>
        <v>185</v>
      </c>
      <c r="E2883">
        <f>INDEX(FactorTable!$B$2:$Y$301, MATCH(ROUND(MIN(300,MAX(1,D2883)),0), FactorTable!$A$2:$A$301,0), Skills!M27+1)</f>
        <v>1555</v>
      </c>
      <c r="F2883">
        <f>IF(Skills!N27=TRUE,(Skills!L27/10)*(E2883/1000),Skills!L27/10)+Skills!O27</f>
        <v>6.22</v>
      </c>
      <c r="G2883">
        <f>Calc!G27</f>
        <v>1</v>
      </c>
      <c r="H2883">
        <f>Calc!H27</f>
        <v>1</v>
      </c>
      <c r="I2883">
        <f>IF(Skills!X27&lt;&gt;"",1+(Skills!X27/10)*(Z2859/1000)/100,1)</f>
        <v>1</v>
      </c>
      <c r="O2883">
        <f>(1-Summary!$B$11)*S2883+Summary!$B$11*U2883</f>
        <v>0</v>
      </c>
      <c r="P2883">
        <f>IF(B2897=0,0,O2883/B2897)</f>
        <v>0</v>
      </c>
      <c r="Q2883">
        <f>IFERROR(1/(IF(Inputs!$B$38="pvp",15,MAX(0.1,Skills!E27-IF(TRUE=TRUE,1.5,0)))*(1-IF(AND(ArtifactsInput!$M$27,Inputs!$B$4="Chapter Hunt"),CHOOSE(ArtifactsInput!$N$27+1,20,24,28,32,36,40),0)/100)),0)</f>
        <v>10</v>
      </c>
      <c r="R2883">
        <v>0</v>
      </c>
      <c r="S2883">
        <v>0</v>
      </c>
      <c r="U2883">
        <v>0</v>
      </c>
    </row>
    <row r="2884" spans="1:21" x14ac:dyDescent="0.2">
      <c r="A2884" t="str">
        <f>Skills!A28</f>
        <v>FLAME_HAZE_FOG</v>
      </c>
      <c r="B2884" t="str">
        <f>Skills!B28</f>
        <v>Flame Haze (poison fog DoT)</v>
      </c>
      <c r="C2884" t="b">
        <f>Inputs!$B$3&gt;=118</f>
        <v>0</v>
      </c>
      <c r="D2884">
        <f>IF(Skills!C28=1,60+Inputs!$B$25+Inputs!$B$29,IF(Skills!C28=2,90+Inputs!$B$26+Inputs!$B$29,IF(Skills!C28=3,120+Inputs!$B$27+Inputs!$B$29,MAX(0,(Inputs!$B$3-100)*3)+Inputs!$B$28+Inputs!$B$29)))</f>
        <v>185</v>
      </c>
      <c r="E2884">
        <f>INDEX(FactorTable!$B$2:$Y$301, MATCH(ROUND(MIN(300,MAX(1,D2884)),0), FactorTable!$A$2:$A$301,0), Skills!M28+1)</f>
        <v>1925</v>
      </c>
      <c r="F2884">
        <f>IF(Skills!N28=TRUE,(Skills!L28/10)*(E2884/1000),Skills!L28/10)+Skills!O28</f>
        <v>134.75</v>
      </c>
      <c r="G2884">
        <f>Calc!G28</f>
        <v>50</v>
      </c>
      <c r="H2884">
        <f>Calc!H28</f>
        <v>1</v>
      </c>
      <c r="I2884">
        <f>IF(Skills!X28&lt;&gt;"",1+(Skills!X28/10)*(Z2859/1000)/100,1)</f>
        <v>1</v>
      </c>
      <c r="J2884">
        <f>((Inputs!$B$6*(1+Inputs!$B$7/100))+(((Inputs!$B$12*(1+Inputs!$B$13/100))-(Inputs!$B$12*(1+Inputs!$B$13/100)))+0.25*(Inputs!$B$14-Inputs!$B$14))*(1+Inputs!$B$7/100))*(F2884/100)</f>
        <v>486628767.57437253</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2502203050607.2148</v>
      </c>
      <c r="L2884">
        <f>K2884*(MIN(Inputs!$B$22+(F2878-Calc!F22),(Inputs!$B$23+(IF(ArtifactsInput!$M$15,CHOOSE(ArtifactsInput!$N$15+1,25,30,35,40,45,50)/100*(Inputs!$B$11-Inputs!$B$11),0))))/100+(Inputs!$B$23+(IF(ArtifactsInput!$M$15,CHOOSE(ArtifactsInput!$N$15+1,25,30,35,40,45,50)/100*(Inputs!$B$11-Inputs!$B$11),0)))/100)/2</f>
        <v>8319825143268.9902</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39261254851086.359</v>
      </c>
      <c r="N2884">
        <f>L2884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39261254851086.359</v>
      </c>
      <c r="O2884">
        <f>(1-Summary!$B$11)*S2884+Summary!$B$11*U2884</f>
        <v>0</v>
      </c>
      <c r="P2884">
        <f>IF(B2897=0,0,O2884/B2897)</f>
        <v>0</v>
      </c>
      <c r="Q2884">
        <f>IFERROR(1/(IF(Inputs!$B$38="pvp",15,MAX(0.1,Skills!E28-IF(TRUE=TRUE,1.5,0)))*(1-IF(AND(ArtifactsInput!$M$27,Inputs!$B$4="Chapter Hunt"),CHOOSE(ArtifactsInput!$N$27+1,20,24,28,32,36,40),0)/100)),0)</f>
        <v>4.2553191489361701E-2</v>
      </c>
      <c r="R2884">
        <f>IF(AND(Inputs!$B$38&lt;&gt;"pvp",Inputs!$B$43&gt;0),IF(MAX(0,Inputs!$B$43-B2894)&lt;=0,0,(INT(MAX(0,Inputs!$B$43-B2894)/(IF(Inputs!$B$38="pvp",15,MAX(0.1,Skills!E28-IF(TRUE=TRUE,1.5,0)))*(1-IF(AND(ArtifactsInput!$M$27,Inputs!$B$4="Chapter Hunt"),CHOOSE(ArtifactsInput!$N$27+1,20,24,28,32,36,40),0)/100)))+1)),0)</f>
        <v>2</v>
      </c>
      <c r="S2884">
        <f>IF(C2884,(H2884*N2884*IF(AND(Inputs!$B$38&lt;&gt;"pvp",Inputs!$B$43&gt;0),((Skills!G28*((R2884-1)*IF(Skills!H28&gt;0,Skills!I28/Skills!H28,1)+IF(Skills!H28&gt;0,MIN(Skills!I28,MAX(0,MAX(0,Inputs!$B$43-B2894)-((R2884-1)*(IF(Inputs!$B$38="pvp",15,MAX(0.1,Skills!E28-IF(TRUE=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884">
        <f>IF(C2884,(H2884*N2884*IF(AND(Inputs!$B$38&lt;&gt;"pvp",Inputs!$B$43&gt;0),((Skills!G28*((R2884-1)*IF(Skills!H28&gt;0,Skills!I28/Skills!H28,1)+IF(Skills!H28&gt;0,MIN(Skills!I28,MAX(0,MAX(0,Inputs!$B$43-B2894)-((R2884-1)*(IF(Inputs!$B$38="pvp",15,MAX(0.1,Skills!E28-IF(TRUE=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886" spans="1:21" x14ac:dyDescent="0.2">
      <c r="A2886" t="s">
        <v>356</v>
      </c>
      <c r="B2886">
        <f>1+(F2867*Skills!Z11)/100</f>
        <v>1.25</v>
      </c>
    </row>
    <row r="2887" spans="1:21" x14ac:dyDescent="0.2">
      <c r="A2887" t="s">
        <v>435</v>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1.18624</v>
      </c>
    </row>
    <row r="2888" spans="1:21" x14ac:dyDescent="0.2">
      <c r="A2888" t="s">
        <v>358</v>
      </c>
      <c r="B2888">
        <f>(1+(F2862*IF(AND(Inputs!$B$38&lt;&gt;"pvp",Inputs!$B$43&gt;0),(((R2862-1)*MIN((Skills!T6*(1+((Inputs!$B$34+(ArtifactsInput!$M$7-ArtifactsInput!$M$7)*CHOOSE(ArtifactsInput!$N$7+1,6,7.2,8.4,9.6,10.8,12)))/100)),(1/Q2862))+MIN((Skills!T6*(1+((Inputs!$B$34+(ArtifactsInput!$M$7-ArtifactsInput!$M$7)*CHOOSE(ArtifactsInput!$N$7+1,6,7.2,8.4,9.6,10.8,12)))/100)),MAX(0,Inputs!$B$43-((R2862-1)*(1/Q2862)))))/Inputs!$B$43),IF(Inputs!$B$38="pvp",MIN((Skills!T6*(1+((Inputs!$B$34+(ArtifactsInput!$M$7-ArtifactsInput!$M$7)*CHOOSE(ArtifactsInput!$N$7+1,6,7.2,8.4,9.6,10.8,12)))/100)),15)/15,MIN(1,(Skills!T6*(1+((Inputs!$B$34+(ArtifactsInput!$M$7-ArtifactsInput!$M$7)*CHOOSE(ArtifactsInput!$N$7+1,6,7.2,8.4,9.6,10.8,12)))/100))/(1/Q2862))))+F2873*IF(AND(Inputs!$B$38&lt;&gt;"pvp",Inputs!$B$43&gt;0),(((R2873-1)*MIN((Skills!T17*(1+((Inputs!$B$34+(ArtifactsInput!$M$7-ArtifactsInput!$M$7)*CHOOSE(ArtifactsInput!$N$7+1,6,7.2,8.4,9.6,10.8,12)))/100)),(1/Q2873))+MIN((Skills!T17*(1+((Inputs!$B$34+(ArtifactsInput!$M$7-ArtifactsInput!$M$7)*CHOOSE(ArtifactsInput!$N$7+1,6,7.2,8.4,9.6,10.8,12)))/100)),MAX(0,Inputs!$B$43-((R2873-1)*(1/Q2873)))))/Inputs!$B$43),IF(Inputs!$B$38="pvp",MIN((Skills!T17*(1+((Inputs!$B$34+(ArtifactsInput!$M$7-ArtifactsInput!$M$7)*CHOOSE(ArtifactsInput!$N$7+1,6,7.2,8.4,9.6,10.8,12)))/100)),15)/15,MIN(1,(Skills!T17*(1+((Inputs!$B$34+(ArtifactsInput!$M$7-ArtifactsInput!$M$7)*CHOOSE(ArtifactsInput!$N$7+1,6,7.2,8.4,9.6,10.8,12)))/100))/(1/Q2873)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MIN((Skills!T19*(1+((Inputs!$B$34+(ArtifactsInput!$M$7-ArtifactsInput!$M$7)*CHOOSE(ArtifactsInput!$N$7+1,6,7.2,8.4,9.6,10.8,12)))/100)),(1/Q2875))+MIN((Skills!T19*(1+((Inputs!$B$34+(ArtifactsInput!$M$7-ArtifactsInput!$M$7)*CHOOSE(ArtifactsInput!$N$7+1,6,7.2,8.4,9.6,10.8,12)))/100)),MAX(0,Inputs!$B$43-((R2875-1)*(1/Q2875)))))/Inputs!$B$43),IF(Inputs!$B$38="pvp",MIN((Skills!T19*(1+((Inputs!$B$34+(ArtifactsInput!$M$7-ArtifactsInput!$M$7)*CHOOSE(ArtifactsInput!$N$7+1,6,7.2,8.4,9.6,10.8,12)))/100)),15)/15,MIN(1,(Skills!T19*(1+((Inputs!$B$34+(ArtifactsInput!$M$7-ArtifactsInput!$M$7)*CHOOSE(ArtifactsInput!$N$7+1,6,7.2,8.4,9.6,10.8,12)))/100))/(1/Q2875))))/100),1)</f>
        <v>1.8384785571606626</v>
      </c>
    </row>
    <row r="2889" spans="1:21" x14ac:dyDescent="0.2">
      <c r="A2889" t="s">
        <v>359</v>
      </c>
      <c r="B2889">
        <f>F2874*IF(AND(Inputs!$B$38&lt;&gt;"pvp",Inputs!$B$43&gt;0),(((R2874-1)*MIN((Skills!T18*(1+((Inputs!$B$34+(ArtifactsInput!$M$7-ArtifactsInput!$M$7)*CHOOSE(ArtifactsInput!$N$7+1,6,7.2,8.4,9.6,10.8,12)))/100)),(1/Q2874))+MIN((Skills!T18*(1+((Inputs!$B$34+(ArtifactsInput!$M$7-ArtifactsInput!$M$7)*CHOOSE(ArtifactsInput!$N$7+1,6,7.2,8.4,9.6,10.8,12)))/100)),MAX(0,Inputs!$B$43-((R2874-1)*(1/Q2874)))))/Inputs!$B$43),IF(Inputs!$B$38="pvp",MIN((Skills!T18*(1+((Inputs!$B$34+(ArtifactsInput!$M$7-ArtifactsInput!$M$7)*CHOOSE(ArtifactsInput!$N$7+1,6,7.2,8.4,9.6,10.8,12)))/100)),15)/15,MIN(1,(Skills!T18*(1+((Inputs!$B$34+(ArtifactsInput!$M$7-ArtifactsInput!$M$7)*CHOOSE(ArtifactsInput!$N$7+1,6,7.2,8.4,9.6,10.8,12)))/100))/(1/Q2874))))</f>
        <v>6.4968749999999993</v>
      </c>
    </row>
    <row r="2890" spans="1:21" x14ac:dyDescent="0.2">
      <c r="A2890" t="s">
        <v>436</v>
      </c>
      <c r="B2890">
        <f>1+MIN(150,150*(1-(1-(Inputs!$B$11+(ArtifactsInput!$M$15-ArtifactsInput!$M$15)*CHOOSE(ArtifactsInput!$N$15+1,8,9.6,11.2,12.8,14.4,16))/150)*(1-B2889/150)))/100</f>
        <v>1.6982958749999999</v>
      </c>
    </row>
    <row r="2891" spans="1:21" x14ac:dyDescent="0.2">
      <c r="A2891" t="s">
        <v>437</v>
      </c>
      <c r="B2891">
        <f>IF(AND(Inputs!$B$38&lt;&gt;"pvp",Inputs!$B$43&gt;0),SUMPRODUCT((Skills!F2:F28=TRUE)*(C2858:C2884=TRUE)*R2858:R2884)/Inputs!$B$43,SUMPRODUCT((Skills!F2:F28=TRUE)*(C2858:C2884=TRUE)*Q2858:Q2884))</f>
        <v>0.5</v>
      </c>
    </row>
    <row r="2892" spans="1:21" x14ac:dyDescent="0.2">
      <c r="A2892" t="s">
        <v>362</v>
      </c>
      <c r="B2892">
        <f>MAX(0,B2890-B2891)</f>
        <v>1.1982958749999999</v>
      </c>
    </row>
    <row r="2893" spans="1:21" x14ac:dyDescent="0.2">
      <c r="A2893" t="s">
        <v>438</v>
      </c>
      <c r="B2893">
        <f>IF(AND(Inputs!$B$38&lt;&gt;"pvp",Inputs!$B$43&gt;0),SUMPRODUCT((Skills!V2:V28=TRUE)*(C2858:C2884=TRUE)*R2858:R2884*Skills!W2:W28)/Inputs!$B$43,SUMPRODUCT((Skills!V2:V28=TRUE)*(C2858:C2884=TRUE)*Q2858:Q2884*Skills!W2:W28))+B2892</f>
        <v>1.5232958749999999</v>
      </c>
    </row>
    <row r="2894" spans="1:21" x14ac:dyDescent="0.2">
      <c r="A2894" t="s">
        <v>439</v>
      </c>
      <c r="B2894">
        <f>IF(AND(Inputs!$B$38&lt;&gt;"pvp",Inputs!$B$43&gt;0),SUMPRODUCT((Skills!T2:T28&gt;0)*(Skills!F2:F28=TRUE)*(C2858:C2884=TRUE))/B2890,0)</f>
        <v>2.3553021937358238</v>
      </c>
    </row>
    <row r="2895" spans="1:21" x14ac:dyDescent="0.2">
      <c r="A2895" t="s">
        <v>440</v>
      </c>
      <c r="B2895">
        <f>SUM(S2858:S2884)</f>
        <v>9748081215406174</v>
      </c>
    </row>
    <row r="2896" spans="1:21" x14ac:dyDescent="0.2">
      <c r="A2896" t="s">
        <v>441</v>
      </c>
      <c r="B2896">
        <f>SUM(U2858:U2884)</f>
        <v>5.7899312109245784E+16</v>
      </c>
    </row>
    <row r="2897" spans="1:26" x14ac:dyDescent="0.2">
      <c r="A2897" s="6" t="s">
        <v>348</v>
      </c>
      <c r="B2897" s="6">
        <f>SUM(O2858:O2884)</f>
        <v>3.382369666232598E+16</v>
      </c>
    </row>
    <row r="2900" spans="1:26" x14ac:dyDescent="0.2">
      <c r="A2900" s="6" t="s">
        <v>510</v>
      </c>
    </row>
    <row r="2901" spans="1:26" x14ac:dyDescent="0.2">
      <c r="A2901" s="5" t="s">
        <v>136</v>
      </c>
      <c r="B2901" s="5" t="s">
        <v>137</v>
      </c>
      <c r="C2901" s="5" t="s">
        <v>328</v>
      </c>
      <c r="D2901" s="5" t="s">
        <v>329</v>
      </c>
      <c r="E2901" s="5" t="s">
        <v>330</v>
      </c>
      <c r="F2901" s="5" t="s">
        <v>331</v>
      </c>
      <c r="G2901" s="5" t="s">
        <v>332</v>
      </c>
      <c r="H2901" s="5" t="s">
        <v>333</v>
      </c>
      <c r="I2901" s="5" t="s">
        <v>334</v>
      </c>
      <c r="J2901" s="5" t="s">
        <v>335</v>
      </c>
      <c r="K2901" s="5" t="s">
        <v>336</v>
      </c>
      <c r="L2901" s="5" t="s">
        <v>337</v>
      </c>
      <c r="M2901" s="5" t="s">
        <v>338</v>
      </c>
      <c r="N2901" s="5" t="s">
        <v>339</v>
      </c>
      <c r="O2901" s="5" t="s">
        <v>340</v>
      </c>
      <c r="P2901" s="5" t="s">
        <v>341</v>
      </c>
      <c r="R2901" t="s">
        <v>434</v>
      </c>
    </row>
    <row r="2902" spans="1:26" x14ac:dyDescent="0.2">
      <c r="A2902" t="str">
        <f>Skills!A2</f>
        <v>BASIC_ATTACK</v>
      </c>
      <c r="B2902" t="str">
        <f>Skills!B2</f>
        <v>Basic Attack</v>
      </c>
      <c r="C2902" t="b">
        <f>TRUE</f>
        <v>1</v>
      </c>
      <c r="F2902">
        <f>T2904+Skills!O2</f>
        <v>537.6</v>
      </c>
      <c r="G2902">
        <f>Calc!G2</f>
        <v>5</v>
      </c>
      <c r="H2902">
        <f>Calc!H2</f>
        <v>1</v>
      </c>
      <c r="I2902">
        <f>IF(Skills!X2&lt;&gt;"",1+(Skills!X2/10)*(Z2903/1000)/100,1)</f>
        <v>1</v>
      </c>
      <c r="J2902">
        <f>((Inputs!$B$6*(1+Inputs!$B$7/100))+(((Inputs!$B$12*(1+Inputs!$B$13/100))-(Inputs!$B$12*(1+Inputs!$B$13/100)))+0.25*(Inputs!$B$14-Inputs!$B$14))*(1+Inputs!$B$7/100))*(F2902/100)</f>
        <v>1941459186.9980164</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6840725401924.0742</v>
      </c>
      <c r="L2902">
        <f>K2902*(MIN(Inputs!$B$22+(F2922-Calc!F22),(Inputs!$B$23+(IF(ArtifactsInput!$M$15,CHOOSE(ArtifactsInput!$N$15+1,25,30,35,40,45,50)/100*(Inputs!$B$11-Inputs!$B$11),0))))/100+(Inputs!$B$23+(IF(ArtifactsInput!$M$15,CHOOSE(ArtifactsInput!$N$15+1,25,30,35,40,45,50)/100*(Inputs!$B$11-Inputs!$B$11),0)))/100)/2</f>
        <v>22745411961397.547</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107335599045835.02</v>
      </c>
      <c r="N2902">
        <f>L2902*(1-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107335599045835.02</v>
      </c>
      <c r="O2902">
        <f>(1-Summary!$B$11)*S2902+Summary!$B$11*U2902</f>
        <v>1.2665835354222452E+16</v>
      </c>
      <c r="P2902">
        <f>IF(B2941=0,0,O2902/B2941)</f>
        <v>0.3700044493574659</v>
      </c>
      <c r="Q2902">
        <f>IFERROR(1/(IF(Inputs!$B$38="pvp",15,MAX(0.1,Skills!E2-IF(TRUE=TRUE,2,0)))*(1-IF(AND(ArtifactsInput!$M$27,Inputs!$B$4="Chapter Hunt"),CHOOSE(ArtifactsInput!$N$27+1,20,24,28,32,36,40),0)/100)),0)</f>
        <v>10</v>
      </c>
      <c r="R2902">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2102933821188495.8</v>
      </c>
      <c r="T2902">
        <f>MAX(0,(Inputs!$B$3-100)*3)+Inputs!$B$28+Inputs!$B$29</f>
        <v>185</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2.3228736887256408E+16</v>
      </c>
      <c r="Z2902">
        <f>MAX(0,(Inputs!$B$3-100)*3)+Inputs!$B$28+Inputs!$B$29</f>
        <v>185</v>
      </c>
    </row>
    <row r="2903" spans="1:26" x14ac:dyDescent="0.2">
      <c r="A2903" t="str">
        <f>Skills!A3</f>
        <v>IGNITE</v>
      </c>
      <c r="B2903" t="str">
        <f>Skills!B3</f>
        <v>Ignite</v>
      </c>
      <c r="C2903" t="b">
        <f>TRUE</f>
        <v>1</v>
      </c>
      <c r="D2903">
        <f>IF(Skills!C3=1,60+Inputs!$B$25+Inputs!$B$29,IF(Skills!C3=2,90+Inputs!$B$26+Inputs!$B$29,IF(Skills!C3=3,120+Inputs!$B$27+Inputs!$B$29,MAX(0,(Inputs!$B$3-100)*3)+Inputs!$B$28+Inputs!$B$29)))</f>
        <v>168</v>
      </c>
      <c r="E2903">
        <f>INDEX(FactorTable!$B$2:$Y$301, MATCH(ROUND(MIN(300,MAX(1,D2903)),0), FactorTable!$A$2:$A$301,0), Skills!M3+1)</f>
        <v>1672</v>
      </c>
      <c r="F2903">
        <f>IF(Skills!N3=TRUE,(Skills!L3/10)*(E2903/1000),Skills!L3/10)+Skills!O3</f>
        <v>121.736</v>
      </c>
      <c r="G2903">
        <f>Calc!G3</f>
        <v>3</v>
      </c>
      <c r="H2903">
        <f>Calc!H3</f>
        <v>1</v>
      </c>
      <c r="I2903">
        <f>IF(Skills!X3&lt;&gt;"",1+(Skills!X3/10)*(Z2903/1000)/100,1)</f>
        <v>4.8250000000000002</v>
      </c>
      <c r="J2903">
        <f>((Inputs!$B$6*(1+Inputs!$B$7/100))+(((Inputs!$B$12*(1+Inputs!$B$13/100))-(Inputs!$B$12*(1+Inputs!$B$13/100)))+0.25*(Inputs!$B$14-Inputs!$B$14))*(1+Inputs!$B$7/100))*(F2903/100)</f>
        <v>439630720.9605478</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11013450692058.584</v>
      </c>
      <c r="L2903">
        <f>K2903*(MIN(Inputs!$B$22+(F2922-Calc!F22),(Inputs!$B$23+(IF(ArtifactsInput!$M$15,CHOOSE(ArtifactsInput!$N$15+1,25,30,35,40,45,50)/100*(Inputs!$B$11-Inputs!$B$11),0))))/100+(Inputs!$B$23+(IF(ArtifactsInput!$M$15,CHOOSE(ArtifactsInput!$N$15+1,25,30,35,40,45,50)/100*(Inputs!$B$11-Inputs!$B$11),0)))/100)/2</f>
        <v>36619723551094.797</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172808475437616.31</v>
      </c>
      <c r="N2903">
        <f>L2903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172808475437616.31</v>
      </c>
      <c r="O2903">
        <f>(1-Summary!$B$11)*S2903+Summary!$B$11*U2903</f>
        <v>3004275345482959.5</v>
      </c>
      <c r="P2903">
        <f>IF(B2941=0,0,O2903/B2941)</f>
        <v>8.7763279233931998E-2</v>
      </c>
      <c r="Q2903">
        <f>IFERROR(1/(IF(Inputs!$B$38="pvp",15,MAX(0.1,Skills!E3-IF(FALSE=TRUE,2,0)))*(1-IF(AND(ArtifactsInput!$M$27,Inputs!$B$4="Chapter Hunt"),CHOOSE(ArtifactsInput!$N$27+1,20,24,28,32,36,40),0)/100)),0)</f>
        <v>1</v>
      </c>
      <c r="R2903">
        <f>IF(AND(Inputs!$B$38&lt;&gt;"pvp",Inputs!$B$43&gt;0),IF(MAX(0,Inputs!$B$43-B2938)&lt;=0,0,(INT(MAX(0,Inputs!$B$43-B2938)/(IF(Inputs!$B$38="pvp",15,MAX(0.1,Skills!E3-IF(FALSE=TRUE,2,0)))*(1-IF(AND(ArtifactsInput!$M$27,Inputs!$B$4="Chapter Hunt"),CHOOSE(ArtifactsInput!$N$27+1,20,24,28,32,36,40),0)/100)))+1)),0)</f>
        <v>38</v>
      </c>
      <c r="S2903">
        <f>IF(C2903,(H2903*N2903*IF(AND(Inputs!$B$38&lt;&gt;"pvp",Inputs!$B$43&gt;0),((Skills!G3*((R2903-1)*IF(Skills!H3&gt;0,Skills!I3/Skills!H3,1)+IF(Skills!H3&gt;0,MIN(Skills!I3,MAX(0,MAX(0,Inputs!$B$43-B2938)-((R2903-1)*(IF(Inputs!$B$38="pvp",15,MAX(0.1,Skills!E3-IF(FALSE=TRUE,2,0)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1561238171341144.5</v>
      </c>
      <c r="T2903">
        <f>INDEX(FactorTable!$B$2:$Y$301, MATCH(ROUND(MIN(300,MAX(1,T2902)),0), FactorTable!$A$2:$A$301,0), 22)</f>
        <v>1740</v>
      </c>
      <c r="U2903">
        <f>IF(C2903,(H2903*N2903*IF(AND(Inputs!$B$38&lt;&gt;"pvp",Inputs!$B$43&gt;0),((Skills!G3*((R2903-1)*IF(Skills!H3&gt;0,Skills!I3/Skills!H3,1)+IF(Skills!H3&gt;0,MIN(Skills!I3,MAX(0,MAX(0,Inputs!$B$43-B2938)-((R2903-1)*(IF(Inputs!$B$38="pvp",15,MAX(0.1,Skills!E3-IF(FALSE=TRUE,2,0)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4447312519624774.5</v>
      </c>
      <c r="Z2903">
        <f>INDEX(FactorTable!$B$2:$Y$301, MATCH(ROUND(MIN(300,MAX(1,Z2902)),0), FactorTable!$A$2:$A$301,0), 24)</f>
        <v>7650</v>
      </c>
    </row>
    <row r="2904" spans="1:26" x14ac:dyDescent="0.2">
      <c r="A2904" t="str">
        <f>Skills!A4</f>
        <v>POISON_BREATH</v>
      </c>
      <c r="B2904" t="str">
        <f>Skills!B4</f>
        <v>Poison Breath</v>
      </c>
      <c r="C2904" t="b">
        <f>TRUE</f>
        <v>1</v>
      </c>
      <c r="D2904">
        <f>IF(Skills!C4=1,60+Inputs!$B$25+Inputs!$B$29,IF(Skills!C4=2,90+Inputs!$B$26+Inputs!$B$29,IF(Skills!C4=3,120+Inputs!$B$27+Inputs!$B$29,MAX(0,(Inputs!$B$3-100)*3)+Inputs!$B$28+Inputs!$B$29)))</f>
        <v>168</v>
      </c>
      <c r="E2904">
        <f>INDEX(FactorTable!$B$2:$Y$301, MATCH(ROUND(MIN(300,MAX(1,D2904)),0), FactorTable!$A$2:$A$301,0), Skills!M4+1)</f>
        <v>1840</v>
      </c>
      <c r="F2904">
        <f>IF(Skills!N4=TRUE,(Skills!L4/10)*(E2904/1000),Skills!L4/10)+Skills!O4</f>
        <v>438</v>
      </c>
      <c r="G2904">
        <f>Calc!G4</f>
        <v>3</v>
      </c>
      <c r="H2904">
        <f>Calc!H4</f>
        <v>1</v>
      </c>
      <c r="I2904">
        <f>IF(Skills!X4&lt;&gt;"",1+(Skills!X4/10)*(Z2903/1000)/100,1)</f>
        <v>7.12</v>
      </c>
      <c r="J2904">
        <f>((Inputs!$B$6*(1+Inputs!$B$7/100))+(((Inputs!$B$12*(1+Inputs!$B$13/100))-(Inputs!$B$12*(1+Inputs!$B$13/100)))+0.25*(Inputs!$B$14-Inputs!$B$14))*(1+Inputs!$B$7/100))*(F2904/100)</f>
        <v>1581769203.69258</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58473780160357.562</v>
      </c>
      <c r="L2904">
        <f>K2904*(MIN(Inputs!$B$22+(F2922-Calc!F22),(Inputs!$B$23+(IF(ArtifactsInput!$M$15,CHOOSE(ArtifactsInput!$N$15+1,25,30,35,40,45,50)/100*(Inputs!$B$11-Inputs!$B$11),0))))/100+(Inputs!$B$23+(IF(ArtifactsInput!$M$15,CHOOSE(ArtifactsInput!$N$15+1,25,30,35,40,45,50)/100*(Inputs!$B$11-Inputs!$B$11),0)))/100)/2</f>
        <v>194425319033188.91</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917493080517618.38</v>
      </c>
      <c r="N2904">
        <f>L2904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917493080517618.38</v>
      </c>
      <c r="O2904">
        <f>(1-Summary!$B$11)*S2904+Summary!$B$11*U2904</f>
        <v>2191317536181266.5</v>
      </c>
      <c r="P2904">
        <f>IF(B2941=0,0,O2904/B2941)</f>
        <v>6.4014509557935334E-2</v>
      </c>
      <c r="Q2904">
        <f>IFERROR(1/(IF(Inputs!$B$38="pvp",15,MAX(0.1,Skills!E4-IF(TRUE=TRUE,2,0)))*(1-IF(AND(ArtifactsInput!$M$27,Inputs!$B$4="Chapter Hunt"),CHOOSE(ArtifactsInput!$N$27+1,20,24,28,32,36,40),0)/100)),0)</f>
        <v>6.25E-2</v>
      </c>
      <c r="R2904">
        <f>IF(AND(Inputs!$B$38&lt;&gt;"pvp",Inputs!$B$43&gt;0),IF(MAX(0,Inputs!$B$43-B2938)&lt;=0,0,(INT(MAX(0,Inputs!$B$43-B2938)/(IF(Inputs!$B$38="pvp",15,MAX(0.1,Skills!E4-IF(TRUE=TRUE,2,0)))*(1-IF(AND(ArtifactsInput!$M$27,Inputs!$B$4="Chapter Hunt"),CHOOSE(ArtifactsInput!$N$27+1,20,24,28,32,36,40),0)/100)))+1)),0)</f>
        <v>3</v>
      </c>
      <c r="S2904">
        <f>IF(C2904,(H2904*N2904*IF(AND(Inputs!$B$38&lt;&gt;"pvp",Inputs!$B$43&gt;0),((Skills!G4*((R2904-1)*IF(Skills!H4&gt;0,Skills!I4/Skills!H4,1)+IF(Skills!H4&gt;0,MIN(Skills!I4,MAX(0,MAX(0,Inputs!$B$43-B2938)-((R2904-1)*(IF(Inputs!$B$38="pvp",15,MAX(0.1,Skills!E4-IF(TRUE=TRUE,2,0)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654401939679191.25</v>
      </c>
      <c r="T2904">
        <f>290*T2903/1000</f>
        <v>504.6</v>
      </c>
      <c r="U2904">
        <f>IF(C2904,(H2904*N2904*IF(AND(Inputs!$B$38&lt;&gt;"pvp",Inputs!$B$43&gt;0),((Skills!G4*((R2904-1)*IF(Skills!H4&gt;0,Skills!I4/Skills!H4,1)+IF(Skills!H4&gt;0,MIN(Skills!I4,MAX(0,MAX(0,Inputs!$B$43-B2938)-((R2904-1)*(IF(Inputs!$B$38="pvp",15,MAX(0.1,Skills!E4-IF(TRUE=TRUE,2,0)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3728233132683342</v>
      </c>
    </row>
    <row r="2905" spans="1:26" x14ac:dyDescent="0.2">
      <c r="A2905" t="str">
        <f>Skills!A5</f>
        <v>ELEMENTAL_DRAIN</v>
      </c>
      <c r="B2905" t="str">
        <f>Skills!B5</f>
        <v>Elemental Drain</v>
      </c>
      <c r="C2905" t="b">
        <f>TRUE</f>
        <v>1</v>
      </c>
      <c r="D2905">
        <f>IF(Skills!C5=1,60+Inputs!$B$25+Inputs!$B$29,IF(Skills!C5=2,90+Inputs!$B$26+Inputs!$B$29,IF(Skills!C5=3,120+Inputs!$B$27+Inputs!$B$29,MAX(0,(Inputs!$B$3-100)*3)+Inputs!$B$28+Inputs!$B$29)))</f>
        <v>168</v>
      </c>
      <c r="E2905">
        <f>INDEX(FactorTable!$B$2:$Y$301, MATCH(ROUND(MIN(300,MAX(1,D2905)),0), FactorTable!$A$2:$A$301,0), Skills!M5+1)</f>
        <v>1672</v>
      </c>
      <c r="F2905">
        <f>IF(Skills!N5=TRUE,(Skills!L5/10)*(E2905/1000),Skills!L5/10)+Skills!O5</f>
        <v>20.064</v>
      </c>
      <c r="G2905">
        <f>Calc!G5</f>
        <v>5</v>
      </c>
      <c r="H2905">
        <f>Calc!H5</f>
        <v>1</v>
      </c>
      <c r="I2905">
        <f>IF(Skills!X5&lt;&gt;"",1+(Skills!X5/10)*(Z2903/1000)/100,1)</f>
        <v>12.475</v>
      </c>
      <c r="J2905">
        <f>((Inputs!$B$6*(1+Inputs!$B$7/100))+(((Inputs!$B$12*(1+Inputs!$B$13/100))-(Inputs!$B$12*(1+Inputs!$B$13/100)))+0.25*(Inputs!$B$14-Inputs!$B$14))*(1+Inputs!$B$7/100))*(F2905/100)</f>
        <v>72458030.371890247</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4693157616364.3613</v>
      </c>
      <c r="L2905">
        <f>K2905*(MIN(Inputs!$B$22+(F2922-Calc!F22),(Inputs!$B$23+(IF(ArtifactsInput!$M$15,CHOOSE(ArtifactsInput!$N$15+1,25,30,35,40,45,50)/100*(Inputs!$B$11-Inputs!$B$11),0))))/100+(Inputs!$B$23+(IF(ArtifactsInput!$M$15,CHOOSE(ArtifactsInput!$N$15+1,25,30,35,40,45,50)/100*(Inputs!$B$11-Inputs!$B$11),0)))/100)/2</f>
        <v>15604749074411.502</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73638810882147.875</v>
      </c>
      <c r="N2905">
        <f>L2905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73638810882147.875</v>
      </c>
      <c r="O2905">
        <f>(1-Summary!$B$11)*S2905+Summary!$B$11*U2905</f>
        <v>1080833646722725.2</v>
      </c>
      <c r="P2905">
        <f>IF(B2941=0,0,O2905/B2941)</f>
        <v>3.157417155034653E-2</v>
      </c>
      <c r="Q2905">
        <f>IFERROR(1/(IF(Inputs!$B$38="pvp",15,MAX(0.1,Skills!E5-IF(FALSE=TRUE,2,0)))*(1-IF(AND(ArtifactsInput!$M$27,Inputs!$B$4="Chapter Hunt"),CHOOSE(ArtifactsInput!$N$27+1,20,24,28,32,36,40),0)/100)),0)</f>
        <v>1</v>
      </c>
      <c r="R2905">
        <f>IF(AND(Inputs!$B$38&lt;&gt;"pvp",Inputs!$B$43&gt;0),IF(MAX(0,Inputs!$B$43-B2938)&lt;=0,0,(INT(MAX(0,Inputs!$B$43-B2938)/(IF(Inputs!$B$38="pvp",15,MAX(0.1,Skills!E5-IF(FALSE=TRUE,2,0)))*(1-IF(AND(ArtifactsInput!$M$27,Inputs!$B$4="Chapter Hunt"),CHOOSE(ArtifactsInput!$N$27+1,20,24,28,32,36,40),0)/100)))+1)),0)</f>
        <v>38</v>
      </c>
      <c r="S2905">
        <f>IF(C2905,(H2905*N2905*IF(AND(Inputs!$B$38&lt;&gt;"pvp",Inputs!$B$43&gt;0),((Skills!G5*((R2905-1)*IF(Skills!H5&gt;0,Skills!I5/Skills!H5,1)+IF(Skills!H5&gt;0,MIN(Skills!I5,MAX(0,MAX(0,Inputs!$B$43-B2938)-((R2905-1)*(IF(Inputs!$B$38="pvp",15,MAX(0.1,Skills!E5-IF(FALSE=TRUE,2,0)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1108816394857941.5</v>
      </c>
      <c r="U2905">
        <f>IF(C2905,(H2905*N2905*IF(AND(Inputs!$B$38&lt;&gt;"pvp",Inputs!$B$43&gt;0),((Skills!G5*((R2905-1)*IF(Skills!H5&gt;0,Skills!I5/Skills!H5,1)+IF(Skills!H5&gt;0,MIN(Skills!I5,MAX(0,MAX(0,Inputs!$B$43-B2938)-((R2905-1)*(IF(Inputs!$B$38="pvp",15,MAX(0.1,Skills!E5-IF(FALSE=TRUE,2,0)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1052850898587509.1</v>
      </c>
    </row>
    <row r="2906" spans="1:26" x14ac:dyDescent="0.2">
      <c r="A2906" t="str">
        <f>Skills!A6</f>
        <v>MEDITATION</v>
      </c>
      <c r="B2906" t="str">
        <f>Skills!B6</f>
        <v>Meditation</v>
      </c>
      <c r="C2906" t="b">
        <f>TRUE</f>
        <v>1</v>
      </c>
      <c r="D2906">
        <f>IF(Skills!C6=1,60+Inputs!$B$25+Inputs!$B$29,IF(Skills!C6=2,90+Inputs!$B$26+Inputs!$B$29,IF(Skills!C6=3,120+Inputs!$B$27+Inputs!$B$29,MAX(0,(Inputs!$B$3-100)*3)+Inputs!$B$28+Inputs!$B$29)))</f>
        <v>168</v>
      </c>
      <c r="E2906">
        <f>INDEX(FactorTable!$B$2:$Y$301, MATCH(ROUND(MIN(300,MAX(1,D2906)),0), FactorTable!$A$2:$A$301,0), Skills!M6+1)</f>
        <v>1672</v>
      </c>
      <c r="F2906">
        <f>IF(Skills!N6=TRUE,(Skills!L6/10)*(E2906/1000),Skills!L6/10)+Skills!O6</f>
        <v>33.44</v>
      </c>
      <c r="G2906">
        <f>Calc!G6</f>
        <v>1</v>
      </c>
      <c r="H2906">
        <f>Calc!H6</f>
        <v>1</v>
      </c>
      <c r="I2906">
        <f>IF(Skills!X6&lt;&gt;"",1+(Skills!X6/10)*(Z2903/1000)/100,1)</f>
        <v>1</v>
      </c>
      <c r="O2906">
        <f>(1-Summary!$B$11)*S2906+Summary!$B$11*U2906</f>
        <v>0</v>
      </c>
      <c r="P2906">
        <f>IF(B2941=0,0,O2906/B2941)</f>
        <v>0</v>
      </c>
      <c r="Q2906">
        <f>IFERROR(1/(IF(Inputs!$B$38="pvp",15,MAX(0.1,Skills!E6-IF(TRUE=TRUE,2,0)))*(1-IF(AND(ArtifactsInput!$M$27,Inputs!$B$4="Chapter Hunt"),CHOOSE(ArtifactsInput!$N$27+1,20,24,28,32,36,40),0)/100)),0)</f>
        <v>3.5714285714285712E-2</v>
      </c>
      <c r="R2906">
        <f>IF(AND(Inputs!$B$38&lt;&gt;"pvp",Inputs!$B$43&gt;0),IF(Inputs!$B$43&lt;=0,0,(INT(Inputs!$B$43/(IF(Inputs!$B$38="pvp",15,MAX(0.1,Skills!E6-IF(TRUE=TRUE,2,0)))*(1-IF(AND(ArtifactsInput!$M$27,Inputs!$B$4="Chapter Hunt"),CHOOSE(ArtifactsInput!$N$27+1,20,24,28,32,36,40),0)/100)))+1)),0)</f>
        <v>2</v>
      </c>
      <c r="S2906">
        <v>0</v>
      </c>
      <c r="U2906">
        <v>0</v>
      </c>
    </row>
    <row r="2907" spans="1:26" x14ac:dyDescent="0.2">
      <c r="A2907" t="str">
        <f>Skills!A7</f>
        <v>POISON_MIST_BURST</v>
      </c>
      <c r="B2907" t="str">
        <f>Skills!B7</f>
        <v>Poison Mist (burst)</v>
      </c>
      <c r="C2907" t="b">
        <f>TRUE</f>
        <v>1</v>
      </c>
      <c r="D2907">
        <f>IF(Skills!C7=1,60+Inputs!$B$25+Inputs!$B$29,IF(Skills!C7=2,90+Inputs!$B$26+Inputs!$B$29,IF(Skills!C7=3,120+Inputs!$B$27+Inputs!$B$29,MAX(0,(Inputs!$B$3-100)*3)+Inputs!$B$28+Inputs!$B$29)))</f>
        <v>184</v>
      </c>
      <c r="E2907">
        <f>INDEX(FactorTable!$B$2:$Y$301, MATCH(ROUND(MIN(300,MAX(1,D2907)),0), FactorTable!$A$2:$A$301,0), Skills!M7+1)</f>
        <v>1920</v>
      </c>
      <c r="F2907">
        <f>IF(Skills!N7=TRUE,(Skills!L7/10)*(E2907/1000),Skills!L7/10)+Skills!O7</f>
        <v>357.2</v>
      </c>
      <c r="G2907">
        <f>Calc!G7</f>
        <v>3</v>
      </c>
      <c r="H2907">
        <f>Calc!H7</f>
        <v>1</v>
      </c>
      <c r="I2907">
        <f>IF(Skills!X7&lt;&gt;"",1+(Skills!X7/10)*(Z2903/1000)/100,1)</f>
        <v>1.7650000000000001</v>
      </c>
      <c r="J2907">
        <f>((Inputs!$B$6*(1+Inputs!$B$7/100))+(((Inputs!$B$12*(1+Inputs!$B$13/100))-(Inputs!$B$12*(1+Inputs!$B$13/100)))+0.25*(Inputs!$B$14-Inputs!$B$14))*(1+Inputs!$B$7/100))*(F2907/100)</f>
        <v>1289972510.4086521</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11821245219697.143</v>
      </c>
      <c r="L2907">
        <f>K2907*(MIN(Inputs!$B$22+(F2922-Calc!F22),(Inputs!$B$23+(IF(ArtifactsInput!$M$15,CHOOSE(ArtifactsInput!$N$15+1,25,30,35,40,45,50)/100*(Inputs!$B$11-Inputs!$B$11),0))))/100+(Inputs!$B$23+(IF(ArtifactsInput!$M$15,CHOOSE(ArtifactsInput!$N$15+1,25,30,35,40,45,50)/100*(Inputs!$B$11-Inputs!$B$11),0)))/100)/2</f>
        <v>39305640355493</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185483316837571.44</v>
      </c>
      <c r="N2907">
        <f>L2907*(1-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185483316837571.44</v>
      </c>
      <c r="O2907">
        <f>(1-Summary!$B$11)*S2907+Summary!$B$11*U2907</f>
        <v>462827246338950.12</v>
      </c>
      <c r="P2907">
        <f>IF(B2941=0,0,O2907/B2941)</f>
        <v>1.352047738187169E-2</v>
      </c>
      <c r="Q2907">
        <f>IFERROR(1/(IF(Inputs!$B$38="pvp",15,MAX(0.1,Skills!E7-IF(TRUE=TRUE,2,0)))*(1-IF(AND(ArtifactsInput!$M$27,Inputs!$B$4="Chapter Hunt"),CHOOSE(ArtifactsInput!$N$27+1,20,24,28,32,36,40),0)/100)),0)</f>
        <v>4.4444444444444446E-2</v>
      </c>
      <c r="R2907">
        <f>IF(AND(Inputs!$B$38&lt;&gt;"pvp",Inputs!$B$43&gt;0),IF(MAX(0,Inputs!$B$43-B2938)&lt;=0,0,(INT(MAX(0,Inputs!$B$43-B2938)/(IF(Inputs!$B$38="pvp",15,MAX(0.1,Skills!E7-IF(TRUE=TRUE,2,0)))*(1-IF(AND(ArtifactsInput!$M$27,Inputs!$B$4="Chapter Hunt"),CHOOSE(ArtifactsInput!$N$27+1,20,24,28,32,36,40),0)/100)))+1)),0)</f>
        <v>2</v>
      </c>
      <c r="S2907">
        <f>IF(C2907,(H2907*N2907*IF(AND(Inputs!$B$38&lt;&gt;"pvp",Inputs!$B$43&gt;0),((Skills!G7*((R2907-1)*IF(Skills!H7&gt;0,Skills!I7/Skills!H7,1)+IF(Skills!H7&gt;0,MIN(Skills!I7,MAX(0,MAX(0,Inputs!$B$43-B2938)-((R2907-1)*(IF(Inputs!$B$38="pvp",15,MAX(0.1,Skills!E7-IF(TRUE=TRUE,2,0)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88197317156265.219</v>
      </c>
      <c r="U2907">
        <f>IF(C2907,(H2907*N2907*IF(AND(Inputs!$B$38&lt;&gt;"pvp",Inputs!$B$43&gt;0),((Skills!G7*((R2907-1)*IF(Skills!H7&gt;0,Skills!I7/Skills!H7,1)+IF(Skills!H7&gt;0,MIN(Skills!I7,MAX(0,MAX(0,Inputs!$B$43-B2938)-((R2907-1)*(IF(Inputs!$B$38="pvp",15,MAX(0.1,Skills!E7-IF(TRUE=TRUE,2,0)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837457175521635</v>
      </c>
    </row>
    <row r="2908" spans="1:26" x14ac:dyDescent="0.2">
      <c r="A2908" t="str">
        <f>Skills!A8</f>
        <v>POISON_MIST_DOT</v>
      </c>
      <c r="B2908" t="str">
        <f>Skills!B8</f>
        <v>Poison Mist (fog DoT)</v>
      </c>
      <c r="C2908" t="b">
        <f>TRUE</f>
        <v>1</v>
      </c>
      <c r="D2908">
        <f>IF(Skills!C8=1,60+Inputs!$B$25+Inputs!$B$29,IF(Skills!C8=2,90+Inputs!$B$26+Inputs!$B$29,IF(Skills!C8=3,120+Inputs!$B$27+Inputs!$B$29,MAX(0,(Inputs!$B$3-100)*3)+Inputs!$B$28+Inputs!$B$29)))</f>
        <v>184</v>
      </c>
      <c r="E2908">
        <f>INDEX(FactorTable!$B$2:$Y$301, MATCH(ROUND(MIN(300,MAX(1,D2908)),0), FactorTable!$A$2:$A$301,0), Skills!M8+1)</f>
        <v>1920</v>
      </c>
      <c r="F2908">
        <f>IF(Skills!N8=TRUE,(Skills!L8/10)*(E2908/1000),Skills!L8/10)+Skills!O8</f>
        <v>134.4</v>
      </c>
      <c r="G2908">
        <f>Calc!G8</f>
        <v>50</v>
      </c>
      <c r="H2908">
        <f>Calc!H8</f>
        <v>1</v>
      </c>
      <c r="I2908">
        <f>IF(Skills!X8&lt;&gt;"",1+(Skills!X8/10)*(Z2903/1000)/100,1)</f>
        <v>1.7650000000000001</v>
      </c>
      <c r="J2908">
        <f>((Inputs!$B$6*(1+Inputs!$B$7/100))+(((Inputs!$B$12*(1+Inputs!$B$13/100))-(Inputs!$B$12*(1+Inputs!$B$13/100)))+0.25*(Inputs!$B$14-Inputs!$B$14))*(1+Inputs!$B$7/100))*(F2908/100)</f>
        <v>485364796.74950409</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4447859343581.4561</v>
      </c>
      <c r="L2908">
        <f>K2908*(MIN(Inputs!$B$22+(F2922-Calc!F22),(Inputs!$B$23+(IF(ArtifactsInput!$M$15,CHOOSE(ArtifactsInput!$N$15+1,25,30,35,40,45,50)/100*(Inputs!$B$11-Inputs!$B$11),0))))/100+(Inputs!$B$23+(IF(ArtifactsInput!$M$15,CHOOSE(ArtifactsInput!$N$15+1,25,30,35,40,45,50)/100*(Inputs!$B$11-Inputs!$B$11),0)))/100)/2</f>
        <v>14789132317408.342</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69789915405849.953</v>
      </c>
      <c r="N2908">
        <f>L2908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69789915405849.953</v>
      </c>
      <c r="O2908">
        <f>(1-Summary!$B$11)*S2908+Summary!$B$11*U2908</f>
        <v>2550088823373226</v>
      </c>
      <c r="P2908">
        <f>IF(B2941=0,0,O2908/B2941)</f>
        <v>7.4495221556017316E-2</v>
      </c>
      <c r="Q2908">
        <f>IFERROR(1/(IF(Inputs!$B$38="pvp",15,MAX(0.1,Skills!E8-IF(TRUE=TRUE,2,0)))*(1-IF(AND(ArtifactsInput!$M$27,Inputs!$B$4="Chapter Hunt"),CHOOSE(ArtifactsInput!$N$27+1,20,24,28,32,36,40),0)/100)),0)</f>
        <v>4.4444444444444446E-2</v>
      </c>
      <c r="R2908">
        <f>IF(AND(Inputs!$B$38&lt;&gt;"pvp",Inputs!$B$43&gt;0),IF(MAX(0,Inputs!$B$43-B2938)&lt;=0,0,(INT(MAX(0,Inputs!$B$43-B2938)/(IF(Inputs!$B$38="pvp",15,MAX(0.1,Skills!E8-IF(TRUE=TRUE,2,0)))*(1-IF(AND(ArtifactsInput!$M$27,Inputs!$B$4="Chapter Hunt"),CHOOSE(ArtifactsInput!$N$27+1,20,24,28,32,36,40),0)/100)))+1)),0)</f>
        <v>2</v>
      </c>
      <c r="S2908">
        <f>IF(C2908,(H2908*N2908*IF(AND(Inputs!$B$38&lt;&gt;"pvp",Inputs!$B$43&gt;0),((Skills!G8*((R2908-1)*IF(Skills!H8&gt;0,Skills!I8/Skills!H8,1)+IF(Skills!H8&gt;0,MIN(Skills!I8,MAX(0,MAX(0,Inputs!$B$43-B2938)-((R2908-1)*(IF(Inputs!$B$38="pvp",15,MAX(0.1,Skills!E8-IF(TRUE=TRUE,2,0)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485950199584798.75</v>
      </c>
      <c r="U2908">
        <f>IF(C2908,(H2908*N2908*IF(AND(Inputs!$B$38&lt;&gt;"pvp",Inputs!$B$43&gt;0),((Skills!G8*((R2908-1)*IF(Skills!H8&gt;0,Skills!I8/Skills!H8,1)+IF(Skills!H8&gt;0,MIN(Skills!I8,MAX(0,MAX(0,Inputs!$B$43-B2938)-((R2908-1)*(IF(Inputs!$B$38="pvp",15,MAX(0.1,Skills!E8-IF(TRUE=TRUE,2,0)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4614227447161653</v>
      </c>
    </row>
    <row r="2909" spans="1:26" x14ac:dyDescent="0.2">
      <c r="A2909" t="str">
        <f>Skills!A9</f>
        <v>MIST_ERUPTION</v>
      </c>
      <c r="B2909" t="str">
        <f>Skills!B9</f>
        <v>Mist Eruption</v>
      </c>
      <c r="C2909" t="b">
        <f>Inputs!$B$3&gt;=103</f>
        <v>1</v>
      </c>
      <c r="D2909">
        <f>IF(Skills!C9=1,60+Inputs!$B$25+Inputs!$B$29,IF(Skills!C9=2,90+Inputs!$B$26+Inputs!$B$29,IF(Skills!C9=3,120+Inputs!$B$27+Inputs!$B$29,MAX(0,(Inputs!$B$3-100)*3)+Inputs!$B$28+Inputs!$B$29)))</f>
        <v>185</v>
      </c>
      <c r="E2909">
        <f>INDEX(FactorTable!$B$2:$Y$301, MATCH(ROUND(MIN(300,MAX(1,D2909)),0), FactorTable!$A$2:$A$301,0), Skills!M9+1)</f>
        <v>1925</v>
      </c>
      <c r="F2909">
        <f>IF(Skills!N9=TRUE,(Skills!L9/10)*(E2909/1000),Skills!L9/10)+Skills!O9</f>
        <v>5775</v>
      </c>
      <c r="G2909">
        <f>Calc!G9</f>
        <v>2.5</v>
      </c>
      <c r="H2909">
        <f>Calc!H9</f>
        <v>1</v>
      </c>
      <c r="I2909">
        <f>IF(Skills!X9&lt;&gt;"",1+(Skills!X9/10)*(Z2903/1000)/100,1)</f>
        <v>1</v>
      </c>
      <c r="J2909">
        <f>((Inputs!$B$6*(1+Inputs!$B$7/100))+(((Inputs!$B$12*(1+Inputs!$B$13/100))-(Inputs!$B$12*(1+Inputs!$B$13/100)))+0.25*(Inputs!$B$14-Inputs!$B$14))*(1+Inputs!$B$7/100))*(F2909/100)</f>
        <v>20855518610.330254</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108282694713606.59</v>
      </c>
      <c r="L2909">
        <f>K2909*(MIN(Inputs!$B$22+(F2922-Calc!F22),(Inputs!$B$23+(IF(ArtifactsInput!$M$15,CHOOSE(ArtifactsInput!$N$15+1,25,30,35,40,45,50)/100*(Inputs!$B$11-Inputs!$B$11),0))))/100+(Inputs!$B$23+(IF(ArtifactsInput!$M$15,CHOOSE(ArtifactsInput!$N$15+1,25,30,35,40,45,50)/100*(Inputs!$B$11-Inputs!$B$11),0)))/100)/2</f>
        <v>360039959922741.94</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1699028570875419</v>
      </c>
      <c r="N2909">
        <f>L2909*(1-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1699028570875419</v>
      </c>
      <c r="O2909">
        <f>(1-Summary!$B$11)*S2909+Summary!$B$11*U2909</f>
        <v>3532917534564074.5</v>
      </c>
      <c r="P2909">
        <f>IF(B2941=0,0,O2909/B2941)</f>
        <v>0.10320639503386031</v>
      </c>
      <c r="Q2909">
        <f>IFERROR(1/(IF(Inputs!$B$38="pvp",15,MAX(0.1,Skills!E9-IF(TRUE=TRUE,2,0)))*(1-IF(AND(ArtifactsInput!$M$27,Inputs!$B$4="Chapter Hunt"),CHOOSE(ArtifactsInput!$N$27+1,20,24,28,32,36,40),0)/100)),0)</f>
        <v>4.4444444444444446E-2</v>
      </c>
      <c r="R2909">
        <f>IF(AND(Inputs!$B$38&lt;&gt;"pvp",Inputs!$B$43&gt;0),IF(MAX(0,Inputs!$B$43-B2938)&lt;=0,0,(INT(MAX(0,Inputs!$B$43-B2938)/(IF(Inputs!$B$38="pvp",15,MAX(0.1,Skills!E9-IF(TRUE=TRUE,2,0)))*(1-IF(AND(ArtifactsInput!$M$27,Inputs!$B$4="Chapter Hunt"),CHOOSE(ArtifactsInput!$N$27+1,20,24,28,32,36,40),0)/100)))+1)),0)</f>
        <v>2</v>
      </c>
      <c r="S2909">
        <f>IF(C2909,(H2909*N2909*IF(AND(Inputs!$B$38&lt;&gt;"pvp",Inputs!$B$43&gt;0),((Skills!G9*((R2909-1)*IF(Skills!H9&gt;0,Skills!I9/Skills!H9,1)+IF(Skills!H9&gt;0,MIN(Skills!I9,MAX(0,MAX(0,Inputs!$B$43-B2938)-((R2909-1)*(IF(Inputs!$B$38="pvp",15,MAX(0.1,Skills!E9-IF(TRUE=TRUE,2,0)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673240071209384.75</v>
      </c>
      <c r="U2909">
        <f>IF(C2909,(H2909*N2909*IF(AND(Inputs!$B$38&lt;&gt;"pvp",Inputs!$B$43&gt;0),((Skills!G9*((R2909-1)*IF(Skills!H9&gt;0,Skills!I9/Skills!H9,1)+IF(Skills!H9&gt;0,MIN(Skills!I9,MAX(0,MAX(0,Inputs!$B$43-B2938)-((R2909-1)*(IF(Inputs!$B$38="pvp",15,MAX(0.1,Skills!E9-IF(TRUE=TRUE,2,0)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6392594997918764</v>
      </c>
    </row>
    <row r="2910" spans="1:26" x14ac:dyDescent="0.2">
      <c r="A2910" t="str">
        <f>Skills!A10</f>
        <v>CREEPING_TOXIN</v>
      </c>
      <c r="B2910" t="str">
        <f>Skills!B10</f>
        <v>Creeping Toxin</v>
      </c>
      <c r="C2910" t="b">
        <f>TRUE</f>
        <v>1</v>
      </c>
      <c r="D2910">
        <f>IF(Skills!C10=1,60+Inputs!$B$25+Inputs!$B$29,IF(Skills!C10=2,90+Inputs!$B$26+Inputs!$B$29,IF(Skills!C10=3,120+Inputs!$B$27+Inputs!$B$29,MAX(0,(Inputs!$B$3-100)*3)+Inputs!$B$28+Inputs!$B$29)))</f>
        <v>184</v>
      </c>
      <c r="E2910">
        <f>INDEX(FactorTable!$B$2:$Y$301, MATCH(ROUND(MIN(300,MAX(1,D2910)),0), FactorTable!$A$2:$A$301,0), Skills!M10+1)</f>
        <v>1920</v>
      </c>
      <c r="F2910">
        <f>IF(Skills!N10=TRUE,(Skills!L10/10)*(E2910/1000),Skills!L10/10)+Skills!O10</f>
        <v>280.39999999999998</v>
      </c>
      <c r="G2910">
        <f>Calc!G10</f>
        <v>15</v>
      </c>
      <c r="H2910">
        <f>Calc!H10</f>
        <v>1</v>
      </c>
      <c r="I2910">
        <f>IF(Skills!X10&lt;&gt;"",1+(Skills!X10/10)*(Z2903/1000)/100,1)</f>
        <v>1.7650000000000001</v>
      </c>
      <c r="J2910">
        <f>((Inputs!$B$6*(1+Inputs!$B$7/100))+(((Inputs!$B$12*(1+Inputs!$B$13/100))-(Inputs!$B$12*(1+Inputs!$B$13/100)))+0.25*(Inputs!$B$14-Inputs!$B$14))*(1+Inputs!$B$7/100))*(F2910/100)</f>
        <v>1012621197.9803641</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9279611309079.166</v>
      </c>
      <c r="L2910">
        <f>K2910*(MIN(Inputs!$B$22+(F2922-Calc!F22),(Inputs!$B$23+(IF(ArtifactsInput!$M$15,CHOOSE(ArtifactsInput!$N$15+1,25,30,35,40,45,50)/100*(Inputs!$B$11-Inputs!$B$11),0))))/100+(Inputs!$B$23+(IF(ArtifactsInput!$M$15,CHOOSE(ArtifactsInput!$N$15+1,25,30,35,40,45,50)/100*(Inputs!$B$11-Inputs!$B$11),0)))/100)/2</f>
        <v>30854707602688.23</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145603365177085.75</v>
      </c>
      <c r="N2910">
        <f>L2910*(1-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145603365177085.75</v>
      </c>
      <c r="O2910">
        <f>(1-Summary!$B$11)*S2910+Summary!$B$11*U2910</f>
        <v>361258202433135.88</v>
      </c>
      <c r="P2910">
        <f>IF(B2941=0,0,O2910/B2941)</f>
        <v>1.0553361742743588E-2</v>
      </c>
      <c r="Q2910">
        <f>IFERROR(1/(IF(Inputs!$B$38="pvp",15,MAX(0.1,Skills!E10-IF(TRUE=TRUE,2,0)))*(1-IF(AND(ArtifactsInput!$M$27,Inputs!$B$4="Chapter Hunt"),CHOOSE(ArtifactsInput!$N$27+1,20,24,28,32,36,40),0)/100)),0)</f>
        <v>0.04</v>
      </c>
      <c r="R2910">
        <f>IF(AND(Inputs!$B$38&lt;&gt;"pvp",Inputs!$B$43&gt;0),IF(MAX(0,Inputs!$B$43-B2938)&lt;=0,0,(INT(MAX(0,Inputs!$B$43-B2938)/(IF(Inputs!$B$38="pvp",15,MAX(0.1,Skills!E10-IF(TRUE=TRUE,2,0)))*(1-IF(AND(ArtifactsInput!$M$27,Inputs!$B$4="Chapter Hunt"),CHOOSE(ArtifactsInput!$N$27+1,20,24,28,32,36,40),0)/100)))+1)),0)</f>
        <v>2</v>
      </c>
      <c r="S2910">
        <f>IF(C2910,(H2910*N2910*IF(AND(Inputs!$B$38&lt;&gt;"pvp",Inputs!$B$43&gt;0),((Skills!G10*((R2910-1)*IF(Skills!H10&gt;0,Skills!I10/Skills!H10,1)+IF(Skills!H10&gt;0,MIN(Skills!I10,MAX(0,MAX(0,Inputs!$B$43-B2938)-((R2910-1)*(IF(Inputs!$B$38="pvp",15,MAX(0.1,Skills!E10-IF(TRUE=TRUE,2,0)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318994011619231.38</v>
      </c>
      <c r="U2910">
        <f>IF(C2910,(H2910*N2910*IF(AND(Inputs!$B$38&lt;&gt;"pvp",Inputs!$B$43&gt;0),((Skills!G10*((R2910-1)*IF(Skills!H10&gt;0,Skills!I10/Skills!H10,1)+IF(Skills!H10&gt;0,MIN(Skills!I10,MAX(0,MAX(0,Inputs!$B$43-B2938)-((R2910-1)*(IF(Inputs!$B$38="pvp",15,MAX(0.1,Skills!E10-IF(TRUE=TRUE,2,0)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403522393247040.31</v>
      </c>
    </row>
    <row r="2911" spans="1:26" x14ac:dyDescent="0.2">
      <c r="A2911" t="str">
        <f>Skills!A11</f>
        <v>BURNING_MAGIC</v>
      </c>
      <c r="B2911" t="str">
        <f>Skills!B11</f>
        <v>Burning Magic</v>
      </c>
      <c r="C2911" t="b">
        <f>TRUE</f>
        <v>1</v>
      </c>
      <c r="D2911">
        <f>IF(Skills!C11=1,60+Inputs!$B$25+Inputs!$B$29,IF(Skills!C11=2,90+Inputs!$B$26+Inputs!$B$29,IF(Skills!C11=3,120+Inputs!$B$27+Inputs!$B$29,MAX(0,(Inputs!$B$3-100)*3)+Inputs!$B$28+Inputs!$B$29)))</f>
        <v>184</v>
      </c>
      <c r="E2911">
        <f>INDEX(FactorTable!$B$2:$Y$301, MATCH(ROUND(MIN(300,MAX(1,D2911)),0), FactorTable!$A$2:$A$301,0), Skills!M11+1)</f>
        <v>0</v>
      </c>
      <c r="F2911">
        <f>IF(Skills!N11=TRUE,(Skills!L11/10)*(E2911/1000),Skills!L11/10)+Skills!O11</f>
        <v>5</v>
      </c>
      <c r="G2911">
        <f>Calc!G11</f>
        <v>1</v>
      </c>
      <c r="H2911">
        <f>Calc!H11</f>
        <v>1</v>
      </c>
      <c r="I2911">
        <f>IF(Skills!X11&lt;&gt;"",1+(Skills!X11/10)*(Z2903/1000)/100,1)</f>
        <v>1</v>
      </c>
      <c r="O2911">
        <f>(1-Summary!$B$11)*S2911+Summary!$B$11*U2911</f>
        <v>0</v>
      </c>
      <c r="P2911">
        <f>IF(B2941=0,0,O2911/B2941)</f>
        <v>0</v>
      </c>
      <c r="Q2911">
        <f>IFERROR(1/(IF(Inputs!$B$38="pvp",15,MAX(0.1,Skills!E11-IF(TRUE=TRUE,2,0)))*(1-IF(AND(ArtifactsInput!$M$27,Inputs!$B$4="Chapter Hunt"),CHOOSE(ArtifactsInput!$N$27+1,20,24,28,32,36,40),0)/100)),0)</f>
        <v>10</v>
      </c>
      <c r="R2911">
        <v>0</v>
      </c>
      <c r="S2911">
        <v>0</v>
      </c>
      <c r="U2911">
        <v>0</v>
      </c>
    </row>
    <row r="2912" spans="1:26" x14ac:dyDescent="0.2">
      <c r="A2912" t="str">
        <f>Skills!A12</f>
        <v>ELEMENTAL_DECREASE</v>
      </c>
      <c r="B2912" t="str">
        <f>Skills!B12</f>
        <v>Elemental Decrease</v>
      </c>
      <c r="C2912" t="b">
        <f>TRUE</f>
        <v>1</v>
      </c>
      <c r="D2912">
        <f>IF(Skills!C12=1,60+Inputs!$B$25+Inputs!$B$29,IF(Skills!C12=2,90+Inputs!$B$26+Inputs!$B$29,IF(Skills!C12=3,120+Inputs!$B$27+Inputs!$B$29,MAX(0,(Inputs!$B$3-100)*3)+Inputs!$B$28+Inputs!$B$29)))</f>
        <v>184</v>
      </c>
      <c r="E2912">
        <f>INDEX(FactorTable!$B$2:$Y$301, MATCH(ROUND(MIN(300,MAX(1,D2912)),0), FactorTable!$A$2:$A$301,0), Skills!M12+1)</f>
        <v>1552</v>
      </c>
      <c r="F2912">
        <f>IF(Skills!N12=TRUE,(Skills!L12/10)*(E2912/1000),Skills!L12/10)+Skills!O12</f>
        <v>18.624000000000002</v>
      </c>
      <c r="G2912">
        <f>Calc!G12</f>
        <v>1</v>
      </c>
      <c r="H2912">
        <f>Calc!H12</f>
        <v>0.5</v>
      </c>
      <c r="I2912">
        <f>IF(Skills!X12&lt;&gt;"",1+(Skills!X12/10)*(Z2903/1000)/100,1)</f>
        <v>1</v>
      </c>
      <c r="O2912">
        <f>(1-Summary!$B$11)*S2912+Summary!$B$11*U2912</f>
        <v>0</v>
      </c>
      <c r="P2912">
        <f>IF(B2941=0,0,O2912/B2941)</f>
        <v>0</v>
      </c>
      <c r="Q2912">
        <f>IFERROR(1/(IF(Inputs!$B$38="pvp",15,MAX(0.1,Skills!E12-IF(TRUE=TRUE,2,0)))*(1-IF(AND(ArtifactsInput!$M$27,Inputs!$B$4="Chapter Hunt"),CHOOSE(ArtifactsInput!$N$27+1,20,24,28,32,36,40),0)/100)),0)</f>
        <v>10</v>
      </c>
      <c r="R2912">
        <v>0</v>
      </c>
      <c r="S2912">
        <v>0</v>
      </c>
      <c r="U2912">
        <v>0</v>
      </c>
    </row>
    <row r="2913" spans="1:21" x14ac:dyDescent="0.2">
      <c r="A2913" t="str">
        <f>Skills!A13</f>
        <v>METEOR_SHOWER_BURST</v>
      </c>
      <c r="B2913" t="str">
        <f>Skills!B13</f>
        <v>Meteor Shower (burst)</v>
      </c>
      <c r="C2913" t="b">
        <f>Inputs!$B$3&gt;=105</f>
        <v>1</v>
      </c>
      <c r="D2913">
        <f>IF(Skills!C13=1,60+Inputs!$B$25+Inputs!$B$29,IF(Skills!C13=2,90+Inputs!$B$26+Inputs!$B$29,IF(Skills!C13=3,120+Inputs!$B$27+Inputs!$B$29,MAX(0,(Inputs!$B$3-100)*3)+Inputs!$B$28+Inputs!$B$29)))</f>
        <v>185</v>
      </c>
      <c r="E2913">
        <f>INDEX(FactorTable!$B$2:$Y$301, MATCH(ROUND(MIN(300,MAX(1,D2913)),0), FactorTable!$A$2:$A$301,0), Skills!M13+1)</f>
        <v>1925</v>
      </c>
      <c r="F2913">
        <f>IF(Skills!N13=TRUE,(Skills!L13/10)*(E2913/1000),Skills!L13/10)+Skills!O13</f>
        <v>1155</v>
      </c>
      <c r="G2913">
        <f>Calc!G13</f>
        <v>9</v>
      </c>
      <c r="H2913">
        <f>Calc!H13</f>
        <v>1</v>
      </c>
      <c r="I2913">
        <f>IF(Skills!X13&lt;&gt;"",1+(Skills!X13/10)*(Z2903/1000)/100,1)</f>
        <v>1</v>
      </c>
      <c r="J2913">
        <f>((Inputs!$B$6*(1+Inputs!$B$7/100))+(((Inputs!$B$12*(1+Inputs!$B$13/100))-(Inputs!$B$12*(1+Inputs!$B$13/100)))+0.25*(Inputs!$B$14-Inputs!$B$14))*(1+Inputs!$B$7/100))*(F2913/100)</f>
        <v>4171103722.0660505</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21656538942721.32</v>
      </c>
      <c r="L2913">
        <f>K2913*(MIN(Inputs!$B$22+(F2922-Calc!F22),(Inputs!$B$23+(IF(ArtifactsInput!$M$15,CHOOSE(ArtifactsInput!$N$15+1,25,30,35,40,45,50)/100*(Inputs!$B$11-Inputs!$B$11),0))))/100+(Inputs!$B$23+(IF(ArtifactsInput!$M$15,CHOOSE(ArtifactsInput!$N$15+1,25,30,35,40,45,50)/100*(Inputs!$B$11-Inputs!$B$11),0)))/100)/2</f>
        <v>72007991984548.391</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339805714175083.81</v>
      </c>
      <c r="N2913">
        <f>L2913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339805714175083.81</v>
      </c>
      <c r="O2913">
        <f>(1-Summary!$B$11)*S2913+Summary!$B$11*U2913</f>
        <v>1853300365110907.2</v>
      </c>
      <c r="P2913">
        <f>IF(B2941=0,0,O2913/B2941)</f>
        <v>5.4140083295670494E-2</v>
      </c>
      <c r="Q2913">
        <f>IFERROR(1/(IF(Inputs!$B$38="pvp",15,MAX(0.1,Skills!E13-IF(TRUE=TRUE,2,0)))*(1-IF(AND(ArtifactsInput!$M$27,Inputs!$B$4="Chapter Hunt"),CHOOSE(ArtifactsInput!$N$27+1,20,24,28,32,36,40),0)/100)),0)</f>
        <v>3.2258064516129031E-2</v>
      </c>
      <c r="R2913">
        <f>IF(AND(Inputs!$B$38&lt;&gt;"pvp",Inputs!$B$43&gt;0),IF(MAX(0,Inputs!$B$43-B2938)&lt;=0,0,(INT(MAX(0,Inputs!$B$43-B2938)/(IF(Inputs!$B$38="pvp",15,MAX(0.1,Skills!E13-IF(TRUE=TRUE,2,0)))*(1-IF(AND(ArtifactsInput!$M$27,Inputs!$B$4="Chapter Hunt"),CHOOSE(ArtifactsInput!$N$27+1,20,24,28,32,36,40),0)/100)))+1)),0)</f>
        <v>2</v>
      </c>
      <c r="S2913">
        <f>IF(C2913,(H2913*N2913*IF(AND(Inputs!$B$38&lt;&gt;"pvp",Inputs!$B$43&gt;0),((Skills!G13*((R2913-1)*IF(Skills!H13&gt;0,Skills!I13/Skills!H13,1)+IF(Skills!H13&gt;0,MIN(Skills!I13,MAX(0,MAX(0,Inputs!$B$43-B2938)-((R2913-1)*(IF(Inputs!$B$38="pvp",15,MAX(0.1,Skills!E13-IF(TRUE=TRUE,2,0)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484732851270757.06</v>
      </c>
      <c r="U2913">
        <f>IF(C2913,(H2913*N2913*IF(AND(Inputs!$B$38&lt;&gt;"pvp",Inputs!$B$43&gt;0),((Skills!G13*((R2913-1)*IF(Skills!H13&gt;0,Skills!I13/Skills!H13,1)+IF(Skills!H13&gt;0,MIN(Skills!I13,MAX(0,MAX(0,Inputs!$B$43-B2938)-((R2913-1)*(IF(Inputs!$B$38="pvp",15,MAX(0.1,Skills!E13-IF(TRUE=TRUE,2,0)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3221867878951057.5</v>
      </c>
    </row>
    <row r="2914" spans="1:21" x14ac:dyDescent="0.2">
      <c r="A2914" t="str">
        <f>Skills!A14</f>
        <v>METEOR_PROC</v>
      </c>
      <c r="B2914" t="str">
        <f>Skills!B14</f>
        <v>Meteor Proc (30% on-hit, 1s ICD)</v>
      </c>
      <c r="C2914" t="b">
        <f>Inputs!$B$3&gt;=113</f>
        <v>1</v>
      </c>
      <c r="D2914">
        <f>IF(Skills!C14=1,60+Inputs!$B$25+Inputs!$B$29,IF(Skills!C14=2,90+Inputs!$B$26+Inputs!$B$29,IF(Skills!C14=3,120+Inputs!$B$27+Inputs!$B$29,MAX(0,(Inputs!$B$3-100)*3)+Inputs!$B$28+Inputs!$B$29)))</f>
        <v>185</v>
      </c>
      <c r="E2914">
        <f>INDEX(FactorTable!$B$2:$Y$301, MATCH(ROUND(MIN(300,MAX(1,D2914)),0), FactorTable!$A$2:$A$301,0), Skills!M14+1)</f>
        <v>1740</v>
      </c>
      <c r="F2914">
        <f>IF(Skills!N14=TRUE,(Skills!L14/10)*(E2914/1000),Skills!L14/10)+Skills!O14</f>
        <v>1653</v>
      </c>
      <c r="G2914">
        <f>Calc!G14</f>
        <v>0</v>
      </c>
      <c r="H2914">
        <f>Calc!H14</f>
        <v>0.30000000000000004</v>
      </c>
      <c r="I2914">
        <f>IF(Skills!X14&lt;&gt;"",1+(Skills!X14/10)*(Z2903/1000)/100,1)</f>
        <v>1</v>
      </c>
      <c r="J2914">
        <f>((Inputs!$B$6*(1+Inputs!$B$7/100))+(((Inputs!$B$12*(1+Inputs!$B$13/100))-(Inputs!$B$12*(1+Inputs!$B$13/100)))+0.25*(Inputs!$B$14-Inputs!$B$14))*(1+Inputs!$B$7/100))*(F2914/100)</f>
        <v>5969553638.5932312</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30994163525816.738</v>
      </c>
      <c r="L2914">
        <f>K2914*(MIN(Inputs!$B$22+(F2922-Calc!F22),(Inputs!$B$23+(IF(ArtifactsInput!$M$15,CHOOSE(ArtifactsInput!$N$15+1,25,30,35,40,45,50)/100*(Inputs!$B$11-Inputs!$B$11),0))))/100+(Inputs!$B$23+(IF(ArtifactsInput!$M$15,CHOOSE(ArtifactsInput!$N$15+1,25,30,35,40,45,50)/100*(Inputs!$B$11-Inputs!$B$11),0)))/100)/2</f>
        <v>103055593723340.66</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486319346780444.5</v>
      </c>
      <c r="N2914">
        <f>L2914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486319346780444.5</v>
      </c>
      <c r="O2914">
        <f>(1-Summary!$B$11)*S2914+Summary!$B$11*U2914</f>
        <v>471334625188546.38</v>
      </c>
      <c r="P2914">
        <f>IF(B2941=0,0,O2914/B2941)</f>
        <v>1.3769001694614381E-2</v>
      </c>
      <c r="Q2914">
        <f>IFERROR(1/(IF(Inputs!$B$38="pvp",15,MAX(0.1,Skills!E14-IF(TRUE=TRUE,2,0)))*(1-IF(AND(ArtifactsInput!$M$27,Inputs!$B$4="Chapter Hunt"),CHOOSE(ArtifactsInput!$N$27+1,20,24,28,32,36,40),0)/100)),0)</f>
        <v>10</v>
      </c>
      <c r="R2914">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483537463381130.06</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459131786995962.62</v>
      </c>
    </row>
    <row r="2915" spans="1:21" x14ac:dyDescent="0.2">
      <c r="A2915" t="str">
        <f>Skills!A15</f>
        <v>FLAME_HAZE_BURST</v>
      </c>
      <c r="B2915" t="str">
        <f>Skills!B15</f>
        <v>Flame Haze (burst)</v>
      </c>
      <c r="C2915" t="b">
        <f>Inputs!$B$3&gt;=107</f>
        <v>1</v>
      </c>
      <c r="D2915">
        <f>IF(Skills!C15=1,60+Inputs!$B$25+Inputs!$B$29,IF(Skills!C15=2,90+Inputs!$B$26+Inputs!$B$29,IF(Skills!C15=3,120+Inputs!$B$27+Inputs!$B$29,MAX(0,(Inputs!$B$3-100)*3)+Inputs!$B$28+Inputs!$B$29)))</f>
        <v>185</v>
      </c>
      <c r="E2915">
        <f>INDEX(FactorTable!$B$2:$Y$301, MATCH(ROUND(MIN(300,MAX(1,D2915)),0), FactorTable!$A$2:$A$301,0), Skills!M15+1)</f>
        <v>1925</v>
      </c>
      <c r="F2915">
        <f>IF(Skills!N15=TRUE,(Skills!L15/10)*(E2915/1000),Skills!L15/10)+Skills!O15</f>
        <v>2310</v>
      </c>
      <c r="G2915">
        <f>Calc!G15</f>
        <v>3</v>
      </c>
      <c r="H2915">
        <f>Calc!H15</f>
        <v>1</v>
      </c>
      <c r="I2915">
        <f>IF(Skills!X15&lt;&gt;"",1+(Skills!X15/10)*(Z2903/1000)/100,1)</f>
        <v>1</v>
      </c>
      <c r="J2915">
        <f>((Inputs!$B$6*(1+Inputs!$B$7/100))+(((Inputs!$B$12*(1+Inputs!$B$13/100))-(Inputs!$B$12*(1+Inputs!$B$13/100)))+0.25*(Inputs!$B$14-Inputs!$B$14))*(1+Inputs!$B$7/100))*(F2915/100)</f>
        <v>8342207444.1321011</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43313077885442.641</v>
      </c>
      <c r="L2915">
        <f>K2915*(MIN(Inputs!$B$22+(F2922-Calc!F22),(Inputs!$B$23+(IF(ArtifactsInput!$M$15,CHOOSE(ArtifactsInput!$N$15+1,25,30,35,40,45,50)/100*(Inputs!$B$11-Inputs!$B$11),0))))/100+(Inputs!$B$23+(IF(ArtifactsInput!$M$15,CHOOSE(ArtifactsInput!$N$15+1,25,30,35,40,45,50)/100*(Inputs!$B$11-Inputs!$B$11),0)))/100)/2</f>
        <v>144015983969096.78</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679611428350167.62</v>
      </c>
      <c r="N2915">
        <f>L2915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679611428350167.62</v>
      </c>
      <c r="O2915">
        <f>(1-Summary!$B$11)*S2915+Summary!$B$11*U2915</f>
        <v>1695800416590755.5</v>
      </c>
      <c r="P2915">
        <f>IF(B2941=0,0,O2915/B2941)</f>
        <v>4.9539069616252943E-2</v>
      </c>
      <c r="Q2915">
        <f>IFERROR(1/(IF(Inputs!$B$38="pvp",15,MAX(0.1,Skills!E15-IF(TRUE=TRUE,2,0)))*(1-IF(AND(ArtifactsInput!$M$27,Inputs!$B$4="Chapter Hunt"),CHOOSE(ArtifactsInput!$N$27+1,20,24,28,32,36,40),0)/100)),0)</f>
        <v>4.3478260869565216E-2</v>
      </c>
      <c r="R2915">
        <f>IF(AND(Inputs!$B$38&lt;&gt;"pvp",Inputs!$B$43&gt;0),IF(MAX(0,Inputs!$B$43-B2938)&lt;=0,0,(INT(MAX(0,Inputs!$B$43-B2938)/(IF(Inputs!$B$38="pvp",15,MAX(0.1,Skills!E15-IF(TRUE=TRUE,2,0)))*(1-IF(AND(ArtifactsInput!$M$27,Inputs!$B$4="Chapter Hunt"),CHOOSE(ArtifactsInput!$N$27+1,20,24,28,32,36,40),0)/100)))+1)),0)</f>
        <v>2</v>
      </c>
      <c r="S2915">
        <f>IF(C2915,(H2915*N2915*IF(AND(Inputs!$B$38&lt;&gt;"pvp",Inputs!$B$43&gt;0),((Skills!G15*((R2915-1)*IF(Skills!H15&gt;0,Skills!I15/Skills!H15,1)+IF(Skills!H15&gt;0,MIN(Skills!I15,MAX(0,MAX(0,Inputs!$B$43-B2938)-((R2915-1)*(IF(Inputs!$B$38="pvp",15,MAX(0.1,Skills!E15-IF(TRUE=TRUE,2,0)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323155234180504.69</v>
      </c>
      <c r="U2915">
        <f>IF(C2915,(H2915*N2915*IF(AND(Inputs!$B$38&lt;&gt;"pvp",Inputs!$B$43&gt;0),((Skills!G15*((R2915-1)*IF(Skills!H15&gt;0,Skills!I15/Skills!H15,1)+IF(Skills!H15&gt;0,MIN(Skills!I15,MAX(0,MAX(0,Inputs!$B$43-B2938)-((R2915-1)*(IF(Inputs!$B$38="pvp",15,MAX(0.1,Skills!E15-IF(TRUE=TRUE,2,0)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3068445599001006.5</v>
      </c>
    </row>
    <row r="2916" spans="1:21" x14ac:dyDescent="0.2">
      <c r="A2916" t="str">
        <f>Skills!A16</f>
        <v>FLAME_HAZE_DOT</v>
      </c>
      <c r="B2916" t="str">
        <f>Skills!B16</f>
        <v>Flame Haze (burn DoT)</v>
      </c>
      <c r="C2916" t="b">
        <f>Inputs!$B$3&gt;=107</f>
        <v>1</v>
      </c>
      <c r="D2916">
        <f>IF(Skills!C16=1,60+Inputs!$B$25+Inputs!$B$29,IF(Skills!C16=2,90+Inputs!$B$26+Inputs!$B$29,IF(Skills!C16=3,120+Inputs!$B$27+Inputs!$B$29,MAX(0,(Inputs!$B$3-100)*3)+Inputs!$B$28+Inputs!$B$29)))</f>
        <v>185</v>
      </c>
      <c r="E2916">
        <f>INDEX(FactorTable!$B$2:$Y$301, MATCH(ROUND(MIN(300,MAX(1,D2916)),0), FactorTable!$A$2:$A$301,0), Skills!M16+1)</f>
        <v>1925</v>
      </c>
      <c r="F2916">
        <f>IF(Skills!N16=TRUE,(Skills!L16/10)*(E2916/1000),Skills!L16/10)+Skills!O16</f>
        <v>288.75</v>
      </c>
      <c r="G2916">
        <f>Calc!G16</f>
        <v>30</v>
      </c>
      <c r="H2916">
        <f>Calc!H16</f>
        <v>1</v>
      </c>
      <c r="I2916">
        <f>IF(Skills!X16&lt;&gt;"",1+(Skills!X16/10)*(Z2903/1000)/100,1)</f>
        <v>1</v>
      </c>
      <c r="J2916">
        <f>((Inputs!$B$6*(1+Inputs!$B$7/100))+(((Inputs!$B$12*(1+Inputs!$B$13/100))-(Inputs!$B$12*(1+Inputs!$B$13/100)))+0.25*(Inputs!$B$14-Inputs!$B$14))*(1+Inputs!$B$7/100))*(F2916/100)</f>
        <v>1042775930.5165126</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5414134735680.3301</v>
      </c>
      <c r="L2916">
        <f>K2916*(MIN(Inputs!$B$22+(F2922-Calc!F22),(Inputs!$B$23+(IF(ArtifactsInput!$M$15,CHOOSE(ArtifactsInput!$N$15+1,25,30,35,40,45,50)/100*(Inputs!$B$11-Inputs!$B$11),0))))/100+(Inputs!$B$23+(IF(ArtifactsInput!$M$15,CHOOSE(ArtifactsInput!$N$15+1,25,30,35,40,45,50)/100*(Inputs!$B$11-Inputs!$B$11),0)))/100)/2</f>
        <v>18001997996137.098</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84951428543770.953</v>
      </c>
      <c r="N2916">
        <f>L2916*(1-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84951428543770.953</v>
      </c>
      <c r="O2916">
        <f>(1-Summary!$B$11)*S2916+Summary!$B$11*U2916</f>
        <v>2094645453732077</v>
      </c>
      <c r="P2916">
        <f>IF(B2941=0,0,O2916/B2941)</f>
        <v>6.1190447849054252E-2</v>
      </c>
      <c r="Q2916">
        <f>IFERROR(1/(IF(Inputs!$B$38="pvp",15,MAX(0.1,Skills!E16-IF(TRUE=TRUE,2,0)))*(1-IF(AND(ArtifactsInput!$M$27,Inputs!$B$4="Chapter Hunt"),CHOOSE(ArtifactsInput!$N$27+1,20,24,28,32,36,40),0)/100)),0)</f>
        <v>4.3478260869565216E-2</v>
      </c>
      <c r="R2916">
        <f>IF(AND(Inputs!$B$38&lt;&gt;"pvp",Inputs!$B$43&gt;0),IF(MAX(0,Inputs!$B$43-B2938)&lt;=0,0,(INT(MAX(0,Inputs!$B$43-B2938)/(IF(Inputs!$B$38="pvp",15,MAX(0.1,Skills!E16-IF(TRUE=TRUE,2,0)))*(1-IF(AND(ArtifactsInput!$M$27,Inputs!$B$4="Chapter Hunt"),CHOOSE(ArtifactsInput!$N$27+1,20,24,28,32,36,40),0)/100)))+1)),0)</f>
        <v>2</v>
      </c>
      <c r="S2916">
        <f>IF(C2916,(H2916*N2916*IF(AND(Inputs!$B$38&lt;&gt;"pvp",Inputs!$B$43&gt;0),((Skills!G16*((R2916-1)*IF(Skills!H16&gt;0,Skills!I16/Skills!H16,1)+IF(Skills!H16&gt;0,MIN(Skills!I16,MAX(0,MAX(0,Inputs!$B$43-B2938)-((R2916-1)*(IF(Inputs!$B$38="pvp",15,MAX(0.1,Skills!E16-IF(TRUE=TRUE,2,0)))*(1-IF(AND(ArtifactsInput!$M$27,Inputs!$B$4="Chapter Hunt"),CHOOSE(ArtifactsInput!$N$27+1,20,24,28,32,36,40),0)/100)))))/Skills!H16,1)))/Inputs!$B$43),G2916*Q2916)*(1+IF(Inputs!$B$3&gt;=126,0.05*(B2936+Q2913+(H2914*B2937)/(1+Skills!H14*H2914*B2937)+Q2924),0)*(1/Q2915)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399159969241399.75</v>
      </c>
      <c r="U2916">
        <f>IF(C2916,(H2916*N2916*IF(AND(Inputs!$B$38&lt;&gt;"pvp",Inputs!$B$43&gt;0),((Skills!G16*((R2916-1)*IF(Skills!H16&gt;0,Skills!I16/Skills!H16,1)+IF(Skills!H16&gt;0,MIN(Skills!I16,MAX(0,MAX(0,Inputs!$B$43-B2938)-((R2916-1)*(IF(Inputs!$B$38="pvp",15,MAX(0.1,Skills!E16-IF(TRUE=TRUE,2,0)))*(1-IF(AND(ArtifactsInput!$M$27,Inputs!$B$4="Chapter Hunt"),CHOOSE(ArtifactsInput!$N$27+1,20,24,28,32,36,40),0)/100)))))/Skills!H16,1)))/Inputs!$B$43),G2916*Q2916)*(1+IF(Inputs!$B$3&gt;=126,0.05*(B2936+Q2913+(H2914*B2937)/(1+Skills!H14*H2914*B2937)+Q2924),0)*(1/Q2915)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3790130938222754.5</v>
      </c>
    </row>
    <row r="2917" spans="1:21" x14ac:dyDescent="0.2">
      <c r="A2917" t="str">
        <f>Skills!A17</f>
        <v>MAGIC_GUARD</v>
      </c>
      <c r="B2917" t="str">
        <f>Skills!B17</f>
        <v>Magic Guard</v>
      </c>
      <c r="C2917" t="b">
        <f>TRUE</f>
        <v>1</v>
      </c>
      <c r="D2917">
        <f>IF(Skills!C17=1,60+Inputs!$B$25+Inputs!$B$29,IF(Skills!C17=2,90+Inputs!$B$26+Inputs!$B$29,IF(Skills!C17=3,120+Inputs!$B$27+Inputs!$B$29,MAX(0,(Inputs!$B$3-100)*3)+Inputs!$B$28+Inputs!$B$29)))</f>
        <v>127</v>
      </c>
      <c r="E2917">
        <f>INDEX(FactorTable!$B$2:$Y$301, MATCH(ROUND(MIN(300,MAX(1,D2917)),0), FactorTable!$A$2:$A$301,0), Skills!M17+1)</f>
        <v>1508</v>
      </c>
      <c r="F2917">
        <f>IF(Skills!N17=TRUE,(Skills!L17/10)*(E2917/1000),Skills!L17/10)+Skills!O17</f>
        <v>18.096</v>
      </c>
      <c r="G2917">
        <f>Calc!G17</f>
        <v>1</v>
      </c>
      <c r="H2917">
        <f>Calc!H17</f>
        <v>1</v>
      </c>
      <c r="I2917">
        <f>IF(Skills!X17&lt;&gt;"",1+(Skills!X17/10)*(Z2903/1000)/100,1)</f>
        <v>1</v>
      </c>
      <c r="O2917">
        <f>(1-Summary!$B$11)*S2917+Summary!$B$11*U2917</f>
        <v>0</v>
      </c>
      <c r="P2917">
        <f>IF(B2941=0,0,O2917/B2941)</f>
        <v>0</v>
      </c>
      <c r="Q2917">
        <f>IFERROR(1/(IF(Inputs!$B$38="pvp",15,MAX(0.1,Skills!E17-IF(TRUE=TRUE,2,0)))*(1-IF(AND(ArtifactsInput!$M$27,Inputs!$B$4="Chapter Hunt"),CHOOSE(ArtifactsInput!$N$27+1,20,24,28,32,36,40),0)/100)),0)</f>
        <v>5.2631578947368418E-2</v>
      </c>
      <c r="R2917">
        <f>IF(AND(Inputs!$B$38&lt;&gt;"pvp",Inputs!$B$43&gt;0),IF(Inputs!$B$43&lt;=0,0,(INT(Inputs!$B$43/(IF(Inputs!$B$38="pvp",15,MAX(0.1,Skills!E17-IF(TRUE=TRUE,2,0)))*(1-IF(AND(ArtifactsInput!$M$27,Inputs!$B$4="Chapter Hunt"),CHOOSE(ArtifactsInput!$N$27+1,20,24,28,32,36,40),0)/100)))+1)),0)</f>
        <v>3</v>
      </c>
      <c r="S2917">
        <v>0</v>
      </c>
      <c r="U2917">
        <v>0</v>
      </c>
    </row>
    <row r="2918" spans="1:21" x14ac:dyDescent="0.2">
      <c r="A2918" t="str">
        <f>Skills!A18</f>
        <v>NIMBLE_FEET</v>
      </c>
      <c r="B2918" t="str">
        <f>Skills!B18</f>
        <v>Nimble Feet</v>
      </c>
      <c r="C2918" t="b">
        <f>TRUE</f>
        <v>1</v>
      </c>
      <c r="D2918">
        <f>IF(Skills!C18=1,60+Inputs!$B$25+Inputs!$B$29,IF(Skills!C18=2,90+Inputs!$B$26+Inputs!$B$29,IF(Skills!C18=3,120+Inputs!$B$27+Inputs!$B$29,MAX(0,(Inputs!$B$3-100)*3)+Inputs!$B$28+Inputs!$B$29)))</f>
        <v>127</v>
      </c>
      <c r="E2918">
        <f>INDEX(FactorTable!$B$2:$Y$301, MATCH(ROUND(MIN(300,MAX(1,D2918)),0), FactorTable!$A$2:$A$301,0), Skills!M18+1)</f>
        <v>0</v>
      </c>
      <c r="F2918">
        <f>IF(Skills!N18=TRUE,(Skills!L18/10)*(E2918/1000),Skills!L18/10)+Skills!O18</f>
        <v>15</v>
      </c>
      <c r="G2918">
        <f>Calc!G18</f>
        <v>1</v>
      </c>
      <c r="H2918">
        <f>Calc!H18</f>
        <v>1</v>
      </c>
      <c r="I2918">
        <f>IF(Skills!X18&lt;&gt;"",1+(Skills!X18/10)*(Z2903/1000)/100,1)</f>
        <v>1</v>
      </c>
      <c r="O2918">
        <f>(1-Summary!$B$11)*S2918+Summary!$B$11*U2918</f>
        <v>0</v>
      </c>
      <c r="P2918">
        <f>IF(B2941=0,0,O2918/B2941)</f>
        <v>0</v>
      </c>
      <c r="Q2918">
        <f>IFERROR(1/(IF(Inputs!$B$38="pvp",15,MAX(0.1,Skills!E18-IF(TRUE=TRUE,2,0)))*(1-IF(AND(ArtifactsInput!$M$27,Inputs!$B$4="Chapter Hunt"),CHOOSE(ArtifactsInput!$N$27+1,20,24,28,32,36,40),0)/100)),0)</f>
        <v>1.7241379310344827E-2</v>
      </c>
      <c r="R2918">
        <f>IF(AND(Inputs!$B$38&lt;&gt;"pvp",Inputs!$B$43&gt;0),IF(Inputs!$B$43&lt;=0,0,(INT(Inputs!$B$43/(IF(Inputs!$B$38="pvp",15,MAX(0.1,Skills!E18-IF(TRUE=TRUE,2,0)))*(1-IF(AND(ArtifactsInput!$M$27,Inputs!$B$4="Chapter Hunt"),CHOOSE(ArtifactsInput!$N$27+1,20,24,28,32,36,40),0)/100)))+1)),0)</f>
        <v>1</v>
      </c>
      <c r="S2918">
        <v>0</v>
      </c>
      <c r="U2918">
        <v>0</v>
      </c>
    </row>
    <row r="2919" spans="1:21" x14ac:dyDescent="0.2">
      <c r="A2919" t="str">
        <f>Skills!A19</f>
        <v>INFINITY</v>
      </c>
      <c r="B2919" t="str">
        <f>Skills!B19</f>
        <v>Infinity</v>
      </c>
      <c r="C2919" t="b">
        <f>Inputs!$B$3&gt;=110</f>
        <v>1</v>
      </c>
      <c r="D2919">
        <f>IF(Skills!C19=1,60+Inputs!$B$25+Inputs!$B$29,IF(Skills!C19=2,90+Inputs!$B$26+Inputs!$B$29,IF(Skills!C19=3,120+Inputs!$B$27+Inputs!$B$29,MAX(0,(Inputs!$B$3-100)*3)+Inputs!$B$28+Inputs!$B$29)))</f>
        <v>185</v>
      </c>
      <c r="E2919">
        <f>INDEX(FactorTable!$B$2:$Y$301, MATCH(ROUND(MIN(300,MAX(1,D2919)),0), FactorTable!$A$2:$A$301,0), Skills!M19+1)</f>
        <v>1740</v>
      </c>
      <c r="F2919">
        <f>IF(Skills!N19=TRUE,(Skills!L19/10)*(E2919/1000),Skills!L19/10)+Skills!O19</f>
        <v>37.700579999999995</v>
      </c>
      <c r="G2919">
        <f>Calc!G19</f>
        <v>1</v>
      </c>
      <c r="H2919">
        <f>Calc!H19</f>
        <v>1</v>
      </c>
      <c r="I2919">
        <f>IF(Skills!X19&lt;&gt;"",1+(Skills!X19/10)*(Z2903/1000)/100,1)</f>
        <v>1</v>
      </c>
      <c r="O2919">
        <f>(1-Summary!$B$11)*S2919+Summary!$B$11*U2919</f>
        <v>0</v>
      </c>
      <c r="P2919">
        <f>IF(B2941=0,0,O2919/B2941)</f>
        <v>0</v>
      </c>
      <c r="Q2919">
        <f>IFERROR(1/(IF(Inputs!$B$38="pvp",15,MAX(0.1,Skills!E19-IF(TRUE=TRUE,2,0)))*(1-IF(AND(ArtifactsInput!$M$27,Inputs!$B$4="Chapter Hunt"),CHOOSE(ArtifactsInput!$N$27+1,20,24,28,32,36,40),0)/100)),0)</f>
        <v>3.5714285714285712E-2</v>
      </c>
      <c r="R2919">
        <f>IF(AND(Inputs!$B$38&lt;&gt;"pvp",Inputs!$B$43&gt;0),IF(Inputs!$B$43&lt;=0,0,(INT(Inputs!$B$43/(IF(Inputs!$B$38="pvp",15,MAX(0.1,Skills!E19-IF(TRUE=TRUE,2,0)))*(1-IF(AND(ArtifactsInput!$M$27,Inputs!$B$4="Chapter Hunt"),CHOOSE(ArtifactsInput!$N$27+1,20,24,28,32,36,40),0)/100)))+1)),0)</f>
        <v>2</v>
      </c>
      <c r="S2919">
        <v>0</v>
      </c>
      <c r="U2919">
        <v>0</v>
      </c>
    </row>
    <row r="2920" spans="1:21" x14ac:dyDescent="0.2">
      <c r="A2920" t="str">
        <f>Skills!A20</f>
        <v>MAGIC_CRITICAL_RATE</v>
      </c>
      <c r="B2920" t="str">
        <f>Skills!B20</f>
        <v>Magic Critical (Crit Rate)</v>
      </c>
      <c r="C2920" t="b">
        <f>TRUE</f>
        <v>1</v>
      </c>
      <c r="D2920">
        <f>IF(Skills!C20=1,60+Inputs!$B$25+Inputs!$B$29,IF(Skills!C20=2,90+Inputs!$B$26+Inputs!$B$29,IF(Skills!C20=3,120+Inputs!$B$27+Inputs!$B$29,MAX(0,(Inputs!$B$3-100)*3)+Inputs!$B$28+Inputs!$B$29)))</f>
        <v>184</v>
      </c>
      <c r="E2920">
        <f>INDEX(FactorTable!$B$2:$Y$301, MATCH(ROUND(MIN(300,MAX(1,D2920)),0), FactorTable!$A$2:$A$301,0), Skills!M20+1)</f>
        <v>1552</v>
      </c>
      <c r="F2920">
        <f>IF(Skills!N20=TRUE,(Skills!L20/10)*(E2920/1000),Skills!L20/10)+Skills!O20</f>
        <v>12.416</v>
      </c>
      <c r="G2920">
        <f>Calc!G20</f>
        <v>1</v>
      </c>
      <c r="H2920">
        <f>Calc!H20</f>
        <v>1</v>
      </c>
      <c r="I2920">
        <f>IF(Skills!X20&lt;&gt;"",1+(Skills!X20/10)*(Z2903/1000)/100,1)</f>
        <v>1</v>
      </c>
      <c r="O2920">
        <f>(1-Summary!$B$11)*S2920+Summary!$B$11*U2920</f>
        <v>0</v>
      </c>
      <c r="P2920">
        <f>IF(B2941=0,0,O2920/B2941)</f>
        <v>0</v>
      </c>
      <c r="Q2920">
        <f>IFERROR(1/(IF(Inputs!$B$38="pvp",15,MAX(0.1,Skills!E20-IF(TRUE=TRUE,2,0)))*(1-IF(AND(ArtifactsInput!$M$27,Inputs!$B$4="Chapter Hunt"),CHOOSE(ArtifactsInput!$N$27+1,20,24,28,32,36,40),0)/100)),0)</f>
        <v>10</v>
      </c>
      <c r="R2920">
        <v>0</v>
      </c>
      <c r="S2920">
        <v>0</v>
      </c>
      <c r="U2920">
        <v>0</v>
      </c>
    </row>
    <row r="2921" spans="1:21" x14ac:dyDescent="0.2">
      <c r="A2921" t="str">
        <f>Skills!A21</f>
        <v>MAGIC_CRITICAL_DAMAGE</v>
      </c>
      <c r="B2921" t="str">
        <f>Skills!B21</f>
        <v>Magic Critical (Crit Damage)</v>
      </c>
      <c r="C2921" t="b">
        <f>TRUE</f>
        <v>1</v>
      </c>
      <c r="D2921">
        <f>IF(Skills!C21=1,60+Inputs!$B$25+Inputs!$B$29,IF(Skills!C21=2,90+Inputs!$B$26+Inputs!$B$29,IF(Skills!C21=3,120+Inputs!$B$27+Inputs!$B$29,MAX(0,(Inputs!$B$3-100)*3)+Inputs!$B$28+Inputs!$B$29)))</f>
        <v>184</v>
      </c>
      <c r="E2921">
        <f>INDEX(FactorTable!$B$2:$Y$301, MATCH(ROUND(MIN(300,MAX(1,D2921)),0), FactorTable!$A$2:$A$301,0), Skills!M21+1)</f>
        <v>1552</v>
      </c>
      <c r="F2921">
        <f>IF(Skills!N21=TRUE,(Skills!L21/10)*(E2921/1000),Skills!L21/10)+Skills!O21</f>
        <v>18.624000000000002</v>
      </c>
      <c r="G2921">
        <f>Calc!G21</f>
        <v>1</v>
      </c>
      <c r="H2921">
        <f>Calc!H21</f>
        <v>1</v>
      </c>
      <c r="I2921">
        <f>IF(Skills!X21&lt;&gt;"",1+(Skills!X21/10)*(Z2903/1000)/100,1)</f>
        <v>1</v>
      </c>
      <c r="O2921">
        <f>(1-Summary!$B$11)*S2921+Summary!$B$11*U2921</f>
        <v>0</v>
      </c>
      <c r="P2921">
        <f>IF(B2941=0,0,O2921/B2941)</f>
        <v>0</v>
      </c>
      <c r="Q2921">
        <f>IFERROR(1/(IF(Inputs!$B$38="pvp",15,MAX(0.1,Skills!E21-IF(TRUE=TRUE,2,0)))*(1-IF(AND(ArtifactsInput!$M$27,Inputs!$B$4="Chapter Hunt"),CHOOSE(ArtifactsInput!$N$27+1,20,24,28,32,36,40),0)/100)),0)</f>
        <v>10</v>
      </c>
      <c r="R2921">
        <v>0</v>
      </c>
      <c r="S2921">
        <v>0</v>
      </c>
      <c r="U2921">
        <v>0</v>
      </c>
    </row>
    <row r="2922" spans="1:21" x14ac:dyDescent="0.2">
      <c r="A2922" t="str">
        <f>Skills!A22</f>
        <v>SPELL_MASTERY</v>
      </c>
      <c r="B2922" t="str">
        <f>Skills!B22</f>
        <v>Spell Mastery</v>
      </c>
      <c r="C2922" t="b">
        <f>TRUE</f>
        <v>1</v>
      </c>
      <c r="D2922">
        <f>IF(Skills!C22=1,60+Inputs!$B$25+Inputs!$B$29,IF(Skills!C22=2,90+Inputs!$B$26+Inputs!$B$29,IF(Skills!C22=3,120+Inputs!$B$27+Inputs!$B$29,MAX(0,(Inputs!$B$3-100)*3)+Inputs!$B$28+Inputs!$B$29)))</f>
        <v>168</v>
      </c>
      <c r="E2922">
        <f>INDEX(FactorTable!$B$2:$Y$301, MATCH(ROUND(MIN(300,MAX(1,D2922)),0), FactorTable!$A$2:$A$301,0), Skills!M22+1)</f>
        <v>1504</v>
      </c>
      <c r="F2922">
        <f>IF(Skills!N22=TRUE,(Skills!L22/10)*(E2922/1000),Skills!L22/10)+Skills!O22</f>
        <v>22.56</v>
      </c>
      <c r="G2922">
        <f>Calc!G22</f>
        <v>1</v>
      </c>
      <c r="H2922">
        <f>Calc!H22</f>
        <v>1</v>
      </c>
      <c r="I2922">
        <f>IF(Skills!X22&lt;&gt;"",1+(Skills!X22/10)*(Z2903/1000)/100,1)</f>
        <v>1</v>
      </c>
      <c r="O2922">
        <f>(1-Summary!$B$11)*S2922+Summary!$B$11*U2922</f>
        <v>0</v>
      </c>
      <c r="P2922">
        <f>IF(B2941=0,0,O2922/B2941)</f>
        <v>0</v>
      </c>
      <c r="Q2922">
        <f>IFERROR(1/(IF(Inputs!$B$38="pvp",15,MAX(0.1,Skills!E22-IF(TRUE=TRUE,2,0)))*(1-IF(AND(ArtifactsInput!$M$27,Inputs!$B$4="Chapter Hunt"),CHOOSE(ArtifactsInput!$N$27+1,20,24,28,32,36,40),0)/100)),0)</f>
        <v>10</v>
      </c>
      <c r="R2922">
        <v>0</v>
      </c>
      <c r="S2922">
        <v>0</v>
      </c>
      <c r="U2922">
        <v>0</v>
      </c>
    </row>
    <row r="2923" spans="1:21" x14ac:dyDescent="0.2">
      <c r="A2923" t="str">
        <f>Skills!A23</f>
        <v>ELEMENT_AMPLIFICATION</v>
      </c>
      <c r="B2923" t="str">
        <f>Skills!B23</f>
        <v>Element Amplification</v>
      </c>
      <c r="C2923" t="b">
        <f>TRUE</f>
        <v>1</v>
      </c>
      <c r="D2923">
        <f>IF(Skills!C23=1,60+Inputs!$B$25+Inputs!$B$29,IF(Skills!C23=2,90+Inputs!$B$26+Inputs!$B$29,IF(Skills!C23=3,120+Inputs!$B$27+Inputs!$B$29,MAX(0,(Inputs!$B$3-100)*3)+Inputs!$B$28+Inputs!$B$29)))</f>
        <v>185</v>
      </c>
      <c r="E2923">
        <f>INDEX(FactorTable!$B$2:$Y$301, MATCH(ROUND(MIN(300,MAX(1,D2923)),0), FactorTable!$A$2:$A$301,0), Skills!M23+1)</f>
        <v>1555</v>
      </c>
      <c r="F2923">
        <f>IF(Skills!N23=TRUE,(Skills!L23/10)*(E2923/1000),Skills!L23/10)+Skills!O23</f>
        <v>23.324999999999999</v>
      </c>
      <c r="G2923">
        <f>Calc!G23</f>
        <v>1</v>
      </c>
      <c r="H2923">
        <f>Calc!H23</f>
        <v>1</v>
      </c>
      <c r="I2923">
        <f>IF(Skills!X23&lt;&gt;"",1+(Skills!X23/10)*(Z2903/1000)/100,1)</f>
        <v>1</v>
      </c>
      <c r="O2923">
        <f>(1-Summary!$B$11)*S2923+Summary!$B$11*U2923</f>
        <v>0</v>
      </c>
      <c r="P2923">
        <f>IF(B2941=0,0,O2923/B2941)</f>
        <v>0</v>
      </c>
      <c r="Q2923">
        <f>IFERROR(1/(IF(Inputs!$B$38="pvp",15,MAX(0.1,Skills!E23-IF(TRUE=TRUE,2,0)))*(1-IF(AND(ArtifactsInput!$M$27,Inputs!$B$4="Chapter Hunt"),CHOOSE(ArtifactsInput!$N$27+1,20,24,28,32,36,40),0)/100)),0)</f>
        <v>10</v>
      </c>
      <c r="R2923">
        <v>0</v>
      </c>
      <c r="S2923">
        <v>0</v>
      </c>
      <c r="U2923">
        <v>0</v>
      </c>
    </row>
    <row r="2924" spans="1:21" x14ac:dyDescent="0.2">
      <c r="A2924" t="str">
        <f>Skills!A24</f>
        <v>IFRIT</v>
      </c>
      <c r="B2924" t="str">
        <f>Skills!B24</f>
        <v>Ifrit</v>
      </c>
      <c r="C2924" t="b">
        <f>Inputs!$B$3&gt;=115</f>
        <v>1</v>
      </c>
      <c r="D2924">
        <f>IF(Skills!C24=1,60+Inputs!$B$25+Inputs!$B$29,IF(Skills!C24=2,90+Inputs!$B$26+Inputs!$B$29,IF(Skills!C24=3,120+Inputs!$B$27+Inputs!$B$29,MAX(0,(Inputs!$B$3-100)*3)+Inputs!$B$28+Inputs!$B$29)))</f>
        <v>185</v>
      </c>
      <c r="E2924">
        <f>INDEX(FactorTable!$B$2:$Y$301, MATCH(ROUND(MIN(300,MAX(1,D2924)),0), FactorTable!$A$2:$A$301,0), Skills!M24+1)</f>
        <v>1925</v>
      </c>
      <c r="F2924">
        <f>IF(Skills!N24=TRUE,(Skills!L24/10)*(E2924/1000),Skills!L24/10)+Skills!O24</f>
        <v>6737.5</v>
      </c>
      <c r="G2924">
        <f>Calc!G24</f>
        <v>7.5</v>
      </c>
      <c r="H2924">
        <f>Calc!H24</f>
        <v>1</v>
      </c>
      <c r="I2924">
        <f>IF(Skills!X24&lt;&gt;"",1+(Skills!X24/10)*(Z2903/1000)/100,1)</f>
        <v>1</v>
      </c>
      <c r="J2924">
        <f>((Inputs!$B$6*(1+Inputs!$B$7/100))+(((Inputs!$B$12*(1+Inputs!$B$13/100))-(Inputs!$B$12*(1+Inputs!$B$13/100)))+0.25*(Inputs!$B$14-Inputs!$B$14))*(1+Inputs!$B$7/100))*(F2924/100)</f>
        <v>24331438378.718628</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126329810499207.7</v>
      </c>
      <c r="L2924">
        <f>K2924*(MIN(Inputs!$B$22+(F2922-Calc!F22),(Inputs!$B$23+(IF(ArtifactsInput!$M$15,CHOOSE(ArtifactsInput!$N$15+1,25,30,35,40,45,50)/100*(Inputs!$B$11-Inputs!$B$11),0))))/100+(Inputs!$B$23+(IF(ArtifactsInput!$M$15,CHOOSE(ArtifactsInput!$N$15+1,25,30,35,40,45,50)/100*(Inputs!$B$11-Inputs!$B$11),0)))/100)/2</f>
        <v>420046619909865.62</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1982199999354655.8</v>
      </c>
      <c r="N2924">
        <f>L2924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1982199999354655.8</v>
      </c>
      <c r="O2924">
        <f>(1-Summary!$B$11)*S2924+Summary!$B$11*U2924</f>
        <v>2267141249261887</v>
      </c>
      <c r="P2924">
        <f>IF(B2941=0,0,O2924/B2941)</f>
        <v>6.6229532130234969E-2</v>
      </c>
      <c r="Q2924">
        <f>IFERROR(1/(IF(Inputs!$B$38="pvp",15,MAX(0.1,Skills!E24-IF(TRUE=TRUE,2,0)))*(1-IF(AND(ArtifactsInput!$M$27,Inputs!$B$4="Chapter Hunt"),CHOOSE(ArtifactsInput!$N$27+1,20,24,28,32,36,40),0)/100)),0)</f>
        <v>1.282051282051282E-2</v>
      </c>
      <c r="R2924">
        <f>IF(AND(Inputs!$B$38&lt;&gt;"pvp",Inputs!$B$43&gt;0),IF(MAX(0,Inputs!$B$43-B2938)&lt;=0,0,(INT(MAX(0,Inputs!$B$43-B2938)/(IF(Inputs!$B$38="pvp",15,MAX(0.1,Skills!E24-IF(TRUE=TRUE,2,0)))*(1-IF(AND(ArtifactsInput!$M$27,Inputs!$B$4="Chapter Hunt"),CHOOSE(ArtifactsInput!$N$27+1,20,24,28,32,36,40),0)/100)))+1)),0)</f>
        <v>1</v>
      </c>
      <c r="S2924">
        <f>IF(C2924,(H2924*N2924*IF(AND(Inputs!$B$38&lt;&gt;"pvp",Inputs!$B$43&gt;0),((Skills!G24*((R2924-1)*IF(Skills!H24&gt;0,Skills!I24/Skills!H24,1)+IF(Skills!H24&gt;0,MIN(Skills!I24,MAX(0,MAX(0,Inputs!$B$43-B2938)-((R2924-1)*(IF(Inputs!$B$38="pvp",15,MAX(0.1,Skills!E24-IF(TRUE=TRUE,2,0)))*(1-IF(AND(ArtifactsInput!$M$27,Inputs!$B$4="Chapter Hunt"),CHOOSE(ArtifactsInput!$N$27+1,20,24,28,32,36,40),0)/100)))))/Skills!H24,1)))/Inputs!$B$43),G2924*Q2924)*(1+IF(Inputs!$B$3&gt;=130,0.2*(Skills!I16/(1/Q2915)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1178170124616423.5</v>
      </c>
      <c r="U2924">
        <f>IF(C2924,(H2924*N2924*IF(AND(Inputs!$B$38&lt;&gt;"pvp",Inputs!$B$43&gt;0),((Skills!G24*((R2924-1)*IF(Skills!H24&gt;0,Skills!I24/Skills!H24,1)+IF(Skills!H24&gt;0,MIN(Skills!I24,MAX(0,MAX(0,Inputs!$B$43-B2938)-((R2924-1)*(IF(Inputs!$B$38="pvp",15,MAX(0.1,Skills!E24-IF(TRUE=TRUE,2,0)))*(1-IF(AND(ArtifactsInput!$M$27,Inputs!$B$4="Chapter Hunt"),CHOOSE(ArtifactsInput!$N$27+1,20,24,28,32,36,40),0)/100)))))/Skills!H24,1)))/Inputs!$B$43),G2924*Q2924)*(1+IF(Inputs!$B$3&gt;=130,0.2*(Skills!I16/(1/Q2915)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3356112373907351</v>
      </c>
    </row>
    <row r="2925" spans="1:21" x14ac:dyDescent="0.2">
      <c r="A2925" t="str">
        <f>Skills!A25</f>
        <v>BUFF_MASTERY</v>
      </c>
      <c r="B2925" t="str">
        <f>Skills!B25</f>
        <v>Buff Mastery</v>
      </c>
      <c r="C2925" t="b">
        <f>Inputs!$B$3&gt;=117</f>
        <v>1</v>
      </c>
      <c r="D2925">
        <f>IF(Skills!C25=1,60+Inputs!$B$25+Inputs!$B$29,IF(Skills!C25=2,90+Inputs!$B$26+Inputs!$B$29,IF(Skills!C25=3,120+Inputs!$B$27+Inputs!$B$29,MAX(0,(Inputs!$B$3-100)*3)+Inputs!$B$28+Inputs!$B$29)))</f>
        <v>185</v>
      </c>
      <c r="E2925">
        <f>INDEX(FactorTable!$B$2:$Y$301, MATCH(ROUND(MIN(300,MAX(1,D2925)),0), FactorTable!$A$2:$A$301,0), Skills!M25+1)</f>
        <v>1555</v>
      </c>
      <c r="F2925">
        <f>IF(Skills!N25=TRUE,(Skills!L25/10)*(E2925/1000),Skills!L25/10)+Skills!O25</f>
        <v>15.549999999999999</v>
      </c>
      <c r="G2925">
        <f>Calc!G25</f>
        <v>1</v>
      </c>
      <c r="H2925">
        <f>Calc!H25</f>
        <v>1</v>
      </c>
      <c r="I2925">
        <f>IF(Skills!X25&lt;&gt;"",1+(Skills!X25/10)*(Z2903/1000)/100,1)</f>
        <v>1</v>
      </c>
      <c r="O2925">
        <f>(1-Summary!$B$11)*S2925+Summary!$B$11*U2925</f>
        <v>0</v>
      </c>
      <c r="P2925">
        <f>IF(B2941=0,0,O2925/B2941)</f>
        <v>0</v>
      </c>
      <c r="Q2925">
        <f>IFERROR(1/(IF(Inputs!$B$38="pvp",15,MAX(0.1,Skills!E25-IF(TRUE=TRUE,2,0)))*(1-IF(AND(ArtifactsInput!$M$27,Inputs!$B$4="Chapter Hunt"),CHOOSE(ArtifactsInput!$N$27+1,20,24,28,32,36,40),0)/100)),0)</f>
        <v>10</v>
      </c>
      <c r="R2925">
        <v>0</v>
      </c>
      <c r="S2925">
        <v>0</v>
      </c>
      <c r="U2925">
        <v>0</v>
      </c>
    </row>
    <row r="2926" spans="1:21" x14ac:dyDescent="0.2">
      <c r="A2926" t="str">
        <f>Skills!A26</f>
        <v>ARCANE_AIM</v>
      </c>
      <c r="B2926" t="str">
        <f>Skills!B26</f>
        <v>Arcane Aim</v>
      </c>
      <c r="C2926" t="b">
        <f>Inputs!$B$3&gt;=120</f>
        <v>0</v>
      </c>
      <c r="D2926">
        <f>IF(Skills!C26=1,60+Inputs!$B$25+Inputs!$B$29,IF(Skills!C26=2,90+Inputs!$B$26+Inputs!$B$29,IF(Skills!C26=3,120+Inputs!$B$27+Inputs!$B$29,MAX(0,(Inputs!$B$3-100)*3)+Inputs!$B$28+Inputs!$B$29)))</f>
        <v>185</v>
      </c>
      <c r="E2926">
        <f>INDEX(FactorTable!$B$2:$Y$301, MATCH(ROUND(MIN(300,MAX(1,D2926)),0), FactorTable!$A$2:$A$301,0), Skills!M26+1)</f>
        <v>1555</v>
      </c>
      <c r="F2926">
        <f>IF(Skills!N26=TRUE,(Skills!L26/10)*(E2926/1000),Skills!L26/10)+Skills!O26</f>
        <v>4.665</v>
      </c>
      <c r="G2926">
        <f>Calc!G26</f>
        <v>1</v>
      </c>
      <c r="H2926">
        <f>Calc!H26</f>
        <v>1</v>
      </c>
      <c r="I2926">
        <f>IF(Skills!X26&lt;&gt;"",1+(Skills!X26/10)*(Z2903/1000)/100,1)</f>
        <v>1</v>
      </c>
      <c r="O2926">
        <f>(1-Summary!$B$11)*S2926+Summary!$B$11*U2926</f>
        <v>0</v>
      </c>
      <c r="P2926">
        <f>IF(B2941=0,0,O2926/B2941)</f>
        <v>0</v>
      </c>
      <c r="Q2926">
        <f>IFERROR(1/(IF(Inputs!$B$38="pvp",15,MAX(0.1,Skills!E26-IF(TRUE=TRUE,2,0)))*(1-IF(AND(ArtifactsInput!$M$27,Inputs!$B$4="Chapter Hunt"),CHOOSE(ArtifactsInput!$N$27+1,20,24,28,32,36,40),0)/100)),0)</f>
        <v>10</v>
      </c>
      <c r="R2926">
        <v>0</v>
      </c>
      <c r="S2926">
        <v>0</v>
      </c>
      <c r="U2926">
        <v>0</v>
      </c>
    </row>
    <row r="2927" spans="1:21" x14ac:dyDescent="0.2">
      <c r="A2927" t="str">
        <f>Skills!A27</f>
        <v>FERVENT_DRAIN</v>
      </c>
      <c r="B2927" t="str">
        <f>Skills!B27</f>
        <v>Fervent Drain</v>
      </c>
      <c r="C2927" t="b">
        <f>Inputs!$B$3&gt;=125</f>
        <v>0</v>
      </c>
      <c r="D2927">
        <f>IF(Skills!C27=1,60+Inputs!$B$25+Inputs!$B$29,IF(Skills!C27=2,90+Inputs!$B$26+Inputs!$B$29,IF(Skills!C27=3,120+Inputs!$B$27+Inputs!$B$29,MAX(0,(Inputs!$B$3-100)*3)+Inputs!$B$28+Inputs!$B$29)))</f>
        <v>185</v>
      </c>
      <c r="E2927">
        <f>INDEX(FactorTable!$B$2:$Y$301, MATCH(ROUND(MIN(300,MAX(1,D2927)),0), FactorTable!$A$2:$A$301,0), Skills!M27+1)</f>
        <v>1555</v>
      </c>
      <c r="F2927">
        <f>IF(Skills!N27=TRUE,(Skills!L27/10)*(E2927/1000),Skills!L27/10)+Skills!O27</f>
        <v>6.22</v>
      </c>
      <c r="G2927">
        <f>Calc!G27</f>
        <v>1</v>
      </c>
      <c r="H2927">
        <f>Calc!H27</f>
        <v>1</v>
      </c>
      <c r="I2927">
        <f>IF(Skills!X27&lt;&gt;"",1+(Skills!X27/10)*(Z2903/1000)/100,1)</f>
        <v>1</v>
      </c>
      <c r="O2927">
        <f>(1-Summary!$B$11)*S2927+Summary!$B$11*U2927</f>
        <v>0</v>
      </c>
      <c r="P2927">
        <f>IF(B2941=0,0,O2927/B2941)</f>
        <v>0</v>
      </c>
      <c r="Q2927">
        <f>IFERROR(1/(IF(Inputs!$B$38="pvp",15,MAX(0.1,Skills!E27-IF(TRUE=TRUE,2,0)))*(1-IF(AND(ArtifactsInput!$M$27,Inputs!$B$4="Chapter Hunt"),CHOOSE(ArtifactsInput!$N$27+1,20,24,28,32,36,40),0)/100)),0)</f>
        <v>10</v>
      </c>
      <c r="R2927">
        <v>0</v>
      </c>
      <c r="S2927">
        <v>0</v>
      </c>
      <c r="U2927">
        <v>0</v>
      </c>
    </row>
    <row r="2928" spans="1:21" x14ac:dyDescent="0.2">
      <c r="A2928" t="str">
        <f>Skills!A28</f>
        <v>FLAME_HAZE_FOG</v>
      </c>
      <c r="B2928" t="str">
        <f>Skills!B28</f>
        <v>Flame Haze (poison fog DoT)</v>
      </c>
      <c r="C2928" t="b">
        <f>Inputs!$B$3&gt;=118</f>
        <v>0</v>
      </c>
      <c r="D2928">
        <f>IF(Skills!C28=1,60+Inputs!$B$25+Inputs!$B$29,IF(Skills!C28=2,90+Inputs!$B$26+Inputs!$B$29,IF(Skills!C28=3,120+Inputs!$B$27+Inputs!$B$29,MAX(0,(Inputs!$B$3-100)*3)+Inputs!$B$28+Inputs!$B$29)))</f>
        <v>185</v>
      </c>
      <c r="E2928">
        <f>INDEX(FactorTable!$B$2:$Y$301, MATCH(ROUND(MIN(300,MAX(1,D2928)),0), FactorTable!$A$2:$A$301,0), Skills!M28+1)</f>
        <v>1925</v>
      </c>
      <c r="F2928">
        <f>IF(Skills!N28=TRUE,(Skills!L28/10)*(E2928/1000),Skills!L28/10)+Skills!O28</f>
        <v>134.75</v>
      </c>
      <c r="G2928">
        <f>Calc!G28</f>
        <v>50</v>
      </c>
      <c r="H2928">
        <f>Calc!H28</f>
        <v>1</v>
      </c>
      <c r="I2928">
        <f>IF(Skills!X28&lt;&gt;"",1+(Skills!X28/10)*(Z2903/1000)/100,1)</f>
        <v>1</v>
      </c>
      <c r="J2928">
        <f>((Inputs!$B$6*(1+Inputs!$B$7/100))+(((Inputs!$B$12*(1+Inputs!$B$13/100))-(Inputs!$B$12*(1+Inputs!$B$13/100)))+0.25*(Inputs!$B$14-Inputs!$B$14))*(1+Inputs!$B$7/100))*(F2928/100)</f>
        <v>486628767.57437253</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2526596209984.1533</v>
      </c>
      <c r="L2928">
        <f>K2928*(MIN(Inputs!$B$22+(F2922-Calc!F22),(Inputs!$B$23+(IF(ArtifactsInput!$M$15,CHOOSE(ArtifactsInput!$N$15+1,25,30,35,40,45,50)/100*(Inputs!$B$11-Inputs!$B$11),0))))/100+(Inputs!$B$23+(IF(ArtifactsInput!$M$15,CHOOSE(ArtifactsInput!$N$15+1,25,30,35,40,45,50)/100*(Inputs!$B$11-Inputs!$B$11),0)))/100)/2</f>
        <v>8400932398197.3105</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39643999987093.102</v>
      </c>
      <c r="N2928">
        <f>L2928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39643999987093.102</v>
      </c>
      <c r="O2928">
        <f>(1-Summary!$B$11)*S2928+Summary!$B$11*U2928</f>
        <v>0</v>
      </c>
      <c r="P2928">
        <f>IF(B2941=0,0,O2928/B2941)</f>
        <v>0</v>
      </c>
      <c r="Q2928">
        <f>IFERROR(1/(IF(Inputs!$B$38="pvp",15,MAX(0.1,Skills!E28-IF(TRUE=TRUE,2,0)))*(1-IF(AND(ArtifactsInput!$M$27,Inputs!$B$4="Chapter Hunt"),CHOOSE(ArtifactsInput!$N$27+1,20,24,28,32,36,40),0)/100)),0)</f>
        <v>4.3478260869565216E-2</v>
      </c>
      <c r="R2928">
        <f>IF(AND(Inputs!$B$38&lt;&gt;"pvp",Inputs!$B$43&gt;0),IF(MAX(0,Inputs!$B$43-B2938)&lt;=0,0,(INT(MAX(0,Inputs!$B$43-B2938)/(IF(Inputs!$B$38="pvp",15,MAX(0.1,Skills!E28-IF(TRUE=TRUE,2,0)))*(1-IF(AND(ArtifactsInput!$M$27,Inputs!$B$4="Chapter Hunt"),CHOOSE(ArtifactsInput!$N$27+1,20,24,28,32,36,40),0)/100)))+1)),0)</f>
        <v>2</v>
      </c>
      <c r="S2928">
        <f>IF(C2928,(H2928*N2928*IF(AND(Inputs!$B$38&lt;&gt;"pvp",Inputs!$B$43&gt;0),((Skills!G28*((R2928-1)*IF(Skills!H28&gt;0,Skills!I28/Skills!H28,1)+IF(Skills!H28&gt;0,MIN(Skills!I28,MAX(0,MAX(0,Inputs!$B$43-B2938)-((R2928-1)*(IF(Inputs!$B$38="pvp",15,MAX(0.1,Skills!E28-IF(TRUE=TRUE,2,0)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928">
        <f>IF(C2928,(H2928*N2928*IF(AND(Inputs!$B$38&lt;&gt;"pvp",Inputs!$B$43&gt;0),((Skills!G28*((R2928-1)*IF(Skills!H28&gt;0,Skills!I28/Skills!H28,1)+IF(Skills!H28&gt;0,MIN(Skills!I28,MAX(0,MAX(0,Inputs!$B$43-B2938)-((R2928-1)*(IF(Inputs!$B$38="pvp",15,MAX(0.1,Skills!E28-IF(TRUE=TRUE,2,0)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930" spans="1:2" x14ac:dyDescent="0.2">
      <c r="A2930" t="s">
        <v>356</v>
      </c>
      <c r="B2930">
        <f>1+(F2911*Skills!Z11)/100</f>
        <v>1.25</v>
      </c>
    </row>
    <row r="2931" spans="1:2" x14ac:dyDescent="0.2">
      <c r="A2931" t="s">
        <v>435</v>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1.18624</v>
      </c>
    </row>
    <row r="2932" spans="1:2" x14ac:dyDescent="0.2">
      <c r="A2932" t="s">
        <v>358</v>
      </c>
      <c r="B2932">
        <f>(1+(F2906*IF(AND(Inputs!$B$38&lt;&gt;"pvp",Inputs!$B$43&gt;0),(((R2906-1)*MIN((Skills!T6*(1+((Inputs!$B$34+(ArtifactsInput!$M$7-ArtifactsInput!$M$7)*CHOOSE(ArtifactsInput!$N$7+1,6,7.2,8.4,9.6,10.8,12)))/100)),(1/Q2906))+MIN((Skills!T6*(1+((Inputs!$B$34+(ArtifactsInput!$M$7-ArtifactsInput!$M$7)*CHOOSE(ArtifactsInput!$N$7+1,6,7.2,8.4,9.6,10.8,12)))/100)),MAX(0,Inputs!$B$43-((R2906-1)*(1/Q2906)))))/Inputs!$B$43),IF(Inputs!$B$38="pvp",MIN((Skills!T6*(1+((Inputs!$B$34+(ArtifactsInput!$M$7-ArtifactsInput!$M$7)*CHOOSE(ArtifactsInput!$N$7+1,6,7.2,8.4,9.6,10.8,12)))/100)),15)/15,MIN(1,(Skills!T6*(1+((Inputs!$B$34+(ArtifactsInput!$M$7-ArtifactsInput!$M$7)*CHOOSE(ArtifactsInput!$N$7+1,6,7.2,8.4,9.6,10.8,12)))/100))/(1/Q2906))))+F2917*IF(AND(Inputs!$B$38&lt;&gt;"pvp",Inputs!$B$43&gt;0),(((R2917-1)*MIN((Skills!T17*(1+((Inputs!$B$34+(ArtifactsInput!$M$7-ArtifactsInput!$M$7)*CHOOSE(ArtifactsInput!$N$7+1,6,7.2,8.4,9.6,10.8,12)))/100)),(1/Q2917))+MIN((Skills!T17*(1+((Inputs!$B$34+(ArtifactsInput!$M$7-ArtifactsInput!$M$7)*CHOOSE(ArtifactsInput!$N$7+1,6,7.2,8.4,9.6,10.8,12)))/100)),MAX(0,Inputs!$B$43-((R2917-1)*(1/Q2917)))))/Inputs!$B$43),IF(Inputs!$B$38="pvp",MIN((Skills!T17*(1+((Inputs!$B$34+(ArtifactsInput!$M$7-ArtifactsInput!$M$7)*CHOOSE(ArtifactsInput!$N$7+1,6,7.2,8.4,9.6,10.8,12)))/100)),15)/15,MIN(1,(Skills!T17*(1+((Inputs!$B$34+(ArtifactsInput!$M$7-ArtifactsInput!$M$7)*CHOOSE(ArtifactsInput!$N$7+1,6,7.2,8.4,9.6,10.8,12)))/100))/(1/Q2917)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MIN((Skills!T19*(1+((Inputs!$B$34+(ArtifactsInput!$M$7-ArtifactsInput!$M$7)*CHOOSE(ArtifactsInput!$N$7+1,6,7.2,8.4,9.6,10.8,12)))/100)),(1/Q2919))+MIN((Skills!T19*(1+((Inputs!$B$34+(ArtifactsInput!$M$7-ArtifactsInput!$M$7)*CHOOSE(ArtifactsInput!$N$7+1,6,7.2,8.4,9.6,10.8,12)))/100)),MAX(0,Inputs!$B$43-((R2919-1)*(1/Q2919)))))/Inputs!$B$43),IF(Inputs!$B$38="pvp",MIN((Skills!T19*(1+((Inputs!$B$34+(ArtifactsInput!$M$7-ArtifactsInput!$M$7)*CHOOSE(ArtifactsInput!$N$7+1,6,7.2,8.4,9.6,10.8,12)))/100)),15)/15,MIN(1,(Skills!T19*(1+((Inputs!$B$34+(ArtifactsInput!$M$7-ArtifactsInput!$M$7)*CHOOSE(ArtifactsInput!$N$7+1,6,7.2,8.4,9.6,10.8,12)))/100))/(1/Q2919))))/100),1)</f>
        <v>1.8564012834737895</v>
      </c>
    </row>
    <row r="2933" spans="1:2" x14ac:dyDescent="0.2">
      <c r="A2933" t="s">
        <v>359</v>
      </c>
      <c r="B2933">
        <f>F2918*IF(AND(Inputs!$B$38&lt;&gt;"pvp",Inputs!$B$43&gt;0),(((R2918-1)*MIN((Skills!T18*(1+((Inputs!$B$34+(ArtifactsInput!$M$7-ArtifactsInput!$M$7)*CHOOSE(ArtifactsInput!$N$7+1,6,7.2,8.4,9.6,10.8,12)))/100)),(1/Q2918))+MIN((Skills!T18*(1+((Inputs!$B$34+(ArtifactsInput!$M$7-ArtifactsInput!$M$7)*CHOOSE(ArtifactsInput!$N$7+1,6,7.2,8.4,9.6,10.8,12)))/100)),MAX(0,Inputs!$B$43-((R2918-1)*(1/Q2918)))))/Inputs!$B$43),IF(Inputs!$B$38="pvp",MIN((Skills!T18*(1+((Inputs!$B$34+(ArtifactsInput!$M$7-ArtifactsInput!$M$7)*CHOOSE(ArtifactsInput!$N$7+1,6,7.2,8.4,9.6,10.8,12)))/100)),15)/15,MIN(1,(Skills!T18*(1+((Inputs!$B$34+(ArtifactsInput!$M$7-ArtifactsInput!$M$7)*CHOOSE(ArtifactsInput!$N$7+1,6,7.2,8.4,9.6,10.8,12)))/100))/(1/Q2918))))</f>
        <v>6.4968749999999993</v>
      </c>
    </row>
    <row r="2934" spans="1:2" x14ac:dyDescent="0.2">
      <c r="A2934" t="s">
        <v>436</v>
      </c>
      <c r="B2934">
        <f>1+MIN(150,150*(1-(1-(Inputs!$B$11+(ArtifactsInput!$M$15-ArtifactsInput!$M$15)*CHOOSE(ArtifactsInput!$N$15+1,8,9.6,11.2,12.8,14.4,16))/150)*(1-B2933/150)))/100</f>
        <v>1.6982958749999999</v>
      </c>
    </row>
    <row r="2935" spans="1:2" x14ac:dyDescent="0.2">
      <c r="A2935" t="s">
        <v>437</v>
      </c>
      <c r="B2935">
        <f>IF(AND(Inputs!$B$38&lt;&gt;"pvp",Inputs!$B$43&gt;0),SUMPRODUCT((Skills!F2:F28=TRUE)*(C2902:C2928=TRUE)*R2902:R2928)/Inputs!$B$43,SUMPRODUCT((Skills!F2:F28=TRUE)*(C2902:C2928=TRUE)*Q2902:Q2928))</f>
        <v>0.5</v>
      </c>
    </row>
    <row r="2936" spans="1:2" x14ac:dyDescent="0.2">
      <c r="A2936" t="s">
        <v>362</v>
      </c>
      <c r="B2936">
        <f>MAX(0,B2934-B2935)</f>
        <v>1.1982958749999999</v>
      </c>
    </row>
    <row r="2937" spans="1:2" x14ac:dyDescent="0.2">
      <c r="A2937" t="s">
        <v>438</v>
      </c>
      <c r="B2937">
        <f>IF(AND(Inputs!$B$38&lt;&gt;"pvp",Inputs!$B$43&gt;0),SUMPRODUCT((Skills!V2:V28=TRUE)*(C2902:C2928=TRUE)*R2902:R2928*Skills!W2:W28)/Inputs!$B$43,SUMPRODUCT((Skills!V2:V28=TRUE)*(C2902:C2928=TRUE)*Q2902:Q2928*Skills!W2:W28))+B2936</f>
        <v>1.5232958749999999</v>
      </c>
    </row>
    <row r="2938" spans="1:2" x14ac:dyDescent="0.2">
      <c r="A2938" t="s">
        <v>439</v>
      </c>
      <c r="B2938">
        <f>IF(AND(Inputs!$B$38&lt;&gt;"pvp",Inputs!$B$43&gt;0),SUMPRODUCT((Skills!T2:T28&gt;0)*(Skills!F2:F28=TRUE)*(C2902:C2928=TRUE))/B2934,0)</f>
        <v>2.3553021937358238</v>
      </c>
    </row>
    <row r="2939" spans="1:2" x14ac:dyDescent="0.2">
      <c r="A2939" t="s">
        <v>440</v>
      </c>
      <c r="B2939">
        <f>SUM(S2902:S2928)</f>
        <v>9862527569326668</v>
      </c>
    </row>
    <row r="2940" spans="1:2" x14ac:dyDescent="0.2">
      <c r="A2940" t="s">
        <v>441</v>
      </c>
      <c r="B2940">
        <f>SUM(U2902:U2928)</f>
        <v>5.8600624029079264E+16</v>
      </c>
    </row>
    <row r="2941" spans="1:2" x14ac:dyDescent="0.2">
      <c r="A2941" s="6" t="s">
        <v>348</v>
      </c>
      <c r="B2941" s="6">
        <f>SUM(O2902:O2928)</f>
        <v>3.4231575799202972E+16</v>
      </c>
    </row>
    <row r="2944" spans="1:2" x14ac:dyDescent="0.2">
      <c r="A2944" s="6" t="s">
        <v>511</v>
      </c>
    </row>
    <row r="2945" spans="1:26" x14ac:dyDescent="0.2">
      <c r="A2945" s="5" t="s">
        <v>136</v>
      </c>
      <c r="B2945" s="5" t="s">
        <v>137</v>
      </c>
      <c r="C2945" s="5" t="s">
        <v>328</v>
      </c>
      <c r="D2945" s="5" t="s">
        <v>329</v>
      </c>
      <c r="E2945" s="5" t="s">
        <v>330</v>
      </c>
      <c r="F2945" s="5" t="s">
        <v>331</v>
      </c>
      <c r="G2945" s="5" t="s">
        <v>332</v>
      </c>
      <c r="H2945" s="5" t="s">
        <v>333</v>
      </c>
      <c r="I2945" s="5" t="s">
        <v>334</v>
      </c>
      <c r="J2945" s="5" t="s">
        <v>335</v>
      </c>
      <c r="K2945" s="5" t="s">
        <v>336</v>
      </c>
      <c r="L2945" s="5" t="s">
        <v>337</v>
      </c>
      <c r="M2945" s="5" t="s">
        <v>338</v>
      </c>
      <c r="N2945" s="5" t="s">
        <v>339</v>
      </c>
      <c r="O2945" s="5" t="s">
        <v>340</v>
      </c>
      <c r="P2945" s="5" t="s">
        <v>341</v>
      </c>
      <c r="R2945" t="s">
        <v>434</v>
      </c>
    </row>
    <row r="2946" spans="1:26" x14ac:dyDescent="0.2">
      <c r="A2946" t="str">
        <f>Skills!A2</f>
        <v>BASIC_ATTACK</v>
      </c>
      <c r="B2946" t="str">
        <f>Skills!B2</f>
        <v>Basic Attack</v>
      </c>
      <c r="C2946" t="b">
        <f>TRUE</f>
        <v>1</v>
      </c>
      <c r="F2946">
        <f>T2948+Skills!O2</f>
        <v>537.6</v>
      </c>
      <c r="G2946">
        <f>Calc!G2</f>
        <v>5</v>
      </c>
      <c r="H2946">
        <f>Calc!H2</f>
        <v>1</v>
      </c>
      <c r="I2946">
        <f>IF(Skills!X2&lt;&gt;"",1+(Skills!X2/10)*(Z2947/1000)/100,1)</f>
        <v>1</v>
      </c>
      <c r="J2946">
        <f>((Inputs!$B$6*(1+Inputs!$B$7/100))+(((Inputs!$B$12*(1+Inputs!$B$13/100))-(Inputs!$B$12*(1+Inputs!$B$13/100)))+0.25*(Inputs!$B$14-Inputs!$B$14))*(1+Inputs!$B$7/100))*(F2946/100)</f>
        <v>1941459186.9980164</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6907071853614.4658</v>
      </c>
      <c r="L2946">
        <f>K2946*(MIN(Inputs!$B$22+(F2966-Calc!F22),(Inputs!$B$23+(IF(ArtifactsInput!$M$15,CHOOSE(ArtifactsInput!$N$15+1,25,30,35,40,45,50)/100*(Inputs!$B$11-Inputs!$B$11),0))))/100+(Inputs!$B$23+(IF(ArtifactsInput!$M$15,CHOOSE(ArtifactsInput!$N$15+1,25,30,35,40,45,50)/100*(Inputs!$B$11-Inputs!$B$11),0)))/100)/2</f>
        <v>22966013913268.102</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108376619656712.16</v>
      </c>
      <c r="N2946">
        <f>L2946*(1-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108376619656712.16</v>
      </c>
      <c r="O2946">
        <f>(1-Summary!$B$11)*S2946+Summary!$B$11*U2946</f>
        <v>1.2788678062279556E+16</v>
      </c>
      <c r="P2946">
        <f>IF(B2985=0,0,O2946/B2985)</f>
        <v>0.36927177722629673</v>
      </c>
      <c r="Q2946">
        <f>IFERROR(1/(IF(Inputs!$B$38="pvp",15,MAX(0.1,Skills!E2-IF(TRUE=TRUE,2.5,0)))*(1-IF(AND(ArtifactsInput!$M$27,Inputs!$B$4="Chapter Hunt"),CHOOSE(ArtifactsInput!$N$27+1,20,24,28,32,36,40),0)/100)),0)</f>
        <v>10</v>
      </c>
      <c r="R2946">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2123329640195692</v>
      </c>
      <c r="T2946">
        <f>MAX(0,(Inputs!$B$3-100)*3)+Inputs!$B$28+Inputs!$B$29</f>
        <v>185</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2.345402648436342E+16</v>
      </c>
      <c r="Z2946">
        <f>MAX(0,(Inputs!$B$3-100)*3)+Inputs!$B$28+Inputs!$B$29</f>
        <v>185</v>
      </c>
    </row>
    <row r="2947" spans="1:26" x14ac:dyDescent="0.2">
      <c r="A2947" t="str">
        <f>Skills!A3</f>
        <v>IGNITE</v>
      </c>
      <c r="B2947" t="str">
        <f>Skills!B3</f>
        <v>Ignite</v>
      </c>
      <c r="C2947" t="b">
        <f>TRUE</f>
        <v>1</v>
      </c>
      <c r="D2947">
        <f>IF(Skills!C3=1,60+Inputs!$B$25+Inputs!$B$29,IF(Skills!C3=2,90+Inputs!$B$26+Inputs!$B$29,IF(Skills!C3=3,120+Inputs!$B$27+Inputs!$B$29,MAX(0,(Inputs!$B$3-100)*3)+Inputs!$B$28+Inputs!$B$29)))</f>
        <v>168</v>
      </c>
      <c r="E2947">
        <f>INDEX(FactorTable!$B$2:$Y$301, MATCH(ROUND(MIN(300,MAX(1,D2947)),0), FactorTable!$A$2:$A$301,0), Skills!M3+1)</f>
        <v>1672</v>
      </c>
      <c r="F2947">
        <f>IF(Skills!N3=TRUE,(Skills!L3/10)*(E2947/1000),Skills!L3/10)+Skills!O3</f>
        <v>121.736</v>
      </c>
      <c r="G2947">
        <f>Calc!G3</f>
        <v>3</v>
      </c>
      <c r="H2947">
        <f>Calc!H3</f>
        <v>1</v>
      </c>
      <c r="I2947">
        <f>IF(Skills!X3&lt;&gt;"",1+(Skills!X3/10)*(Z2947/1000)/100,1)</f>
        <v>4.8250000000000002</v>
      </c>
      <c r="J2947">
        <f>((Inputs!$B$6*(1+Inputs!$B$7/100))+(((Inputs!$B$12*(1+Inputs!$B$13/100))-(Inputs!$B$12*(1+Inputs!$B$13/100)))+0.25*(Inputs!$B$14-Inputs!$B$14))*(1+Inputs!$B$7/100))*(F2947/100)</f>
        <v>439630720.9605478</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11120267342538.32</v>
      </c>
      <c r="L2947">
        <f>K2947*(MIN(Inputs!$B$22+(F2966-Calc!F22),(Inputs!$B$23+(IF(ArtifactsInput!$M$15,CHOOSE(ArtifactsInput!$N$15+1,25,30,35,40,45,50)/100*(Inputs!$B$11-Inputs!$B$11),0))))/100+(Inputs!$B$23+(IF(ArtifactsInput!$M$15,CHOOSE(ArtifactsInput!$N$15+1,25,30,35,40,45,50)/100*(Inputs!$B$11-Inputs!$B$11),0)))/100)/2</f>
        <v>36974888913939.914</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174484500784882.44</v>
      </c>
      <c r="N2947">
        <f>L2947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174484500784882.44</v>
      </c>
      <c r="O2947">
        <f>(1-Summary!$B$11)*S2947+Summary!$B$11*U2947</f>
        <v>3033413046145181</v>
      </c>
      <c r="P2947">
        <f>IF(B2985=0,0,O2947/B2985)</f>
        <v>8.7589492921506876E-2</v>
      </c>
      <c r="Q2947">
        <f>IFERROR(1/(IF(Inputs!$B$38="pvp",15,MAX(0.1,Skills!E3-IF(FALSE=TRUE,2.5,0)))*(1-IF(AND(ArtifactsInput!$M$27,Inputs!$B$4="Chapter Hunt"),CHOOSE(ArtifactsInput!$N$27+1,20,24,28,32,36,40),0)/100)),0)</f>
        <v>1</v>
      </c>
      <c r="R2947">
        <f>IF(AND(Inputs!$B$38&lt;&gt;"pvp",Inputs!$B$43&gt;0),IF(MAX(0,Inputs!$B$43-B2982)&lt;=0,0,(INT(MAX(0,Inputs!$B$43-B2982)/(IF(Inputs!$B$38="pvp",15,MAX(0.1,Skills!E3-IF(FALSE=TRUE,2.5,0)))*(1-IF(AND(ArtifactsInput!$M$27,Inputs!$B$4="Chapter Hunt"),CHOOSE(ArtifactsInput!$N$27+1,20,24,28,32,36,40),0)/100)))+1)),0)</f>
        <v>38</v>
      </c>
      <c r="S2947">
        <f>IF(C2947,(H2947*N2947*IF(AND(Inputs!$B$38&lt;&gt;"pvp",Inputs!$B$43&gt;0),((Skills!G3*((R2947-1)*IF(Skills!H3&gt;0,Skills!I3/Skills!H3,1)+IF(Skills!H3&gt;0,MIN(Skills!I3,MAX(0,MAX(0,Inputs!$B$43-B2982)-((R2947-1)*(IF(Inputs!$B$38="pvp",15,MAX(0.1,Skills!E3-IF(FALSE=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1576380222341020.2</v>
      </c>
      <c r="T2947">
        <f>INDEX(FactorTable!$B$2:$Y$301, MATCH(ROUND(MIN(300,MAX(1,T2946)),0), FactorTable!$A$2:$A$301,0), 22)</f>
        <v>1740</v>
      </c>
      <c r="U2947">
        <f>IF(C2947,(H2947*N2947*IF(AND(Inputs!$B$38&lt;&gt;"pvp",Inputs!$B$43&gt;0),((Skills!G3*((R2947-1)*IF(Skills!H3&gt;0,Skills!I3/Skills!H3,1)+IF(Skills!H3&gt;0,MIN(Skills!I3,MAX(0,MAX(0,Inputs!$B$43-B2982)-((R2947-1)*(IF(Inputs!$B$38="pvp",15,MAX(0.1,Skills!E3-IF(FALSE=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4490445869949341.5</v>
      </c>
      <c r="Z2947">
        <f>INDEX(FactorTable!$B$2:$Y$301, MATCH(ROUND(MIN(300,MAX(1,Z2946)),0), FactorTable!$A$2:$A$301,0), 24)</f>
        <v>7650</v>
      </c>
    </row>
    <row r="2948" spans="1:26" x14ac:dyDescent="0.2">
      <c r="A2948" t="str">
        <f>Skills!A4</f>
        <v>POISON_BREATH</v>
      </c>
      <c r="B2948" t="str">
        <f>Skills!B4</f>
        <v>Poison Breath</v>
      </c>
      <c r="C2948" t="b">
        <f>TRUE</f>
        <v>1</v>
      </c>
      <c r="D2948">
        <f>IF(Skills!C4=1,60+Inputs!$B$25+Inputs!$B$29,IF(Skills!C4=2,90+Inputs!$B$26+Inputs!$B$29,IF(Skills!C4=3,120+Inputs!$B$27+Inputs!$B$29,MAX(0,(Inputs!$B$3-100)*3)+Inputs!$B$28+Inputs!$B$29)))</f>
        <v>168</v>
      </c>
      <c r="E2948">
        <f>INDEX(FactorTable!$B$2:$Y$301, MATCH(ROUND(MIN(300,MAX(1,D2948)),0), FactorTable!$A$2:$A$301,0), Skills!M4+1)</f>
        <v>1840</v>
      </c>
      <c r="F2948">
        <f>IF(Skills!N4=TRUE,(Skills!L4/10)*(E2948/1000),Skills!L4/10)+Skills!O4</f>
        <v>438</v>
      </c>
      <c r="G2948">
        <f>Calc!G4</f>
        <v>3</v>
      </c>
      <c r="H2948">
        <f>Calc!H4</f>
        <v>1</v>
      </c>
      <c r="I2948">
        <f>IF(Skills!X4&lt;&gt;"",1+(Skills!X4/10)*(Z2947/1000)/100,1)</f>
        <v>7.12</v>
      </c>
      <c r="J2948">
        <f>((Inputs!$B$6*(1+Inputs!$B$7/100))+(((Inputs!$B$12*(1+Inputs!$B$13/100))-(Inputs!$B$12*(1+Inputs!$B$13/100)))+0.25*(Inputs!$B$14-Inputs!$B$14))*(1+Inputs!$B$7/100))*(F2948/100)</f>
        <v>1581769203.69258</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59040902446756.094</v>
      </c>
      <c r="L2948">
        <f>K2948*(MIN(Inputs!$B$22+(F2966-Calc!F22),(Inputs!$B$23+(IF(ArtifactsInput!$M$15,CHOOSE(ArtifactsInput!$N$15+1,25,30,35,40,45,50)/100*(Inputs!$B$11-Inputs!$B$11),0))))/100+(Inputs!$B$23+(IF(ArtifactsInput!$M$15,CHOOSE(ArtifactsInput!$N$15+1,25,30,35,40,45,50)/100*(Inputs!$B$11-Inputs!$B$11),0)))/100)/2</f>
        <v>196311000635464.03</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926391611998754.62</v>
      </c>
      <c r="N2948">
        <f>L2948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926391611998754.62</v>
      </c>
      <c r="O2948">
        <f>(1-Summary!$B$11)*S2948+Summary!$B$11*U2948</f>
        <v>2212570566307525.5</v>
      </c>
      <c r="P2948">
        <f>IF(B2985=0,0,O2948/B2985)</f>
        <v>6.3887749873761238E-2</v>
      </c>
      <c r="Q2948">
        <f>IFERROR(1/(IF(Inputs!$B$38="pvp",15,MAX(0.1,Skills!E4-IF(TRUE=TRUE,2.5,0)))*(1-IF(AND(ArtifactsInput!$M$27,Inputs!$B$4="Chapter Hunt"),CHOOSE(ArtifactsInput!$N$27+1,20,24,28,32,36,40),0)/100)),0)</f>
        <v>6.4516129032258063E-2</v>
      </c>
      <c r="R2948">
        <f>IF(AND(Inputs!$B$38&lt;&gt;"pvp",Inputs!$B$43&gt;0),IF(MAX(0,Inputs!$B$43-B2982)&lt;=0,0,(INT(MAX(0,Inputs!$B$43-B2982)/(IF(Inputs!$B$38="pvp",15,MAX(0.1,Skills!E4-IF(TRUE=TRUE,2.5,0)))*(1-IF(AND(ArtifactsInput!$M$27,Inputs!$B$4="Chapter Hunt"),CHOOSE(ArtifactsInput!$N$27+1,20,24,28,32,36,40),0)/100)))+1)),0)</f>
        <v>3</v>
      </c>
      <c r="S2948">
        <f>IF(C2948,(H2948*N2948*IF(AND(Inputs!$B$38&lt;&gt;"pvp",Inputs!$B$43&gt;0),((Skills!G4*((R2948-1)*IF(Skills!H4&gt;0,Skills!I4/Skills!H4,1)+IF(Skills!H4&gt;0,MIN(Skills!I4,MAX(0,MAX(0,Inputs!$B$43-B2982)-((R2948-1)*(IF(Inputs!$B$38="pvp",15,MAX(0.1,Skills!E4-IF(TRUE=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660748817258111.75</v>
      </c>
      <c r="T2948">
        <f>290*T2947/1000</f>
        <v>504.6</v>
      </c>
      <c r="U2948">
        <f>IF(C2948,(H2948*N2948*IF(AND(Inputs!$B$38&lt;&gt;"pvp",Inputs!$B$43&gt;0),((Skills!G4*((R2948-1)*IF(Skills!H4&gt;0,Skills!I4/Skills!H4,1)+IF(Skills!H4&gt;0,MIN(Skills!I4,MAX(0,MAX(0,Inputs!$B$43-B2982)-((R2948-1)*(IF(Inputs!$B$38="pvp",15,MAX(0.1,Skills!E4-IF(TRUE=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3764392315356939</v>
      </c>
    </row>
    <row r="2949" spans="1:26" x14ac:dyDescent="0.2">
      <c r="A2949" t="str">
        <f>Skills!A5</f>
        <v>ELEMENTAL_DRAIN</v>
      </c>
      <c r="B2949" t="str">
        <f>Skills!B5</f>
        <v>Elemental Drain</v>
      </c>
      <c r="C2949" t="b">
        <f>TRUE</f>
        <v>1</v>
      </c>
      <c r="D2949">
        <f>IF(Skills!C5=1,60+Inputs!$B$25+Inputs!$B$29,IF(Skills!C5=2,90+Inputs!$B$26+Inputs!$B$29,IF(Skills!C5=3,120+Inputs!$B$27+Inputs!$B$29,MAX(0,(Inputs!$B$3-100)*3)+Inputs!$B$28+Inputs!$B$29)))</f>
        <v>168</v>
      </c>
      <c r="E2949">
        <f>INDEX(FactorTable!$B$2:$Y$301, MATCH(ROUND(MIN(300,MAX(1,D2949)),0), FactorTable!$A$2:$A$301,0), Skills!M5+1)</f>
        <v>1672</v>
      </c>
      <c r="F2949">
        <f>IF(Skills!N5=TRUE,(Skills!L5/10)*(E2949/1000),Skills!L5/10)+Skills!O5</f>
        <v>20.064</v>
      </c>
      <c r="G2949">
        <f>Calc!G5</f>
        <v>5</v>
      </c>
      <c r="H2949">
        <f>Calc!H5</f>
        <v>1</v>
      </c>
      <c r="I2949">
        <f>IF(Skills!X5&lt;&gt;"",1+(Skills!X5/10)*(Z2947/1000)/100,1)</f>
        <v>12.475</v>
      </c>
      <c r="J2949">
        <f>((Inputs!$B$6*(1+Inputs!$B$7/100))+(((Inputs!$B$12*(1+Inputs!$B$13/100))-(Inputs!$B$12*(1+Inputs!$B$13/100)))+0.25*(Inputs!$B$14-Inputs!$B$14))*(1+Inputs!$B$7/100))*(F2949/100)</f>
        <v>72458030.371890247</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4738675355606.1572</v>
      </c>
      <c r="L2949">
        <f>K2949*(MIN(Inputs!$B$22+(F2966-Calc!F22),(Inputs!$B$23+(IF(ArtifactsInput!$M$15,CHOOSE(ArtifactsInput!$N$15+1,25,30,35,40,45,50)/100*(Inputs!$B$11-Inputs!$B$11),0))))/100+(Inputs!$B$23+(IF(ArtifactsInput!$M$15,CHOOSE(ArtifactsInput!$N$15+1,25,30,35,40,45,50)/100*(Inputs!$B$11-Inputs!$B$11),0)))/100)/2</f>
        <v>15756095557390.473</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74353014935325.625</v>
      </c>
      <c r="N2949">
        <f>L2949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74353014935325.625</v>
      </c>
      <c r="O2949">
        <f>(1-Summary!$B$11)*S2949+Summary!$B$11*U2949</f>
        <v>1091316376713241.9</v>
      </c>
      <c r="P2949">
        <f>IF(B2985=0,0,O2949/B2985)</f>
        <v>3.1511649287168701E-2</v>
      </c>
      <c r="Q2949">
        <f>IFERROR(1/(IF(Inputs!$B$38="pvp",15,MAX(0.1,Skills!E5-IF(FALSE=TRUE,2.5,0)))*(1-IF(AND(ArtifactsInput!$M$27,Inputs!$B$4="Chapter Hunt"),CHOOSE(ArtifactsInput!$N$27+1,20,24,28,32,36,40),0)/100)),0)</f>
        <v>1</v>
      </c>
      <c r="R2949">
        <f>IF(AND(Inputs!$B$38&lt;&gt;"pvp",Inputs!$B$43&gt;0),IF(MAX(0,Inputs!$B$43-B2982)&lt;=0,0,(INT(MAX(0,Inputs!$B$43-B2982)/(IF(Inputs!$B$38="pvp",15,MAX(0.1,Skills!E5-IF(FALSE=TRUE,2.5,0)))*(1-IF(AND(ArtifactsInput!$M$27,Inputs!$B$4="Chapter Hunt"),CHOOSE(ArtifactsInput!$N$27+1,20,24,28,32,36,40),0)/100)))+1)),0)</f>
        <v>38</v>
      </c>
      <c r="S2949">
        <f>IF(C2949,(H2949*N2949*IF(AND(Inputs!$B$38&lt;&gt;"pvp",Inputs!$B$43&gt;0),((Skills!G5*((R2949-1)*IF(Skills!H5&gt;0,Skills!I5/Skills!H5,1)+IF(Skills!H5&gt;0,MIN(Skills!I5,MAX(0,MAX(0,Inputs!$B$43-B2982)-((R2949-1)*(IF(Inputs!$B$38="pvp",15,MAX(0.1,Skills!E5-IF(FALSE=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1119570522388665.6</v>
      </c>
      <c r="U2949">
        <f>IF(C2949,(H2949*N2949*IF(AND(Inputs!$B$38&lt;&gt;"pvp",Inputs!$B$43&gt;0),((Skills!G5*((R2949-1)*IF(Skills!H5&gt;0,Skills!I5/Skills!H5,1)+IF(Skills!H5&gt;0,MIN(Skills!I5,MAX(0,MAX(0,Inputs!$B$43-B2982)-((R2949-1)*(IF(Inputs!$B$38="pvp",15,MAX(0.1,Skills!E5-IF(FALSE=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1063062231037818.1</v>
      </c>
    </row>
    <row r="2950" spans="1:26" x14ac:dyDescent="0.2">
      <c r="A2950" t="str">
        <f>Skills!A6</f>
        <v>MEDITATION</v>
      </c>
      <c r="B2950" t="str">
        <f>Skills!B6</f>
        <v>Meditation</v>
      </c>
      <c r="C2950" t="b">
        <f>TRUE</f>
        <v>1</v>
      </c>
      <c r="D2950">
        <f>IF(Skills!C6=1,60+Inputs!$B$25+Inputs!$B$29,IF(Skills!C6=2,90+Inputs!$B$26+Inputs!$B$29,IF(Skills!C6=3,120+Inputs!$B$27+Inputs!$B$29,MAX(0,(Inputs!$B$3-100)*3)+Inputs!$B$28+Inputs!$B$29)))</f>
        <v>168</v>
      </c>
      <c r="E2950">
        <f>INDEX(FactorTable!$B$2:$Y$301, MATCH(ROUND(MIN(300,MAX(1,D2950)),0), FactorTable!$A$2:$A$301,0), Skills!M6+1)</f>
        <v>1672</v>
      </c>
      <c r="F2950">
        <f>IF(Skills!N6=TRUE,(Skills!L6/10)*(E2950/1000),Skills!L6/10)+Skills!O6</f>
        <v>33.44</v>
      </c>
      <c r="G2950">
        <f>Calc!G6</f>
        <v>1</v>
      </c>
      <c r="H2950">
        <f>Calc!H6</f>
        <v>1</v>
      </c>
      <c r="I2950">
        <f>IF(Skills!X6&lt;&gt;"",1+(Skills!X6/10)*(Z2947/1000)/100,1)</f>
        <v>1</v>
      </c>
      <c r="O2950">
        <f>(1-Summary!$B$11)*S2950+Summary!$B$11*U2950</f>
        <v>0</v>
      </c>
      <c r="P2950">
        <f>IF(B2985=0,0,O2950/B2985)</f>
        <v>0</v>
      </c>
      <c r="Q2950">
        <f>IFERROR(1/(IF(Inputs!$B$38="pvp",15,MAX(0.1,Skills!E6-IF(TRUE=TRUE,2.5,0)))*(1-IF(AND(ArtifactsInput!$M$27,Inputs!$B$4="Chapter Hunt"),CHOOSE(ArtifactsInput!$N$27+1,20,24,28,32,36,40),0)/100)),0)</f>
        <v>3.6363636363636362E-2</v>
      </c>
      <c r="R2950">
        <f>IF(AND(Inputs!$B$38&lt;&gt;"pvp",Inputs!$B$43&gt;0),IF(Inputs!$B$43&lt;=0,0,(INT(Inputs!$B$43/(IF(Inputs!$B$38="pvp",15,MAX(0.1,Skills!E6-IF(TRUE=TRUE,2.5,0)))*(1-IF(AND(ArtifactsInput!$M$27,Inputs!$B$4="Chapter Hunt"),CHOOSE(ArtifactsInput!$N$27+1,20,24,28,32,36,40),0)/100)))+1)),0)</f>
        <v>2</v>
      </c>
      <c r="S2950">
        <v>0</v>
      </c>
      <c r="U2950">
        <v>0</v>
      </c>
    </row>
    <row r="2951" spans="1:26" x14ac:dyDescent="0.2">
      <c r="A2951" t="str">
        <f>Skills!A7</f>
        <v>POISON_MIST_BURST</v>
      </c>
      <c r="B2951" t="str">
        <f>Skills!B7</f>
        <v>Poison Mist (burst)</v>
      </c>
      <c r="C2951" t="b">
        <f>TRUE</f>
        <v>1</v>
      </c>
      <c r="D2951">
        <f>IF(Skills!C7=1,60+Inputs!$B$25+Inputs!$B$29,IF(Skills!C7=2,90+Inputs!$B$26+Inputs!$B$29,IF(Skills!C7=3,120+Inputs!$B$27+Inputs!$B$29,MAX(0,(Inputs!$B$3-100)*3)+Inputs!$B$28+Inputs!$B$29)))</f>
        <v>184</v>
      </c>
      <c r="E2951">
        <f>INDEX(FactorTable!$B$2:$Y$301, MATCH(ROUND(MIN(300,MAX(1,D2951)),0), FactorTable!$A$2:$A$301,0), Skills!M7+1)</f>
        <v>1920</v>
      </c>
      <c r="F2951">
        <f>IF(Skills!N7=TRUE,(Skills!L7/10)*(E2951/1000),Skills!L7/10)+Skills!O7</f>
        <v>357.2</v>
      </c>
      <c r="G2951">
        <f>Calc!G7</f>
        <v>3</v>
      </c>
      <c r="H2951">
        <f>Calc!H7</f>
        <v>1</v>
      </c>
      <c r="I2951">
        <f>IF(Skills!X7&lt;&gt;"",1+(Skills!X7/10)*(Z2947/1000)/100,1)</f>
        <v>1.7650000000000001</v>
      </c>
      <c r="J2951">
        <f>((Inputs!$B$6*(1+Inputs!$B$7/100))+(((Inputs!$B$12*(1+Inputs!$B$13/100))-(Inputs!$B$12*(1+Inputs!$B$13/100)))+0.25*(Inputs!$B$14-Inputs!$B$14))*(1+Inputs!$B$7/100))*(F2951/100)</f>
        <v>1289972510.4086521</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11935896463360.322</v>
      </c>
      <c r="L2951">
        <f>K2951*(MIN(Inputs!$B$22+(F2966-Calc!F22),(Inputs!$B$23+(IF(ArtifactsInput!$M$15,CHOOSE(ArtifactsInput!$N$15+1,25,30,35,40,45,50)/100*(Inputs!$B$11-Inputs!$B$11),0))))/100+(Inputs!$B$23+(IF(ArtifactsInput!$M$15,CHOOSE(ArtifactsInput!$N$15+1,25,30,35,40,45,50)/100*(Inputs!$B$11-Inputs!$B$11),0)))/100)/2</f>
        <v>39686855740673.07</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187282272240236.19</v>
      </c>
      <c r="N2951">
        <f>L2951*(1-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187282272240236.19</v>
      </c>
      <c r="O2951">
        <f>(1-Summary!$B$11)*S2951+Summary!$B$11*U2951</f>
        <v>467316089807449.25</v>
      </c>
      <c r="P2951">
        <f>IF(B2985=0,0,O2951/B2985)</f>
        <v>1.349370452280201E-2</v>
      </c>
      <c r="Q2951">
        <f>IFERROR(1/(IF(Inputs!$B$38="pvp",15,MAX(0.1,Skills!E7-IF(TRUE=TRUE,2.5,0)))*(1-IF(AND(ArtifactsInput!$M$27,Inputs!$B$4="Chapter Hunt"),CHOOSE(ArtifactsInput!$N$27+1,20,24,28,32,36,40),0)/100)),0)</f>
        <v>4.5454545454545456E-2</v>
      </c>
      <c r="R2951">
        <f>IF(AND(Inputs!$B$38&lt;&gt;"pvp",Inputs!$B$43&gt;0),IF(MAX(0,Inputs!$B$43-B2982)&lt;=0,0,(INT(MAX(0,Inputs!$B$43-B2982)/(IF(Inputs!$B$38="pvp",15,MAX(0.1,Skills!E7-IF(TRUE=TRUE,2.5,0)))*(1-IF(AND(ArtifactsInput!$M$27,Inputs!$B$4="Chapter Hunt"),CHOOSE(ArtifactsInput!$N$27+1,20,24,28,32,36,40),0)/100)))+1)),0)</f>
        <v>2</v>
      </c>
      <c r="S2951">
        <f>IF(C2951,(H2951*N2951*IF(AND(Inputs!$B$38&lt;&gt;"pvp",Inputs!$B$43&gt;0),((Skills!G7*((R2951-1)*IF(Skills!H7&gt;0,Skills!I7/Skills!H7,1)+IF(Skills!H7&gt;0,MIN(Skills!I7,MAX(0,MAX(0,Inputs!$B$43-B2982)-((R2951-1)*(IF(Inputs!$B$38="pvp",15,MAX(0.1,Skills!E7-IF(TRUE=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89052720450232.297</v>
      </c>
      <c r="U2951">
        <f>IF(C2951,(H2951*N2951*IF(AND(Inputs!$B$38&lt;&gt;"pvp",Inputs!$B$43&gt;0),((Skills!G7*((R2951-1)*IF(Skills!H7&gt;0,Skills!I7/Skills!H7,1)+IF(Skills!H7&gt;0,MIN(Skills!I7,MAX(0,MAX(0,Inputs!$B$43-B2982)-((R2951-1)*(IF(Inputs!$B$38="pvp",15,MAX(0.1,Skills!E7-IF(TRUE=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845579459164666.25</v>
      </c>
    </row>
    <row r="2952" spans="1:26" x14ac:dyDescent="0.2">
      <c r="A2952" t="str">
        <f>Skills!A8</f>
        <v>POISON_MIST_DOT</v>
      </c>
      <c r="B2952" t="str">
        <f>Skills!B8</f>
        <v>Poison Mist (fog DoT)</v>
      </c>
      <c r="C2952" t="b">
        <f>TRUE</f>
        <v>1</v>
      </c>
      <c r="D2952">
        <f>IF(Skills!C8=1,60+Inputs!$B$25+Inputs!$B$29,IF(Skills!C8=2,90+Inputs!$B$26+Inputs!$B$29,IF(Skills!C8=3,120+Inputs!$B$27+Inputs!$B$29,MAX(0,(Inputs!$B$3-100)*3)+Inputs!$B$28+Inputs!$B$29)))</f>
        <v>184</v>
      </c>
      <c r="E2952">
        <f>INDEX(FactorTable!$B$2:$Y$301, MATCH(ROUND(MIN(300,MAX(1,D2952)),0), FactorTable!$A$2:$A$301,0), Skills!M8+1)</f>
        <v>1920</v>
      </c>
      <c r="F2952">
        <f>IF(Skills!N8=TRUE,(Skills!L8/10)*(E2952/1000),Skills!L8/10)+Skills!O8</f>
        <v>134.4</v>
      </c>
      <c r="G2952">
        <f>Calc!G8</f>
        <v>50</v>
      </c>
      <c r="H2952">
        <f>Calc!H8</f>
        <v>1</v>
      </c>
      <c r="I2952">
        <f>IF(Skills!X8&lt;&gt;"",1+(Skills!X8/10)*(Z2947/1000)/100,1)</f>
        <v>1.7650000000000001</v>
      </c>
      <c r="J2952">
        <f>((Inputs!$B$6*(1+Inputs!$B$7/100))+(((Inputs!$B$12*(1+Inputs!$B$13/100))-(Inputs!$B$12*(1+Inputs!$B$13/100)))+0.25*(Inputs!$B$14-Inputs!$B$14))*(1+Inputs!$B$7/100))*(F2952/100)</f>
        <v>485364796.74950409</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4490997997412.1709</v>
      </c>
      <c r="L2952">
        <f>K2952*(MIN(Inputs!$B$22+(F2966-Calc!F22),(Inputs!$B$23+(IF(ArtifactsInput!$M$15,CHOOSE(ArtifactsInput!$N$15+1,25,30,35,40,45,50)/100*(Inputs!$B$11-Inputs!$B$11),0))))/100+(Inputs!$B$23+(IF(ArtifactsInput!$M$15,CHOOSE(ArtifactsInput!$N$15+1,25,30,35,40,45,50)/100*(Inputs!$B$11-Inputs!$B$11),0)))/100)/2</f>
        <v>14932568341395.469</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70466790003045.203</v>
      </c>
      <c r="N2952">
        <f>L2952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70466790003045.203</v>
      </c>
      <c r="O2952">
        <f>(1-Summary!$B$11)*S2952+Summary!$B$11*U2952</f>
        <v>2611453205114015.5</v>
      </c>
      <c r="P2952">
        <f>IF(B2985=0,0,O2952/B2985)</f>
        <v>7.5405445465085888E-2</v>
      </c>
      <c r="Q2952">
        <f>IFERROR(1/(IF(Inputs!$B$38="pvp",15,MAX(0.1,Skills!E8-IF(TRUE=TRUE,2.5,0)))*(1-IF(AND(ArtifactsInput!$M$27,Inputs!$B$4="Chapter Hunt"),CHOOSE(ArtifactsInput!$N$27+1,20,24,28,32,36,40),0)/100)),0)</f>
        <v>4.5454545454545456E-2</v>
      </c>
      <c r="R2952">
        <f>IF(AND(Inputs!$B$38&lt;&gt;"pvp",Inputs!$B$43&gt;0),IF(MAX(0,Inputs!$B$43-B2982)&lt;=0,0,(INT(MAX(0,Inputs!$B$43-B2982)/(IF(Inputs!$B$38="pvp",15,MAX(0.1,Skills!E8-IF(TRUE=TRUE,2.5,0)))*(1-IF(AND(ArtifactsInput!$M$27,Inputs!$B$4="Chapter Hunt"),CHOOSE(ArtifactsInput!$N$27+1,20,24,28,32,36,40),0)/100)))+1)),0)</f>
        <v>2</v>
      </c>
      <c r="S2952">
        <f>IF(C2952,(H2952*N2952*IF(AND(Inputs!$B$38&lt;&gt;"pvp",Inputs!$B$43&gt;0),((Skills!G8*((R2952-1)*IF(Skills!H8&gt;0,Skills!I8/Skills!H8,1)+IF(Skills!H8&gt;0,MIN(Skills!I8,MAX(0,MAX(0,Inputs!$B$43-B2982)-((R2952-1)*(IF(Inputs!$B$38="pvp",15,MAX(0.1,Skills!E8-IF(TRUE=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497643923066512.12</v>
      </c>
      <c r="U2952">
        <f>IF(C2952,(H2952*N2952*IF(AND(Inputs!$B$38&lt;&gt;"pvp",Inputs!$B$43&gt;0),((Skills!G8*((R2952-1)*IF(Skills!H8&gt;0,Skills!I8/Skills!H8,1)+IF(Skills!H8&gt;0,MIN(Skills!I8,MAX(0,MAX(0,Inputs!$B$43-B2982)-((R2952-1)*(IF(Inputs!$B$38="pvp",15,MAX(0.1,Skills!E8-IF(TRUE=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4725262487161519</v>
      </c>
    </row>
    <row r="2953" spans="1:26" x14ac:dyDescent="0.2">
      <c r="A2953" t="str">
        <f>Skills!A9</f>
        <v>MIST_ERUPTION</v>
      </c>
      <c r="B2953" t="str">
        <f>Skills!B9</f>
        <v>Mist Eruption</v>
      </c>
      <c r="C2953" t="b">
        <f>Inputs!$B$3&gt;=103</f>
        <v>1</v>
      </c>
      <c r="D2953">
        <f>IF(Skills!C9=1,60+Inputs!$B$25+Inputs!$B$29,IF(Skills!C9=2,90+Inputs!$B$26+Inputs!$B$29,IF(Skills!C9=3,120+Inputs!$B$27+Inputs!$B$29,MAX(0,(Inputs!$B$3-100)*3)+Inputs!$B$28+Inputs!$B$29)))</f>
        <v>185</v>
      </c>
      <c r="E2953">
        <f>INDEX(FactorTable!$B$2:$Y$301, MATCH(ROUND(MIN(300,MAX(1,D2953)),0), FactorTable!$A$2:$A$301,0), Skills!M9+1)</f>
        <v>1925</v>
      </c>
      <c r="F2953">
        <f>IF(Skills!N9=TRUE,(Skills!L9/10)*(E2953/1000),Skills!L9/10)+Skills!O9</f>
        <v>5775</v>
      </c>
      <c r="G2953">
        <f>Calc!G9</f>
        <v>2.5</v>
      </c>
      <c r="H2953">
        <f>Calc!H9</f>
        <v>1</v>
      </c>
      <c r="I2953">
        <f>IF(Skills!X9&lt;&gt;"",1+(Skills!X9/10)*(Z2947/1000)/100,1)</f>
        <v>1</v>
      </c>
      <c r="J2953">
        <f>((Inputs!$B$6*(1+Inputs!$B$7/100))+(((Inputs!$B$12*(1+Inputs!$B$13/100))-(Inputs!$B$12*(1+Inputs!$B$13/100)))+0.25*(Inputs!$B$14-Inputs!$B$14))*(1+Inputs!$B$7/100))*(F2953/100)</f>
        <v>20855518610.330254</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109332900963911.72</v>
      </c>
      <c r="L2953">
        <f>K2953*(MIN(Inputs!$B$22+(F2966-Calc!F22),(Inputs!$B$23+(IF(ArtifactsInput!$M$15,CHOOSE(ArtifactsInput!$N$15+1,25,30,35,40,45,50)/100*(Inputs!$B$11-Inputs!$B$11),0))))/100+(Inputs!$B$23+(IF(ArtifactsInput!$M$15,CHOOSE(ArtifactsInput!$N$15+1,25,30,35,40,45,50)/100*(Inputs!$B$11-Inputs!$B$11),0)))/100)/2</f>
        <v>363531895705006.5</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1715507015831925.5</v>
      </c>
      <c r="N2953">
        <f>L2953*(1-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1715507015831925.5</v>
      </c>
      <c r="O2953">
        <f>(1-Summary!$B$11)*S2953+Summary!$B$11*U2953</f>
        <v>3567182401045510</v>
      </c>
      <c r="P2953">
        <f>IF(B2985=0,0,O2953/B2985)</f>
        <v>0.10300202870926325</v>
      </c>
      <c r="Q2953">
        <f>IFERROR(1/(IF(Inputs!$B$38="pvp",15,MAX(0.1,Skills!E9-IF(TRUE=TRUE,2.5,0)))*(1-IF(AND(ArtifactsInput!$M$27,Inputs!$B$4="Chapter Hunt"),CHOOSE(ArtifactsInput!$N$27+1,20,24,28,32,36,40),0)/100)),0)</f>
        <v>4.5454545454545456E-2</v>
      </c>
      <c r="R2953">
        <f>IF(AND(Inputs!$B$38&lt;&gt;"pvp",Inputs!$B$43&gt;0),IF(MAX(0,Inputs!$B$43-B2982)&lt;=0,0,(INT(MAX(0,Inputs!$B$43-B2982)/(IF(Inputs!$B$38="pvp",15,MAX(0.1,Skills!E9-IF(TRUE=TRUE,2.5,0)))*(1-IF(AND(ArtifactsInput!$M$27,Inputs!$B$4="Chapter Hunt"),CHOOSE(ArtifactsInput!$N$27+1,20,24,28,32,36,40),0)/100)))+1)),0)</f>
        <v>2</v>
      </c>
      <c r="S2953">
        <f>IF(C2953,(H2953*N2953*IF(AND(Inputs!$B$38&lt;&gt;"pvp",Inputs!$B$43&gt;0),((Skills!G9*((R2953-1)*IF(Skills!H9&gt;0,Skills!I9/Skills!H9,1)+IF(Skills!H9&gt;0,MIN(Skills!I9,MAX(0,MAX(0,Inputs!$B$43-B2982)-((R2953-1)*(IF(Inputs!$B$38="pvp",15,MAX(0.1,Skills!E9-IF(TRUE=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679769655023400.5</v>
      </c>
      <c r="U2953">
        <f>IF(C2953,(H2953*N2953*IF(AND(Inputs!$B$38&lt;&gt;"pvp",Inputs!$B$43&gt;0),((Skills!G9*((R2953-1)*IF(Skills!H9&gt;0,Skills!I9/Skills!H9,1)+IF(Skills!H9&gt;0,MIN(Skills!I9,MAX(0,MAX(0,Inputs!$B$43-B2982)-((R2953-1)*(IF(Inputs!$B$38="pvp",15,MAX(0.1,Skills!E9-IF(TRUE=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6454595147067619</v>
      </c>
    </row>
    <row r="2954" spans="1:26" x14ac:dyDescent="0.2">
      <c r="A2954" t="str">
        <f>Skills!A10</f>
        <v>CREEPING_TOXIN</v>
      </c>
      <c r="B2954" t="str">
        <f>Skills!B10</f>
        <v>Creeping Toxin</v>
      </c>
      <c r="C2954" t="b">
        <f>TRUE</f>
        <v>1</v>
      </c>
      <c r="D2954">
        <f>IF(Skills!C10=1,60+Inputs!$B$25+Inputs!$B$29,IF(Skills!C10=2,90+Inputs!$B$26+Inputs!$B$29,IF(Skills!C10=3,120+Inputs!$B$27+Inputs!$B$29,MAX(0,(Inputs!$B$3-100)*3)+Inputs!$B$28+Inputs!$B$29)))</f>
        <v>184</v>
      </c>
      <c r="E2954">
        <f>INDEX(FactorTable!$B$2:$Y$301, MATCH(ROUND(MIN(300,MAX(1,D2954)),0), FactorTable!$A$2:$A$301,0), Skills!M10+1)</f>
        <v>1920</v>
      </c>
      <c r="F2954">
        <f>IF(Skills!N10=TRUE,(Skills!L10/10)*(E2954/1000),Skills!L10/10)+Skills!O10</f>
        <v>280.39999999999998</v>
      </c>
      <c r="G2954">
        <f>Calc!G10</f>
        <v>15</v>
      </c>
      <c r="H2954">
        <f>Calc!H10</f>
        <v>1</v>
      </c>
      <c r="I2954">
        <f>IF(Skills!X10&lt;&gt;"",1+(Skills!X10/10)*(Z2947/1000)/100,1)</f>
        <v>1.7650000000000001</v>
      </c>
      <c r="J2954">
        <f>((Inputs!$B$6*(1+Inputs!$B$7/100))+(((Inputs!$B$12*(1+Inputs!$B$13/100))-(Inputs!$B$12*(1+Inputs!$B$13/100)))+0.25*(Inputs!$B$14-Inputs!$B$14))*(1+Inputs!$B$7/100))*(F2954/100)</f>
        <v>1012621197.9803641</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9369611893410.5098</v>
      </c>
      <c r="L2954">
        <f>K2954*(MIN(Inputs!$B$22+(F2966-Calc!F22),(Inputs!$B$23+(IF(ArtifactsInput!$M$15,CHOOSE(ArtifactsInput!$N$15+1,25,30,35,40,45,50)/100*(Inputs!$B$11-Inputs!$B$11),0))))/100+(Inputs!$B$23+(IF(ArtifactsInput!$M$15,CHOOSE(ArtifactsInput!$N$15+1,25,30,35,40,45,50)/100*(Inputs!$B$11-Inputs!$B$11),0)))/100)/2</f>
        <v>31153959545589.945</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147015535095638.94</v>
      </c>
      <c r="N2954">
        <f>L2954*(1-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147015535095638.94</v>
      </c>
      <c r="O2954">
        <f>(1-Summary!$B$11)*S2954+Summary!$B$11*U2954</f>
        <v>371359275776345.25</v>
      </c>
      <c r="P2954">
        <f>IF(B2985=0,0,O2954/B2985)</f>
        <v>1.0722961285566827E-2</v>
      </c>
      <c r="Q2954">
        <f>IFERROR(1/(IF(Inputs!$B$38="pvp",15,MAX(0.1,Skills!E10-IF(TRUE=TRUE,2.5,0)))*(1-IF(AND(ArtifactsInput!$M$27,Inputs!$B$4="Chapter Hunt"),CHOOSE(ArtifactsInput!$N$27+1,20,24,28,32,36,40),0)/100)),0)</f>
        <v>4.0816326530612242E-2</v>
      </c>
      <c r="R2954">
        <f>IF(AND(Inputs!$B$38&lt;&gt;"pvp",Inputs!$B$43&gt;0),IF(MAX(0,Inputs!$B$43-B2982)&lt;=0,0,(INT(MAX(0,Inputs!$B$43-B2982)/(IF(Inputs!$B$38="pvp",15,MAX(0.1,Skills!E10-IF(TRUE=TRUE,2.5,0)))*(1-IF(AND(ArtifactsInput!$M$27,Inputs!$B$4="Chapter Hunt"),CHOOSE(ArtifactsInput!$N$27+1,20,24,28,32,36,40),0)/100)))+1)),0)</f>
        <v>2</v>
      </c>
      <c r="S2954">
        <f>IF(C2954,(H2954*N2954*IF(AND(Inputs!$B$38&lt;&gt;"pvp",Inputs!$B$43&gt;0),((Skills!G10*((R2954-1)*IF(Skills!H10&gt;0,Skills!I10/Skills!H10,1)+IF(Skills!H10&gt;0,MIN(Skills!I10,MAX(0,MAX(0,Inputs!$B$43-B2982)-((R2954-1)*(IF(Inputs!$B$38="pvp",15,MAX(0.1,Skills!E10-IF(TRUE=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327913343791368.88</v>
      </c>
      <c r="U2954">
        <f>IF(C2954,(H2954*N2954*IF(AND(Inputs!$B$38&lt;&gt;"pvp",Inputs!$B$43&gt;0),((Skills!G10*((R2954-1)*IF(Skills!H10&gt;0,Skills!I10/Skills!H10,1)+IF(Skills!H10&gt;0,MIN(Skills!I10,MAX(0,MAX(0,Inputs!$B$43-B2982)-((R2954-1)*(IF(Inputs!$B$38="pvp",15,MAX(0.1,Skills!E10-IF(TRUE=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414805207761321.56</v>
      </c>
    </row>
    <row r="2955" spans="1:26" x14ac:dyDescent="0.2">
      <c r="A2955" t="str">
        <f>Skills!A11</f>
        <v>BURNING_MAGIC</v>
      </c>
      <c r="B2955" t="str">
        <f>Skills!B11</f>
        <v>Burning Magic</v>
      </c>
      <c r="C2955" t="b">
        <f>TRUE</f>
        <v>1</v>
      </c>
      <c r="D2955">
        <f>IF(Skills!C11=1,60+Inputs!$B$25+Inputs!$B$29,IF(Skills!C11=2,90+Inputs!$B$26+Inputs!$B$29,IF(Skills!C11=3,120+Inputs!$B$27+Inputs!$B$29,MAX(0,(Inputs!$B$3-100)*3)+Inputs!$B$28+Inputs!$B$29)))</f>
        <v>184</v>
      </c>
      <c r="E2955">
        <f>INDEX(FactorTable!$B$2:$Y$301, MATCH(ROUND(MIN(300,MAX(1,D2955)),0), FactorTable!$A$2:$A$301,0), Skills!M11+1)</f>
        <v>0</v>
      </c>
      <c r="F2955">
        <f>IF(Skills!N11=TRUE,(Skills!L11/10)*(E2955/1000),Skills!L11/10)+Skills!O11</f>
        <v>5</v>
      </c>
      <c r="G2955">
        <f>Calc!G11</f>
        <v>1</v>
      </c>
      <c r="H2955">
        <f>Calc!H11</f>
        <v>1</v>
      </c>
      <c r="I2955">
        <f>IF(Skills!X11&lt;&gt;"",1+(Skills!X11/10)*(Z2947/1000)/100,1)</f>
        <v>1</v>
      </c>
      <c r="O2955">
        <f>(1-Summary!$B$11)*S2955+Summary!$B$11*U2955</f>
        <v>0</v>
      </c>
      <c r="P2955">
        <f>IF(B2985=0,0,O2955/B2985)</f>
        <v>0</v>
      </c>
      <c r="Q2955">
        <f>IFERROR(1/(IF(Inputs!$B$38="pvp",15,MAX(0.1,Skills!E11-IF(TRUE=TRUE,2.5,0)))*(1-IF(AND(ArtifactsInput!$M$27,Inputs!$B$4="Chapter Hunt"),CHOOSE(ArtifactsInput!$N$27+1,20,24,28,32,36,40),0)/100)),0)</f>
        <v>10</v>
      </c>
      <c r="R2955">
        <v>0</v>
      </c>
      <c r="S2955">
        <v>0</v>
      </c>
      <c r="U2955">
        <v>0</v>
      </c>
    </row>
    <row r="2956" spans="1:26" x14ac:dyDescent="0.2">
      <c r="A2956" t="str">
        <f>Skills!A12</f>
        <v>ELEMENTAL_DECREASE</v>
      </c>
      <c r="B2956" t="str">
        <f>Skills!B12</f>
        <v>Elemental Decrease</v>
      </c>
      <c r="C2956" t="b">
        <f>TRUE</f>
        <v>1</v>
      </c>
      <c r="D2956">
        <f>IF(Skills!C12=1,60+Inputs!$B$25+Inputs!$B$29,IF(Skills!C12=2,90+Inputs!$B$26+Inputs!$B$29,IF(Skills!C12=3,120+Inputs!$B$27+Inputs!$B$29,MAX(0,(Inputs!$B$3-100)*3)+Inputs!$B$28+Inputs!$B$29)))</f>
        <v>184</v>
      </c>
      <c r="E2956">
        <f>INDEX(FactorTable!$B$2:$Y$301, MATCH(ROUND(MIN(300,MAX(1,D2956)),0), FactorTable!$A$2:$A$301,0), Skills!M12+1)</f>
        <v>1552</v>
      </c>
      <c r="F2956">
        <f>IF(Skills!N12=TRUE,(Skills!L12/10)*(E2956/1000),Skills!L12/10)+Skills!O12</f>
        <v>18.624000000000002</v>
      </c>
      <c r="G2956">
        <f>Calc!G12</f>
        <v>1</v>
      </c>
      <c r="H2956">
        <f>Calc!H12</f>
        <v>0.5</v>
      </c>
      <c r="I2956">
        <f>IF(Skills!X12&lt;&gt;"",1+(Skills!X12/10)*(Z2947/1000)/100,1)</f>
        <v>1</v>
      </c>
      <c r="O2956">
        <f>(1-Summary!$B$11)*S2956+Summary!$B$11*U2956</f>
        <v>0</v>
      </c>
      <c r="P2956">
        <f>IF(B2985=0,0,O2956/B2985)</f>
        <v>0</v>
      </c>
      <c r="Q2956">
        <f>IFERROR(1/(IF(Inputs!$B$38="pvp",15,MAX(0.1,Skills!E12-IF(TRUE=TRUE,2.5,0)))*(1-IF(AND(ArtifactsInput!$M$27,Inputs!$B$4="Chapter Hunt"),CHOOSE(ArtifactsInput!$N$27+1,20,24,28,32,36,40),0)/100)),0)</f>
        <v>10</v>
      </c>
      <c r="R2956">
        <v>0</v>
      </c>
      <c r="S2956">
        <v>0</v>
      </c>
      <c r="U2956">
        <v>0</v>
      </c>
    </row>
    <row r="2957" spans="1:26" x14ac:dyDescent="0.2">
      <c r="A2957" t="str">
        <f>Skills!A13</f>
        <v>METEOR_SHOWER_BURST</v>
      </c>
      <c r="B2957" t="str">
        <f>Skills!B13</f>
        <v>Meteor Shower (burst)</v>
      </c>
      <c r="C2957" t="b">
        <f>Inputs!$B$3&gt;=105</f>
        <v>1</v>
      </c>
      <c r="D2957">
        <f>IF(Skills!C13=1,60+Inputs!$B$25+Inputs!$B$29,IF(Skills!C13=2,90+Inputs!$B$26+Inputs!$B$29,IF(Skills!C13=3,120+Inputs!$B$27+Inputs!$B$29,MAX(0,(Inputs!$B$3-100)*3)+Inputs!$B$28+Inputs!$B$29)))</f>
        <v>185</v>
      </c>
      <c r="E2957">
        <f>INDEX(FactorTable!$B$2:$Y$301, MATCH(ROUND(MIN(300,MAX(1,D2957)),0), FactorTable!$A$2:$A$301,0), Skills!M13+1)</f>
        <v>1925</v>
      </c>
      <c r="F2957">
        <f>IF(Skills!N13=TRUE,(Skills!L13/10)*(E2957/1000),Skills!L13/10)+Skills!O13</f>
        <v>1155</v>
      </c>
      <c r="G2957">
        <f>Calc!G13</f>
        <v>9</v>
      </c>
      <c r="H2957">
        <f>Calc!H13</f>
        <v>1</v>
      </c>
      <c r="I2957">
        <f>IF(Skills!X13&lt;&gt;"",1+(Skills!X13/10)*(Z2947/1000)/100,1)</f>
        <v>1</v>
      </c>
      <c r="J2957">
        <f>((Inputs!$B$6*(1+Inputs!$B$7/100))+(((Inputs!$B$12*(1+Inputs!$B$13/100))-(Inputs!$B$12*(1+Inputs!$B$13/100)))+0.25*(Inputs!$B$14-Inputs!$B$14))*(1+Inputs!$B$7/100))*(F2957/100)</f>
        <v>4171103722.0660505</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21866580192782.344</v>
      </c>
      <c r="L2957">
        <f>K2957*(MIN(Inputs!$B$22+(F2966-Calc!F22),(Inputs!$B$23+(IF(ArtifactsInput!$M$15,CHOOSE(ArtifactsInput!$N$15+1,25,30,35,40,45,50)/100*(Inputs!$B$11-Inputs!$B$11),0))))/100+(Inputs!$B$23+(IF(ArtifactsInput!$M$15,CHOOSE(ArtifactsInput!$N$15+1,25,30,35,40,45,50)/100*(Inputs!$B$11-Inputs!$B$11),0)))/100)/2</f>
        <v>72706379141001.297</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343101403166385.06</v>
      </c>
      <c r="N2957">
        <f>L2957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343101403166385.06</v>
      </c>
      <c r="O2957">
        <f>(1-Summary!$B$11)*S2957+Summary!$B$11*U2957</f>
        <v>1871275052869464.2</v>
      </c>
      <c r="P2957">
        <f>IF(B2985=0,0,O2957/B2985)</f>
        <v>5.4032876665375103E-2</v>
      </c>
      <c r="Q2957">
        <f>IFERROR(1/(IF(Inputs!$B$38="pvp",15,MAX(0.1,Skills!E13-IF(TRUE=TRUE,2.5,0)))*(1-IF(AND(ArtifactsInput!$M$27,Inputs!$B$4="Chapter Hunt"),CHOOSE(ArtifactsInput!$N$27+1,20,24,28,32,36,40),0)/100)),0)</f>
        <v>3.2786885245901641E-2</v>
      </c>
      <c r="R2957">
        <f>IF(AND(Inputs!$B$38&lt;&gt;"pvp",Inputs!$B$43&gt;0),IF(MAX(0,Inputs!$B$43-B2982)&lt;=0,0,(INT(MAX(0,Inputs!$B$43-B2982)/(IF(Inputs!$B$38="pvp",15,MAX(0.1,Skills!E13-IF(TRUE=TRUE,2.5,0)))*(1-IF(AND(ArtifactsInput!$M$27,Inputs!$B$4="Chapter Hunt"),CHOOSE(ArtifactsInput!$N$27+1,20,24,28,32,36,40),0)/100)))+1)),0)</f>
        <v>2</v>
      </c>
      <c r="S2957">
        <f>IF(C2957,(H2957*N2957*IF(AND(Inputs!$B$38&lt;&gt;"pvp",Inputs!$B$43&gt;0),((Skills!G13*((R2957-1)*IF(Skills!H13&gt;0,Skills!I13/Skills!H13,1)+IF(Skills!H13&gt;0,MIN(Skills!I13,MAX(0,MAX(0,Inputs!$B$43-B2982)-((R2957-1)*(IF(Inputs!$B$38="pvp",15,MAX(0.1,Skills!E13-IF(TRUE=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489434151616848.31</v>
      </c>
      <c r="U2957">
        <f>IF(C2957,(H2957*N2957*IF(AND(Inputs!$B$38&lt;&gt;"pvp",Inputs!$B$43&gt;0),((Skills!G13*((R2957-1)*IF(Skills!H13&gt;0,Skills!I13/Skills!H13,1)+IF(Skills!H13&gt;0,MIN(Skills!I13,MAX(0,MAX(0,Inputs!$B$43-B2982)-((R2957-1)*(IF(Inputs!$B$38="pvp",15,MAX(0.1,Skills!E13-IF(TRUE=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3253115954122080</v>
      </c>
    </row>
    <row r="2958" spans="1:26" x14ac:dyDescent="0.2">
      <c r="A2958" t="str">
        <f>Skills!A14</f>
        <v>METEOR_PROC</v>
      </c>
      <c r="B2958" t="str">
        <f>Skills!B14</f>
        <v>Meteor Proc (30% on-hit, 1s ICD)</v>
      </c>
      <c r="C2958" t="b">
        <f>Inputs!$B$3&gt;=113</f>
        <v>1</v>
      </c>
      <c r="D2958">
        <f>IF(Skills!C14=1,60+Inputs!$B$25+Inputs!$B$29,IF(Skills!C14=2,90+Inputs!$B$26+Inputs!$B$29,IF(Skills!C14=3,120+Inputs!$B$27+Inputs!$B$29,MAX(0,(Inputs!$B$3-100)*3)+Inputs!$B$28+Inputs!$B$29)))</f>
        <v>185</v>
      </c>
      <c r="E2958">
        <f>INDEX(FactorTable!$B$2:$Y$301, MATCH(ROUND(MIN(300,MAX(1,D2958)),0), FactorTable!$A$2:$A$301,0), Skills!M14+1)</f>
        <v>1740</v>
      </c>
      <c r="F2958">
        <f>IF(Skills!N14=TRUE,(Skills!L14/10)*(E2958/1000),Skills!L14/10)+Skills!O14</f>
        <v>1653</v>
      </c>
      <c r="G2958">
        <f>Calc!G14</f>
        <v>0</v>
      </c>
      <c r="H2958">
        <f>Calc!H14</f>
        <v>0.30000000000000004</v>
      </c>
      <c r="I2958">
        <f>IF(Skills!X14&lt;&gt;"",1+(Skills!X14/10)*(Z2947/1000)/100,1)</f>
        <v>1</v>
      </c>
      <c r="J2958">
        <f>((Inputs!$B$6*(1+Inputs!$B$7/100))+(((Inputs!$B$12*(1+Inputs!$B$13/100))-(Inputs!$B$12*(1+Inputs!$B$13/100)))+0.25*(Inputs!$B$14-Inputs!$B$14))*(1+Inputs!$B$7/100))*(F2958/100)</f>
        <v>5969553638.5932312</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31294768016163.816</v>
      </c>
      <c r="L2958">
        <f>K2958*(MIN(Inputs!$B$22+(F2966-Calc!F22),(Inputs!$B$23+(IF(ArtifactsInput!$M$15,CHOOSE(ArtifactsInput!$N$15+1,25,30,35,40,45,50)/100*(Inputs!$B$11-Inputs!$B$11),0))))/100+(Inputs!$B$23+(IF(ArtifactsInput!$M$15,CHOOSE(ArtifactsInput!$N$15+1,25,30,35,40,45,50)/100*(Inputs!$B$11-Inputs!$B$11),0)))/100)/2</f>
        <v>104055103653744.69</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491036034142021.12</v>
      </c>
      <c r="N2958">
        <f>L2958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491036034142021.12</v>
      </c>
      <c r="O2958">
        <f>(1-Summary!$B$11)*S2958+Summary!$B$11*U2958</f>
        <v>475905979555626.38</v>
      </c>
      <c r="P2958">
        <f>IF(B2985=0,0,O2958/B2985)</f>
        <v>1.3741736714873776E-2</v>
      </c>
      <c r="Q2958">
        <f>IFERROR(1/(IF(Inputs!$B$38="pvp",15,MAX(0.1,Skills!E14-IF(TRUE=TRUE,2.5,0)))*(1-IF(AND(ArtifactsInput!$M$27,Inputs!$B$4="Chapter Hunt"),CHOOSE(ArtifactsInput!$N$27+1,20,24,28,32,36,40),0)/100)),0)</f>
        <v>10</v>
      </c>
      <c r="R2958">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488227169964833.5</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463584789146419.19</v>
      </c>
    </row>
    <row r="2959" spans="1:26" x14ac:dyDescent="0.2">
      <c r="A2959" t="str">
        <f>Skills!A15</f>
        <v>FLAME_HAZE_BURST</v>
      </c>
      <c r="B2959" t="str">
        <f>Skills!B15</f>
        <v>Flame Haze (burst)</v>
      </c>
      <c r="C2959" t="b">
        <f>Inputs!$B$3&gt;=107</f>
        <v>1</v>
      </c>
      <c r="D2959">
        <f>IF(Skills!C15=1,60+Inputs!$B$25+Inputs!$B$29,IF(Skills!C15=2,90+Inputs!$B$26+Inputs!$B$29,IF(Skills!C15=3,120+Inputs!$B$27+Inputs!$B$29,MAX(0,(Inputs!$B$3-100)*3)+Inputs!$B$28+Inputs!$B$29)))</f>
        <v>185</v>
      </c>
      <c r="E2959">
        <f>INDEX(FactorTable!$B$2:$Y$301, MATCH(ROUND(MIN(300,MAX(1,D2959)),0), FactorTable!$A$2:$A$301,0), Skills!M15+1)</f>
        <v>1925</v>
      </c>
      <c r="F2959">
        <f>IF(Skills!N15=TRUE,(Skills!L15/10)*(E2959/1000),Skills!L15/10)+Skills!O15</f>
        <v>2310</v>
      </c>
      <c r="G2959">
        <f>Calc!G15</f>
        <v>3</v>
      </c>
      <c r="H2959">
        <f>Calc!H15</f>
        <v>1</v>
      </c>
      <c r="I2959">
        <f>IF(Skills!X15&lt;&gt;"",1+(Skills!X15/10)*(Z2947/1000)/100,1)</f>
        <v>1</v>
      </c>
      <c r="J2959">
        <f>((Inputs!$B$6*(1+Inputs!$B$7/100))+(((Inputs!$B$12*(1+Inputs!$B$13/100))-(Inputs!$B$12*(1+Inputs!$B$13/100)))+0.25*(Inputs!$B$14-Inputs!$B$14))*(1+Inputs!$B$7/100))*(F2959/100)</f>
        <v>8342207444.1321011</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43733160385564.688</v>
      </c>
      <c r="L2959">
        <f>K2959*(MIN(Inputs!$B$22+(F2966-Calc!F22),(Inputs!$B$23+(IF(ArtifactsInput!$M$15,CHOOSE(ArtifactsInput!$N$15+1,25,30,35,40,45,50)/100*(Inputs!$B$11-Inputs!$B$11),0))))/100+(Inputs!$B$23+(IF(ArtifactsInput!$M$15,CHOOSE(ArtifactsInput!$N$15+1,25,30,35,40,45,50)/100*(Inputs!$B$11-Inputs!$B$11),0)))/100)/2</f>
        <v>145412758282002.59</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686202806332770.12</v>
      </c>
      <c r="N2959">
        <f>L2959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686202806332770.12</v>
      </c>
      <c r="O2959">
        <f>(1-Summary!$B$11)*S2959+Summary!$B$11*U2959</f>
        <v>1712247552501844.5</v>
      </c>
      <c r="P2959">
        <f>IF(B2985=0,0,O2959/B2985)</f>
        <v>4.9440973780446353E-2</v>
      </c>
      <c r="Q2959">
        <f>IFERROR(1/(IF(Inputs!$B$38="pvp",15,MAX(0.1,Skills!E15-IF(TRUE=TRUE,2.5,0)))*(1-IF(AND(ArtifactsInput!$M$27,Inputs!$B$4="Chapter Hunt"),CHOOSE(ArtifactsInput!$N$27+1,20,24,28,32,36,40),0)/100)),0)</f>
        <v>4.4444444444444446E-2</v>
      </c>
      <c r="R2959">
        <f>IF(AND(Inputs!$B$38&lt;&gt;"pvp",Inputs!$B$43&gt;0),IF(MAX(0,Inputs!$B$43-B2982)&lt;=0,0,(INT(MAX(0,Inputs!$B$43-B2982)/(IF(Inputs!$B$38="pvp",15,MAX(0.1,Skills!E15-IF(TRUE=TRUE,2.5,0)))*(1-IF(AND(ArtifactsInput!$M$27,Inputs!$B$4="Chapter Hunt"),CHOOSE(ArtifactsInput!$N$27+1,20,24,28,32,36,40),0)/100)))+1)),0)</f>
        <v>2</v>
      </c>
      <c r="S2959">
        <f>IF(C2959,(H2959*N2959*IF(AND(Inputs!$B$38&lt;&gt;"pvp",Inputs!$B$43&gt;0),((Skills!G15*((R2959-1)*IF(Skills!H15&gt;0,Skills!I15/Skills!H15,1)+IF(Skills!H15&gt;0,MIN(Skills!I15,MAX(0,MAX(0,Inputs!$B$43-B2982)-((R2959-1)*(IF(Inputs!$B$38="pvp",15,MAX(0.1,Skills!E15-IF(TRUE=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326289434411232.19</v>
      </c>
      <c r="U2959">
        <f>IF(C2959,(H2959*N2959*IF(AND(Inputs!$B$38&lt;&gt;"pvp",Inputs!$B$43&gt;0),((Skills!G15*((R2959-1)*IF(Skills!H15&gt;0,Skills!I15/Skills!H15,1)+IF(Skills!H15&gt;0,MIN(Skills!I15,MAX(0,MAX(0,Inputs!$B$43-B2982)-((R2959-1)*(IF(Inputs!$B$38="pvp",15,MAX(0.1,Skills!E15-IF(TRUE=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3098205670592457</v>
      </c>
    </row>
    <row r="2960" spans="1:26" x14ac:dyDescent="0.2">
      <c r="A2960" t="str">
        <f>Skills!A16</f>
        <v>FLAME_HAZE_DOT</v>
      </c>
      <c r="B2960" t="str">
        <f>Skills!B16</f>
        <v>Flame Haze (burn DoT)</v>
      </c>
      <c r="C2960" t="b">
        <f>Inputs!$B$3&gt;=107</f>
        <v>1</v>
      </c>
      <c r="D2960">
        <f>IF(Skills!C16=1,60+Inputs!$B$25+Inputs!$B$29,IF(Skills!C16=2,90+Inputs!$B$26+Inputs!$B$29,IF(Skills!C16=3,120+Inputs!$B$27+Inputs!$B$29,MAX(0,(Inputs!$B$3-100)*3)+Inputs!$B$28+Inputs!$B$29)))</f>
        <v>185</v>
      </c>
      <c r="E2960">
        <f>INDEX(FactorTable!$B$2:$Y$301, MATCH(ROUND(MIN(300,MAX(1,D2960)),0), FactorTable!$A$2:$A$301,0), Skills!M16+1)</f>
        <v>1925</v>
      </c>
      <c r="F2960">
        <f>IF(Skills!N16=TRUE,(Skills!L16/10)*(E2960/1000),Skills!L16/10)+Skills!O16</f>
        <v>288.75</v>
      </c>
      <c r="G2960">
        <f>Calc!G16</f>
        <v>30</v>
      </c>
      <c r="H2960">
        <f>Calc!H16</f>
        <v>1</v>
      </c>
      <c r="I2960">
        <f>IF(Skills!X16&lt;&gt;"",1+(Skills!X16/10)*(Z2947/1000)/100,1)</f>
        <v>1</v>
      </c>
      <c r="J2960">
        <f>((Inputs!$B$6*(1+Inputs!$B$7/100))+(((Inputs!$B$12*(1+Inputs!$B$13/100))-(Inputs!$B$12*(1+Inputs!$B$13/100)))+0.25*(Inputs!$B$14-Inputs!$B$14))*(1+Inputs!$B$7/100))*(F2960/100)</f>
        <v>1042775930.5165126</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5466645048195.5859</v>
      </c>
      <c r="L2960">
        <f>K2960*(MIN(Inputs!$B$22+(F2966-Calc!F22),(Inputs!$B$23+(IF(ArtifactsInput!$M$15,CHOOSE(ArtifactsInput!$N$15+1,25,30,35,40,45,50)/100*(Inputs!$B$11-Inputs!$B$11),0))))/100+(Inputs!$B$23+(IF(ArtifactsInput!$M$15,CHOOSE(ArtifactsInput!$N$15+1,25,30,35,40,45,50)/100*(Inputs!$B$11-Inputs!$B$11),0)))/100)/2</f>
        <v>18176594785250.324</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85775350791596.266</v>
      </c>
      <c r="N2960">
        <f>L2960*(1-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85775350791596.266</v>
      </c>
      <c r="O2960">
        <f>(1-Summary!$B$11)*S2960+Summary!$B$11*U2960</f>
        <v>2140309440627306</v>
      </c>
      <c r="P2960">
        <f>IF(B2985=0,0,O2960/B2985)</f>
        <v>6.1801217225557953E-2</v>
      </c>
      <c r="Q2960">
        <f>IFERROR(1/(IF(Inputs!$B$38="pvp",15,MAX(0.1,Skills!E16-IF(TRUE=TRUE,2.5,0)))*(1-IF(AND(ArtifactsInput!$M$27,Inputs!$B$4="Chapter Hunt"),CHOOSE(ArtifactsInput!$N$27+1,20,24,28,32,36,40),0)/100)),0)</f>
        <v>4.4444444444444446E-2</v>
      </c>
      <c r="R2960">
        <f>IF(AND(Inputs!$B$38&lt;&gt;"pvp",Inputs!$B$43&gt;0),IF(MAX(0,Inputs!$B$43-B2982)&lt;=0,0,(INT(MAX(0,Inputs!$B$43-B2982)/(IF(Inputs!$B$38="pvp",15,MAX(0.1,Skills!E16-IF(TRUE=TRUE,2.5,0)))*(1-IF(AND(ArtifactsInput!$M$27,Inputs!$B$4="Chapter Hunt"),CHOOSE(ArtifactsInput!$N$27+1,20,24,28,32,36,40),0)/100)))+1)),0)</f>
        <v>2</v>
      </c>
      <c r="S2960">
        <f>IF(C2960,(H2960*N2960*IF(AND(Inputs!$B$38&lt;&gt;"pvp",Inputs!$B$43&gt;0),((Skills!G16*((R2960-1)*IF(Skills!H16&gt;0,Skills!I16/Skills!H16,1)+IF(Skills!H16&gt;0,MIN(Skills!I16,MAX(0,MAX(0,Inputs!$B$43-B2982)-((R2960-1)*(IF(Inputs!$B$38="pvp",15,MAX(0.1,Skills!E16-IF(TRUE=TRUE,2.5,0)))*(1-IF(AND(ArtifactsInput!$M$27,Inputs!$B$4="Chapter Hunt"),CHOOSE(ArtifactsInput!$N$27+1,20,24,28,32,36,40),0)/100)))))/Skills!H16,1)))/Inputs!$B$43),G2960*Q2960)*(1+IF(Inputs!$B$3&gt;=126,0.05*(B2980+Q2957+(H2958*B2981)/(1+Skills!H14*H2958*B2981)+Q2968),0)*(1/Q2959)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407861793014040.25</v>
      </c>
      <c r="U2960">
        <f>IF(C2960,(H2960*N2960*IF(AND(Inputs!$B$38&lt;&gt;"pvp",Inputs!$B$43&gt;0),((Skills!G16*((R2960-1)*IF(Skills!H16&gt;0,Skills!I16/Skills!H16,1)+IF(Skills!H16&gt;0,MIN(Skills!I16,MAX(0,MAX(0,Inputs!$B$43-B2982)-((R2960-1)*(IF(Inputs!$B$38="pvp",15,MAX(0.1,Skills!E16-IF(TRUE=TRUE,2.5,0)))*(1-IF(AND(ArtifactsInput!$M$27,Inputs!$B$4="Chapter Hunt"),CHOOSE(ArtifactsInput!$N$27+1,20,24,28,32,36,40),0)/100)))))/Skills!H16,1)))/Inputs!$B$43),G2960*Q2960)*(1+IF(Inputs!$B$3&gt;=126,0.05*(B2980+Q2957+(H2958*B2981)/(1+Skills!H14*H2958*B2981)+Q2968),0)*(1/Q2959)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3872757088240571.5</v>
      </c>
    </row>
    <row r="2961" spans="1:21" x14ac:dyDescent="0.2">
      <c r="A2961" t="str">
        <f>Skills!A17</f>
        <v>MAGIC_GUARD</v>
      </c>
      <c r="B2961" t="str">
        <f>Skills!B17</f>
        <v>Magic Guard</v>
      </c>
      <c r="C2961" t="b">
        <f>TRUE</f>
        <v>1</v>
      </c>
      <c r="D2961">
        <f>IF(Skills!C17=1,60+Inputs!$B$25+Inputs!$B$29,IF(Skills!C17=2,90+Inputs!$B$26+Inputs!$B$29,IF(Skills!C17=3,120+Inputs!$B$27+Inputs!$B$29,MAX(0,(Inputs!$B$3-100)*3)+Inputs!$B$28+Inputs!$B$29)))</f>
        <v>127</v>
      </c>
      <c r="E2961">
        <f>INDEX(FactorTable!$B$2:$Y$301, MATCH(ROUND(MIN(300,MAX(1,D2961)),0), FactorTable!$A$2:$A$301,0), Skills!M17+1)</f>
        <v>1508</v>
      </c>
      <c r="F2961">
        <f>IF(Skills!N17=TRUE,(Skills!L17/10)*(E2961/1000),Skills!L17/10)+Skills!O17</f>
        <v>18.096</v>
      </c>
      <c r="G2961">
        <f>Calc!G17</f>
        <v>1</v>
      </c>
      <c r="H2961">
        <f>Calc!H17</f>
        <v>1</v>
      </c>
      <c r="I2961">
        <f>IF(Skills!X17&lt;&gt;"",1+(Skills!X17/10)*(Z2947/1000)/100,1)</f>
        <v>1</v>
      </c>
      <c r="O2961">
        <f>(1-Summary!$B$11)*S2961+Summary!$B$11*U2961</f>
        <v>0</v>
      </c>
      <c r="P2961">
        <f>IF(B2985=0,0,O2961/B2985)</f>
        <v>0</v>
      </c>
      <c r="Q2961">
        <f>IFERROR(1/(IF(Inputs!$B$38="pvp",15,MAX(0.1,Skills!E17-IF(TRUE=TRUE,2.5,0)))*(1-IF(AND(ArtifactsInput!$M$27,Inputs!$B$4="Chapter Hunt"),CHOOSE(ArtifactsInput!$N$27+1,20,24,28,32,36,40),0)/100)),0)</f>
        <v>5.4054054054054057E-2</v>
      </c>
      <c r="R2961">
        <f>IF(AND(Inputs!$B$38&lt;&gt;"pvp",Inputs!$B$43&gt;0),IF(Inputs!$B$43&lt;=0,0,(INT(Inputs!$B$43/(IF(Inputs!$B$38="pvp",15,MAX(0.1,Skills!E17-IF(TRUE=TRUE,2.5,0)))*(1-IF(AND(ArtifactsInput!$M$27,Inputs!$B$4="Chapter Hunt"),CHOOSE(ArtifactsInput!$N$27+1,20,24,28,32,36,40),0)/100)))+1)),0)</f>
        <v>3</v>
      </c>
      <c r="S2961">
        <v>0</v>
      </c>
      <c r="U2961">
        <v>0</v>
      </c>
    </row>
    <row r="2962" spans="1:21" x14ac:dyDescent="0.2">
      <c r="A2962" t="str">
        <f>Skills!A18</f>
        <v>NIMBLE_FEET</v>
      </c>
      <c r="B2962" t="str">
        <f>Skills!B18</f>
        <v>Nimble Feet</v>
      </c>
      <c r="C2962" t="b">
        <f>TRUE</f>
        <v>1</v>
      </c>
      <c r="D2962">
        <f>IF(Skills!C18=1,60+Inputs!$B$25+Inputs!$B$29,IF(Skills!C18=2,90+Inputs!$B$26+Inputs!$B$29,IF(Skills!C18=3,120+Inputs!$B$27+Inputs!$B$29,MAX(0,(Inputs!$B$3-100)*3)+Inputs!$B$28+Inputs!$B$29)))</f>
        <v>127</v>
      </c>
      <c r="E2962">
        <f>INDEX(FactorTable!$B$2:$Y$301, MATCH(ROUND(MIN(300,MAX(1,D2962)),0), FactorTable!$A$2:$A$301,0), Skills!M18+1)</f>
        <v>0</v>
      </c>
      <c r="F2962">
        <f>IF(Skills!N18=TRUE,(Skills!L18/10)*(E2962/1000),Skills!L18/10)+Skills!O18</f>
        <v>15</v>
      </c>
      <c r="G2962">
        <f>Calc!G18</f>
        <v>1</v>
      </c>
      <c r="H2962">
        <f>Calc!H18</f>
        <v>1</v>
      </c>
      <c r="I2962">
        <f>IF(Skills!X18&lt;&gt;"",1+(Skills!X18/10)*(Z2947/1000)/100,1)</f>
        <v>1</v>
      </c>
      <c r="O2962">
        <f>(1-Summary!$B$11)*S2962+Summary!$B$11*U2962</f>
        <v>0</v>
      </c>
      <c r="P2962">
        <f>IF(B2985=0,0,O2962/B2985)</f>
        <v>0</v>
      </c>
      <c r="Q2962">
        <f>IFERROR(1/(IF(Inputs!$B$38="pvp",15,MAX(0.1,Skills!E18-IF(TRUE=TRUE,2.5,0)))*(1-IF(AND(ArtifactsInput!$M$27,Inputs!$B$4="Chapter Hunt"),CHOOSE(ArtifactsInput!$N$27+1,20,24,28,32,36,40),0)/100)),0)</f>
        <v>1.7391304347826087E-2</v>
      </c>
      <c r="R2962">
        <f>IF(AND(Inputs!$B$38&lt;&gt;"pvp",Inputs!$B$43&gt;0),IF(Inputs!$B$43&lt;=0,0,(INT(Inputs!$B$43/(IF(Inputs!$B$38="pvp",15,MAX(0.1,Skills!E18-IF(TRUE=TRUE,2.5,0)))*(1-IF(AND(ArtifactsInput!$M$27,Inputs!$B$4="Chapter Hunt"),CHOOSE(ArtifactsInput!$N$27+1,20,24,28,32,36,40),0)/100)))+1)),0)</f>
        <v>1</v>
      </c>
      <c r="S2962">
        <v>0</v>
      </c>
      <c r="U2962">
        <v>0</v>
      </c>
    </row>
    <row r="2963" spans="1:21" x14ac:dyDescent="0.2">
      <c r="A2963" t="str">
        <f>Skills!A19</f>
        <v>INFINITY</v>
      </c>
      <c r="B2963" t="str">
        <f>Skills!B19</f>
        <v>Infinity</v>
      </c>
      <c r="C2963" t="b">
        <f>Inputs!$B$3&gt;=110</f>
        <v>1</v>
      </c>
      <c r="D2963">
        <f>IF(Skills!C19=1,60+Inputs!$B$25+Inputs!$B$29,IF(Skills!C19=2,90+Inputs!$B$26+Inputs!$B$29,IF(Skills!C19=3,120+Inputs!$B$27+Inputs!$B$29,MAX(0,(Inputs!$B$3-100)*3)+Inputs!$B$28+Inputs!$B$29)))</f>
        <v>185</v>
      </c>
      <c r="E2963">
        <f>INDEX(FactorTable!$B$2:$Y$301, MATCH(ROUND(MIN(300,MAX(1,D2963)),0), FactorTable!$A$2:$A$301,0), Skills!M19+1)</f>
        <v>1740</v>
      </c>
      <c r="F2963">
        <f>IF(Skills!N19=TRUE,(Skills!L19/10)*(E2963/1000),Skills!L19/10)+Skills!O19</f>
        <v>37.700579999999995</v>
      </c>
      <c r="G2963">
        <f>Calc!G19</f>
        <v>1</v>
      </c>
      <c r="H2963">
        <f>Calc!H19</f>
        <v>1</v>
      </c>
      <c r="I2963">
        <f>IF(Skills!X19&lt;&gt;"",1+(Skills!X19/10)*(Z2947/1000)/100,1)</f>
        <v>1</v>
      </c>
      <c r="O2963">
        <f>(1-Summary!$B$11)*S2963+Summary!$B$11*U2963</f>
        <v>0</v>
      </c>
      <c r="P2963">
        <f>IF(B2985=0,0,O2963/B2985)</f>
        <v>0</v>
      </c>
      <c r="Q2963">
        <f>IFERROR(1/(IF(Inputs!$B$38="pvp",15,MAX(0.1,Skills!E19-IF(TRUE=TRUE,2.5,0)))*(1-IF(AND(ArtifactsInput!$M$27,Inputs!$B$4="Chapter Hunt"),CHOOSE(ArtifactsInput!$N$27+1,20,24,28,32,36,40),0)/100)),0)</f>
        <v>3.6363636363636362E-2</v>
      </c>
      <c r="R2963">
        <f>IF(AND(Inputs!$B$38&lt;&gt;"pvp",Inputs!$B$43&gt;0),IF(Inputs!$B$43&lt;=0,0,(INT(Inputs!$B$43/(IF(Inputs!$B$38="pvp",15,MAX(0.1,Skills!E19-IF(TRUE=TRUE,2.5,0)))*(1-IF(AND(ArtifactsInput!$M$27,Inputs!$B$4="Chapter Hunt"),CHOOSE(ArtifactsInput!$N$27+1,20,24,28,32,36,40),0)/100)))+1)),0)</f>
        <v>2</v>
      </c>
      <c r="S2963">
        <v>0</v>
      </c>
      <c r="U2963">
        <v>0</v>
      </c>
    </row>
    <row r="2964" spans="1:21" x14ac:dyDescent="0.2">
      <c r="A2964" t="str">
        <f>Skills!A20</f>
        <v>MAGIC_CRITICAL_RATE</v>
      </c>
      <c r="B2964" t="str">
        <f>Skills!B20</f>
        <v>Magic Critical (Crit Rate)</v>
      </c>
      <c r="C2964" t="b">
        <f>TRUE</f>
        <v>1</v>
      </c>
      <c r="D2964">
        <f>IF(Skills!C20=1,60+Inputs!$B$25+Inputs!$B$29,IF(Skills!C20=2,90+Inputs!$B$26+Inputs!$B$29,IF(Skills!C20=3,120+Inputs!$B$27+Inputs!$B$29,MAX(0,(Inputs!$B$3-100)*3)+Inputs!$B$28+Inputs!$B$29)))</f>
        <v>184</v>
      </c>
      <c r="E2964">
        <f>INDEX(FactorTable!$B$2:$Y$301, MATCH(ROUND(MIN(300,MAX(1,D2964)),0), FactorTable!$A$2:$A$301,0), Skills!M20+1)</f>
        <v>1552</v>
      </c>
      <c r="F2964">
        <f>IF(Skills!N20=TRUE,(Skills!L20/10)*(E2964/1000),Skills!L20/10)+Skills!O20</f>
        <v>12.416</v>
      </c>
      <c r="G2964">
        <f>Calc!G20</f>
        <v>1</v>
      </c>
      <c r="H2964">
        <f>Calc!H20</f>
        <v>1</v>
      </c>
      <c r="I2964">
        <f>IF(Skills!X20&lt;&gt;"",1+(Skills!X20/10)*(Z2947/1000)/100,1)</f>
        <v>1</v>
      </c>
      <c r="O2964">
        <f>(1-Summary!$B$11)*S2964+Summary!$B$11*U2964</f>
        <v>0</v>
      </c>
      <c r="P2964">
        <f>IF(B2985=0,0,O2964/B2985)</f>
        <v>0</v>
      </c>
      <c r="Q2964">
        <f>IFERROR(1/(IF(Inputs!$B$38="pvp",15,MAX(0.1,Skills!E20-IF(TRUE=TRUE,2.5,0)))*(1-IF(AND(ArtifactsInput!$M$27,Inputs!$B$4="Chapter Hunt"),CHOOSE(ArtifactsInput!$N$27+1,20,24,28,32,36,40),0)/100)),0)</f>
        <v>10</v>
      </c>
      <c r="R2964">
        <v>0</v>
      </c>
      <c r="S2964">
        <v>0</v>
      </c>
      <c r="U2964">
        <v>0</v>
      </c>
    </row>
    <row r="2965" spans="1:21" x14ac:dyDescent="0.2">
      <c r="A2965" t="str">
        <f>Skills!A21</f>
        <v>MAGIC_CRITICAL_DAMAGE</v>
      </c>
      <c r="B2965" t="str">
        <f>Skills!B21</f>
        <v>Magic Critical (Crit Damage)</v>
      </c>
      <c r="C2965" t="b">
        <f>TRUE</f>
        <v>1</v>
      </c>
      <c r="D2965">
        <f>IF(Skills!C21=1,60+Inputs!$B$25+Inputs!$B$29,IF(Skills!C21=2,90+Inputs!$B$26+Inputs!$B$29,IF(Skills!C21=3,120+Inputs!$B$27+Inputs!$B$29,MAX(0,(Inputs!$B$3-100)*3)+Inputs!$B$28+Inputs!$B$29)))</f>
        <v>184</v>
      </c>
      <c r="E2965">
        <f>INDEX(FactorTable!$B$2:$Y$301, MATCH(ROUND(MIN(300,MAX(1,D2965)),0), FactorTable!$A$2:$A$301,0), Skills!M21+1)</f>
        <v>1552</v>
      </c>
      <c r="F2965">
        <f>IF(Skills!N21=TRUE,(Skills!L21/10)*(E2965/1000),Skills!L21/10)+Skills!O21</f>
        <v>18.624000000000002</v>
      </c>
      <c r="G2965">
        <f>Calc!G21</f>
        <v>1</v>
      </c>
      <c r="H2965">
        <f>Calc!H21</f>
        <v>1</v>
      </c>
      <c r="I2965">
        <f>IF(Skills!X21&lt;&gt;"",1+(Skills!X21/10)*(Z2947/1000)/100,1)</f>
        <v>1</v>
      </c>
      <c r="O2965">
        <f>(1-Summary!$B$11)*S2965+Summary!$B$11*U2965</f>
        <v>0</v>
      </c>
      <c r="P2965">
        <f>IF(B2985=0,0,O2965/B2985)</f>
        <v>0</v>
      </c>
      <c r="Q2965">
        <f>IFERROR(1/(IF(Inputs!$B$38="pvp",15,MAX(0.1,Skills!E21-IF(TRUE=TRUE,2.5,0)))*(1-IF(AND(ArtifactsInput!$M$27,Inputs!$B$4="Chapter Hunt"),CHOOSE(ArtifactsInput!$N$27+1,20,24,28,32,36,40),0)/100)),0)</f>
        <v>10</v>
      </c>
      <c r="R2965">
        <v>0</v>
      </c>
      <c r="S2965">
        <v>0</v>
      </c>
      <c r="U2965">
        <v>0</v>
      </c>
    </row>
    <row r="2966" spans="1:21" x14ac:dyDescent="0.2">
      <c r="A2966" t="str">
        <f>Skills!A22</f>
        <v>SPELL_MASTERY</v>
      </c>
      <c r="B2966" t="str">
        <f>Skills!B22</f>
        <v>Spell Mastery</v>
      </c>
      <c r="C2966" t="b">
        <f>TRUE</f>
        <v>1</v>
      </c>
      <c r="D2966">
        <f>IF(Skills!C22=1,60+Inputs!$B$25+Inputs!$B$29,IF(Skills!C22=2,90+Inputs!$B$26+Inputs!$B$29,IF(Skills!C22=3,120+Inputs!$B$27+Inputs!$B$29,MAX(0,(Inputs!$B$3-100)*3)+Inputs!$B$28+Inputs!$B$29)))</f>
        <v>168</v>
      </c>
      <c r="E2966">
        <f>INDEX(FactorTable!$B$2:$Y$301, MATCH(ROUND(MIN(300,MAX(1,D2966)),0), FactorTable!$A$2:$A$301,0), Skills!M22+1)</f>
        <v>1504</v>
      </c>
      <c r="F2966">
        <f>IF(Skills!N22=TRUE,(Skills!L22/10)*(E2966/1000),Skills!L22/10)+Skills!O22</f>
        <v>22.56</v>
      </c>
      <c r="G2966">
        <f>Calc!G22</f>
        <v>1</v>
      </c>
      <c r="H2966">
        <f>Calc!H22</f>
        <v>1</v>
      </c>
      <c r="I2966">
        <f>IF(Skills!X22&lt;&gt;"",1+(Skills!X22/10)*(Z2947/1000)/100,1)</f>
        <v>1</v>
      </c>
      <c r="O2966">
        <f>(1-Summary!$B$11)*S2966+Summary!$B$11*U2966</f>
        <v>0</v>
      </c>
      <c r="P2966">
        <f>IF(B2985=0,0,O2966/B2985)</f>
        <v>0</v>
      </c>
      <c r="Q2966">
        <f>IFERROR(1/(IF(Inputs!$B$38="pvp",15,MAX(0.1,Skills!E22-IF(TRUE=TRUE,2.5,0)))*(1-IF(AND(ArtifactsInput!$M$27,Inputs!$B$4="Chapter Hunt"),CHOOSE(ArtifactsInput!$N$27+1,20,24,28,32,36,40),0)/100)),0)</f>
        <v>10</v>
      </c>
      <c r="R2966">
        <v>0</v>
      </c>
      <c r="S2966">
        <v>0</v>
      </c>
      <c r="U2966">
        <v>0</v>
      </c>
    </row>
    <row r="2967" spans="1:21" x14ac:dyDescent="0.2">
      <c r="A2967" t="str">
        <f>Skills!A23</f>
        <v>ELEMENT_AMPLIFICATION</v>
      </c>
      <c r="B2967" t="str">
        <f>Skills!B23</f>
        <v>Element Amplification</v>
      </c>
      <c r="C2967" t="b">
        <f>TRUE</f>
        <v>1</v>
      </c>
      <c r="D2967">
        <f>IF(Skills!C23=1,60+Inputs!$B$25+Inputs!$B$29,IF(Skills!C23=2,90+Inputs!$B$26+Inputs!$B$29,IF(Skills!C23=3,120+Inputs!$B$27+Inputs!$B$29,MAX(0,(Inputs!$B$3-100)*3)+Inputs!$B$28+Inputs!$B$29)))</f>
        <v>185</v>
      </c>
      <c r="E2967">
        <f>INDEX(FactorTable!$B$2:$Y$301, MATCH(ROUND(MIN(300,MAX(1,D2967)),0), FactorTable!$A$2:$A$301,0), Skills!M23+1)</f>
        <v>1555</v>
      </c>
      <c r="F2967">
        <f>IF(Skills!N23=TRUE,(Skills!L23/10)*(E2967/1000),Skills!L23/10)+Skills!O23</f>
        <v>23.324999999999999</v>
      </c>
      <c r="G2967">
        <f>Calc!G23</f>
        <v>1</v>
      </c>
      <c r="H2967">
        <f>Calc!H23</f>
        <v>1</v>
      </c>
      <c r="I2967">
        <f>IF(Skills!X23&lt;&gt;"",1+(Skills!X23/10)*(Z2947/1000)/100,1)</f>
        <v>1</v>
      </c>
      <c r="O2967">
        <f>(1-Summary!$B$11)*S2967+Summary!$B$11*U2967</f>
        <v>0</v>
      </c>
      <c r="P2967">
        <f>IF(B2985=0,0,O2967/B2985)</f>
        <v>0</v>
      </c>
      <c r="Q2967">
        <f>IFERROR(1/(IF(Inputs!$B$38="pvp",15,MAX(0.1,Skills!E23-IF(TRUE=TRUE,2.5,0)))*(1-IF(AND(ArtifactsInput!$M$27,Inputs!$B$4="Chapter Hunt"),CHOOSE(ArtifactsInput!$N$27+1,20,24,28,32,36,40),0)/100)),0)</f>
        <v>10</v>
      </c>
      <c r="R2967">
        <v>0</v>
      </c>
      <c r="S2967">
        <v>0</v>
      </c>
      <c r="U2967">
        <v>0</v>
      </c>
    </row>
    <row r="2968" spans="1:21" x14ac:dyDescent="0.2">
      <c r="A2968" t="str">
        <f>Skills!A24</f>
        <v>IFRIT</v>
      </c>
      <c r="B2968" t="str">
        <f>Skills!B24</f>
        <v>Ifrit</v>
      </c>
      <c r="C2968" t="b">
        <f>Inputs!$B$3&gt;=115</f>
        <v>1</v>
      </c>
      <c r="D2968">
        <f>IF(Skills!C24=1,60+Inputs!$B$25+Inputs!$B$29,IF(Skills!C24=2,90+Inputs!$B$26+Inputs!$B$29,IF(Skills!C24=3,120+Inputs!$B$27+Inputs!$B$29,MAX(0,(Inputs!$B$3-100)*3)+Inputs!$B$28+Inputs!$B$29)))</f>
        <v>185</v>
      </c>
      <c r="E2968">
        <f>INDEX(FactorTable!$B$2:$Y$301, MATCH(ROUND(MIN(300,MAX(1,D2968)),0), FactorTable!$A$2:$A$301,0), Skills!M24+1)</f>
        <v>1925</v>
      </c>
      <c r="F2968">
        <f>IF(Skills!N24=TRUE,(Skills!L24/10)*(E2968/1000),Skills!L24/10)+Skills!O24</f>
        <v>6737.5</v>
      </c>
      <c r="G2968">
        <f>Calc!G24</f>
        <v>7.5</v>
      </c>
      <c r="H2968">
        <f>Calc!H24</f>
        <v>1</v>
      </c>
      <c r="I2968">
        <f>IF(Skills!X24&lt;&gt;"",1+(Skills!X24/10)*(Z2947/1000)/100,1)</f>
        <v>1</v>
      </c>
      <c r="J2968">
        <f>((Inputs!$B$6*(1+Inputs!$B$7/100))+(((Inputs!$B$12*(1+Inputs!$B$13/100))-(Inputs!$B$12*(1+Inputs!$B$13/100)))+0.25*(Inputs!$B$14-Inputs!$B$14))*(1+Inputs!$B$7/100))*(F2968/100)</f>
        <v>24331438378.718628</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127555051124563.69</v>
      </c>
      <c r="L2968">
        <f>K2968*(MIN(Inputs!$B$22+(F2966-Calc!F22),(Inputs!$B$23+(IF(ArtifactsInput!$M$15,CHOOSE(ArtifactsInput!$N$15+1,25,30,35,40,45,50)/100*(Inputs!$B$11-Inputs!$B$11),0))))/100+(Inputs!$B$23+(IF(ArtifactsInput!$M$15,CHOOSE(ArtifactsInput!$N$15+1,25,30,35,40,45,50)/100*(Inputs!$B$11-Inputs!$B$11),0)))/100)/2</f>
        <v>424120544989174.31</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2001424851803913.2</v>
      </c>
      <c r="N2968">
        <f>L2968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2001424851803913.2</v>
      </c>
      <c r="O2968">
        <f>(1-Summary!$B$11)*S2968+Summary!$B$11*U2968</f>
        <v>2289129674250726</v>
      </c>
      <c r="P2968">
        <f>IF(B2985=0,0,O2968/B2985)</f>
        <v>6.6098386322295491E-2</v>
      </c>
      <c r="Q2968">
        <f>IFERROR(1/(IF(Inputs!$B$38="pvp",15,MAX(0.1,Skills!E24-IF(TRUE=TRUE,2.5,0)))*(1-IF(AND(ArtifactsInput!$M$27,Inputs!$B$4="Chapter Hunt"),CHOOSE(ArtifactsInput!$N$27+1,20,24,28,32,36,40),0)/100)),0)</f>
        <v>1.2903225806451613E-2</v>
      </c>
      <c r="R2968">
        <f>IF(AND(Inputs!$B$38&lt;&gt;"pvp",Inputs!$B$43&gt;0),IF(MAX(0,Inputs!$B$43-B2982)&lt;=0,0,(INT(MAX(0,Inputs!$B$43-B2982)/(IF(Inputs!$B$38="pvp",15,MAX(0.1,Skills!E24-IF(TRUE=TRUE,2.5,0)))*(1-IF(AND(ArtifactsInput!$M$27,Inputs!$B$4="Chapter Hunt"),CHOOSE(ArtifactsInput!$N$27+1,20,24,28,32,36,40),0)/100)))+1)),0)</f>
        <v>1</v>
      </c>
      <c r="S2968">
        <f>IF(C2968,(H2968*N2968*IF(AND(Inputs!$B$38&lt;&gt;"pvp",Inputs!$B$43&gt;0),((Skills!G24*((R2968-1)*IF(Skills!H24&gt;0,Skills!I24/Skills!H24,1)+IF(Skills!H24&gt;0,MIN(Skills!I24,MAX(0,MAX(0,Inputs!$B$43-B2982)-((R2968-1)*(IF(Inputs!$B$38="pvp",15,MAX(0.1,Skills!E24-IF(TRUE=TRUE,2.5,0)))*(1-IF(AND(ArtifactsInput!$M$27,Inputs!$B$4="Chapter Hunt"),CHOOSE(ArtifactsInput!$N$27+1,20,24,28,32,36,40),0)/100)))))/Skills!H24,1)))/Inputs!$B$43),G2968*Q2968)*(1+IF(Inputs!$B$3&gt;=130,0.2*(Skills!I16/(1/Q2959)+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1189596896290951</v>
      </c>
      <c r="U2968">
        <f>IF(C2968,(H2968*N2968*IF(AND(Inputs!$B$38&lt;&gt;"pvp",Inputs!$B$43&gt;0),((Skills!G24*((R2968-1)*IF(Skills!H24&gt;0,Skills!I24/Skills!H24,1)+IF(Skills!H24&gt;0,MIN(Skills!I24,MAX(0,MAX(0,Inputs!$B$43-B2982)-((R2968-1)*(IF(Inputs!$B$38="pvp",15,MAX(0.1,Skills!E24-IF(TRUE=TRUE,2.5,0)))*(1-IF(AND(ArtifactsInput!$M$27,Inputs!$B$4="Chapter Hunt"),CHOOSE(ArtifactsInput!$N$27+1,20,24,28,32,36,40),0)/100)))))/Skills!H24,1)))/Inputs!$B$43),G2968*Q2968)*(1+IF(Inputs!$B$3&gt;=130,0.2*(Skills!I16/(1/Q2959)+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3388662452210500.5</v>
      </c>
    </row>
    <row r="2969" spans="1:21" x14ac:dyDescent="0.2">
      <c r="A2969" t="str">
        <f>Skills!A25</f>
        <v>BUFF_MASTERY</v>
      </c>
      <c r="B2969" t="str">
        <f>Skills!B25</f>
        <v>Buff Mastery</v>
      </c>
      <c r="C2969" t="b">
        <f>Inputs!$B$3&gt;=117</f>
        <v>1</v>
      </c>
      <c r="D2969">
        <f>IF(Skills!C25=1,60+Inputs!$B$25+Inputs!$B$29,IF(Skills!C25=2,90+Inputs!$B$26+Inputs!$B$29,IF(Skills!C25=3,120+Inputs!$B$27+Inputs!$B$29,MAX(0,(Inputs!$B$3-100)*3)+Inputs!$B$28+Inputs!$B$29)))</f>
        <v>185</v>
      </c>
      <c r="E2969">
        <f>INDEX(FactorTable!$B$2:$Y$301, MATCH(ROUND(MIN(300,MAX(1,D2969)),0), FactorTable!$A$2:$A$301,0), Skills!M25+1)</f>
        <v>1555</v>
      </c>
      <c r="F2969">
        <f>IF(Skills!N25=TRUE,(Skills!L25/10)*(E2969/1000),Skills!L25/10)+Skills!O25</f>
        <v>15.549999999999999</v>
      </c>
      <c r="G2969">
        <f>Calc!G25</f>
        <v>1</v>
      </c>
      <c r="H2969">
        <f>Calc!H25</f>
        <v>1</v>
      </c>
      <c r="I2969">
        <f>IF(Skills!X25&lt;&gt;"",1+(Skills!X25/10)*(Z2947/1000)/100,1)</f>
        <v>1</v>
      </c>
      <c r="O2969">
        <f>(1-Summary!$B$11)*S2969+Summary!$B$11*U2969</f>
        <v>0</v>
      </c>
      <c r="P2969">
        <f>IF(B2985=0,0,O2969/B2985)</f>
        <v>0</v>
      </c>
      <c r="Q2969">
        <f>IFERROR(1/(IF(Inputs!$B$38="pvp",15,MAX(0.1,Skills!E25-IF(TRUE=TRUE,2.5,0)))*(1-IF(AND(ArtifactsInput!$M$27,Inputs!$B$4="Chapter Hunt"),CHOOSE(ArtifactsInput!$N$27+1,20,24,28,32,36,40),0)/100)),0)</f>
        <v>10</v>
      </c>
      <c r="R2969">
        <v>0</v>
      </c>
      <c r="S2969">
        <v>0</v>
      </c>
      <c r="U2969">
        <v>0</v>
      </c>
    </row>
    <row r="2970" spans="1:21" x14ac:dyDescent="0.2">
      <c r="A2970" t="str">
        <f>Skills!A26</f>
        <v>ARCANE_AIM</v>
      </c>
      <c r="B2970" t="str">
        <f>Skills!B26</f>
        <v>Arcane Aim</v>
      </c>
      <c r="C2970" t="b">
        <f>Inputs!$B$3&gt;=120</f>
        <v>0</v>
      </c>
      <c r="D2970">
        <f>IF(Skills!C26=1,60+Inputs!$B$25+Inputs!$B$29,IF(Skills!C26=2,90+Inputs!$B$26+Inputs!$B$29,IF(Skills!C26=3,120+Inputs!$B$27+Inputs!$B$29,MAX(0,(Inputs!$B$3-100)*3)+Inputs!$B$28+Inputs!$B$29)))</f>
        <v>185</v>
      </c>
      <c r="E2970">
        <f>INDEX(FactorTable!$B$2:$Y$301, MATCH(ROUND(MIN(300,MAX(1,D2970)),0), FactorTable!$A$2:$A$301,0), Skills!M26+1)</f>
        <v>1555</v>
      </c>
      <c r="F2970">
        <f>IF(Skills!N26=TRUE,(Skills!L26/10)*(E2970/1000),Skills!L26/10)+Skills!O26</f>
        <v>4.665</v>
      </c>
      <c r="G2970">
        <f>Calc!G26</f>
        <v>1</v>
      </c>
      <c r="H2970">
        <f>Calc!H26</f>
        <v>1</v>
      </c>
      <c r="I2970">
        <f>IF(Skills!X26&lt;&gt;"",1+(Skills!X26/10)*(Z2947/1000)/100,1)</f>
        <v>1</v>
      </c>
      <c r="O2970">
        <f>(1-Summary!$B$11)*S2970+Summary!$B$11*U2970</f>
        <v>0</v>
      </c>
      <c r="P2970">
        <f>IF(B2985=0,0,O2970/B2985)</f>
        <v>0</v>
      </c>
      <c r="Q2970">
        <f>IFERROR(1/(IF(Inputs!$B$38="pvp",15,MAX(0.1,Skills!E26-IF(TRUE=TRUE,2.5,0)))*(1-IF(AND(ArtifactsInput!$M$27,Inputs!$B$4="Chapter Hunt"),CHOOSE(ArtifactsInput!$N$27+1,20,24,28,32,36,40),0)/100)),0)</f>
        <v>10</v>
      </c>
      <c r="R2970">
        <v>0</v>
      </c>
      <c r="S2970">
        <v>0</v>
      </c>
      <c r="U2970">
        <v>0</v>
      </c>
    </row>
    <row r="2971" spans="1:21" x14ac:dyDescent="0.2">
      <c r="A2971" t="str">
        <f>Skills!A27</f>
        <v>FERVENT_DRAIN</v>
      </c>
      <c r="B2971" t="str">
        <f>Skills!B27</f>
        <v>Fervent Drain</v>
      </c>
      <c r="C2971" t="b">
        <f>Inputs!$B$3&gt;=125</f>
        <v>0</v>
      </c>
      <c r="D2971">
        <f>IF(Skills!C27=1,60+Inputs!$B$25+Inputs!$B$29,IF(Skills!C27=2,90+Inputs!$B$26+Inputs!$B$29,IF(Skills!C27=3,120+Inputs!$B$27+Inputs!$B$29,MAX(0,(Inputs!$B$3-100)*3)+Inputs!$B$28+Inputs!$B$29)))</f>
        <v>185</v>
      </c>
      <c r="E2971">
        <f>INDEX(FactorTable!$B$2:$Y$301, MATCH(ROUND(MIN(300,MAX(1,D2971)),0), FactorTable!$A$2:$A$301,0), Skills!M27+1)</f>
        <v>1555</v>
      </c>
      <c r="F2971">
        <f>IF(Skills!N27=TRUE,(Skills!L27/10)*(E2971/1000),Skills!L27/10)+Skills!O27</f>
        <v>6.22</v>
      </c>
      <c r="G2971">
        <f>Calc!G27</f>
        <v>1</v>
      </c>
      <c r="H2971">
        <f>Calc!H27</f>
        <v>1</v>
      </c>
      <c r="I2971">
        <f>IF(Skills!X27&lt;&gt;"",1+(Skills!X27/10)*(Z2947/1000)/100,1)</f>
        <v>1</v>
      </c>
      <c r="O2971">
        <f>(1-Summary!$B$11)*S2971+Summary!$B$11*U2971</f>
        <v>0</v>
      </c>
      <c r="P2971">
        <f>IF(B2985=0,0,O2971/B2985)</f>
        <v>0</v>
      </c>
      <c r="Q2971">
        <f>IFERROR(1/(IF(Inputs!$B$38="pvp",15,MAX(0.1,Skills!E27-IF(TRUE=TRUE,2.5,0)))*(1-IF(AND(ArtifactsInput!$M$27,Inputs!$B$4="Chapter Hunt"),CHOOSE(ArtifactsInput!$N$27+1,20,24,28,32,36,40),0)/100)),0)</f>
        <v>10</v>
      </c>
      <c r="R2971">
        <v>0</v>
      </c>
      <c r="S2971">
        <v>0</v>
      </c>
      <c r="U2971">
        <v>0</v>
      </c>
    </row>
    <row r="2972" spans="1:21" x14ac:dyDescent="0.2">
      <c r="A2972" t="str">
        <f>Skills!A28</f>
        <v>FLAME_HAZE_FOG</v>
      </c>
      <c r="B2972" t="str">
        <f>Skills!B28</f>
        <v>Flame Haze (poison fog DoT)</v>
      </c>
      <c r="C2972" t="b">
        <f>Inputs!$B$3&gt;=118</f>
        <v>0</v>
      </c>
      <c r="D2972">
        <f>IF(Skills!C28=1,60+Inputs!$B$25+Inputs!$B$29,IF(Skills!C28=2,90+Inputs!$B$26+Inputs!$B$29,IF(Skills!C28=3,120+Inputs!$B$27+Inputs!$B$29,MAX(0,(Inputs!$B$3-100)*3)+Inputs!$B$28+Inputs!$B$29)))</f>
        <v>185</v>
      </c>
      <c r="E2972">
        <f>INDEX(FactorTable!$B$2:$Y$301, MATCH(ROUND(MIN(300,MAX(1,D2972)),0), FactorTable!$A$2:$A$301,0), Skills!M28+1)</f>
        <v>1925</v>
      </c>
      <c r="F2972">
        <f>IF(Skills!N28=TRUE,(Skills!L28/10)*(E2972/1000),Skills!L28/10)+Skills!O28</f>
        <v>134.75</v>
      </c>
      <c r="G2972">
        <f>Calc!G28</f>
        <v>50</v>
      </c>
      <c r="H2972">
        <f>Calc!H28</f>
        <v>1</v>
      </c>
      <c r="I2972">
        <f>IF(Skills!X28&lt;&gt;"",1+(Skills!X28/10)*(Z2947/1000)/100,1)</f>
        <v>1</v>
      </c>
      <c r="J2972">
        <f>((Inputs!$B$6*(1+Inputs!$B$7/100))+(((Inputs!$B$12*(1+Inputs!$B$13/100))-(Inputs!$B$12*(1+Inputs!$B$13/100)))+0.25*(Inputs!$B$14-Inputs!$B$14))*(1+Inputs!$B$7/100))*(F2972/100)</f>
        <v>486628767.57437253</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2551101022491.2729</v>
      </c>
      <c r="L2972">
        <f>K2972*(MIN(Inputs!$B$22+(F2966-Calc!F22),(Inputs!$B$23+(IF(ArtifactsInput!$M$15,CHOOSE(ArtifactsInput!$N$15+1,25,30,35,40,45,50)/100*(Inputs!$B$11-Inputs!$B$11),0))))/100+(Inputs!$B$23+(IF(ArtifactsInput!$M$15,CHOOSE(ArtifactsInput!$N$15+1,25,30,35,40,45,50)/100*(Inputs!$B$11-Inputs!$B$11),0)))/100)/2</f>
        <v>8482410899783.4834</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40028497036078.25</v>
      </c>
      <c r="N2972">
        <f>L2972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40028497036078.25</v>
      </c>
      <c r="O2972">
        <f>(1-Summary!$B$11)*S2972+Summary!$B$11*U2972</f>
        <v>0</v>
      </c>
      <c r="P2972">
        <f>IF(B2985=0,0,O2972/B2985)</f>
        <v>0</v>
      </c>
      <c r="Q2972">
        <f>IFERROR(1/(IF(Inputs!$B$38="pvp",15,MAX(0.1,Skills!E28-IF(TRUE=TRUE,2.5,0)))*(1-IF(AND(ArtifactsInput!$M$27,Inputs!$B$4="Chapter Hunt"),CHOOSE(ArtifactsInput!$N$27+1,20,24,28,32,36,40),0)/100)),0)</f>
        <v>4.4444444444444446E-2</v>
      </c>
      <c r="R2972">
        <f>IF(AND(Inputs!$B$38&lt;&gt;"pvp",Inputs!$B$43&gt;0),IF(MAX(0,Inputs!$B$43-B2982)&lt;=0,0,(INT(MAX(0,Inputs!$B$43-B2982)/(IF(Inputs!$B$38="pvp",15,MAX(0.1,Skills!E28-IF(TRUE=TRUE,2.5,0)))*(1-IF(AND(ArtifactsInput!$M$27,Inputs!$B$4="Chapter Hunt"),CHOOSE(ArtifactsInput!$N$27+1,20,24,28,32,36,40),0)/100)))+1)),0)</f>
        <v>2</v>
      </c>
      <c r="S2972">
        <f>IF(C2972,(H2972*N2972*IF(AND(Inputs!$B$38&lt;&gt;"pvp",Inputs!$B$43&gt;0),((Skills!G28*((R2972-1)*IF(Skills!H28&gt;0,Skills!I28/Skills!H28,1)+IF(Skills!H28&gt;0,MIN(Skills!I28,MAX(0,MAX(0,Inputs!$B$43-B2982)-((R2972-1)*(IF(Inputs!$B$38="pvp",15,MAX(0.1,Skills!E28-IF(TRUE=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972">
        <f>IF(C2972,(H2972*N2972*IF(AND(Inputs!$B$38&lt;&gt;"pvp",Inputs!$B$43&gt;0),((Skills!G28*((R2972-1)*IF(Skills!H28&gt;0,Skills!I28/Skills!H28,1)+IF(Skills!H28&gt;0,MIN(Skills!I28,MAX(0,MAX(0,Inputs!$B$43-B2982)-((R2972-1)*(IF(Inputs!$B$38="pvp",15,MAX(0.1,Skills!E28-IF(TRUE=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974" spans="1:21" x14ac:dyDescent="0.2">
      <c r="A2974" t="s">
        <v>356</v>
      </c>
      <c r="B2974">
        <f>1+(F2955*Skills!Z11)/100</f>
        <v>1.25</v>
      </c>
    </row>
    <row r="2975" spans="1:21" x14ac:dyDescent="0.2">
      <c r="A2975" t="s">
        <v>435</v>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1.18624</v>
      </c>
    </row>
    <row r="2976" spans="1:21" x14ac:dyDescent="0.2">
      <c r="A2976" t="s">
        <v>358</v>
      </c>
      <c r="B2976">
        <f>(1+(F2950*IF(AND(Inputs!$B$38&lt;&gt;"pvp",Inputs!$B$43&gt;0),(((R2950-1)*MIN((Skills!T6*(1+((Inputs!$B$34+(ArtifactsInput!$M$7-ArtifactsInput!$M$7)*CHOOSE(ArtifactsInput!$N$7+1,6,7.2,8.4,9.6,10.8,12)))/100)),(1/Q2950))+MIN((Skills!T6*(1+((Inputs!$B$34+(ArtifactsInput!$M$7-ArtifactsInput!$M$7)*CHOOSE(ArtifactsInput!$N$7+1,6,7.2,8.4,9.6,10.8,12)))/100)),MAX(0,Inputs!$B$43-((R2950-1)*(1/Q2950)))))/Inputs!$B$43),IF(Inputs!$B$38="pvp",MIN((Skills!T6*(1+((Inputs!$B$34+(ArtifactsInput!$M$7-ArtifactsInput!$M$7)*CHOOSE(ArtifactsInput!$N$7+1,6,7.2,8.4,9.6,10.8,12)))/100)),15)/15,MIN(1,(Skills!T6*(1+((Inputs!$B$34+(ArtifactsInput!$M$7-ArtifactsInput!$M$7)*CHOOSE(ArtifactsInput!$N$7+1,6,7.2,8.4,9.6,10.8,12)))/100))/(1/Q2950))))+F2961*IF(AND(Inputs!$B$38&lt;&gt;"pvp",Inputs!$B$43&gt;0),(((R2961-1)*MIN((Skills!T17*(1+((Inputs!$B$34+(ArtifactsInput!$M$7-ArtifactsInput!$M$7)*CHOOSE(ArtifactsInput!$N$7+1,6,7.2,8.4,9.6,10.8,12)))/100)),(1/Q2961))+MIN((Skills!T17*(1+((Inputs!$B$34+(ArtifactsInput!$M$7-ArtifactsInput!$M$7)*CHOOSE(ArtifactsInput!$N$7+1,6,7.2,8.4,9.6,10.8,12)))/100)),MAX(0,Inputs!$B$43-((R2961-1)*(1/Q2961)))))/Inputs!$B$43),IF(Inputs!$B$38="pvp",MIN((Skills!T17*(1+((Inputs!$B$34+(ArtifactsInput!$M$7-ArtifactsInput!$M$7)*CHOOSE(ArtifactsInput!$N$7+1,6,7.2,8.4,9.6,10.8,12)))/100)),15)/15,MIN(1,(Skills!T17*(1+((Inputs!$B$34+(ArtifactsInput!$M$7-ArtifactsInput!$M$7)*CHOOSE(ArtifactsInput!$N$7+1,6,7.2,8.4,9.6,10.8,12)))/100))/(1/Q2961)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MIN((Skills!T19*(1+((Inputs!$B$34+(ArtifactsInput!$M$7-ArtifactsInput!$M$7)*CHOOSE(ArtifactsInput!$N$7+1,6,7.2,8.4,9.6,10.8,12)))/100)),(1/Q2963))+MIN((Skills!T19*(1+((Inputs!$B$34+(ArtifactsInput!$M$7-ArtifactsInput!$M$7)*CHOOSE(ArtifactsInput!$N$7+1,6,7.2,8.4,9.6,10.8,12)))/100)),MAX(0,Inputs!$B$43-((R2963-1)*(1/Q2963)))))/Inputs!$B$43),IF(Inputs!$B$38="pvp",MIN((Skills!T19*(1+((Inputs!$B$34+(ArtifactsInput!$M$7-ArtifactsInput!$M$7)*CHOOSE(ArtifactsInput!$N$7+1,6,7.2,8.4,9.6,10.8,12)))/100)),15)/15,MIN(1,(Skills!T19*(1+((Inputs!$B$34+(ArtifactsInput!$M$7-ArtifactsInput!$M$7)*CHOOSE(ArtifactsInput!$N$7+1,6,7.2,8.4,9.6,10.8,12)))/100))/(1/Q2963))))/100),1)</f>
        <v>1.8744060462489962</v>
      </c>
    </row>
    <row r="2977" spans="1:26" x14ac:dyDescent="0.2">
      <c r="A2977" t="s">
        <v>359</v>
      </c>
      <c r="B2977">
        <f>F2962*IF(AND(Inputs!$B$38&lt;&gt;"pvp",Inputs!$B$43&gt;0),(((R2962-1)*MIN((Skills!T18*(1+((Inputs!$B$34+(ArtifactsInput!$M$7-ArtifactsInput!$M$7)*CHOOSE(ArtifactsInput!$N$7+1,6,7.2,8.4,9.6,10.8,12)))/100)),(1/Q2962))+MIN((Skills!T18*(1+((Inputs!$B$34+(ArtifactsInput!$M$7-ArtifactsInput!$M$7)*CHOOSE(ArtifactsInput!$N$7+1,6,7.2,8.4,9.6,10.8,12)))/100)),MAX(0,Inputs!$B$43-((R2962-1)*(1/Q2962)))))/Inputs!$B$43),IF(Inputs!$B$38="pvp",MIN((Skills!T18*(1+((Inputs!$B$34+(ArtifactsInput!$M$7-ArtifactsInput!$M$7)*CHOOSE(ArtifactsInput!$N$7+1,6,7.2,8.4,9.6,10.8,12)))/100)),15)/15,MIN(1,(Skills!T18*(1+((Inputs!$B$34+(ArtifactsInput!$M$7-ArtifactsInput!$M$7)*CHOOSE(ArtifactsInput!$N$7+1,6,7.2,8.4,9.6,10.8,12)))/100))/(1/Q2962))))</f>
        <v>6.4968749999999993</v>
      </c>
    </row>
    <row r="2978" spans="1:26" x14ac:dyDescent="0.2">
      <c r="A2978" t="s">
        <v>436</v>
      </c>
      <c r="B2978">
        <f>1+MIN(150,150*(1-(1-(Inputs!$B$11+(ArtifactsInput!$M$15-ArtifactsInput!$M$15)*CHOOSE(ArtifactsInput!$N$15+1,8,9.6,11.2,12.8,14.4,16))/150)*(1-B2977/150)))/100</f>
        <v>1.6982958749999999</v>
      </c>
    </row>
    <row r="2979" spans="1:26" x14ac:dyDescent="0.2">
      <c r="A2979" t="s">
        <v>437</v>
      </c>
      <c r="B2979">
        <f>IF(AND(Inputs!$B$38&lt;&gt;"pvp",Inputs!$B$43&gt;0),SUMPRODUCT((Skills!F2:F28=TRUE)*(C2946:C2972=TRUE)*R2946:R2972)/Inputs!$B$43,SUMPRODUCT((Skills!F2:F28=TRUE)*(C2946:C2972=TRUE)*Q2946:Q2972))</f>
        <v>0.5</v>
      </c>
    </row>
    <row r="2980" spans="1:26" x14ac:dyDescent="0.2">
      <c r="A2980" t="s">
        <v>362</v>
      </c>
      <c r="B2980">
        <f>MAX(0,B2978-B2979)</f>
        <v>1.1982958749999999</v>
      </c>
    </row>
    <row r="2981" spans="1:26" x14ac:dyDescent="0.2">
      <c r="A2981" t="s">
        <v>438</v>
      </c>
      <c r="B2981">
        <f>IF(AND(Inputs!$B$38&lt;&gt;"pvp",Inputs!$B$43&gt;0),SUMPRODUCT((Skills!V2:V28=TRUE)*(C2946:C2972=TRUE)*R2946:R2972*Skills!W2:W28)/Inputs!$B$43,SUMPRODUCT((Skills!V2:V28=TRUE)*(C2946:C2972=TRUE)*Q2946:Q2972*Skills!W2:W28))+B2980</f>
        <v>1.5232958749999999</v>
      </c>
    </row>
    <row r="2982" spans="1:26" x14ac:dyDescent="0.2">
      <c r="A2982" t="s">
        <v>439</v>
      </c>
      <c r="B2982">
        <f>IF(AND(Inputs!$B$38&lt;&gt;"pvp",Inputs!$B$43&gt;0),SUMPRODUCT((Skills!T2:T28&gt;0)*(Skills!F2:F28=TRUE)*(C2946:C2972=TRUE))/B2978,0)</f>
        <v>2.3553021937358238</v>
      </c>
    </row>
    <row r="2983" spans="1:26" x14ac:dyDescent="0.2">
      <c r="A2983" t="s">
        <v>440</v>
      </c>
      <c r="B2983">
        <f>SUM(S2946:S2972)</f>
        <v>9975818289812908</v>
      </c>
    </row>
    <row r="2984" spans="1:26" x14ac:dyDescent="0.2">
      <c r="A2984" t="s">
        <v>441</v>
      </c>
      <c r="B2984">
        <f>SUM(U2946:U2972)</f>
        <v>5.9288495156174664E+16</v>
      </c>
    </row>
    <row r="2985" spans="1:26" x14ac:dyDescent="0.2">
      <c r="A2985" s="6" t="s">
        <v>348</v>
      </c>
      <c r="B2985" s="6">
        <f>SUM(O2946:O2972)</f>
        <v>3.4632156722993784E+16</v>
      </c>
    </row>
    <row r="2988" spans="1:26" x14ac:dyDescent="0.2">
      <c r="A2988" s="6" t="s">
        <v>512</v>
      </c>
    </row>
    <row r="2989" spans="1:26" x14ac:dyDescent="0.2">
      <c r="A2989" s="5" t="s">
        <v>136</v>
      </c>
      <c r="B2989" s="5" t="s">
        <v>137</v>
      </c>
      <c r="C2989" s="5" t="s">
        <v>328</v>
      </c>
      <c r="D2989" s="5" t="s">
        <v>329</v>
      </c>
      <c r="E2989" s="5" t="s">
        <v>330</v>
      </c>
      <c r="F2989" s="5" t="s">
        <v>331</v>
      </c>
      <c r="G2989" s="5" t="s">
        <v>332</v>
      </c>
      <c r="H2989" s="5" t="s">
        <v>333</v>
      </c>
      <c r="I2989" s="5" t="s">
        <v>334</v>
      </c>
      <c r="J2989" s="5" t="s">
        <v>335</v>
      </c>
      <c r="K2989" s="5" t="s">
        <v>336</v>
      </c>
      <c r="L2989" s="5" t="s">
        <v>337</v>
      </c>
      <c r="M2989" s="5" t="s">
        <v>338</v>
      </c>
      <c r="N2989" s="5" t="s">
        <v>339</v>
      </c>
      <c r="O2989" s="5" t="s">
        <v>340</v>
      </c>
      <c r="P2989" s="5" t="s">
        <v>341</v>
      </c>
      <c r="R2989" t="s">
        <v>434</v>
      </c>
    </row>
    <row r="2990" spans="1:26" x14ac:dyDescent="0.2">
      <c r="A2990" t="str">
        <f>Skills!A2</f>
        <v>BASIC_ATTACK</v>
      </c>
      <c r="B2990" t="str">
        <f>Skills!B2</f>
        <v>Basic Attack</v>
      </c>
      <c r="C2990" t="b">
        <f>TRUE</f>
        <v>1</v>
      </c>
      <c r="F2990">
        <f>T2992+Skills!O2</f>
        <v>537.6</v>
      </c>
      <c r="G2990">
        <f>Calc!G2</f>
        <v>5</v>
      </c>
      <c r="H2990">
        <f>Calc!H2</f>
        <v>1</v>
      </c>
      <c r="I2990">
        <f>IF(Skills!X2&lt;&gt;"",1+(Skills!X2/10)*(Z2991/1000)/100,1)</f>
        <v>1</v>
      </c>
      <c r="J2990">
        <f>((Inputs!$B$6*(1+Inputs!$B$7/100))+(((Inputs!$B$12*(1+Inputs!$B$13/100))-(Inputs!$B$12*(1+Inputs!$B$13/100)))+0.25*(Inputs!$B$14-Inputs!$B$14))*(1+Inputs!$B$7/100))*(F2990/100)</f>
        <v>1941459186.9980164</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6973720604659.543</v>
      </c>
      <c r="L2990">
        <f>K2990*(MIN(Inputs!$B$22+(F3010-Calc!F22),(Inputs!$B$23+(IF(ArtifactsInput!$M$15,CHOOSE(ArtifactsInput!$N$15+1,25,30,35,40,45,50)/100*(Inputs!$B$11-Inputs!$B$11),0))))/100+(Inputs!$B$23+(IF(ArtifactsInput!$M$15,CHOOSE(ArtifactsInput!$N$15+1,25,30,35,40,45,50)/100*(Inputs!$B$11-Inputs!$B$11),0)))/100)/2</f>
        <v>23187621010492.98</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109422383548516.36</v>
      </c>
      <c r="N2990">
        <f>L2990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109422383548516.36</v>
      </c>
      <c r="O2990">
        <f>(1-Summary!$B$11)*S2990+Summary!$B$11*U2990</f>
        <v>1.2912080487856246E+16</v>
      </c>
      <c r="P2990">
        <f>IF(B3029=0,0,O2990/B3029)</f>
        <v>0.36881141420507885</v>
      </c>
      <c r="Q2990">
        <f>IFERROR(1/(IF(Inputs!$B$38="pvp",15,MAX(0.1,Skills!E2-IF(TRUE=TRUE,3,0)))*(1-IF(AND(ArtifactsInput!$M$27,Inputs!$B$4="Chapter Hunt"),CHOOSE(ArtifactsInput!$N$27+1,20,24,28,32,36,40),0)/100)),0)</f>
        <v>10</v>
      </c>
      <c r="R2990">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2143818390215279.2</v>
      </c>
      <c r="T2990">
        <f>MAX(0,(Inputs!$B$3-100)*3)+Inputs!$B$28+Inputs!$B$29</f>
        <v>185</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2.3680342585497212E+16</v>
      </c>
      <c r="Z2990">
        <f>MAX(0,(Inputs!$B$3-100)*3)+Inputs!$B$28+Inputs!$B$29</f>
        <v>185</v>
      </c>
    </row>
    <row r="2991" spans="1:26" x14ac:dyDescent="0.2">
      <c r="A2991" t="str">
        <f>Skills!A3</f>
        <v>IGNITE</v>
      </c>
      <c r="B2991" t="str">
        <f>Skills!B3</f>
        <v>Ignite</v>
      </c>
      <c r="C2991" t="b">
        <f>TRUE</f>
        <v>1</v>
      </c>
      <c r="D2991">
        <f>IF(Skills!C3=1,60+Inputs!$B$25+Inputs!$B$29,IF(Skills!C3=2,90+Inputs!$B$26+Inputs!$B$29,IF(Skills!C3=3,120+Inputs!$B$27+Inputs!$B$29,MAX(0,(Inputs!$B$3-100)*3)+Inputs!$B$28+Inputs!$B$29)))</f>
        <v>168</v>
      </c>
      <c r="E2991">
        <f>INDEX(FactorTable!$B$2:$Y$301, MATCH(ROUND(MIN(300,MAX(1,D2991)),0), FactorTable!$A$2:$A$301,0), Skills!M3+1)</f>
        <v>1672</v>
      </c>
      <c r="F2991">
        <f>IF(Skills!N3=TRUE,(Skills!L3/10)*(E2991/1000),Skills!L3/10)+Skills!O3</f>
        <v>121.736</v>
      </c>
      <c r="G2991">
        <f>Calc!G3</f>
        <v>3</v>
      </c>
      <c r="H2991">
        <f>Calc!H3</f>
        <v>1</v>
      </c>
      <c r="I2991">
        <f>IF(Skills!X3&lt;&gt;"",1+(Skills!X3/10)*(Z2991/1000)/100,1)</f>
        <v>4.8250000000000002</v>
      </c>
      <c r="J2991">
        <f>((Inputs!$B$6*(1+Inputs!$B$7/100))+(((Inputs!$B$12*(1+Inputs!$B$13/100))-(Inputs!$B$12*(1+Inputs!$B$13/100)))+0.25*(Inputs!$B$14-Inputs!$B$14))*(1+Inputs!$B$7/100))*(F2991/100)</f>
        <v>439630720.9605478</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11227570689799.676</v>
      </c>
      <c r="L2991">
        <f>K2991*(MIN(Inputs!$B$22+(F3010-Calc!F22),(Inputs!$B$23+(IF(ArtifactsInput!$M$15,CHOOSE(ArtifactsInput!$N$15+1,25,30,35,40,45,50)/100*(Inputs!$B$11-Inputs!$B$11),0))))/100+(Inputs!$B$23+(IF(ArtifactsInput!$M$15,CHOOSE(ArtifactsInput!$N$15+1,25,30,35,40,45,50)/100*(Inputs!$B$11-Inputs!$B$11),0)))/100)/2</f>
        <v>37331672543583.922</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176168162733172.5</v>
      </c>
      <c r="N2991">
        <f>L2991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176168162733172.5</v>
      </c>
      <c r="O2991">
        <f>(1-Summary!$B$11)*S2991+Summary!$B$11*U2991</f>
        <v>3062683509116204</v>
      </c>
      <c r="P2991">
        <f>IF(B3029=0,0,O2991/B3029)</f>
        <v>8.7480297022781095E-2</v>
      </c>
      <c r="Q2991">
        <f>IFERROR(1/(IF(Inputs!$B$38="pvp",15,MAX(0.1,Skills!E3-IF(FALSE=TRUE,3,0)))*(1-IF(AND(ArtifactsInput!$M$27,Inputs!$B$4="Chapter Hunt"),CHOOSE(ArtifactsInput!$N$27+1,20,24,28,32,36,40),0)/100)),0)</f>
        <v>1</v>
      </c>
      <c r="R2991">
        <f>IF(AND(Inputs!$B$38&lt;&gt;"pvp",Inputs!$B$43&gt;0),IF(MAX(0,Inputs!$B$43-B3026)&lt;=0,0,(INT(MAX(0,Inputs!$B$43-B3026)/(IF(Inputs!$B$38="pvp",15,MAX(0.1,Skills!E3-IF(FALSE=TRUE,3,0)))*(1-IF(AND(ArtifactsInput!$M$27,Inputs!$B$4="Chapter Hunt"),CHOOSE(ArtifactsInput!$N$27+1,20,24,28,32,36,40),0)/100)))+1)),0)</f>
        <v>38</v>
      </c>
      <c r="S2991">
        <f>IF(C2991,(H2991*N2991*IF(AND(Inputs!$B$38&lt;&gt;"pvp",Inputs!$B$43&gt;0),((Skills!G3*((R2991-1)*IF(Skills!H3&gt;0,Skills!I3/Skills!H3,1)+IF(Skills!H3&gt;0,MIN(Skills!I3,MAX(0,MAX(0,Inputs!$B$43-B3026)-((R2991-1)*(IF(Inputs!$B$38="pvp",15,MAX(0.1,Skills!E3-IF(FALSE=TRUE,3,0)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1591591266212847</v>
      </c>
      <c r="T2991">
        <f>INDEX(FactorTable!$B$2:$Y$301, MATCH(ROUND(MIN(300,MAX(1,T2990)),0), FactorTable!$A$2:$A$301,0), 22)</f>
        <v>1740</v>
      </c>
      <c r="U2991">
        <f>IF(C2991,(H2991*N2991*IF(AND(Inputs!$B$38&lt;&gt;"pvp",Inputs!$B$43&gt;0),((Skills!G3*((R2991-1)*IF(Skills!H3&gt;0,Skills!I3/Skills!H3,1)+IF(Skills!H3&gt;0,MIN(Skills!I3,MAX(0,MAX(0,Inputs!$B$43-B3026)-((R2991-1)*(IF(Inputs!$B$38="pvp",15,MAX(0.1,Skills!E3-IF(FALSE=TRUE,3,0)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4533775752019561</v>
      </c>
      <c r="Z2991">
        <f>INDEX(FactorTable!$B$2:$Y$301, MATCH(ROUND(MIN(300,MAX(1,Z2990)),0), FactorTable!$A$2:$A$301,0), 24)</f>
        <v>7650</v>
      </c>
    </row>
    <row r="2992" spans="1:26" x14ac:dyDescent="0.2">
      <c r="A2992" t="str">
        <f>Skills!A4</f>
        <v>POISON_BREATH</v>
      </c>
      <c r="B2992" t="str">
        <f>Skills!B4</f>
        <v>Poison Breath</v>
      </c>
      <c r="C2992" t="b">
        <f>TRUE</f>
        <v>1</v>
      </c>
      <c r="D2992">
        <f>IF(Skills!C4=1,60+Inputs!$B$25+Inputs!$B$29,IF(Skills!C4=2,90+Inputs!$B$26+Inputs!$B$29,IF(Skills!C4=3,120+Inputs!$B$27+Inputs!$B$29,MAX(0,(Inputs!$B$3-100)*3)+Inputs!$B$28+Inputs!$B$29)))</f>
        <v>168</v>
      </c>
      <c r="E2992">
        <f>INDEX(FactorTable!$B$2:$Y$301, MATCH(ROUND(MIN(300,MAX(1,D2992)),0), FactorTable!$A$2:$A$301,0), Skills!M4+1)</f>
        <v>1840</v>
      </c>
      <c r="F2992">
        <f>IF(Skills!N4=TRUE,(Skills!L4/10)*(E2992/1000),Skills!L4/10)+Skills!O4</f>
        <v>438</v>
      </c>
      <c r="G2992">
        <f>Calc!G4</f>
        <v>3</v>
      </c>
      <c r="H2992">
        <f>Calc!H4</f>
        <v>1</v>
      </c>
      <c r="I2992">
        <f>IF(Skills!X4&lt;&gt;"",1+(Skills!X4/10)*(Z2991/1000)/100,1)</f>
        <v>7.12</v>
      </c>
      <c r="J2992">
        <f>((Inputs!$B$6*(1+Inputs!$B$7/100))+(((Inputs!$B$12*(1+Inputs!$B$13/100))-(Inputs!$B$12*(1+Inputs!$B$13/100)))+0.25*(Inputs!$B$14-Inputs!$B$14))*(1+Inputs!$B$7/100))*(F2992/100)</f>
        <v>1581769203.69258</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59610608755311.633</v>
      </c>
      <c r="L2992">
        <f>K2992*(MIN(Inputs!$B$22+(F3010-Calc!F22),(Inputs!$B$23+(IF(ArtifactsInput!$M$15,CHOOSE(ArtifactsInput!$N$15+1,25,30,35,40,45,50)/100*(Inputs!$B$11-Inputs!$B$11),0))))/100+(Inputs!$B$23+(IF(ArtifactsInput!$M$15,CHOOSE(ArtifactsInput!$N$15+1,25,30,35,40,45,50)/100*(Inputs!$B$11-Inputs!$B$11),0)))/100)/2</f>
        <v>198205274111411.19</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935330688531749.25</v>
      </c>
      <c r="N2992">
        <f>L2992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935330688531749.25</v>
      </c>
      <c r="O2992">
        <f>(1-Summary!$B$11)*S2992+Summary!$B$11*U2992</f>
        <v>2233920433222016.5</v>
      </c>
      <c r="P2992">
        <f>IF(B3029=0,0,O2992/B3029)</f>
        <v>6.3808102417972398E-2</v>
      </c>
      <c r="Q2992">
        <f>IFERROR(1/(IF(Inputs!$B$38="pvp",15,MAX(0.1,Skills!E4-IF(TRUE=TRUE,3,0)))*(1-IF(AND(ArtifactsInput!$M$27,Inputs!$B$4="Chapter Hunt"),CHOOSE(ArtifactsInput!$N$27+1,20,24,28,32,36,40),0)/100)),0)</f>
        <v>6.6666666666666666E-2</v>
      </c>
      <c r="R2992">
        <f>IF(AND(Inputs!$B$38&lt;&gt;"pvp",Inputs!$B$43&gt;0),IF(MAX(0,Inputs!$B$43-B3026)&lt;=0,0,(INT(MAX(0,Inputs!$B$43-B3026)/(IF(Inputs!$B$38="pvp",15,MAX(0.1,Skills!E4-IF(TRUE=TRUE,3,0)))*(1-IF(AND(ArtifactsInput!$M$27,Inputs!$B$4="Chapter Hunt"),CHOOSE(ArtifactsInput!$N$27+1,20,24,28,32,36,40),0)/100)))+1)),0)</f>
        <v>3</v>
      </c>
      <c r="S2992">
        <f>IF(C2992,(H2992*N2992*IF(AND(Inputs!$B$38&lt;&gt;"pvp",Inputs!$B$43&gt;0),((Skills!G4*((R2992-1)*IF(Skills!H4&gt;0,Skills!I4/Skills!H4,1)+IF(Skills!H4&gt;0,MIN(Skills!I4,MAX(0,MAX(0,Inputs!$B$43-B3026)-((R2992-1)*(IF(Inputs!$B$38="pvp",15,MAX(0.1,Skills!E4-IF(TRUE=TRUE,3,0)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667124613595270.12</v>
      </c>
      <c r="T2992">
        <f>290*T2991/1000</f>
        <v>504.6</v>
      </c>
      <c r="U2992">
        <f>IF(C2992,(H2992*N2992*IF(AND(Inputs!$B$38&lt;&gt;"pvp",Inputs!$B$43&gt;0),((Skills!G4*((R2992-1)*IF(Skills!H4&gt;0,Skills!I4/Skills!H4,1)+IF(Skills!H4&gt;0,MIN(Skills!I4,MAX(0,MAX(0,Inputs!$B$43-B3026)-((R2992-1)*(IF(Inputs!$B$38="pvp",15,MAX(0.1,Skills!E4-IF(TRUE=TRUE,3,0)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3800716252848763</v>
      </c>
    </row>
    <row r="2993" spans="1:21" x14ac:dyDescent="0.2">
      <c r="A2993" t="str">
        <f>Skills!A5</f>
        <v>ELEMENTAL_DRAIN</v>
      </c>
      <c r="B2993" t="str">
        <f>Skills!B5</f>
        <v>Elemental Drain</v>
      </c>
      <c r="C2993" t="b">
        <f>TRUE</f>
        <v>1</v>
      </c>
      <c r="D2993">
        <f>IF(Skills!C5=1,60+Inputs!$B$25+Inputs!$B$29,IF(Skills!C5=2,90+Inputs!$B$26+Inputs!$B$29,IF(Skills!C5=3,120+Inputs!$B$27+Inputs!$B$29,MAX(0,(Inputs!$B$3-100)*3)+Inputs!$B$28+Inputs!$B$29)))</f>
        <v>168</v>
      </c>
      <c r="E2993">
        <f>INDEX(FactorTable!$B$2:$Y$301, MATCH(ROUND(MIN(300,MAX(1,D2993)),0), FactorTable!$A$2:$A$301,0), Skills!M5+1)</f>
        <v>1672</v>
      </c>
      <c r="F2993">
        <f>IF(Skills!N5=TRUE,(Skills!L5/10)*(E2993/1000),Skills!L5/10)+Skills!O5</f>
        <v>20.064</v>
      </c>
      <c r="G2993">
        <f>Calc!G5</f>
        <v>5</v>
      </c>
      <c r="H2993">
        <f>Calc!H5</f>
        <v>1</v>
      </c>
      <c r="I2993">
        <f>IF(Skills!X5&lt;&gt;"",1+(Skills!X5/10)*(Z2991/1000)/100,1)</f>
        <v>12.475</v>
      </c>
      <c r="J2993">
        <f>((Inputs!$B$6*(1+Inputs!$B$7/100))+(((Inputs!$B$12*(1+Inputs!$B$13/100))-(Inputs!$B$12*(1+Inputs!$B$13/100)))+0.25*(Inputs!$B$14-Inputs!$B$14))*(1+Inputs!$B$7/100))*(F2993/100)</f>
        <v>72458030.371890247</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4784400490765.127</v>
      </c>
      <c r="L2993">
        <f>K2993*(MIN(Inputs!$B$22+(F3010-Calc!F22),(Inputs!$B$23+(IF(ArtifactsInput!$M$15,CHOOSE(ArtifactsInput!$N$15+1,25,30,35,40,45,50)/100*(Inputs!$B$11-Inputs!$B$11),0))))/100+(Inputs!$B$23+(IF(ArtifactsInput!$M$15,CHOOSE(ArtifactsInput!$N$15+1,25,30,35,40,45,50)/100*(Inputs!$B$11-Inputs!$B$11),0)))/100)/2</f>
        <v>15908131631794.049</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75070473170436.109</v>
      </c>
      <c r="N2993">
        <f>L2993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75070473170436.109</v>
      </c>
      <c r="O2993">
        <f>(1-Summary!$B$11)*S2993+Summary!$B$11*U2993</f>
        <v>1101846869959076</v>
      </c>
      <c r="P2993">
        <f>IF(B3029=0,0,O2993/B3029)</f>
        <v>3.1472364405506846E-2</v>
      </c>
      <c r="Q2993">
        <f>IFERROR(1/(IF(Inputs!$B$38="pvp",15,MAX(0.1,Skills!E5-IF(FALSE=TRUE,3,0)))*(1-IF(AND(ArtifactsInput!$M$27,Inputs!$B$4="Chapter Hunt"),CHOOSE(ArtifactsInput!$N$27+1,20,24,28,32,36,40),0)/100)),0)</f>
        <v>1</v>
      </c>
      <c r="R2993">
        <f>IF(AND(Inputs!$B$38&lt;&gt;"pvp",Inputs!$B$43&gt;0),IF(MAX(0,Inputs!$B$43-B3026)&lt;=0,0,(INT(MAX(0,Inputs!$B$43-B3026)/(IF(Inputs!$B$38="pvp",15,MAX(0.1,Skills!E5-IF(FALSE=TRUE,3,0)))*(1-IF(AND(ArtifactsInput!$M$27,Inputs!$B$4="Chapter Hunt"),CHOOSE(ArtifactsInput!$N$27+1,20,24,28,32,36,40),0)/100)))+1)),0)</f>
        <v>38</v>
      </c>
      <c r="S2993">
        <f>IF(C2993,(H2993*N2993*IF(AND(Inputs!$B$38&lt;&gt;"pvp",Inputs!$B$43&gt;0),((Skills!G5*((R2993-1)*IF(Skills!H5&gt;0,Skills!I5/Skills!H5,1)+IF(Skills!H5&gt;0,MIN(Skills!I5,MAX(0,MAX(0,Inputs!$B$43-B3026)-((R2993-1)*(IF(Inputs!$B$38="pvp",15,MAX(0.1,Skills!E5-IF(FALSE=TRUE,3,0)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1130373649763841.8</v>
      </c>
      <c r="U2993">
        <f>IF(C2993,(H2993*N2993*IF(AND(Inputs!$B$38&lt;&gt;"pvp",Inputs!$B$43&gt;0),((Skills!G5*((R2993-1)*IF(Skills!H5&gt;0,Skills!I5/Skills!H5,1)+IF(Skills!H5&gt;0,MIN(Skills!I5,MAX(0,MAX(0,Inputs!$B$43-B3026)-((R2993-1)*(IF(Inputs!$B$38="pvp",15,MAX(0.1,Skills!E5-IF(FALSE=TRUE,3,0)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1073320090154310.1</v>
      </c>
    </row>
    <row r="2994" spans="1:21" x14ac:dyDescent="0.2">
      <c r="A2994" t="str">
        <f>Skills!A6</f>
        <v>MEDITATION</v>
      </c>
      <c r="B2994" t="str">
        <f>Skills!B6</f>
        <v>Meditation</v>
      </c>
      <c r="C2994" t="b">
        <f>TRUE</f>
        <v>1</v>
      </c>
      <c r="D2994">
        <f>IF(Skills!C6=1,60+Inputs!$B$25+Inputs!$B$29,IF(Skills!C6=2,90+Inputs!$B$26+Inputs!$B$29,IF(Skills!C6=3,120+Inputs!$B$27+Inputs!$B$29,MAX(0,(Inputs!$B$3-100)*3)+Inputs!$B$28+Inputs!$B$29)))</f>
        <v>168</v>
      </c>
      <c r="E2994">
        <f>INDEX(FactorTable!$B$2:$Y$301, MATCH(ROUND(MIN(300,MAX(1,D2994)),0), FactorTable!$A$2:$A$301,0), Skills!M6+1)</f>
        <v>1672</v>
      </c>
      <c r="F2994">
        <f>IF(Skills!N6=TRUE,(Skills!L6/10)*(E2994/1000),Skills!L6/10)+Skills!O6</f>
        <v>33.44</v>
      </c>
      <c r="G2994">
        <f>Calc!G6</f>
        <v>1</v>
      </c>
      <c r="H2994">
        <f>Calc!H6</f>
        <v>1</v>
      </c>
      <c r="I2994">
        <f>IF(Skills!X6&lt;&gt;"",1+(Skills!X6/10)*(Z2991/1000)/100,1)</f>
        <v>1</v>
      </c>
      <c r="O2994">
        <f>(1-Summary!$B$11)*S2994+Summary!$B$11*U2994</f>
        <v>0</v>
      </c>
      <c r="P2994">
        <f>IF(B3029=0,0,O2994/B3029)</f>
        <v>0</v>
      </c>
      <c r="Q2994">
        <f>IFERROR(1/(IF(Inputs!$B$38="pvp",15,MAX(0.1,Skills!E6-IF(TRUE=TRUE,3,0)))*(1-IF(AND(ArtifactsInput!$M$27,Inputs!$B$4="Chapter Hunt"),CHOOSE(ArtifactsInput!$N$27+1,20,24,28,32,36,40),0)/100)),0)</f>
        <v>3.7037037037037035E-2</v>
      </c>
      <c r="R2994">
        <f>IF(AND(Inputs!$B$38&lt;&gt;"pvp",Inputs!$B$43&gt;0),IF(Inputs!$B$43&lt;=0,0,(INT(Inputs!$B$43/(IF(Inputs!$B$38="pvp",15,MAX(0.1,Skills!E6-IF(TRUE=TRUE,3,0)))*(1-IF(AND(ArtifactsInput!$M$27,Inputs!$B$4="Chapter Hunt"),CHOOSE(ArtifactsInput!$N$27+1,20,24,28,32,36,40),0)/100)))+1)),0)</f>
        <v>2</v>
      </c>
      <c r="S2994">
        <v>0</v>
      </c>
      <c r="U2994">
        <v>0</v>
      </c>
    </row>
    <row r="2995" spans="1:21" x14ac:dyDescent="0.2">
      <c r="A2995" t="str">
        <f>Skills!A7</f>
        <v>POISON_MIST_BURST</v>
      </c>
      <c r="B2995" t="str">
        <f>Skills!B7</f>
        <v>Poison Mist (burst)</v>
      </c>
      <c r="C2995" t="b">
        <f>TRUE</f>
        <v>1</v>
      </c>
      <c r="D2995">
        <f>IF(Skills!C7=1,60+Inputs!$B$25+Inputs!$B$29,IF(Skills!C7=2,90+Inputs!$B$26+Inputs!$B$29,IF(Skills!C7=3,120+Inputs!$B$27+Inputs!$B$29,MAX(0,(Inputs!$B$3-100)*3)+Inputs!$B$28+Inputs!$B$29)))</f>
        <v>184</v>
      </c>
      <c r="E2995">
        <f>INDEX(FactorTable!$B$2:$Y$301, MATCH(ROUND(MIN(300,MAX(1,D2995)),0), FactorTable!$A$2:$A$301,0), Skills!M7+1)</f>
        <v>1920</v>
      </c>
      <c r="F2995">
        <f>IF(Skills!N7=TRUE,(Skills!L7/10)*(E2995/1000),Skills!L7/10)+Skills!O7</f>
        <v>357.2</v>
      </c>
      <c r="G2995">
        <f>Calc!G7</f>
        <v>3</v>
      </c>
      <c r="H2995">
        <f>Calc!H7</f>
        <v>1</v>
      </c>
      <c r="I2995">
        <f>IF(Skills!X7&lt;&gt;"",1+(Skills!X7/10)*(Z2991/1000)/100,1)</f>
        <v>1.7650000000000001</v>
      </c>
      <c r="J2995">
        <f>((Inputs!$B$6*(1+Inputs!$B$7/100))+(((Inputs!$B$12*(1+Inputs!$B$13/100))-(Inputs!$B$12*(1+Inputs!$B$13/100)))+0.25*(Inputs!$B$14-Inputs!$B$14))*(1+Inputs!$B$7/100))*(F2995/100)</f>
        <v>1289972510.4086521</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12051070101154.467</v>
      </c>
      <c r="L2995">
        <f>K2995*(MIN(Inputs!$B$22+(F3010-Calc!F22),(Inputs!$B$23+(IF(ArtifactsInput!$M$15,CHOOSE(ArtifactsInput!$N$15+1,25,30,35,40,45,50)/100*(Inputs!$B$11-Inputs!$B$11),0))))/100+(Inputs!$B$23+(IF(ArtifactsInput!$M$15,CHOOSE(ArtifactsInput!$N$15+1,25,30,35,40,45,50)/100*(Inputs!$B$11-Inputs!$B$11),0)))/100)/2</f>
        <v>40069808086338.602</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189089424359431.84</v>
      </c>
      <c r="N2995">
        <f>L2995*(1-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189089424359431.84</v>
      </c>
      <c r="O2995">
        <f>(1-Summary!$B$11)*S2995+Summary!$B$11*U2995</f>
        <v>471825386132872.31</v>
      </c>
      <c r="P2995">
        <f>IF(B3029=0,0,O2995/B3029)</f>
        <v>1.3476882217484779E-2</v>
      </c>
      <c r="Q2995">
        <f>IFERROR(1/(IF(Inputs!$B$38="pvp",15,MAX(0.1,Skills!E7-IF(TRUE=TRUE,3,0)))*(1-IF(AND(ArtifactsInput!$M$27,Inputs!$B$4="Chapter Hunt"),CHOOSE(ArtifactsInput!$N$27+1,20,24,28,32,36,40),0)/100)),0)</f>
        <v>4.6511627906976744E-2</v>
      </c>
      <c r="R2995">
        <f>IF(AND(Inputs!$B$38&lt;&gt;"pvp",Inputs!$B$43&gt;0),IF(MAX(0,Inputs!$B$43-B3026)&lt;=0,0,(INT(MAX(0,Inputs!$B$43-B3026)/(IF(Inputs!$B$38="pvp",15,MAX(0.1,Skills!E7-IF(TRUE=TRUE,3,0)))*(1-IF(AND(ArtifactsInput!$M$27,Inputs!$B$4="Chapter Hunt"),CHOOSE(ArtifactsInput!$N$27+1,20,24,28,32,36,40),0)/100)))+1)),0)</f>
        <v>2</v>
      </c>
      <c r="S2995">
        <f>IF(C2995,(H2995*N2995*IF(AND(Inputs!$B$38&lt;&gt;"pvp",Inputs!$B$43&gt;0),((Skills!G7*((R2995-1)*IF(Skills!H7&gt;0,Skills!I7/Skills!H7,1)+IF(Skills!H7&gt;0,MIN(Skills!I7,MAX(0,MAX(0,Inputs!$B$43-B3026)-((R2995-1)*(IF(Inputs!$B$38="pvp",15,MAX(0.1,Skills!E7-IF(TRUE=TRUE,3,0)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89912021282909.844</v>
      </c>
      <c r="U2995">
        <f>IF(C2995,(H2995*N2995*IF(AND(Inputs!$B$38&lt;&gt;"pvp",Inputs!$B$43&gt;0),((Skills!G7*((R2995-1)*IF(Skills!H7&gt;0,Skills!I7/Skills!H7,1)+IF(Skills!H7&gt;0,MIN(Skills!I7,MAX(0,MAX(0,Inputs!$B$43-B3026)-((R2995-1)*(IF(Inputs!$B$38="pvp",15,MAX(0.1,Skills!E7-IF(TRUE=TRUE,3,0)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853738750982834.75</v>
      </c>
    </row>
    <row r="2996" spans="1:21" x14ac:dyDescent="0.2">
      <c r="A2996" t="str">
        <f>Skills!A8</f>
        <v>POISON_MIST_DOT</v>
      </c>
      <c r="B2996" t="str">
        <f>Skills!B8</f>
        <v>Poison Mist (fog DoT)</v>
      </c>
      <c r="C2996" t="b">
        <f>TRUE</f>
        <v>1</v>
      </c>
      <c r="D2996">
        <f>IF(Skills!C8=1,60+Inputs!$B$25+Inputs!$B$29,IF(Skills!C8=2,90+Inputs!$B$26+Inputs!$B$29,IF(Skills!C8=3,120+Inputs!$B$27+Inputs!$B$29,MAX(0,(Inputs!$B$3-100)*3)+Inputs!$B$28+Inputs!$B$29)))</f>
        <v>184</v>
      </c>
      <c r="E2996">
        <f>INDEX(FactorTable!$B$2:$Y$301, MATCH(ROUND(MIN(300,MAX(1,D2996)),0), FactorTable!$A$2:$A$301,0), Skills!M8+1)</f>
        <v>1920</v>
      </c>
      <c r="F2996">
        <f>IF(Skills!N8=TRUE,(Skills!L8/10)*(E2996/1000),Skills!L8/10)+Skills!O8</f>
        <v>134.4</v>
      </c>
      <c r="G2996">
        <f>Calc!G8</f>
        <v>50</v>
      </c>
      <c r="H2996">
        <f>Calc!H8</f>
        <v>1</v>
      </c>
      <c r="I2996">
        <f>IF(Skills!X8&lt;&gt;"",1+(Skills!X8/10)*(Z2991/1000)/100,1)</f>
        <v>1.7650000000000001</v>
      </c>
      <c r="J2996">
        <f>((Inputs!$B$6*(1+Inputs!$B$7/100))+(((Inputs!$B$12*(1+Inputs!$B$13/100))-(Inputs!$B$12*(1+Inputs!$B$13/100)))+0.25*(Inputs!$B$14-Inputs!$B$14))*(1+Inputs!$B$7/100))*(F2996/100)</f>
        <v>485364796.74950409</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4534333207153.3037</v>
      </c>
      <c r="L2996">
        <f>K2996*(MIN(Inputs!$B$22+(F3010-Calc!F22),(Inputs!$B$23+(IF(ArtifactsInput!$M$15,CHOOSE(ArtifactsInput!$N$15+1,25,30,35,40,45,50)/100*(Inputs!$B$11-Inputs!$B$11),0))))/100+(Inputs!$B$23+(IF(ArtifactsInput!$M$15,CHOOSE(ArtifactsInput!$N$15+1,25,30,35,40,45,50)/100*(Inputs!$B$11-Inputs!$B$11),0)))/100)/2</f>
        <v>15076657913784.736</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71146748695150.156</v>
      </c>
      <c r="N2996">
        <f>L2996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71146748695150.156</v>
      </c>
      <c r="O2996">
        <f>(1-Summary!$B$11)*S2996+Summary!$B$11*U2996</f>
        <v>2673637222702710</v>
      </c>
      <c r="P2996">
        <f>IF(B3029=0,0,O2996/B3029)</f>
        <v>7.6367857689836921E-2</v>
      </c>
      <c r="Q2996">
        <f>IFERROR(1/(IF(Inputs!$B$38="pvp",15,MAX(0.1,Skills!E8-IF(TRUE=TRUE,3,0)))*(1-IF(AND(ArtifactsInput!$M$27,Inputs!$B$4="Chapter Hunt"),CHOOSE(ArtifactsInput!$N$27+1,20,24,28,32,36,40),0)/100)),0)</f>
        <v>4.6511627906976744E-2</v>
      </c>
      <c r="R2996">
        <f>IF(AND(Inputs!$B$38&lt;&gt;"pvp",Inputs!$B$43&gt;0),IF(MAX(0,Inputs!$B$43-B3026)&lt;=0,0,(INT(MAX(0,Inputs!$B$43-B3026)/(IF(Inputs!$B$38="pvp",15,MAX(0.1,Skills!E8-IF(TRUE=TRUE,3,0)))*(1-IF(AND(ArtifactsInput!$M$27,Inputs!$B$4="Chapter Hunt"),CHOOSE(ArtifactsInput!$N$27+1,20,24,28,32,36,40),0)/100)))+1)),0)</f>
        <v>2</v>
      </c>
      <c r="S2996">
        <f>IF(C2996,(H2996*N2996*IF(AND(Inputs!$B$38&lt;&gt;"pvp",Inputs!$B$43&gt;0),((Skills!G8*((R2996-1)*IF(Skills!H8&gt;0,Skills!I8/Skills!H8,1)+IF(Skills!H8&gt;0,MIN(Skills!I8,MAX(0,MAX(0,Inputs!$B$43-B3026)-((R2996-1)*(IF(Inputs!$B$38="pvp",15,MAX(0.1,Skills!E8-IF(TRUE=TRUE,3,0)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509493838050351.19</v>
      </c>
      <c r="U2996">
        <f>IF(C2996,(H2996*N2996*IF(AND(Inputs!$B$38&lt;&gt;"pvp",Inputs!$B$43&gt;0),((Skills!G8*((R2996-1)*IF(Skills!H8&gt;0,Skills!I8/Skills!H8,1)+IF(Skills!H8&gt;0,MIN(Skills!I8,MAX(0,MAX(0,Inputs!$B$43-B3026)-((R2996-1)*(IF(Inputs!$B$38="pvp",15,MAX(0.1,Skills!E8-IF(TRUE=TRUE,3,0)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4837780607355069</v>
      </c>
    </row>
    <row r="2997" spans="1:21" x14ac:dyDescent="0.2">
      <c r="A2997" t="str">
        <f>Skills!A9</f>
        <v>MIST_ERUPTION</v>
      </c>
      <c r="B2997" t="str">
        <f>Skills!B9</f>
        <v>Mist Eruption</v>
      </c>
      <c r="C2997" t="b">
        <f>Inputs!$B$3&gt;=103</f>
        <v>1</v>
      </c>
      <c r="D2997">
        <f>IF(Skills!C9=1,60+Inputs!$B$25+Inputs!$B$29,IF(Skills!C9=2,90+Inputs!$B$26+Inputs!$B$29,IF(Skills!C9=3,120+Inputs!$B$27+Inputs!$B$29,MAX(0,(Inputs!$B$3-100)*3)+Inputs!$B$28+Inputs!$B$29)))</f>
        <v>185</v>
      </c>
      <c r="E2997">
        <f>INDEX(FactorTable!$B$2:$Y$301, MATCH(ROUND(MIN(300,MAX(1,D2997)),0), FactorTable!$A$2:$A$301,0), Skills!M9+1)</f>
        <v>1925</v>
      </c>
      <c r="F2997">
        <f>IF(Skills!N9=TRUE,(Skills!L9/10)*(E2997/1000),Skills!L9/10)+Skills!O9</f>
        <v>5775</v>
      </c>
      <c r="G2997">
        <f>Calc!G9</f>
        <v>2.5</v>
      </c>
      <c r="H2997">
        <f>Calc!H9</f>
        <v>1</v>
      </c>
      <c r="I2997">
        <f>IF(Skills!X9&lt;&gt;"",1+(Skills!X9/10)*(Z2991/1000)/100,1)</f>
        <v>1</v>
      </c>
      <c r="J2997">
        <f>((Inputs!$B$6*(1+Inputs!$B$7/100))+(((Inputs!$B$12*(1+Inputs!$B$13/100))-(Inputs!$B$12*(1+Inputs!$B$13/100)))+0.25*(Inputs!$B$14-Inputs!$B$14))*(1+Inputs!$B$7/100))*(F2997/100)</f>
        <v>20855518610.330254</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110387892348367.44</v>
      </c>
      <c r="L2997">
        <f>K2997*(MIN(Inputs!$B$22+(F3010-Calc!F22),(Inputs!$B$23+(IF(ArtifactsInput!$M$15,CHOOSE(ArtifactsInput!$N$15+1,25,30,35,40,45,50)/100*(Inputs!$B$11-Inputs!$B$11),0))))/100+(Inputs!$B$23+(IF(ArtifactsInput!$M$15,CHOOSE(ArtifactsInput!$N$15+1,25,30,35,40,45,50)/100*(Inputs!$B$11-Inputs!$B$11),0)))/100)/2</f>
        <v>367039742058321.75</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1732060542773220</v>
      </c>
      <c r="N2997">
        <f>L2997*(1-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1732060542773220</v>
      </c>
      <c r="O2997">
        <f>(1-Summary!$B$11)*S2997+Summary!$B$11*U2997</f>
        <v>3601603391129064</v>
      </c>
      <c r="P2997">
        <f>IF(B3029=0,0,O2997/B3029)</f>
        <v>0.10287361834038981</v>
      </c>
      <c r="Q2997">
        <f>IFERROR(1/(IF(Inputs!$B$38="pvp",15,MAX(0.1,Skills!E9-IF(TRUE=TRUE,3,0)))*(1-IF(AND(ArtifactsInput!$M$27,Inputs!$B$4="Chapter Hunt"),CHOOSE(ArtifactsInput!$N$27+1,20,24,28,32,36,40),0)/100)),0)</f>
        <v>4.6511627906976744E-2</v>
      </c>
      <c r="R2997">
        <f>IF(AND(Inputs!$B$38&lt;&gt;"pvp",Inputs!$B$43&gt;0),IF(MAX(0,Inputs!$B$43-B3026)&lt;=0,0,(INT(MAX(0,Inputs!$B$43-B3026)/(IF(Inputs!$B$38="pvp",15,MAX(0.1,Skills!E9-IF(TRUE=TRUE,3,0)))*(1-IF(AND(ArtifactsInput!$M$27,Inputs!$B$4="Chapter Hunt"),CHOOSE(ArtifactsInput!$N$27+1,20,24,28,32,36,40),0)/100)))+1)),0)</f>
        <v>2</v>
      </c>
      <c r="S2997">
        <f>IF(C2997,(H2997*N2997*IF(AND(Inputs!$B$38&lt;&gt;"pvp",Inputs!$B$43&gt;0),((Skills!G9*((R2997-1)*IF(Skills!H9&gt;0,Skills!I9/Skills!H9,1)+IF(Skills!H9&gt;0,MIN(Skills!I9,MAX(0,MAX(0,Inputs!$B$43-B3026)-((R2997-1)*(IF(Inputs!$B$38="pvp",15,MAX(0.1,Skills!E9-IF(TRUE=TRUE,3,0)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686328990073888.38</v>
      </c>
      <c r="U2997">
        <f>IF(C2997,(H2997*N2997*IF(AND(Inputs!$B$38&lt;&gt;"pvp",Inputs!$B$43&gt;0),((Skills!G9*((R2997-1)*IF(Skills!H9&gt;0,Skills!I9/Skills!H9,1)+IF(Skills!H9&gt;0,MIN(Skills!I9,MAX(0,MAX(0,Inputs!$B$43-B3026)-((R2997-1)*(IF(Inputs!$B$38="pvp",15,MAX(0.1,Skills!E9-IF(TRUE=TRUE,3,0)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6516877792184240</v>
      </c>
    </row>
    <row r="2998" spans="1:21" x14ac:dyDescent="0.2">
      <c r="A2998" t="str">
        <f>Skills!A10</f>
        <v>CREEPING_TOXIN</v>
      </c>
      <c r="B2998" t="str">
        <f>Skills!B10</f>
        <v>Creeping Toxin</v>
      </c>
      <c r="C2998" t="b">
        <f>TRUE</f>
        <v>1</v>
      </c>
      <c r="D2998">
        <f>IF(Skills!C10=1,60+Inputs!$B$25+Inputs!$B$29,IF(Skills!C10=2,90+Inputs!$B$26+Inputs!$B$29,IF(Skills!C10=3,120+Inputs!$B$27+Inputs!$B$29,MAX(0,(Inputs!$B$3-100)*3)+Inputs!$B$28+Inputs!$B$29)))</f>
        <v>184</v>
      </c>
      <c r="E2998">
        <f>INDEX(FactorTable!$B$2:$Y$301, MATCH(ROUND(MIN(300,MAX(1,D2998)),0), FactorTable!$A$2:$A$301,0), Skills!M10+1)</f>
        <v>1920</v>
      </c>
      <c r="F2998">
        <f>IF(Skills!N10=TRUE,(Skills!L10/10)*(E2998/1000),Skills!L10/10)+Skills!O10</f>
        <v>280.39999999999998</v>
      </c>
      <c r="G2998">
        <f>Calc!G10</f>
        <v>15</v>
      </c>
      <c r="H2998">
        <f>Calc!H10</f>
        <v>1</v>
      </c>
      <c r="I2998">
        <f>IF(Skills!X10&lt;&gt;"",1+(Skills!X10/10)*(Z2991/1000)/100,1)</f>
        <v>1.7650000000000001</v>
      </c>
      <c r="J2998">
        <f>((Inputs!$B$6*(1+Inputs!$B$7/100))+(((Inputs!$B$12*(1+Inputs!$B$13/100))-(Inputs!$B$12*(1+Inputs!$B$13/100)))+0.25*(Inputs!$B$14-Inputs!$B$14))*(1+Inputs!$B$7/100))*(F2998/100)</f>
        <v>1012621197.9803641</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9460022554209.7188</v>
      </c>
      <c r="L2998">
        <f>K2998*(MIN(Inputs!$B$22+(F3010-Calc!F22),(Inputs!$B$23+(IF(ArtifactsInput!$M$15,CHOOSE(ArtifactsInput!$N$15+1,25,30,35,40,45,50)/100*(Inputs!$B$11-Inputs!$B$11),0))))/100+(Inputs!$B$23+(IF(ArtifactsInput!$M$15,CHOOSE(ArtifactsInput!$N$15+1,25,30,35,40,45,50)/100*(Inputs!$B$11-Inputs!$B$11),0)))/100)/2</f>
        <v>31454574992747.316</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148434139390774.56</v>
      </c>
      <c r="N2998">
        <f>L2998*(1-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148434139390774.56</v>
      </c>
      <c r="O2998">
        <f>(1-Summary!$B$11)*S2998+Summary!$B$11*U2998</f>
        <v>381603633261601.38</v>
      </c>
      <c r="P2998">
        <f>IF(B3029=0,0,O2998/B3029)</f>
        <v>1.0899852721749419E-2</v>
      </c>
      <c r="Q2998">
        <f>IFERROR(1/(IF(Inputs!$B$38="pvp",15,MAX(0.1,Skills!E10-IF(TRUE=TRUE,3,0)))*(1-IF(AND(ArtifactsInput!$M$27,Inputs!$B$4="Chapter Hunt"),CHOOSE(ArtifactsInput!$N$27+1,20,24,28,32,36,40),0)/100)),0)</f>
        <v>4.1666666666666664E-2</v>
      </c>
      <c r="R2998">
        <f>IF(AND(Inputs!$B$38&lt;&gt;"pvp",Inputs!$B$43&gt;0),IF(MAX(0,Inputs!$B$43-B3026)&lt;=0,0,(INT(MAX(0,Inputs!$B$43-B3026)/(IF(Inputs!$B$38="pvp",15,MAX(0.1,Skills!E10-IF(TRUE=TRUE,3,0)))*(1-IF(AND(ArtifactsInput!$M$27,Inputs!$B$4="Chapter Hunt"),CHOOSE(ArtifactsInput!$N$27+1,20,24,28,32,36,40),0)/100)))+1)),0)</f>
        <v>2</v>
      </c>
      <c r="S2998">
        <f>IF(C2998,(H2998*N2998*IF(AND(Inputs!$B$38&lt;&gt;"pvp",Inputs!$B$43&gt;0),((Skills!G10*((R2998-1)*IF(Skills!H10&gt;0,Skills!I10/Skills!H10,1)+IF(Skills!H10&gt;0,MIN(Skills!I10,MAX(0,MAX(0,Inputs!$B$43-B3026)-((R2998-1)*(IF(Inputs!$B$38="pvp",15,MAX(0.1,Skills!E10-IF(TRUE=TRUE,3,0)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336959197058294.25</v>
      </c>
      <c r="U2998">
        <f>IF(C2998,(H2998*N2998*IF(AND(Inputs!$B$38&lt;&gt;"pvp",Inputs!$B$43&gt;0),((Skills!G10*((R2998-1)*IF(Skills!H10&gt;0,Skills!I10/Skills!H10,1)+IF(Skills!H10&gt;0,MIN(Skills!I10,MAX(0,MAX(0,Inputs!$B$43-B3026)-((R2998-1)*(IF(Inputs!$B$38="pvp",15,MAX(0.1,Skills!E10-IF(TRUE=TRUE,3,0)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426248069464908.44</v>
      </c>
    </row>
    <row r="2999" spans="1:21" x14ac:dyDescent="0.2">
      <c r="A2999" t="str">
        <f>Skills!A11</f>
        <v>BURNING_MAGIC</v>
      </c>
      <c r="B2999" t="str">
        <f>Skills!B11</f>
        <v>Burning Magic</v>
      </c>
      <c r="C2999" t="b">
        <f>TRUE</f>
        <v>1</v>
      </c>
      <c r="D2999">
        <f>IF(Skills!C11=1,60+Inputs!$B$25+Inputs!$B$29,IF(Skills!C11=2,90+Inputs!$B$26+Inputs!$B$29,IF(Skills!C11=3,120+Inputs!$B$27+Inputs!$B$29,MAX(0,(Inputs!$B$3-100)*3)+Inputs!$B$28+Inputs!$B$29)))</f>
        <v>184</v>
      </c>
      <c r="E2999">
        <f>INDEX(FactorTable!$B$2:$Y$301, MATCH(ROUND(MIN(300,MAX(1,D2999)),0), FactorTable!$A$2:$A$301,0), Skills!M11+1)</f>
        <v>0</v>
      </c>
      <c r="F2999">
        <f>IF(Skills!N11=TRUE,(Skills!L11/10)*(E2999/1000),Skills!L11/10)+Skills!O11</f>
        <v>5</v>
      </c>
      <c r="G2999">
        <f>Calc!G11</f>
        <v>1</v>
      </c>
      <c r="H2999">
        <f>Calc!H11</f>
        <v>1</v>
      </c>
      <c r="I2999">
        <f>IF(Skills!X11&lt;&gt;"",1+(Skills!X11/10)*(Z2991/1000)/100,1)</f>
        <v>1</v>
      </c>
      <c r="O2999">
        <f>(1-Summary!$B$11)*S2999+Summary!$B$11*U2999</f>
        <v>0</v>
      </c>
      <c r="P2999">
        <f>IF(B3029=0,0,O2999/B3029)</f>
        <v>0</v>
      </c>
      <c r="Q2999">
        <f>IFERROR(1/(IF(Inputs!$B$38="pvp",15,MAX(0.1,Skills!E11-IF(TRUE=TRUE,3,0)))*(1-IF(AND(ArtifactsInput!$M$27,Inputs!$B$4="Chapter Hunt"),CHOOSE(ArtifactsInput!$N$27+1,20,24,28,32,36,40),0)/100)),0)</f>
        <v>10</v>
      </c>
      <c r="R2999">
        <v>0</v>
      </c>
      <c r="S2999">
        <v>0</v>
      </c>
      <c r="U2999">
        <v>0</v>
      </c>
    </row>
    <row r="3000" spans="1:21" x14ac:dyDescent="0.2">
      <c r="A3000" t="str">
        <f>Skills!A12</f>
        <v>ELEMENTAL_DECREASE</v>
      </c>
      <c r="B3000" t="str">
        <f>Skills!B12</f>
        <v>Elemental Decrease</v>
      </c>
      <c r="C3000" t="b">
        <f>TRUE</f>
        <v>1</v>
      </c>
      <c r="D3000">
        <f>IF(Skills!C12=1,60+Inputs!$B$25+Inputs!$B$29,IF(Skills!C12=2,90+Inputs!$B$26+Inputs!$B$29,IF(Skills!C12=3,120+Inputs!$B$27+Inputs!$B$29,MAX(0,(Inputs!$B$3-100)*3)+Inputs!$B$28+Inputs!$B$29)))</f>
        <v>184</v>
      </c>
      <c r="E3000">
        <f>INDEX(FactorTable!$B$2:$Y$301, MATCH(ROUND(MIN(300,MAX(1,D3000)),0), FactorTable!$A$2:$A$301,0), Skills!M12+1)</f>
        <v>1552</v>
      </c>
      <c r="F3000">
        <f>IF(Skills!N12=TRUE,(Skills!L12/10)*(E3000/1000),Skills!L12/10)+Skills!O12</f>
        <v>18.624000000000002</v>
      </c>
      <c r="G3000">
        <f>Calc!G12</f>
        <v>1</v>
      </c>
      <c r="H3000">
        <f>Calc!H12</f>
        <v>0.5</v>
      </c>
      <c r="I3000">
        <f>IF(Skills!X12&lt;&gt;"",1+(Skills!X12/10)*(Z2991/1000)/100,1)</f>
        <v>1</v>
      </c>
      <c r="O3000">
        <f>(1-Summary!$B$11)*S3000+Summary!$B$11*U3000</f>
        <v>0</v>
      </c>
      <c r="P3000">
        <f>IF(B3029=0,0,O3000/B3029)</f>
        <v>0</v>
      </c>
      <c r="Q3000">
        <f>IFERROR(1/(IF(Inputs!$B$38="pvp",15,MAX(0.1,Skills!E12-IF(TRUE=TRUE,3,0)))*(1-IF(AND(ArtifactsInput!$M$27,Inputs!$B$4="Chapter Hunt"),CHOOSE(ArtifactsInput!$N$27+1,20,24,28,32,36,40),0)/100)),0)</f>
        <v>10</v>
      </c>
      <c r="R3000">
        <v>0</v>
      </c>
      <c r="S3000">
        <v>0</v>
      </c>
      <c r="U3000">
        <v>0</v>
      </c>
    </row>
    <row r="3001" spans="1:21" x14ac:dyDescent="0.2">
      <c r="A3001" t="str">
        <f>Skills!A13</f>
        <v>METEOR_SHOWER_BURST</v>
      </c>
      <c r="B3001" t="str">
        <f>Skills!B13</f>
        <v>Meteor Shower (burst)</v>
      </c>
      <c r="C3001" t="b">
        <f>Inputs!$B$3&gt;=105</f>
        <v>1</v>
      </c>
      <c r="D3001">
        <f>IF(Skills!C13=1,60+Inputs!$B$25+Inputs!$B$29,IF(Skills!C13=2,90+Inputs!$B$26+Inputs!$B$29,IF(Skills!C13=3,120+Inputs!$B$27+Inputs!$B$29,MAX(0,(Inputs!$B$3-100)*3)+Inputs!$B$28+Inputs!$B$29)))</f>
        <v>185</v>
      </c>
      <c r="E3001">
        <f>INDEX(FactorTable!$B$2:$Y$301, MATCH(ROUND(MIN(300,MAX(1,D3001)),0), FactorTable!$A$2:$A$301,0), Skills!M13+1)</f>
        <v>1925</v>
      </c>
      <c r="F3001">
        <f>IF(Skills!N13=TRUE,(Skills!L13/10)*(E3001/1000),Skills!L13/10)+Skills!O13</f>
        <v>1155</v>
      </c>
      <c r="G3001">
        <f>Calc!G13</f>
        <v>9</v>
      </c>
      <c r="H3001">
        <f>Calc!H13</f>
        <v>1</v>
      </c>
      <c r="I3001">
        <f>IF(Skills!X13&lt;&gt;"",1+(Skills!X13/10)*(Z2991/1000)/100,1)</f>
        <v>1</v>
      </c>
      <c r="J3001">
        <f>((Inputs!$B$6*(1+Inputs!$B$7/100))+(((Inputs!$B$12*(1+Inputs!$B$13/100))-(Inputs!$B$12*(1+Inputs!$B$13/100)))+0.25*(Inputs!$B$14-Inputs!$B$14))*(1+Inputs!$B$7/100))*(F3001/100)</f>
        <v>4171103722.0660505</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22077578469673.488</v>
      </c>
      <c r="L3001">
        <f>K3001*(MIN(Inputs!$B$22+(F3010-Calc!F22),(Inputs!$B$23+(IF(ArtifactsInput!$M$15,CHOOSE(ArtifactsInput!$N$15+1,25,30,35,40,45,50)/100*(Inputs!$B$11-Inputs!$B$11),0))))/100+(Inputs!$B$23+(IF(ArtifactsInput!$M$15,CHOOSE(ArtifactsInput!$N$15+1,25,30,35,40,45,50)/100*(Inputs!$B$11-Inputs!$B$11),0)))/100)/2</f>
        <v>73407948411664.359</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346412108554644.06</v>
      </c>
      <c r="N3001">
        <f>L3001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346412108554644.06</v>
      </c>
      <c r="O3001">
        <f>(1-Summary!$B$11)*S3001+Summary!$B$11*U3001</f>
        <v>1889331640057029</v>
      </c>
      <c r="P3001">
        <f>IF(B3029=0,0,O3001/B3029)</f>
        <v>5.3965515063755819E-2</v>
      </c>
      <c r="Q3001">
        <f>IFERROR(1/(IF(Inputs!$B$38="pvp",15,MAX(0.1,Skills!E13-IF(TRUE=TRUE,3,0)))*(1-IF(AND(ArtifactsInput!$M$27,Inputs!$B$4="Chapter Hunt"),CHOOSE(ArtifactsInput!$N$27+1,20,24,28,32,36,40),0)/100)),0)</f>
        <v>3.3333333333333333E-2</v>
      </c>
      <c r="R3001">
        <f>IF(AND(Inputs!$B$38&lt;&gt;"pvp",Inputs!$B$43&gt;0),IF(MAX(0,Inputs!$B$43-B3026)&lt;=0,0,(INT(MAX(0,Inputs!$B$43-B3026)/(IF(Inputs!$B$38="pvp",15,MAX(0.1,Skills!E13-IF(TRUE=TRUE,3,0)))*(1-IF(AND(ArtifactsInput!$M$27,Inputs!$B$4="Chapter Hunt"),CHOOSE(ArtifactsInput!$N$27+1,20,24,28,32,36,40),0)/100)))+1)),0)</f>
        <v>2</v>
      </c>
      <c r="S3001">
        <f>IF(C3001,(H3001*N3001*IF(AND(Inputs!$B$38&lt;&gt;"pvp",Inputs!$B$43&gt;0),((Skills!G13*((R3001-1)*IF(Skills!H13&gt;0,Skills!I13/Skills!H13,1)+IF(Skills!H13&gt;0,MIN(Skills!I13,MAX(0,MAX(0,Inputs!$B$43-B3026)-((R3001-1)*(IF(Inputs!$B$38="pvp",15,MAX(0.1,Skills!E13-IF(TRUE=TRUE,3,0)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494156872853199.81</v>
      </c>
      <c r="U3001">
        <f>IF(C3001,(H3001*N3001*IF(AND(Inputs!$B$38&lt;&gt;"pvp",Inputs!$B$43&gt;0),((Skills!G13*((R3001-1)*IF(Skills!H13&gt;0,Skills!I13/Skills!H13,1)+IF(Skills!H13&gt;0,MIN(Skills!I13,MAX(0,MAX(0,Inputs!$B$43-B3026)-((R3001-1)*(IF(Inputs!$B$38="pvp",15,MAX(0.1,Skills!E13-IF(TRUE=TRUE,3,0)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3284506407260858</v>
      </c>
    </row>
    <row r="3002" spans="1:21" x14ac:dyDescent="0.2">
      <c r="A3002" t="str">
        <f>Skills!A14</f>
        <v>METEOR_PROC</v>
      </c>
      <c r="B3002" t="str">
        <f>Skills!B14</f>
        <v>Meteor Proc (30% on-hit, 1s ICD)</v>
      </c>
      <c r="C3002" t="b">
        <f>Inputs!$B$3&gt;=113</f>
        <v>1</v>
      </c>
      <c r="D3002">
        <f>IF(Skills!C14=1,60+Inputs!$B$25+Inputs!$B$29,IF(Skills!C14=2,90+Inputs!$B$26+Inputs!$B$29,IF(Skills!C14=3,120+Inputs!$B$27+Inputs!$B$29,MAX(0,(Inputs!$B$3-100)*3)+Inputs!$B$28+Inputs!$B$29)))</f>
        <v>185</v>
      </c>
      <c r="E3002">
        <f>INDEX(FactorTable!$B$2:$Y$301, MATCH(ROUND(MIN(300,MAX(1,D3002)),0), FactorTable!$A$2:$A$301,0), Skills!M14+1)</f>
        <v>1740</v>
      </c>
      <c r="F3002">
        <f>IF(Skills!N14=TRUE,(Skills!L14/10)*(E3002/1000),Skills!L14/10)+Skills!O14</f>
        <v>1653</v>
      </c>
      <c r="G3002">
        <f>Calc!G14</f>
        <v>0</v>
      </c>
      <c r="H3002">
        <f>Calc!H14</f>
        <v>0.30000000000000004</v>
      </c>
      <c r="I3002">
        <f>IF(Skills!X14&lt;&gt;"",1+(Skills!X14/10)*(Z2991/1000)/100,1)</f>
        <v>1</v>
      </c>
      <c r="J3002">
        <f>((Inputs!$B$6*(1+Inputs!$B$7/100))+(((Inputs!$B$12*(1+Inputs!$B$13/100))-(Inputs!$B$12*(1+Inputs!$B$13/100)))+0.25*(Inputs!$B$14-Inputs!$B$14))*(1+Inputs!$B$7/100))*(F3002/100)</f>
        <v>5969553638.5932312</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31596742173480.75</v>
      </c>
      <c r="L3002">
        <f>K3002*(MIN(Inputs!$B$22+(F3010-Calc!F22),(Inputs!$B$23+(IF(ArtifactsInput!$M$15,CHOOSE(ArtifactsInput!$N$15+1,25,30,35,40,45,50)/100*(Inputs!$B$11-Inputs!$B$11),0))))/100+(Inputs!$B$23+(IF(ArtifactsInput!$M$15,CHOOSE(ArtifactsInput!$N$15+1,25,30,35,40,45,50)/100*(Inputs!$B$11-Inputs!$B$11),0)))/100)/2</f>
        <v>105059167726823.5</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495774212502880.06</v>
      </c>
      <c r="N3002">
        <f>L3002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495774212502880.06</v>
      </c>
      <c r="O3002">
        <f>(1-Summary!$B$11)*S3002+Summary!$B$11*U3002</f>
        <v>480498162730276.25</v>
      </c>
      <c r="P3002">
        <f>IF(B3029=0,0,O3002/B3029)</f>
        <v>1.3724605193265602E-2</v>
      </c>
      <c r="Q3002">
        <f>IFERROR(1/(IF(Inputs!$B$38="pvp",15,MAX(0.1,Skills!E14-IF(TRUE=TRUE,3,0)))*(1-IF(AND(ArtifactsInput!$M$27,Inputs!$B$4="Chapter Hunt"),CHOOSE(ArtifactsInput!$N$27+1,20,24,28,32,36,40),0)/100)),0)</f>
        <v>10</v>
      </c>
      <c r="R3002">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492938244613260.81</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468058080847291.75</v>
      </c>
    </row>
    <row r="3003" spans="1:21" x14ac:dyDescent="0.2">
      <c r="A3003" t="str">
        <f>Skills!A15</f>
        <v>FLAME_HAZE_BURST</v>
      </c>
      <c r="B3003" t="str">
        <f>Skills!B15</f>
        <v>Flame Haze (burst)</v>
      </c>
      <c r="C3003" t="b">
        <f>Inputs!$B$3&gt;=107</f>
        <v>1</v>
      </c>
      <c r="D3003">
        <f>IF(Skills!C15=1,60+Inputs!$B$25+Inputs!$B$29,IF(Skills!C15=2,90+Inputs!$B$26+Inputs!$B$29,IF(Skills!C15=3,120+Inputs!$B$27+Inputs!$B$29,MAX(0,(Inputs!$B$3-100)*3)+Inputs!$B$28+Inputs!$B$29)))</f>
        <v>185</v>
      </c>
      <c r="E3003">
        <f>INDEX(FactorTable!$B$2:$Y$301, MATCH(ROUND(MIN(300,MAX(1,D3003)),0), FactorTable!$A$2:$A$301,0), Skills!M15+1)</f>
        <v>1925</v>
      </c>
      <c r="F3003">
        <f>IF(Skills!N15=TRUE,(Skills!L15/10)*(E3003/1000),Skills!L15/10)+Skills!O15</f>
        <v>2310</v>
      </c>
      <c r="G3003">
        <f>Calc!G15</f>
        <v>3</v>
      </c>
      <c r="H3003">
        <f>Calc!H15</f>
        <v>1</v>
      </c>
      <c r="I3003">
        <f>IF(Skills!X15&lt;&gt;"",1+(Skills!X15/10)*(Z2991/1000)/100,1)</f>
        <v>1</v>
      </c>
      <c r="J3003">
        <f>((Inputs!$B$6*(1+Inputs!$B$7/100))+(((Inputs!$B$12*(1+Inputs!$B$13/100))-(Inputs!$B$12*(1+Inputs!$B$13/100)))+0.25*(Inputs!$B$14-Inputs!$B$14))*(1+Inputs!$B$7/100))*(F3003/100)</f>
        <v>8342207444.1321011</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44155156939346.977</v>
      </c>
      <c r="L3003">
        <f>K3003*(MIN(Inputs!$B$22+(F3010-Calc!F22),(Inputs!$B$23+(IF(ArtifactsInput!$M$15,CHOOSE(ArtifactsInput!$N$15+1,25,30,35,40,45,50)/100*(Inputs!$B$11-Inputs!$B$11),0))))/100+(Inputs!$B$23+(IF(ArtifactsInput!$M$15,CHOOSE(ArtifactsInput!$N$15+1,25,30,35,40,45,50)/100*(Inputs!$B$11-Inputs!$B$11),0)))/100)/2</f>
        <v>146815896823328.72</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692824217109288.12</v>
      </c>
      <c r="N3003">
        <f>L3003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692824217109288.12</v>
      </c>
      <c r="O3003">
        <f>(1-Summary!$B$11)*S3003+Summary!$B$11*U3003</f>
        <v>1728769627741951</v>
      </c>
      <c r="P3003">
        <f>IF(B3029=0,0,O3003/B3029)</f>
        <v>4.9379336803387124E-2</v>
      </c>
      <c r="Q3003">
        <f>IFERROR(1/(IF(Inputs!$B$38="pvp",15,MAX(0.1,Skills!E15-IF(TRUE=TRUE,3,0)))*(1-IF(AND(ArtifactsInput!$M$27,Inputs!$B$4="Chapter Hunt"),CHOOSE(ArtifactsInput!$N$27+1,20,24,28,32,36,40),0)/100)),0)</f>
        <v>4.5454545454545456E-2</v>
      </c>
      <c r="R3003">
        <f>IF(AND(Inputs!$B$38&lt;&gt;"pvp",Inputs!$B$43&gt;0),IF(MAX(0,Inputs!$B$43-B3026)&lt;=0,0,(INT(MAX(0,Inputs!$B$43-B3026)/(IF(Inputs!$B$38="pvp",15,MAX(0.1,Skills!E15-IF(TRUE=TRUE,3,0)))*(1-IF(AND(ArtifactsInput!$M$27,Inputs!$B$4="Chapter Hunt"),CHOOSE(ArtifactsInput!$N$27+1,20,24,28,32,36,40),0)/100)))+1)),0)</f>
        <v>2</v>
      </c>
      <c r="S3003">
        <f>IF(C3003,(H3003*N3003*IF(AND(Inputs!$B$38&lt;&gt;"pvp",Inputs!$B$43&gt;0),((Skills!G15*((R3003-1)*IF(Skills!H15&gt;0,Skills!I15/Skills!H15,1)+IF(Skills!H15&gt;0,MIN(Skills!I15,MAX(0,MAX(0,Inputs!$B$43-B3026)-((R3003-1)*(IF(Inputs!$B$38="pvp",15,MAX(0.1,Skills!E15-IF(TRUE=TRUE,3,0)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329437915235466.5</v>
      </c>
      <c r="U3003">
        <f>IF(C3003,(H3003*N3003*IF(AND(Inputs!$B$38&lt;&gt;"pvp",Inputs!$B$43&gt;0),((Skills!G15*((R3003-1)*IF(Skills!H15&gt;0,Skills!I15/Skills!H15,1)+IF(Skills!H15&gt;0,MIN(Skills!I15,MAX(0,MAX(0,Inputs!$B$43-B3026)-((R3003-1)*(IF(Inputs!$B$38="pvp",15,MAX(0.1,Skills!E15-IF(TRUE=TRUE,3,0)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3128101340248435.5</v>
      </c>
    </row>
    <row r="3004" spans="1:21" x14ac:dyDescent="0.2">
      <c r="A3004" t="str">
        <f>Skills!A16</f>
        <v>FLAME_HAZE_DOT</v>
      </c>
      <c r="B3004" t="str">
        <f>Skills!B16</f>
        <v>Flame Haze (burn DoT)</v>
      </c>
      <c r="C3004" t="b">
        <f>Inputs!$B$3&gt;=107</f>
        <v>1</v>
      </c>
      <c r="D3004">
        <f>IF(Skills!C16=1,60+Inputs!$B$25+Inputs!$B$29,IF(Skills!C16=2,90+Inputs!$B$26+Inputs!$B$29,IF(Skills!C16=3,120+Inputs!$B$27+Inputs!$B$29,MAX(0,(Inputs!$B$3-100)*3)+Inputs!$B$28+Inputs!$B$29)))</f>
        <v>185</v>
      </c>
      <c r="E3004">
        <f>INDEX(FactorTable!$B$2:$Y$301, MATCH(ROUND(MIN(300,MAX(1,D3004)),0), FactorTable!$A$2:$A$301,0), Skills!M16+1)</f>
        <v>1925</v>
      </c>
      <c r="F3004">
        <f>IF(Skills!N16=TRUE,(Skills!L16/10)*(E3004/1000),Skills!L16/10)+Skills!O16</f>
        <v>288.75</v>
      </c>
      <c r="G3004">
        <f>Calc!G16</f>
        <v>30</v>
      </c>
      <c r="H3004">
        <f>Calc!H16</f>
        <v>1</v>
      </c>
      <c r="I3004">
        <f>IF(Skills!X16&lt;&gt;"",1+(Skills!X16/10)*(Z2991/1000)/100,1)</f>
        <v>1</v>
      </c>
      <c r="J3004">
        <f>((Inputs!$B$6*(1+Inputs!$B$7/100))+(((Inputs!$B$12*(1+Inputs!$B$13/100))-(Inputs!$B$12*(1+Inputs!$B$13/100)))+0.25*(Inputs!$B$14-Inputs!$B$14))*(1+Inputs!$B$7/100))*(F3004/100)</f>
        <v>1042775930.5165126</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5519394617418.3721</v>
      </c>
      <c r="L3004">
        <f>K3004*(MIN(Inputs!$B$22+(F3010-Calc!F22),(Inputs!$B$23+(IF(ArtifactsInput!$M$15,CHOOSE(ArtifactsInput!$N$15+1,25,30,35,40,45,50)/100*(Inputs!$B$11-Inputs!$B$11),0))))/100+(Inputs!$B$23+(IF(ArtifactsInput!$M$15,CHOOSE(ArtifactsInput!$N$15+1,25,30,35,40,45,50)/100*(Inputs!$B$11-Inputs!$B$11),0)))/100)/2</f>
        <v>18351987102916.09</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86603027138661.016</v>
      </c>
      <c r="N3004">
        <f>L3004*(1-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86603027138661.016</v>
      </c>
      <c r="O3004">
        <f>(1-Summary!$B$11)*S3004+Summary!$B$11*U3004</f>
        <v>2160962034677439</v>
      </c>
      <c r="P3004">
        <f>IF(B3029=0,0,O3004/B3029)</f>
        <v>6.1724171004233906E-2</v>
      </c>
      <c r="Q3004">
        <f>IFERROR(1/(IF(Inputs!$B$38="pvp",15,MAX(0.1,Skills!E16-IF(TRUE=TRUE,3,0)))*(1-IF(AND(ArtifactsInput!$M$27,Inputs!$B$4="Chapter Hunt"),CHOOSE(ArtifactsInput!$N$27+1,20,24,28,32,36,40),0)/100)),0)</f>
        <v>4.5454545454545456E-2</v>
      </c>
      <c r="R3004">
        <f>IF(AND(Inputs!$B$38&lt;&gt;"pvp",Inputs!$B$43&gt;0),IF(MAX(0,Inputs!$B$43-B3026)&lt;=0,0,(INT(MAX(0,Inputs!$B$43-B3026)/(IF(Inputs!$B$38="pvp",15,MAX(0.1,Skills!E16-IF(TRUE=TRUE,3,0)))*(1-IF(AND(ArtifactsInput!$M$27,Inputs!$B$4="Chapter Hunt"),CHOOSE(ArtifactsInput!$N$27+1,20,24,28,32,36,40),0)/100)))+1)),0)</f>
        <v>2</v>
      </c>
      <c r="S3004">
        <f>IF(C3004,(H3004*N3004*IF(AND(Inputs!$B$38&lt;&gt;"pvp",Inputs!$B$43&gt;0),((Skills!G16*((R3004-1)*IF(Skills!H16&gt;0,Skills!I16/Skills!H16,1)+IF(Skills!H16&gt;0,MIN(Skills!I16,MAX(0,MAX(0,Inputs!$B$43-B3026)-((R3004-1)*(IF(Inputs!$B$38="pvp",15,MAX(0.1,Skills!E16-IF(TRUE=TRUE,3,0)))*(1-IF(AND(ArtifactsInput!$M$27,Inputs!$B$4="Chapter Hunt"),CHOOSE(ArtifactsInput!$N$27+1,20,24,28,32,36,40),0)/100)))))/Skills!H16,1)))/Inputs!$B$43),G3004*Q3004)*(1+IF(Inputs!$B$3&gt;=126,0.05*(B3024+Q3001+(H3002*B3025)/(1+Skills!H14*H3002*B3025)+Q3012),0)*(1/Q3003)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411797394044333.12</v>
      </c>
      <c r="U3004">
        <f>IF(C3004,(H3004*N3004*IF(AND(Inputs!$B$38&lt;&gt;"pvp",Inputs!$B$43&gt;0),((Skills!G16*((R3004-1)*IF(Skills!H16&gt;0,Skills!I16/Skills!H16,1)+IF(Skills!H16&gt;0,MIN(Skills!I16,MAX(0,MAX(0,Inputs!$B$43-B3026)-((R3004-1)*(IF(Inputs!$B$38="pvp",15,MAX(0.1,Skills!E16-IF(TRUE=TRUE,3,0)))*(1-IF(AND(ArtifactsInput!$M$27,Inputs!$B$4="Chapter Hunt"),CHOOSE(ArtifactsInput!$N$27+1,20,24,28,32,36,40),0)/100)))))/Skills!H16,1)))/Inputs!$B$43),G3004*Q3004)*(1+IF(Inputs!$B$3&gt;=126,0.05*(B3024+Q3001+(H3002*B3025)/(1+Skills!H14*H3002*B3025)+Q3012),0)*(1/Q3003)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3910126675310545</v>
      </c>
    </row>
    <row r="3005" spans="1:21" x14ac:dyDescent="0.2">
      <c r="A3005" t="str">
        <f>Skills!A17</f>
        <v>MAGIC_GUARD</v>
      </c>
      <c r="B3005" t="str">
        <f>Skills!B17</f>
        <v>Magic Guard</v>
      </c>
      <c r="C3005" t="b">
        <f>TRUE</f>
        <v>1</v>
      </c>
      <c r="D3005">
        <f>IF(Skills!C17=1,60+Inputs!$B$25+Inputs!$B$29,IF(Skills!C17=2,90+Inputs!$B$26+Inputs!$B$29,IF(Skills!C17=3,120+Inputs!$B$27+Inputs!$B$29,MAX(0,(Inputs!$B$3-100)*3)+Inputs!$B$28+Inputs!$B$29)))</f>
        <v>127</v>
      </c>
      <c r="E3005">
        <f>INDEX(FactorTable!$B$2:$Y$301, MATCH(ROUND(MIN(300,MAX(1,D3005)),0), FactorTable!$A$2:$A$301,0), Skills!M17+1)</f>
        <v>1508</v>
      </c>
      <c r="F3005">
        <f>IF(Skills!N17=TRUE,(Skills!L17/10)*(E3005/1000),Skills!L17/10)+Skills!O17</f>
        <v>18.096</v>
      </c>
      <c r="G3005">
        <f>Calc!G17</f>
        <v>1</v>
      </c>
      <c r="H3005">
        <f>Calc!H17</f>
        <v>1</v>
      </c>
      <c r="I3005">
        <f>IF(Skills!X17&lt;&gt;"",1+(Skills!X17/10)*(Z2991/1000)/100,1)</f>
        <v>1</v>
      </c>
      <c r="O3005">
        <f>(1-Summary!$B$11)*S3005+Summary!$B$11*U3005</f>
        <v>0</v>
      </c>
      <c r="P3005">
        <f>IF(B3029=0,0,O3005/B3029)</f>
        <v>0</v>
      </c>
      <c r="Q3005">
        <f>IFERROR(1/(IF(Inputs!$B$38="pvp",15,MAX(0.1,Skills!E17-IF(TRUE=TRUE,3,0)))*(1-IF(AND(ArtifactsInput!$M$27,Inputs!$B$4="Chapter Hunt"),CHOOSE(ArtifactsInput!$N$27+1,20,24,28,32,36,40),0)/100)),0)</f>
        <v>5.5555555555555552E-2</v>
      </c>
      <c r="R3005">
        <f>IF(AND(Inputs!$B$38&lt;&gt;"pvp",Inputs!$B$43&gt;0),IF(Inputs!$B$43&lt;=0,0,(INT(Inputs!$B$43/(IF(Inputs!$B$38="pvp",15,MAX(0.1,Skills!E17-IF(TRUE=TRUE,3,0)))*(1-IF(AND(ArtifactsInput!$M$27,Inputs!$B$4="Chapter Hunt"),CHOOSE(ArtifactsInput!$N$27+1,20,24,28,32,36,40),0)/100)))+1)),0)</f>
        <v>3</v>
      </c>
      <c r="S3005">
        <v>0</v>
      </c>
      <c r="U3005">
        <v>0</v>
      </c>
    </row>
    <row r="3006" spans="1:21" x14ac:dyDescent="0.2">
      <c r="A3006" t="str">
        <f>Skills!A18</f>
        <v>NIMBLE_FEET</v>
      </c>
      <c r="B3006" t="str">
        <f>Skills!B18</f>
        <v>Nimble Feet</v>
      </c>
      <c r="C3006" t="b">
        <f>TRUE</f>
        <v>1</v>
      </c>
      <c r="D3006">
        <f>IF(Skills!C18=1,60+Inputs!$B$25+Inputs!$B$29,IF(Skills!C18=2,90+Inputs!$B$26+Inputs!$B$29,IF(Skills!C18=3,120+Inputs!$B$27+Inputs!$B$29,MAX(0,(Inputs!$B$3-100)*3)+Inputs!$B$28+Inputs!$B$29)))</f>
        <v>127</v>
      </c>
      <c r="E3006">
        <f>INDEX(FactorTable!$B$2:$Y$301, MATCH(ROUND(MIN(300,MAX(1,D3006)),0), FactorTable!$A$2:$A$301,0), Skills!M18+1)</f>
        <v>0</v>
      </c>
      <c r="F3006">
        <f>IF(Skills!N18=TRUE,(Skills!L18/10)*(E3006/1000),Skills!L18/10)+Skills!O18</f>
        <v>15</v>
      </c>
      <c r="G3006">
        <f>Calc!G18</f>
        <v>1</v>
      </c>
      <c r="H3006">
        <f>Calc!H18</f>
        <v>1</v>
      </c>
      <c r="I3006">
        <f>IF(Skills!X18&lt;&gt;"",1+(Skills!X18/10)*(Z2991/1000)/100,1)</f>
        <v>1</v>
      </c>
      <c r="O3006">
        <f>(1-Summary!$B$11)*S3006+Summary!$B$11*U3006</f>
        <v>0</v>
      </c>
      <c r="P3006">
        <f>IF(B3029=0,0,O3006/B3029)</f>
        <v>0</v>
      </c>
      <c r="Q3006">
        <f>IFERROR(1/(IF(Inputs!$B$38="pvp",15,MAX(0.1,Skills!E18-IF(TRUE=TRUE,3,0)))*(1-IF(AND(ArtifactsInput!$M$27,Inputs!$B$4="Chapter Hunt"),CHOOSE(ArtifactsInput!$N$27+1,20,24,28,32,36,40),0)/100)),0)</f>
        <v>1.7543859649122806E-2</v>
      </c>
      <c r="R3006">
        <f>IF(AND(Inputs!$B$38&lt;&gt;"pvp",Inputs!$B$43&gt;0),IF(Inputs!$B$43&lt;=0,0,(INT(Inputs!$B$43/(IF(Inputs!$B$38="pvp",15,MAX(0.1,Skills!E18-IF(TRUE=TRUE,3,0)))*(1-IF(AND(ArtifactsInput!$M$27,Inputs!$B$4="Chapter Hunt"),CHOOSE(ArtifactsInput!$N$27+1,20,24,28,32,36,40),0)/100)))+1)),0)</f>
        <v>1</v>
      </c>
      <c r="S3006">
        <v>0</v>
      </c>
      <c r="U3006">
        <v>0</v>
      </c>
    </row>
    <row r="3007" spans="1:21" x14ac:dyDescent="0.2">
      <c r="A3007" t="str">
        <f>Skills!A19</f>
        <v>INFINITY</v>
      </c>
      <c r="B3007" t="str">
        <f>Skills!B19</f>
        <v>Infinity</v>
      </c>
      <c r="C3007" t="b">
        <f>Inputs!$B$3&gt;=110</f>
        <v>1</v>
      </c>
      <c r="D3007">
        <f>IF(Skills!C19=1,60+Inputs!$B$25+Inputs!$B$29,IF(Skills!C19=2,90+Inputs!$B$26+Inputs!$B$29,IF(Skills!C19=3,120+Inputs!$B$27+Inputs!$B$29,MAX(0,(Inputs!$B$3-100)*3)+Inputs!$B$28+Inputs!$B$29)))</f>
        <v>185</v>
      </c>
      <c r="E3007">
        <f>INDEX(FactorTable!$B$2:$Y$301, MATCH(ROUND(MIN(300,MAX(1,D3007)),0), FactorTable!$A$2:$A$301,0), Skills!M19+1)</f>
        <v>1740</v>
      </c>
      <c r="F3007">
        <f>IF(Skills!N19=TRUE,(Skills!L19/10)*(E3007/1000),Skills!L19/10)+Skills!O19</f>
        <v>37.700579999999995</v>
      </c>
      <c r="G3007">
        <f>Calc!G19</f>
        <v>1</v>
      </c>
      <c r="H3007">
        <f>Calc!H19</f>
        <v>1</v>
      </c>
      <c r="I3007">
        <f>IF(Skills!X19&lt;&gt;"",1+(Skills!X19/10)*(Z2991/1000)/100,1)</f>
        <v>1</v>
      </c>
      <c r="O3007">
        <f>(1-Summary!$B$11)*S3007+Summary!$B$11*U3007</f>
        <v>0</v>
      </c>
      <c r="P3007">
        <f>IF(B3029=0,0,O3007/B3029)</f>
        <v>0</v>
      </c>
      <c r="Q3007">
        <f>IFERROR(1/(IF(Inputs!$B$38="pvp",15,MAX(0.1,Skills!E19-IF(TRUE=TRUE,3,0)))*(1-IF(AND(ArtifactsInput!$M$27,Inputs!$B$4="Chapter Hunt"),CHOOSE(ArtifactsInput!$N$27+1,20,24,28,32,36,40),0)/100)),0)</f>
        <v>3.7037037037037035E-2</v>
      </c>
      <c r="R3007">
        <f>IF(AND(Inputs!$B$38&lt;&gt;"pvp",Inputs!$B$43&gt;0),IF(Inputs!$B$43&lt;=0,0,(INT(Inputs!$B$43/(IF(Inputs!$B$38="pvp",15,MAX(0.1,Skills!E19-IF(TRUE=TRUE,3,0)))*(1-IF(AND(ArtifactsInput!$M$27,Inputs!$B$4="Chapter Hunt"),CHOOSE(ArtifactsInput!$N$27+1,20,24,28,32,36,40),0)/100)))+1)),0)</f>
        <v>2</v>
      </c>
      <c r="S3007">
        <v>0</v>
      </c>
      <c r="U3007">
        <v>0</v>
      </c>
    </row>
    <row r="3008" spans="1:21" x14ac:dyDescent="0.2">
      <c r="A3008" t="str">
        <f>Skills!A20</f>
        <v>MAGIC_CRITICAL_RATE</v>
      </c>
      <c r="B3008" t="str">
        <f>Skills!B20</f>
        <v>Magic Critical (Crit Rate)</v>
      </c>
      <c r="C3008" t="b">
        <f>TRUE</f>
        <v>1</v>
      </c>
      <c r="D3008">
        <f>IF(Skills!C20=1,60+Inputs!$B$25+Inputs!$B$29,IF(Skills!C20=2,90+Inputs!$B$26+Inputs!$B$29,IF(Skills!C20=3,120+Inputs!$B$27+Inputs!$B$29,MAX(0,(Inputs!$B$3-100)*3)+Inputs!$B$28+Inputs!$B$29)))</f>
        <v>184</v>
      </c>
      <c r="E3008">
        <f>INDEX(FactorTable!$B$2:$Y$301, MATCH(ROUND(MIN(300,MAX(1,D3008)),0), FactorTable!$A$2:$A$301,0), Skills!M20+1)</f>
        <v>1552</v>
      </c>
      <c r="F3008">
        <f>IF(Skills!N20=TRUE,(Skills!L20/10)*(E3008/1000),Skills!L20/10)+Skills!O20</f>
        <v>12.416</v>
      </c>
      <c r="G3008">
        <f>Calc!G20</f>
        <v>1</v>
      </c>
      <c r="H3008">
        <f>Calc!H20</f>
        <v>1</v>
      </c>
      <c r="I3008">
        <f>IF(Skills!X20&lt;&gt;"",1+(Skills!X20/10)*(Z2991/1000)/100,1)</f>
        <v>1</v>
      </c>
      <c r="O3008">
        <f>(1-Summary!$B$11)*S3008+Summary!$B$11*U3008</f>
        <v>0</v>
      </c>
      <c r="P3008">
        <f>IF(B3029=0,0,O3008/B3029)</f>
        <v>0</v>
      </c>
      <c r="Q3008">
        <f>IFERROR(1/(IF(Inputs!$B$38="pvp",15,MAX(0.1,Skills!E20-IF(TRUE=TRUE,3,0)))*(1-IF(AND(ArtifactsInput!$M$27,Inputs!$B$4="Chapter Hunt"),CHOOSE(ArtifactsInput!$N$27+1,20,24,28,32,36,40),0)/100)),0)</f>
        <v>10</v>
      </c>
      <c r="R3008">
        <v>0</v>
      </c>
      <c r="S3008">
        <v>0</v>
      </c>
      <c r="U3008">
        <v>0</v>
      </c>
    </row>
    <row r="3009" spans="1:21" x14ac:dyDescent="0.2">
      <c r="A3009" t="str">
        <f>Skills!A21</f>
        <v>MAGIC_CRITICAL_DAMAGE</v>
      </c>
      <c r="B3009" t="str">
        <f>Skills!B21</f>
        <v>Magic Critical (Crit Damage)</v>
      </c>
      <c r="C3009" t="b">
        <f>TRUE</f>
        <v>1</v>
      </c>
      <c r="D3009">
        <f>IF(Skills!C21=1,60+Inputs!$B$25+Inputs!$B$29,IF(Skills!C21=2,90+Inputs!$B$26+Inputs!$B$29,IF(Skills!C21=3,120+Inputs!$B$27+Inputs!$B$29,MAX(0,(Inputs!$B$3-100)*3)+Inputs!$B$28+Inputs!$B$29)))</f>
        <v>184</v>
      </c>
      <c r="E3009">
        <f>INDEX(FactorTable!$B$2:$Y$301, MATCH(ROUND(MIN(300,MAX(1,D3009)),0), FactorTable!$A$2:$A$301,0), Skills!M21+1)</f>
        <v>1552</v>
      </c>
      <c r="F3009">
        <f>IF(Skills!N21=TRUE,(Skills!L21/10)*(E3009/1000),Skills!L21/10)+Skills!O21</f>
        <v>18.624000000000002</v>
      </c>
      <c r="G3009">
        <f>Calc!G21</f>
        <v>1</v>
      </c>
      <c r="H3009">
        <f>Calc!H21</f>
        <v>1</v>
      </c>
      <c r="I3009">
        <f>IF(Skills!X21&lt;&gt;"",1+(Skills!X21/10)*(Z2991/1000)/100,1)</f>
        <v>1</v>
      </c>
      <c r="O3009">
        <f>(1-Summary!$B$11)*S3009+Summary!$B$11*U3009</f>
        <v>0</v>
      </c>
      <c r="P3009">
        <f>IF(B3029=0,0,O3009/B3029)</f>
        <v>0</v>
      </c>
      <c r="Q3009">
        <f>IFERROR(1/(IF(Inputs!$B$38="pvp",15,MAX(0.1,Skills!E21-IF(TRUE=TRUE,3,0)))*(1-IF(AND(ArtifactsInput!$M$27,Inputs!$B$4="Chapter Hunt"),CHOOSE(ArtifactsInput!$N$27+1,20,24,28,32,36,40),0)/100)),0)</f>
        <v>10</v>
      </c>
      <c r="R3009">
        <v>0</v>
      </c>
      <c r="S3009">
        <v>0</v>
      </c>
      <c r="U3009">
        <v>0</v>
      </c>
    </row>
    <row r="3010" spans="1:21" x14ac:dyDescent="0.2">
      <c r="A3010" t="str">
        <f>Skills!A22</f>
        <v>SPELL_MASTERY</v>
      </c>
      <c r="B3010" t="str">
        <f>Skills!B22</f>
        <v>Spell Mastery</v>
      </c>
      <c r="C3010" t="b">
        <f>TRUE</f>
        <v>1</v>
      </c>
      <c r="D3010">
        <f>IF(Skills!C22=1,60+Inputs!$B$25+Inputs!$B$29,IF(Skills!C22=2,90+Inputs!$B$26+Inputs!$B$29,IF(Skills!C22=3,120+Inputs!$B$27+Inputs!$B$29,MAX(0,(Inputs!$B$3-100)*3)+Inputs!$B$28+Inputs!$B$29)))</f>
        <v>168</v>
      </c>
      <c r="E3010">
        <f>INDEX(FactorTable!$B$2:$Y$301, MATCH(ROUND(MIN(300,MAX(1,D3010)),0), FactorTable!$A$2:$A$301,0), Skills!M22+1)</f>
        <v>1504</v>
      </c>
      <c r="F3010">
        <f>IF(Skills!N22=TRUE,(Skills!L22/10)*(E3010/1000),Skills!L22/10)+Skills!O22</f>
        <v>22.56</v>
      </c>
      <c r="G3010">
        <f>Calc!G22</f>
        <v>1</v>
      </c>
      <c r="H3010">
        <f>Calc!H22</f>
        <v>1</v>
      </c>
      <c r="I3010">
        <f>IF(Skills!X22&lt;&gt;"",1+(Skills!X22/10)*(Z2991/1000)/100,1)</f>
        <v>1</v>
      </c>
      <c r="O3010">
        <f>(1-Summary!$B$11)*S3010+Summary!$B$11*U3010</f>
        <v>0</v>
      </c>
      <c r="P3010">
        <f>IF(B3029=0,0,O3010/B3029)</f>
        <v>0</v>
      </c>
      <c r="Q3010">
        <f>IFERROR(1/(IF(Inputs!$B$38="pvp",15,MAX(0.1,Skills!E22-IF(TRUE=TRUE,3,0)))*(1-IF(AND(ArtifactsInput!$M$27,Inputs!$B$4="Chapter Hunt"),CHOOSE(ArtifactsInput!$N$27+1,20,24,28,32,36,40),0)/100)),0)</f>
        <v>10</v>
      </c>
      <c r="R3010">
        <v>0</v>
      </c>
      <c r="S3010">
        <v>0</v>
      </c>
      <c r="U3010">
        <v>0</v>
      </c>
    </row>
    <row r="3011" spans="1:21" x14ac:dyDescent="0.2">
      <c r="A3011" t="str">
        <f>Skills!A23</f>
        <v>ELEMENT_AMPLIFICATION</v>
      </c>
      <c r="B3011" t="str">
        <f>Skills!B23</f>
        <v>Element Amplification</v>
      </c>
      <c r="C3011" t="b">
        <f>TRUE</f>
        <v>1</v>
      </c>
      <c r="D3011">
        <f>IF(Skills!C23=1,60+Inputs!$B$25+Inputs!$B$29,IF(Skills!C23=2,90+Inputs!$B$26+Inputs!$B$29,IF(Skills!C23=3,120+Inputs!$B$27+Inputs!$B$29,MAX(0,(Inputs!$B$3-100)*3)+Inputs!$B$28+Inputs!$B$29)))</f>
        <v>185</v>
      </c>
      <c r="E3011">
        <f>INDEX(FactorTable!$B$2:$Y$301, MATCH(ROUND(MIN(300,MAX(1,D3011)),0), FactorTable!$A$2:$A$301,0), Skills!M23+1)</f>
        <v>1555</v>
      </c>
      <c r="F3011">
        <f>IF(Skills!N23=TRUE,(Skills!L23/10)*(E3011/1000),Skills!L23/10)+Skills!O23</f>
        <v>23.324999999999999</v>
      </c>
      <c r="G3011">
        <f>Calc!G23</f>
        <v>1</v>
      </c>
      <c r="H3011">
        <f>Calc!H23</f>
        <v>1</v>
      </c>
      <c r="I3011">
        <f>IF(Skills!X23&lt;&gt;"",1+(Skills!X23/10)*(Z2991/1000)/100,1)</f>
        <v>1</v>
      </c>
      <c r="O3011">
        <f>(1-Summary!$B$11)*S3011+Summary!$B$11*U3011</f>
        <v>0</v>
      </c>
      <c r="P3011">
        <f>IF(B3029=0,0,O3011/B3029)</f>
        <v>0</v>
      </c>
      <c r="Q3011">
        <f>IFERROR(1/(IF(Inputs!$B$38="pvp",15,MAX(0.1,Skills!E23-IF(TRUE=TRUE,3,0)))*(1-IF(AND(ArtifactsInput!$M$27,Inputs!$B$4="Chapter Hunt"),CHOOSE(ArtifactsInput!$N$27+1,20,24,28,32,36,40),0)/100)),0)</f>
        <v>10</v>
      </c>
      <c r="R3011">
        <v>0</v>
      </c>
      <c r="S3011">
        <v>0</v>
      </c>
      <c r="U3011">
        <v>0</v>
      </c>
    </row>
    <row r="3012" spans="1:21" x14ac:dyDescent="0.2">
      <c r="A3012" t="str">
        <f>Skills!A24</f>
        <v>IFRIT</v>
      </c>
      <c r="B3012" t="str">
        <f>Skills!B24</f>
        <v>Ifrit</v>
      </c>
      <c r="C3012" t="b">
        <f>Inputs!$B$3&gt;=115</f>
        <v>1</v>
      </c>
      <c r="D3012">
        <f>IF(Skills!C24=1,60+Inputs!$B$25+Inputs!$B$29,IF(Skills!C24=2,90+Inputs!$B$26+Inputs!$B$29,IF(Skills!C24=3,120+Inputs!$B$27+Inputs!$B$29,MAX(0,(Inputs!$B$3-100)*3)+Inputs!$B$28+Inputs!$B$29)))</f>
        <v>185</v>
      </c>
      <c r="E3012">
        <f>INDEX(FactorTable!$B$2:$Y$301, MATCH(ROUND(MIN(300,MAX(1,D3012)),0), FactorTable!$A$2:$A$301,0), Skills!M24+1)</f>
        <v>1925</v>
      </c>
      <c r="F3012">
        <f>IF(Skills!N24=TRUE,(Skills!L24/10)*(E3012/1000),Skills!L24/10)+Skills!O24</f>
        <v>6737.5</v>
      </c>
      <c r="G3012">
        <f>Calc!G24</f>
        <v>7.5</v>
      </c>
      <c r="H3012">
        <f>Calc!H24</f>
        <v>1</v>
      </c>
      <c r="I3012">
        <f>IF(Skills!X24&lt;&gt;"",1+(Skills!X24/10)*(Z2991/1000)/100,1)</f>
        <v>1</v>
      </c>
      <c r="J3012">
        <f>((Inputs!$B$6*(1+Inputs!$B$7/100))+(((Inputs!$B$12*(1+Inputs!$B$13/100))-(Inputs!$B$12*(1+Inputs!$B$13/100)))+0.25*(Inputs!$B$14-Inputs!$B$14))*(1+Inputs!$B$7/100))*(F3012/100)</f>
        <v>24331438378.718628</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128785874406428.69</v>
      </c>
      <c r="L3012">
        <f>K3012*(MIN(Inputs!$B$22+(F3010-Calc!F22),(Inputs!$B$23+(IF(ArtifactsInput!$M$15,CHOOSE(ArtifactsInput!$N$15+1,25,30,35,40,45,50)/100*(Inputs!$B$11-Inputs!$B$11),0))))/100+(Inputs!$B$23+(IF(ArtifactsInput!$M$15,CHOOSE(ArtifactsInput!$N$15+1,25,30,35,40,45,50)/100*(Inputs!$B$11-Inputs!$B$11),0)))/100)/2</f>
        <v>428213032401375.44</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2020737299902090.5</v>
      </c>
      <c r="N3012">
        <f>L3012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2020737299902090.5</v>
      </c>
      <c r="O3012">
        <f>(1-Summary!$B$11)*S3012+Summary!$B$11*U3012</f>
        <v>2311218286763016</v>
      </c>
      <c r="P3012">
        <f>IF(B3029=0,0,O3012/B3029)</f>
        <v>6.6015982914557361E-2</v>
      </c>
      <c r="Q3012">
        <f>IFERROR(1/(IF(Inputs!$B$38="pvp",15,MAX(0.1,Skills!E24-IF(TRUE=TRUE,3,0)))*(1-IF(AND(ArtifactsInput!$M$27,Inputs!$B$4="Chapter Hunt"),CHOOSE(ArtifactsInput!$N$27+1,20,24,28,32,36,40),0)/100)),0)</f>
        <v>1.2987012987012988E-2</v>
      </c>
      <c r="R3012">
        <f>IF(AND(Inputs!$B$38&lt;&gt;"pvp",Inputs!$B$43&gt;0),IF(MAX(0,Inputs!$B$43-B3026)&lt;=0,0,(INT(MAX(0,Inputs!$B$43-B3026)/(IF(Inputs!$B$38="pvp",15,MAX(0.1,Skills!E24-IF(TRUE=TRUE,3,0)))*(1-IF(AND(ArtifactsInput!$M$27,Inputs!$B$4="Chapter Hunt"),CHOOSE(ArtifactsInput!$N$27+1,20,24,28,32,36,40),0)/100)))+1)),0)</f>
        <v>1</v>
      </c>
      <c r="S3012">
        <f>IF(C3012,(H3012*N3012*IF(AND(Inputs!$B$38&lt;&gt;"pvp",Inputs!$B$43&gt;0),((Skills!G24*((R3012-1)*IF(Skills!H24&gt;0,Skills!I24/Skills!H24,1)+IF(Skills!H24&gt;0,MIN(Skills!I24,MAX(0,MAX(0,Inputs!$B$43-B3026)-((R3012-1)*(IF(Inputs!$B$38="pvp",15,MAX(0.1,Skills!E24-IF(TRUE=TRUE,3,0)))*(1-IF(AND(ArtifactsInput!$M$27,Inputs!$B$4="Chapter Hunt"),CHOOSE(ArtifactsInput!$N$27+1,20,24,28,32,36,40),0)/100)))))/Skills!H24,1)))/Inputs!$B$43),G3012*Q3012)*(1+IF(Inputs!$B$3&gt;=130,0.2*(Skills!I16/(1/Q3003)+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1201075732629305</v>
      </c>
      <c r="U3012">
        <f>IF(C3012,(H3012*N3012*IF(AND(Inputs!$B$38&lt;&gt;"pvp",Inputs!$B$43&gt;0),((Skills!G24*((R3012-1)*IF(Skills!H24&gt;0,Skills!I24/Skills!H24,1)+IF(Skills!H24&gt;0,MIN(Skills!I24,MAX(0,MAX(0,Inputs!$B$43-B3026)-((R3012-1)*(IF(Inputs!$B$38="pvp",15,MAX(0.1,Skills!E24-IF(TRUE=TRUE,3,0)))*(1-IF(AND(ArtifactsInput!$M$27,Inputs!$B$4="Chapter Hunt"),CHOOSE(ArtifactsInput!$N$27+1,20,24,28,32,36,40),0)/100)))))/Skills!H24,1)))/Inputs!$B$43),G3012*Q3012)*(1+IF(Inputs!$B$3&gt;=130,0.2*(Skills!I16/(1/Q3003)+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3421360840896727</v>
      </c>
    </row>
    <row r="3013" spans="1:21" x14ac:dyDescent="0.2">
      <c r="A3013" t="str">
        <f>Skills!A25</f>
        <v>BUFF_MASTERY</v>
      </c>
      <c r="B3013" t="str">
        <f>Skills!B25</f>
        <v>Buff Mastery</v>
      </c>
      <c r="C3013" t="b">
        <f>Inputs!$B$3&gt;=117</f>
        <v>1</v>
      </c>
      <c r="D3013">
        <f>IF(Skills!C25=1,60+Inputs!$B$25+Inputs!$B$29,IF(Skills!C25=2,90+Inputs!$B$26+Inputs!$B$29,IF(Skills!C25=3,120+Inputs!$B$27+Inputs!$B$29,MAX(0,(Inputs!$B$3-100)*3)+Inputs!$B$28+Inputs!$B$29)))</f>
        <v>185</v>
      </c>
      <c r="E3013">
        <f>INDEX(FactorTable!$B$2:$Y$301, MATCH(ROUND(MIN(300,MAX(1,D3013)),0), FactorTable!$A$2:$A$301,0), Skills!M25+1)</f>
        <v>1555</v>
      </c>
      <c r="F3013">
        <f>IF(Skills!N25=TRUE,(Skills!L25/10)*(E3013/1000),Skills!L25/10)+Skills!O25</f>
        <v>15.549999999999999</v>
      </c>
      <c r="G3013">
        <f>Calc!G25</f>
        <v>1</v>
      </c>
      <c r="H3013">
        <f>Calc!H25</f>
        <v>1</v>
      </c>
      <c r="I3013">
        <f>IF(Skills!X25&lt;&gt;"",1+(Skills!X25/10)*(Z2991/1000)/100,1)</f>
        <v>1</v>
      </c>
      <c r="O3013">
        <f>(1-Summary!$B$11)*S3013+Summary!$B$11*U3013</f>
        <v>0</v>
      </c>
      <c r="P3013">
        <f>IF(B3029=0,0,O3013/B3029)</f>
        <v>0</v>
      </c>
      <c r="Q3013">
        <f>IFERROR(1/(IF(Inputs!$B$38="pvp",15,MAX(0.1,Skills!E25-IF(TRUE=TRUE,3,0)))*(1-IF(AND(ArtifactsInput!$M$27,Inputs!$B$4="Chapter Hunt"),CHOOSE(ArtifactsInput!$N$27+1,20,24,28,32,36,40),0)/100)),0)</f>
        <v>10</v>
      </c>
      <c r="R3013">
        <v>0</v>
      </c>
      <c r="S3013">
        <v>0</v>
      </c>
      <c r="U3013">
        <v>0</v>
      </c>
    </row>
    <row r="3014" spans="1:21" x14ac:dyDescent="0.2">
      <c r="A3014" t="str">
        <f>Skills!A26</f>
        <v>ARCANE_AIM</v>
      </c>
      <c r="B3014" t="str">
        <f>Skills!B26</f>
        <v>Arcane Aim</v>
      </c>
      <c r="C3014" t="b">
        <f>Inputs!$B$3&gt;=120</f>
        <v>0</v>
      </c>
      <c r="D3014">
        <f>IF(Skills!C26=1,60+Inputs!$B$25+Inputs!$B$29,IF(Skills!C26=2,90+Inputs!$B$26+Inputs!$B$29,IF(Skills!C26=3,120+Inputs!$B$27+Inputs!$B$29,MAX(0,(Inputs!$B$3-100)*3)+Inputs!$B$28+Inputs!$B$29)))</f>
        <v>185</v>
      </c>
      <c r="E3014">
        <f>INDEX(FactorTable!$B$2:$Y$301, MATCH(ROUND(MIN(300,MAX(1,D3014)),0), FactorTable!$A$2:$A$301,0), Skills!M26+1)</f>
        <v>1555</v>
      </c>
      <c r="F3014">
        <f>IF(Skills!N26=TRUE,(Skills!L26/10)*(E3014/1000),Skills!L26/10)+Skills!O26</f>
        <v>4.665</v>
      </c>
      <c r="G3014">
        <f>Calc!G26</f>
        <v>1</v>
      </c>
      <c r="H3014">
        <f>Calc!H26</f>
        <v>1</v>
      </c>
      <c r="I3014">
        <f>IF(Skills!X26&lt;&gt;"",1+(Skills!X26/10)*(Z2991/1000)/100,1)</f>
        <v>1</v>
      </c>
      <c r="O3014">
        <f>(1-Summary!$B$11)*S3014+Summary!$B$11*U3014</f>
        <v>0</v>
      </c>
      <c r="P3014">
        <f>IF(B3029=0,0,O3014/B3029)</f>
        <v>0</v>
      </c>
      <c r="Q3014">
        <f>IFERROR(1/(IF(Inputs!$B$38="pvp",15,MAX(0.1,Skills!E26-IF(TRUE=TRUE,3,0)))*(1-IF(AND(ArtifactsInput!$M$27,Inputs!$B$4="Chapter Hunt"),CHOOSE(ArtifactsInput!$N$27+1,20,24,28,32,36,40),0)/100)),0)</f>
        <v>10</v>
      </c>
      <c r="R3014">
        <v>0</v>
      </c>
      <c r="S3014">
        <v>0</v>
      </c>
      <c r="U3014">
        <v>0</v>
      </c>
    </row>
    <row r="3015" spans="1:21" x14ac:dyDescent="0.2">
      <c r="A3015" t="str">
        <f>Skills!A27</f>
        <v>FERVENT_DRAIN</v>
      </c>
      <c r="B3015" t="str">
        <f>Skills!B27</f>
        <v>Fervent Drain</v>
      </c>
      <c r="C3015" t="b">
        <f>Inputs!$B$3&gt;=125</f>
        <v>0</v>
      </c>
      <c r="D3015">
        <f>IF(Skills!C27=1,60+Inputs!$B$25+Inputs!$B$29,IF(Skills!C27=2,90+Inputs!$B$26+Inputs!$B$29,IF(Skills!C27=3,120+Inputs!$B$27+Inputs!$B$29,MAX(0,(Inputs!$B$3-100)*3)+Inputs!$B$28+Inputs!$B$29)))</f>
        <v>185</v>
      </c>
      <c r="E3015">
        <f>INDEX(FactorTable!$B$2:$Y$301, MATCH(ROUND(MIN(300,MAX(1,D3015)),0), FactorTable!$A$2:$A$301,0), Skills!M27+1)</f>
        <v>1555</v>
      </c>
      <c r="F3015">
        <f>IF(Skills!N27=TRUE,(Skills!L27/10)*(E3015/1000),Skills!L27/10)+Skills!O27</f>
        <v>6.22</v>
      </c>
      <c r="G3015">
        <f>Calc!G27</f>
        <v>1</v>
      </c>
      <c r="H3015">
        <f>Calc!H27</f>
        <v>1</v>
      </c>
      <c r="I3015">
        <f>IF(Skills!X27&lt;&gt;"",1+(Skills!X27/10)*(Z2991/1000)/100,1)</f>
        <v>1</v>
      </c>
      <c r="O3015">
        <f>(1-Summary!$B$11)*S3015+Summary!$B$11*U3015</f>
        <v>0</v>
      </c>
      <c r="P3015">
        <f>IF(B3029=0,0,O3015/B3029)</f>
        <v>0</v>
      </c>
      <c r="Q3015">
        <f>IFERROR(1/(IF(Inputs!$B$38="pvp",15,MAX(0.1,Skills!E27-IF(TRUE=TRUE,3,0)))*(1-IF(AND(ArtifactsInput!$M$27,Inputs!$B$4="Chapter Hunt"),CHOOSE(ArtifactsInput!$N$27+1,20,24,28,32,36,40),0)/100)),0)</f>
        <v>10</v>
      </c>
      <c r="R3015">
        <v>0</v>
      </c>
      <c r="S3015">
        <v>0</v>
      </c>
      <c r="U3015">
        <v>0</v>
      </c>
    </row>
    <row r="3016" spans="1:21" x14ac:dyDescent="0.2">
      <c r="A3016" t="str">
        <f>Skills!A28</f>
        <v>FLAME_HAZE_FOG</v>
      </c>
      <c r="B3016" t="str">
        <f>Skills!B28</f>
        <v>Flame Haze (poison fog DoT)</v>
      </c>
      <c r="C3016" t="b">
        <f>Inputs!$B$3&gt;=118</f>
        <v>0</v>
      </c>
      <c r="D3016">
        <f>IF(Skills!C28=1,60+Inputs!$B$25+Inputs!$B$29,IF(Skills!C28=2,90+Inputs!$B$26+Inputs!$B$29,IF(Skills!C28=3,120+Inputs!$B$27+Inputs!$B$29,MAX(0,(Inputs!$B$3-100)*3)+Inputs!$B$28+Inputs!$B$29)))</f>
        <v>185</v>
      </c>
      <c r="E3016">
        <f>INDEX(FactorTable!$B$2:$Y$301, MATCH(ROUND(MIN(300,MAX(1,D3016)),0), FactorTable!$A$2:$A$301,0), Skills!M28+1)</f>
        <v>1925</v>
      </c>
      <c r="F3016">
        <f>IF(Skills!N28=TRUE,(Skills!L28/10)*(E3016/1000),Skills!L28/10)+Skills!O28</f>
        <v>134.75</v>
      </c>
      <c r="G3016">
        <f>Calc!G28</f>
        <v>50</v>
      </c>
      <c r="H3016">
        <f>Calc!H28</f>
        <v>1</v>
      </c>
      <c r="I3016">
        <f>IF(Skills!X28&lt;&gt;"",1+(Skills!X28/10)*(Z2991/1000)/100,1)</f>
        <v>1</v>
      </c>
      <c r="J3016">
        <f>((Inputs!$B$6*(1+Inputs!$B$7/100))+(((Inputs!$B$12*(1+Inputs!$B$13/100))-(Inputs!$B$12*(1+Inputs!$B$13/100)))+0.25*(Inputs!$B$14-Inputs!$B$14))*(1+Inputs!$B$7/100))*(F3016/100)</f>
        <v>486628767.57437253</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2575717488128.5732</v>
      </c>
      <c r="L3016">
        <f>K3016*(MIN(Inputs!$B$22+(F3010-Calc!F22),(Inputs!$B$23+(IF(ArtifactsInput!$M$15,CHOOSE(ArtifactsInput!$N$15+1,25,30,35,40,45,50)/100*(Inputs!$B$11-Inputs!$B$11),0))))/100+(Inputs!$B$23+(IF(ArtifactsInput!$M$15,CHOOSE(ArtifactsInput!$N$15+1,25,30,35,40,45,50)/100*(Inputs!$B$11-Inputs!$B$11),0)))/100)/2</f>
        <v>8564260648027.5068</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40414745998041.797</v>
      </c>
      <c r="N3016">
        <f>L3016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40414745998041.797</v>
      </c>
      <c r="O3016">
        <f>(1-Summary!$B$11)*S3016+Summary!$B$11*U3016</f>
        <v>0</v>
      </c>
      <c r="P3016">
        <f>IF(B3029=0,0,O3016/B3029)</f>
        <v>0</v>
      </c>
      <c r="Q3016">
        <f>IFERROR(1/(IF(Inputs!$B$38="pvp",15,MAX(0.1,Skills!E28-IF(TRUE=TRUE,3,0)))*(1-IF(AND(ArtifactsInput!$M$27,Inputs!$B$4="Chapter Hunt"),CHOOSE(ArtifactsInput!$N$27+1,20,24,28,32,36,40),0)/100)),0)</f>
        <v>4.5454545454545456E-2</v>
      </c>
      <c r="R3016">
        <f>IF(AND(Inputs!$B$38&lt;&gt;"pvp",Inputs!$B$43&gt;0),IF(MAX(0,Inputs!$B$43-B3026)&lt;=0,0,(INT(MAX(0,Inputs!$B$43-B3026)/(IF(Inputs!$B$38="pvp",15,MAX(0.1,Skills!E28-IF(TRUE=TRUE,3,0)))*(1-IF(AND(ArtifactsInput!$M$27,Inputs!$B$4="Chapter Hunt"),CHOOSE(ArtifactsInput!$N$27+1,20,24,28,32,36,40),0)/100)))+1)),0)</f>
        <v>2</v>
      </c>
      <c r="S3016">
        <f>IF(C3016,(H3016*N3016*IF(AND(Inputs!$B$38&lt;&gt;"pvp",Inputs!$B$43&gt;0),((Skills!G28*((R3016-1)*IF(Skills!H28&gt;0,Skills!I28/Skills!H28,1)+IF(Skills!H28&gt;0,MIN(Skills!I28,MAX(0,MAX(0,Inputs!$B$43-B3026)-((R3016-1)*(IF(Inputs!$B$38="pvp",15,MAX(0.1,Skills!E28-IF(TRUE=TRUE,3,0)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016">
        <f>IF(C3016,(H3016*N3016*IF(AND(Inputs!$B$38&lt;&gt;"pvp",Inputs!$B$43&gt;0),((Skills!G28*((R3016-1)*IF(Skills!H28&gt;0,Skills!I28/Skills!H28,1)+IF(Skills!H28&gt;0,MIN(Skills!I28,MAX(0,MAX(0,Inputs!$B$43-B3026)-((R3016-1)*(IF(Inputs!$B$38="pvp",15,MAX(0.1,Skills!E28-IF(TRUE=TRUE,3,0)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018" spans="1:21" x14ac:dyDescent="0.2">
      <c r="A3018" t="s">
        <v>356</v>
      </c>
      <c r="B3018">
        <f>1+(F2999*Skills!Z11)/100</f>
        <v>1.25</v>
      </c>
    </row>
    <row r="3019" spans="1:21" x14ac:dyDescent="0.2">
      <c r="A3019" t="s">
        <v>435</v>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1.18624</v>
      </c>
    </row>
    <row r="3020" spans="1:21" x14ac:dyDescent="0.2">
      <c r="A3020" t="s">
        <v>358</v>
      </c>
      <c r="B3020">
        <f>(1+(F2994*IF(AND(Inputs!$B$38&lt;&gt;"pvp",Inputs!$B$43&gt;0),(((R2994-1)*MIN((Skills!T6*(1+((Inputs!$B$34+(ArtifactsInput!$M$7-ArtifactsInput!$M$7)*CHOOSE(ArtifactsInput!$N$7+1,6,7.2,8.4,9.6,10.8,12)))/100)),(1/Q2994))+MIN((Skills!T6*(1+((Inputs!$B$34+(ArtifactsInput!$M$7-ArtifactsInput!$M$7)*CHOOSE(ArtifactsInput!$N$7+1,6,7.2,8.4,9.6,10.8,12)))/100)),MAX(0,Inputs!$B$43-((R2994-1)*(1/Q2994)))))/Inputs!$B$43),IF(Inputs!$B$38="pvp",MIN((Skills!T6*(1+((Inputs!$B$34+(ArtifactsInput!$M$7-ArtifactsInput!$M$7)*CHOOSE(ArtifactsInput!$N$7+1,6,7.2,8.4,9.6,10.8,12)))/100)),15)/15,MIN(1,(Skills!T6*(1+((Inputs!$B$34+(ArtifactsInput!$M$7-ArtifactsInput!$M$7)*CHOOSE(ArtifactsInput!$N$7+1,6,7.2,8.4,9.6,10.8,12)))/100))/(1/Q2994))))+F3005*IF(AND(Inputs!$B$38&lt;&gt;"pvp",Inputs!$B$43&gt;0),(((R3005-1)*MIN((Skills!T17*(1+((Inputs!$B$34+(ArtifactsInput!$M$7-ArtifactsInput!$M$7)*CHOOSE(ArtifactsInput!$N$7+1,6,7.2,8.4,9.6,10.8,12)))/100)),(1/Q3005))+MIN((Skills!T17*(1+((Inputs!$B$34+(ArtifactsInput!$M$7-ArtifactsInput!$M$7)*CHOOSE(ArtifactsInput!$N$7+1,6,7.2,8.4,9.6,10.8,12)))/100)),MAX(0,Inputs!$B$43-((R3005-1)*(1/Q3005)))))/Inputs!$B$43),IF(Inputs!$B$38="pvp",MIN((Skills!T17*(1+((Inputs!$B$34+(ArtifactsInput!$M$7-ArtifactsInput!$M$7)*CHOOSE(ArtifactsInput!$N$7+1,6,7.2,8.4,9.6,10.8,12)))/100)),15)/15,MIN(1,(Skills!T17*(1+((Inputs!$B$34+(ArtifactsInput!$M$7-ArtifactsInput!$M$7)*CHOOSE(ArtifactsInput!$N$7+1,6,7.2,8.4,9.6,10.8,12)))/100))/(1/Q3005)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MIN((Skills!T19*(1+((Inputs!$B$34+(ArtifactsInput!$M$7-ArtifactsInput!$M$7)*CHOOSE(ArtifactsInput!$N$7+1,6,7.2,8.4,9.6,10.8,12)))/100)),(1/Q3007))+MIN((Skills!T19*(1+((Inputs!$B$34+(ArtifactsInput!$M$7-ArtifactsInput!$M$7)*CHOOSE(ArtifactsInput!$N$7+1,6,7.2,8.4,9.6,10.8,12)))/100)),MAX(0,Inputs!$B$43-((R3007-1)*(1/Q3007)))))/Inputs!$B$43),IF(Inputs!$B$38="pvp",MIN((Skills!T19*(1+((Inputs!$B$34+(ArtifactsInput!$M$7-ArtifactsInput!$M$7)*CHOOSE(ArtifactsInput!$N$7+1,6,7.2,8.4,9.6,10.8,12)))/100)),15)/15,MIN(1,(Skills!T19*(1+((Inputs!$B$34+(ArtifactsInput!$M$7-ArtifactsInput!$M$7)*CHOOSE(ArtifactsInput!$N$7+1,6,7.2,8.4,9.6,10.8,12)))/100))/(1/Q3007))))/100),1)</f>
        <v>1.8924928454862826</v>
      </c>
    </row>
    <row r="3021" spans="1:21" x14ac:dyDescent="0.2">
      <c r="A3021" t="s">
        <v>359</v>
      </c>
      <c r="B3021">
        <f>F3006*IF(AND(Inputs!$B$38&lt;&gt;"pvp",Inputs!$B$43&gt;0),(((R3006-1)*MIN((Skills!T18*(1+((Inputs!$B$34+(ArtifactsInput!$M$7-ArtifactsInput!$M$7)*CHOOSE(ArtifactsInput!$N$7+1,6,7.2,8.4,9.6,10.8,12)))/100)),(1/Q3006))+MIN((Skills!T18*(1+((Inputs!$B$34+(ArtifactsInput!$M$7-ArtifactsInput!$M$7)*CHOOSE(ArtifactsInput!$N$7+1,6,7.2,8.4,9.6,10.8,12)))/100)),MAX(0,Inputs!$B$43-((R3006-1)*(1/Q3006)))))/Inputs!$B$43),IF(Inputs!$B$38="pvp",MIN((Skills!T18*(1+((Inputs!$B$34+(ArtifactsInput!$M$7-ArtifactsInput!$M$7)*CHOOSE(ArtifactsInput!$N$7+1,6,7.2,8.4,9.6,10.8,12)))/100)),15)/15,MIN(1,(Skills!T18*(1+((Inputs!$B$34+(ArtifactsInput!$M$7-ArtifactsInput!$M$7)*CHOOSE(ArtifactsInput!$N$7+1,6,7.2,8.4,9.6,10.8,12)))/100))/(1/Q3006))))</f>
        <v>6.4968749999999993</v>
      </c>
    </row>
    <row r="3022" spans="1:21" x14ac:dyDescent="0.2">
      <c r="A3022" t="s">
        <v>436</v>
      </c>
      <c r="B3022">
        <f>1+MIN(150,150*(1-(1-(Inputs!$B$11+(ArtifactsInput!$M$15-ArtifactsInput!$M$15)*CHOOSE(ArtifactsInput!$N$15+1,8,9.6,11.2,12.8,14.4,16))/150)*(1-B3021/150)))/100</f>
        <v>1.6982958749999999</v>
      </c>
    </row>
    <row r="3023" spans="1:21" x14ac:dyDescent="0.2">
      <c r="A3023" t="s">
        <v>437</v>
      </c>
      <c r="B3023">
        <f>IF(AND(Inputs!$B$38&lt;&gt;"pvp",Inputs!$B$43&gt;0),SUMPRODUCT((Skills!F2:F28=TRUE)*(C2990:C3016=TRUE)*R2990:R3016)/Inputs!$B$43,SUMPRODUCT((Skills!F2:F28=TRUE)*(C2990:C3016=TRUE)*Q2990:Q3016))</f>
        <v>0.5</v>
      </c>
    </row>
    <row r="3024" spans="1:21" x14ac:dyDescent="0.2">
      <c r="A3024" t="s">
        <v>362</v>
      </c>
      <c r="B3024">
        <f>MAX(0,B3022-B3023)</f>
        <v>1.1982958749999999</v>
      </c>
    </row>
    <row r="3025" spans="1:26" x14ac:dyDescent="0.2">
      <c r="A3025" t="s">
        <v>438</v>
      </c>
      <c r="B3025">
        <f>IF(AND(Inputs!$B$38&lt;&gt;"pvp",Inputs!$B$43&gt;0),SUMPRODUCT((Skills!V2:V28=TRUE)*(C2990:C3016=TRUE)*R2990:R3016*Skills!W2:W28)/Inputs!$B$43,SUMPRODUCT((Skills!V2:V28=TRUE)*(C2990:C3016=TRUE)*Q2990:Q3016*Skills!W2:W28))+B3024</f>
        <v>1.5232958749999999</v>
      </c>
    </row>
    <row r="3026" spans="1:26" x14ac:dyDescent="0.2">
      <c r="A3026" t="s">
        <v>439</v>
      </c>
      <c r="B3026">
        <f>IF(AND(Inputs!$B$38&lt;&gt;"pvp",Inputs!$B$43&gt;0),SUMPRODUCT((Skills!T2:T28&gt;0)*(Skills!F2:F28=TRUE)*(C2990:C3016=TRUE))/B3022,0)</f>
        <v>2.3553021937358238</v>
      </c>
    </row>
    <row r="3027" spans="1:26" x14ac:dyDescent="0.2">
      <c r="A3027" t="s">
        <v>440</v>
      </c>
      <c r="B3027">
        <f>SUM(S2990:S3016)</f>
        <v>1.0085008125628246E+16</v>
      </c>
    </row>
    <row r="3028" spans="1:26" x14ac:dyDescent="0.2">
      <c r="A3028" t="s">
        <v>441</v>
      </c>
      <c r="B3028">
        <f>SUM(U2990:U3016)</f>
        <v>5.9934953245070752E+16</v>
      </c>
    </row>
    <row r="3029" spans="1:26" x14ac:dyDescent="0.2">
      <c r="A3029" s="6" t="s">
        <v>348</v>
      </c>
      <c r="B3029" s="6">
        <f>SUM(O2990:O3016)</f>
        <v>3.5009980685349504E+16</v>
      </c>
    </row>
    <row r="3032" spans="1:26" x14ac:dyDescent="0.2">
      <c r="A3032" s="6" t="s">
        <v>513</v>
      </c>
    </row>
    <row r="3033" spans="1:26" x14ac:dyDescent="0.2">
      <c r="A3033" s="5" t="s">
        <v>136</v>
      </c>
      <c r="B3033" s="5" t="s">
        <v>137</v>
      </c>
      <c r="C3033" s="5" t="s">
        <v>328</v>
      </c>
      <c r="D3033" s="5" t="s">
        <v>329</v>
      </c>
      <c r="E3033" s="5" t="s">
        <v>330</v>
      </c>
      <c r="F3033" s="5" t="s">
        <v>331</v>
      </c>
      <c r="G3033" s="5" t="s">
        <v>332</v>
      </c>
      <c r="H3033" s="5" t="s">
        <v>333</v>
      </c>
      <c r="I3033" s="5" t="s">
        <v>334</v>
      </c>
      <c r="J3033" s="5" t="s">
        <v>335</v>
      </c>
      <c r="K3033" s="5" t="s">
        <v>336</v>
      </c>
      <c r="L3033" s="5" t="s">
        <v>337</v>
      </c>
      <c r="M3033" s="5" t="s">
        <v>338</v>
      </c>
      <c r="N3033" s="5" t="s">
        <v>339</v>
      </c>
      <c r="O3033" s="5" t="s">
        <v>340</v>
      </c>
      <c r="P3033" s="5" t="s">
        <v>341</v>
      </c>
      <c r="R3033" t="s">
        <v>434</v>
      </c>
    </row>
    <row r="3034" spans="1:26" x14ac:dyDescent="0.2">
      <c r="A3034" t="str">
        <f>Skills!A2</f>
        <v>BASIC_ATTACK</v>
      </c>
      <c r="B3034" t="str">
        <f>Skills!B2</f>
        <v>Basic Attack</v>
      </c>
      <c r="C3034" t="b">
        <f>TRUE</f>
        <v>1</v>
      </c>
      <c r="F3034">
        <f>T3036+Skills!O2</f>
        <v>537.6</v>
      </c>
      <c r="G3034">
        <f>Calc!G2</f>
        <v>5</v>
      </c>
      <c r="H3034">
        <f>Calc!H2</f>
        <v>1</v>
      </c>
      <c r="I3034">
        <f>IF(Skills!X2&lt;&gt;"",1+(Skills!X2/10)*(Z3035/1000)/100,1)</f>
        <v>1</v>
      </c>
      <c r="J3034">
        <f>((Inputs!$B$6*(1+Inputs!$B$7/100))+(((Inputs!$B$12*(1+Inputs!$B$13/100))-(Inputs!$B$12*(1+Inputs!$B$13/100)))+0.25*(Inputs!$B$14-Inputs!$B$14))*(1+Inputs!$B$7/100))*(F3034/100)</f>
        <v>1941459186.9980164</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7040671655059.3086</v>
      </c>
      <c r="L3034">
        <f>K3034*(MIN(Inputs!$B$22+(F3054-Calc!F22),(Inputs!$B$23+(IF(ArtifactsInput!$M$15,CHOOSE(ArtifactsInput!$N$15+1,25,30,35,40,45,50)/100*(Inputs!$B$11-Inputs!$B$11),0))))/100+(Inputs!$B$23+(IF(ArtifactsInput!$M$15,CHOOSE(ArtifactsInput!$N$15+1,25,30,35,40,45,50)/100*(Inputs!$B$11-Inputs!$B$11),0)))/100)/2</f>
        <v>23410233253072.203</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110472890721247.72</v>
      </c>
      <c r="N3034">
        <f>L3034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110472890721247.72</v>
      </c>
      <c r="O3034">
        <f>(1-Summary!$B$11)*S3034+Summary!$B$11*U3034</f>
        <v>1.3036042630952532E+16</v>
      </c>
      <c r="P3034">
        <f>IF(B3073=0,0,O3034/B3073)</f>
        <v>0.36835219760359711</v>
      </c>
      <c r="Q3034">
        <f>IFERROR(1/(IF(Inputs!$B$38="pvp",15,MAX(0.1,Skills!E2-IF(TRUE=TRUE,3.5,0)))*(1-IF(AND(ArtifactsInput!$M$27,Inputs!$B$4="Chapter Hunt"),CHOOSE(ArtifactsInput!$N$27+1,20,24,28,32,36,40),0)/100)),0)</f>
        <v>10</v>
      </c>
      <c r="R3034">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2164400071247259.8</v>
      </c>
      <c r="T3034">
        <f>MAX(0,(Inputs!$B$3-100)*3)+Inputs!$B$28+Inputs!$B$29</f>
        <v>185</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2.3907685190657804E+16</v>
      </c>
      <c r="Z3034">
        <f>MAX(0,(Inputs!$B$3-100)*3)+Inputs!$B$28+Inputs!$B$29</f>
        <v>185</v>
      </c>
    </row>
    <row r="3035" spans="1:26" x14ac:dyDescent="0.2">
      <c r="A3035" t="str">
        <f>Skills!A3</f>
        <v>IGNITE</v>
      </c>
      <c r="B3035" t="str">
        <f>Skills!B3</f>
        <v>Ignite</v>
      </c>
      <c r="C3035" t="b">
        <f>TRUE</f>
        <v>1</v>
      </c>
      <c r="D3035">
        <f>IF(Skills!C3=1,60+Inputs!$B$25+Inputs!$B$29,IF(Skills!C3=2,90+Inputs!$B$26+Inputs!$B$29,IF(Skills!C3=3,120+Inputs!$B$27+Inputs!$B$29,MAX(0,(Inputs!$B$3-100)*3)+Inputs!$B$28+Inputs!$B$29)))</f>
        <v>168</v>
      </c>
      <c r="E3035">
        <f>INDEX(FactorTable!$B$2:$Y$301, MATCH(ROUND(MIN(300,MAX(1,D3035)),0), FactorTable!$A$2:$A$301,0), Skills!M3+1)</f>
        <v>1672</v>
      </c>
      <c r="F3035">
        <f>IF(Skills!N3=TRUE,(Skills!L3/10)*(E3035/1000),Skills!L3/10)+Skills!O3</f>
        <v>121.736</v>
      </c>
      <c r="G3035">
        <f>Calc!G3</f>
        <v>3</v>
      </c>
      <c r="H3035">
        <f>Calc!H3</f>
        <v>1</v>
      </c>
      <c r="I3035">
        <f>IF(Skills!X3&lt;&gt;"",1+(Skills!X3/10)*(Z3035/1000)/100,1)</f>
        <v>4.8250000000000002</v>
      </c>
      <c r="J3035">
        <f>((Inputs!$B$6*(1+Inputs!$B$7/100))+(((Inputs!$B$12*(1+Inputs!$B$13/100))-(Inputs!$B$12*(1+Inputs!$B$13/100)))+0.25*(Inputs!$B$14-Inputs!$B$14))*(1+Inputs!$B$7/100))*(F3035/100)</f>
        <v>439630720.9605478</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11335360733842.66</v>
      </c>
      <c r="L3035">
        <f>K3035*(MIN(Inputs!$B$22+(F3054-Calc!F22),(Inputs!$B$23+(IF(ArtifactsInput!$M$15,CHOOSE(ArtifactsInput!$N$15+1,25,30,35,40,45,50)/100*(Inputs!$B$11-Inputs!$B$11),0))))/100+(Inputs!$B$23+(IF(ArtifactsInput!$M$15,CHOOSE(ArtifactsInput!$N$15+1,25,30,35,40,45,50)/100*(Inputs!$B$11-Inputs!$B$11),0)))/100)/2</f>
        <v>37690074440026.844</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177859461282486.66</v>
      </c>
      <c r="N3035">
        <f>L3035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177859461282486.66</v>
      </c>
      <c r="O3035">
        <f>(1-Summary!$B$11)*S3035+Summary!$B$11*U3035</f>
        <v>3092086734396030.5</v>
      </c>
      <c r="P3035">
        <f>IF(B3073=0,0,O3035/B3073)</f>
        <v>8.73713730493135E-2</v>
      </c>
      <c r="Q3035">
        <f>IFERROR(1/(IF(Inputs!$B$38="pvp",15,MAX(0.1,Skills!E3-IF(FALSE=TRUE,3.5,0)))*(1-IF(AND(ArtifactsInput!$M$27,Inputs!$B$4="Chapter Hunt"),CHOOSE(ArtifactsInput!$N$27+1,20,24,28,32,36,40),0)/100)),0)</f>
        <v>1</v>
      </c>
      <c r="R3035">
        <f>IF(AND(Inputs!$B$38&lt;&gt;"pvp",Inputs!$B$43&gt;0),IF(MAX(0,Inputs!$B$43-B3070)&lt;=0,0,(INT(MAX(0,Inputs!$B$43-B3070)/(IF(Inputs!$B$38="pvp",15,MAX(0.1,Skills!E3-IF(FALSE=TRUE,3.5,0)))*(1-IF(AND(ArtifactsInput!$M$27,Inputs!$B$4="Chapter Hunt"),CHOOSE(ArtifactsInput!$N$27+1,20,24,28,32,36,40),0)/100)))+1)),0)</f>
        <v>38</v>
      </c>
      <c r="S3035">
        <f>IF(C3035,(H3035*N3035*IF(AND(Inputs!$B$38&lt;&gt;"pvp",Inputs!$B$43&gt;0),((Skills!G3*((R3035-1)*IF(Skills!H3&gt;0,Skills!I3/Skills!H3,1)+IF(Skills!H3&gt;0,MIN(Skills!I3,MAX(0,MAX(0,Inputs!$B$43-B3070)-((R3035-1)*(IF(Inputs!$B$38="pvp",15,MAX(0.1,Skills!E3-IF(FALSE=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1606871302956625.8</v>
      </c>
      <c r="T3035">
        <f>INDEX(FactorTable!$B$2:$Y$301, MATCH(ROUND(MIN(300,MAX(1,T3034)),0), FactorTable!$A$2:$A$301,0), 22)</f>
        <v>1740</v>
      </c>
      <c r="U3035">
        <f>IF(C3035,(H3035*N3035*IF(AND(Inputs!$B$38&lt;&gt;"pvp",Inputs!$B$43&gt;0),((Skills!G3*((R3035-1)*IF(Skills!H3&gt;0,Skills!I3/Skills!H3,1)+IF(Skills!H3&gt;0,MIN(Skills!I3,MAX(0,MAX(0,Inputs!$B$43-B3070)-((R3035-1)*(IF(Inputs!$B$38="pvp",15,MAX(0.1,Skills!E3-IF(FALSE=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4577302165835435</v>
      </c>
      <c r="Z3035">
        <f>INDEX(FactorTable!$B$2:$Y$301, MATCH(ROUND(MIN(300,MAX(1,Z3034)),0), FactorTable!$A$2:$A$301,0), 24)</f>
        <v>7650</v>
      </c>
    </row>
    <row r="3036" spans="1:26" x14ac:dyDescent="0.2">
      <c r="A3036" t="str">
        <f>Skills!A4</f>
        <v>POISON_BREATH</v>
      </c>
      <c r="B3036" t="str">
        <f>Skills!B4</f>
        <v>Poison Breath</v>
      </c>
      <c r="C3036" t="b">
        <f>TRUE</f>
        <v>1</v>
      </c>
      <c r="D3036">
        <f>IF(Skills!C4=1,60+Inputs!$B$25+Inputs!$B$29,IF(Skills!C4=2,90+Inputs!$B$26+Inputs!$B$29,IF(Skills!C4=3,120+Inputs!$B$27+Inputs!$B$29,MAX(0,(Inputs!$B$3-100)*3)+Inputs!$B$28+Inputs!$B$29)))</f>
        <v>168</v>
      </c>
      <c r="E3036">
        <f>INDEX(FactorTable!$B$2:$Y$301, MATCH(ROUND(MIN(300,MAX(1,D3036)),0), FactorTable!$A$2:$A$301,0), Skills!M4+1)</f>
        <v>1840</v>
      </c>
      <c r="F3036">
        <f>IF(Skills!N4=TRUE,(Skills!L4/10)*(E3036/1000),Skills!L4/10)+Skills!O4</f>
        <v>438</v>
      </c>
      <c r="G3036">
        <f>Calc!G4</f>
        <v>3</v>
      </c>
      <c r="H3036">
        <f>Calc!H4</f>
        <v>1</v>
      </c>
      <c r="I3036">
        <f>IF(Skills!X4&lt;&gt;"",1+(Skills!X4/10)*(Z3035/1000)/100,1)</f>
        <v>7.12</v>
      </c>
      <c r="J3036">
        <f>((Inputs!$B$6*(1+Inputs!$B$7/100))+(((Inputs!$B$12*(1+Inputs!$B$13/100))-(Inputs!$B$12*(1+Inputs!$B$13/100)))+0.25*(Inputs!$B$14-Inputs!$B$14))*(1+Inputs!$B$7/100))*(F3036/100)</f>
        <v>1581769203.69258</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60182899086024.195</v>
      </c>
      <c r="L3036">
        <f>K3036*(MIN(Inputs!$B$22+(F3054-Calc!F22),(Inputs!$B$23+(IF(ArtifactsInput!$M$15,CHOOSE(ArtifactsInput!$N$15+1,25,30,35,40,45,50)/100*(Inputs!$B$11-Inputs!$B$11),0))))/100+(Inputs!$B$23+(IF(ArtifactsInput!$M$15,CHOOSE(ArtifactsInput!$N$15+1,25,30,35,40,45,50)/100*(Inputs!$B$11-Inputs!$B$11),0)))/100)/2</f>
        <v>200108139461030.47</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944310310116602.62</v>
      </c>
      <c r="N3036">
        <f>L3036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944310310116602.62</v>
      </c>
      <c r="O3036">
        <f>(1-Summary!$B$11)*S3036+Summary!$B$11*U3036</f>
        <v>2255367136924740.5</v>
      </c>
      <c r="P3036">
        <f>IF(B3073=0,0,O3036/B3073)</f>
        <v>6.3728653304385319E-2</v>
      </c>
      <c r="Q3036">
        <f>IFERROR(1/(IF(Inputs!$B$38="pvp",15,MAX(0.1,Skills!E4-IF(TRUE=TRUE,3.5,0)))*(1-IF(AND(ArtifactsInput!$M$27,Inputs!$B$4="Chapter Hunt"),CHOOSE(ArtifactsInput!$N$27+1,20,24,28,32,36,40),0)/100)),0)</f>
        <v>6.8965517241379309E-2</v>
      </c>
      <c r="R3036">
        <f>IF(AND(Inputs!$B$38&lt;&gt;"pvp",Inputs!$B$43&gt;0),IF(MAX(0,Inputs!$B$43-B3070)&lt;=0,0,(INT(MAX(0,Inputs!$B$43-B3070)/(IF(Inputs!$B$38="pvp",15,MAX(0.1,Skills!E4-IF(TRUE=TRUE,3.5,0)))*(1-IF(AND(ArtifactsInput!$M$27,Inputs!$B$4="Chapter Hunt"),CHOOSE(ArtifactsInput!$N$27+1,20,24,28,32,36,40),0)/100)))+1)),0)</f>
        <v>3</v>
      </c>
      <c r="S3036">
        <f>IF(C3036,(H3036*N3036*IF(AND(Inputs!$B$38&lt;&gt;"pvp",Inputs!$B$43&gt;0),((Skills!G4*((R3036-1)*IF(Skills!H4&gt;0,Skills!I4/Skills!H4,1)+IF(Skills!H4&gt;0,MIN(Skills!I4,MAX(0,MAX(0,Inputs!$B$43-B3070)-((R3036-1)*(IF(Inputs!$B$38="pvp",15,MAX(0.1,Skills!E4-IF(TRUE=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673529328690666.88</v>
      </c>
      <c r="T3036">
        <f>290*T3035/1000</f>
        <v>504.6</v>
      </c>
      <c r="U3036">
        <f>IF(C3036,(H3036*N3036*IF(AND(Inputs!$B$38&lt;&gt;"pvp",Inputs!$B$43&gt;0),((Skills!G4*((R3036-1)*IF(Skills!H4&gt;0,Skills!I4/Skills!H4,1)+IF(Skills!H4&gt;0,MIN(Skills!I4,MAX(0,MAX(0,Inputs!$B$43-B3070)-((R3036-1)*(IF(Inputs!$B$38="pvp",15,MAX(0.1,Skills!E4-IF(TRUE=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3837204945158814.5</v>
      </c>
    </row>
    <row r="3037" spans="1:26" x14ac:dyDescent="0.2">
      <c r="A3037" t="str">
        <f>Skills!A5</f>
        <v>ELEMENTAL_DRAIN</v>
      </c>
      <c r="B3037" t="str">
        <f>Skills!B5</f>
        <v>Elemental Drain</v>
      </c>
      <c r="C3037" t="b">
        <f>TRUE</f>
        <v>1</v>
      </c>
      <c r="D3037">
        <f>IF(Skills!C5=1,60+Inputs!$B$25+Inputs!$B$29,IF(Skills!C5=2,90+Inputs!$B$26+Inputs!$B$29,IF(Skills!C5=3,120+Inputs!$B$27+Inputs!$B$29,MAX(0,(Inputs!$B$3-100)*3)+Inputs!$B$28+Inputs!$B$29)))</f>
        <v>168</v>
      </c>
      <c r="E3037">
        <f>INDEX(FactorTable!$B$2:$Y$301, MATCH(ROUND(MIN(300,MAX(1,D3037)),0), FactorTable!$A$2:$A$301,0), Skills!M5+1)</f>
        <v>1672</v>
      </c>
      <c r="F3037">
        <f>IF(Skills!N5=TRUE,(Skills!L5/10)*(E3037/1000),Skills!L5/10)+Skills!O5</f>
        <v>20.064</v>
      </c>
      <c r="G3037">
        <f>Calc!G5</f>
        <v>5</v>
      </c>
      <c r="H3037">
        <f>Calc!H5</f>
        <v>1</v>
      </c>
      <c r="I3037">
        <f>IF(Skills!X5&lt;&gt;"",1+(Skills!X5/10)*(Z3035/1000)/100,1)</f>
        <v>12.475</v>
      </c>
      <c r="J3037">
        <f>((Inputs!$B$6*(1+Inputs!$B$7/100))+(((Inputs!$B$12*(1+Inputs!$B$13/100))-(Inputs!$B$12*(1+Inputs!$B$13/100)))+0.25*(Inputs!$B$14-Inputs!$B$14))*(1+Inputs!$B$7/100))*(F3037/100)</f>
        <v>72458030.371890247</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4830333021841.2725</v>
      </c>
      <c r="L3037">
        <f>K3037*(MIN(Inputs!$B$22+(F3054-Calc!F22),(Inputs!$B$23+(IF(ArtifactsInput!$M$15,CHOOSE(ArtifactsInput!$N$15+1,25,30,35,40,45,50)/100*(Inputs!$B$11-Inputs!$B$11),0))))/100+(Inputs!$B$23+(IF(ArtifactsInput!$M$15,CHOOSE(ArtifactsInput!$N$15+1,25,30,35,40,45,50)/100*(Inputs!$B$11-Inputs!$B$11),0)))/100)/2</f>
        <v>16060857297622.232</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75791185587479.312</v>
      </c>
      <c r="N3037">
        <f>L3037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75791185587479.312</v>
      </c>
      <c r="O3037">
        <f>(1-Summary!$B$11)*S3037+Summary!$B$11*U3037</f>
        <v>1112425126460227.6</v>
      </c>
      <c r="P3037">
        <f>IF(B3073=0,0,O3037/B3073)</f>
        <v>3.1433177353083201E-2</v>
      </c>
      <c r="Q3037">
        <f>IFERROR(1/(IF(Inputs!$B$38="pvp",15,MAX(0.1,Skills!E5-IF(FALSE=TRUE,3.5,0)))*(1-IF(AND(ArtifactsInput!$M$27,Inputs!$B$4="Chapter Hunt"),CHOOSE(ArtifactsInput!$N$27+1,20,24,28,32,36,40),0)/100)),0)</f>
        <v>1</v>
      </c>
      <c r="R3037">
        <f>IF(AND(Inputs!$B$38&lt;&gt;"pvp",Inputs!$B$43&gt;0),IF(MAX(0,Inputs!$B$43-B3070)&lt;=0,0,(INT(MAX(0,Inputs!$B$43-B3070)/(IF(Inputs!$B$38="pvp",15,MAX(0.1,Skills!E5-IF(FALSE=TRUE,3.5,0)))*(1-IF(AND(ArtifactsInput!$M$27,Inputs!$B$4="Chapter Hunt"),CHOOSE(ArtifactsInput!$N$27+1,20,24,28,32,36,40),0)/100)))+1)),0)</f>
        <v>38</v>
      </c>
      <c r="S3037">
        <f>IF(C3037,(H3037*N3037*IF(AND(Inputs!$B$38&lt;&gt;"pvp",Inputs!$B$43&gt;0),((Skills!G5*((R3037-1)*IF(Skills!H5&gt;0,Skills!I5/Skills!H5,1)+IF(Skills!H5&gt;0,MIN(Skills!I5,MAX(0,MAX(0,Inputs!$B$43-B3070)-((R3037-1)*(IF(Inputs!$B$38="pvp",15,MAX(0.1,Skills!E5-IF(FALSE=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1141225776983469.8</v>
      </c>
      <c r="U3037">
        <f>IF(C3037,(H3037*N3037*IF(AND(Inputs!$B$38&lt;&gt;"pvp",Inputs!$B$43&gt;0),((Skills!G5*((R3037-1)*IF(Skills!H5&gt;0,Skills!I5/Skills!H5,1)+IF(Skills!H5&gt;0,MIN(Skills!I5,MAX(0,MAX(0,Inputs!$B$43-B3070)-((R3037-1)*(IF(Inputs!$B$38="pvp",15,MAX(0.1,Skills!E5-IF(FALSE=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1083624475936985.5</v>
      </c>
    </row>
    <row r="3038" spans="1:26" x14ac:dyDescent="0.2">
      <c r="A3038" t="str">
        <f>Skills!A6</f>
        <v>MEDITATION</v>
      </c>
      <c r="B3038" t="str">
        <f>Skills!B6</f>
        <v>Meditation</v>
      </c>
      <c r="C3038" t="b">
        <f>TRUE</f>
        <v>1</v>
      </c>
      <c r="D3038">
        <f>IF(Skills!C6=1,60+Inputs!$B$25+Inputs!$B$29,IF(Skills!C6=2,90+Inputs!$B$26+Inputs!$B$29,IF(Skills!C6=3,120+Inputs!$B$27+Inputs!$B$29,MAX(0,(Inputs!$B$3-100)*3)+Inputs!$B$28+Inputs!$B$29)))</f>
        <v>168</v>
      </c>
      <c r="E3038">
        <f>INDEX(FactorTable!$B$2:$Y$301, MATCH(ROUND(MIN(300,MAX(1,D3038)),0), FactorTable!$A$2:$A$301,0), Skills!M6+1)</f>
        <v>1672</v>
      </c>
      <c r="F3038">
        <f>IF(Skills!N6=TRUE,(Skills!L6/10)*(E3038/1000),Skills!L6/10)+Skills!O6</f>
        <v>33.44</v>
      </c>
      <c r="G3038">
        <f>Calc!G6</f>
        <v>1</v>
      </c>
      <c r="H3038">
        <f>Calc!H6</f>
        <v>1</v>
      </c>
      <c r="I3038">
        <f>IF(Skills!X6&lt;&gt;"",1+(Skills!X6/10)*(Z3035/1000)/100,1)</f>
        <v>1</v>
      </c>
      <c r="O3038">
        <f>(1-Summary!$B$11)*S3038+Summary!$B$11*U3038</f>
        <v>0</v>
      </c>
      <c r="P3038">
        <f>IF(B3073=0,0,O3038/B3073)</f>
        <v>0</v>
      </c>
      <c r="Q3038">
        <f>IFERROR(1/(IF(Inputs!$B$38="pvp",15,MAX(0.1,Skills!E6-IF(TRUE=TRUE,3.5,0)))*(1-IF(AND(ArtifactsInput!$M$27,Inputs!$B$4="Chapter Hunt"),CHOOSE(ArtifactsInput!$N$27+1,20,24,28,32,36,40),0)/100)),0)</f>
        <v>3.7735849056603772E-2</v>
      </c>
      <c r="R3038">
        <f>IF(AND(Inputs!$B$38&lt;&gt;"pvp",Inputs!$B$43&gt;0),IF(Inputs!$B$43&lt;=0,0,(INT(Inputs!$B$43/(IF(Inputs!$B$38="pvp",15,MAX(0.1,Skills!E6-IF(TRUE=TRUE,3.5,0)))*(1-IF(AND(ArtifactsInput!$M$27,Inputs!$B$4="Chapter Hunt"),CHOOSE(ArtifactsInput!$N$27+1,20,24,28,32,36,40),0)/100)))+1)),0)</f>
        <v>2</v>
      </c>
      <c r="S3038">
        <v>0</v>
      </c>
      <c r="U3038">
        <v>0</v>
      </c>
    </row>
    <row r="3039" spans="1:26" x14ac:dyDescent="0.2">
      <c r="A3039" t="str">
        <f>Skills!A7</f>
        <v>POISON_MIST_BURST</v>
      </c>
      <c r="B3039" t="str">
        <f>Skills!B7</f>
        <v>Poison Mist (burst)</v>
      </c>
      <c r="C3039" t="b">
        <f>TRUE</f>
        <v>1</v>
      </c>
      <c r="D3039">
        <f>IF(Skills!C7=1,60+Inputs!$B$25+Inputs!$B$29,IF(Skills!C7=2,90+Inputs!$B$26+Inputs!$B$29,IF(Skills!C7=3,120+Inputs!$B$27+Inputs!$B$29,MAX(0,(Inputs!$B$3-100)*3)+Inputs!$B$28+Inputs!$B$29)))</f>
        <v>184</v>
      </c>
      <c r="E3039">
        <f>INDEX(FactorTable!$B$2:$Y$301, MATCH(ROUND(MIN(300,MAX(1,D3039)),0), FactorTable!$A$2:$A$301,0), Skills!M7+1)</f>
        <v>1920</v>
      </c>
      <c r="F3039">
        <f>IF(Skills!N7=TRUE,(Skills!L7/10)*(E3039/1000),Skills!L7/10)+Skills!O7</f>
        <v>357.2</v>
      </c>
      <c r="G3039">
        <f>Calc!G7</f>
        <v>3</v>
      </c>
      <c r="H3039">
        <f>Calc!H7</f>
        <v>1</v>
      </c>
      <c r="I3039">
        <f>IF(Skills!X7&lt;&gt;"",1+(Skills!X7/10)*(Z3035/1000)/100,1)</f>
        <v>1.7650000000000001</v>
      </c>
      <c r="J3039">
        <f>((Inputs!$B$6*(1+Inputs!$B$7/100))+(((Inputs!$B$12*(1+Inputs!$B$13/100))-(Inputs!$B$12*(1+Inputs!$B$13/100)))+0.25*(Inputs!$B$14-Inputs!$B$14))*(1+Inputs!$B$7/100))*(F3039/100)</f>
        <v>1289972510.4086521</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12166766133079.578</v>
      </c>
      <c r="L3039">
        <f>K3039*(MIN(Inputs!$B$22+(F3054-Calc!F22),(Inputs!$B$23+(IF(ArtifactsInput!$M$15,CHOOSE(ArtifactsInput!$N$15+1,25,30,35,40,45,50)/100*(Inputs!$B$11-Inputs!$B$11),0))))/100+(Inputs!$B$23+(IF(ArtifactsInput!$M$15,CHOOSE(ArtifactsInput!$N$15+1,25,30,35,40,45,50)/100*(Inputs!$B$11-Inputs!$B$11),0)))/100)/2</f>
        <v>40454497392489.602</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190904773195158.41</v>
      </c>
      <c r="N3039">
        <f>L3039*(1-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190904773195158.41</v>
      </c>
      <c r="O3039">
        <f>(1-Summary!$B$11)*S3039+Summary!$B$11*U3039</f>
        <v>476355135315219</v>
      </c>
      <c r="P3039">
        <f>IF(B3073=0,0,O3039/B3073)</f>
        <v>1.3460101803939759E-2</v>
      </c>
      <c r="Q3039">
        <f>IFERROR(1/(IF(Inputs!$B$38="pvp",15,MAX(0.1,Skills!E7-IF(TRUE=TRUE,3.5,0)))*(1-IF(AND(ArtifactsInput!$M$27,Inputs!$B$4="Chapter Hunt"),CHOOSE(ArtifactsInput!$N$27+1,20,24,28,32,36,40),0)/100)),0)</f>
        <v>4.7619047619047616E-2</v>
      </c>
      <c r="R3039">
        <f>IF(AND(Inputs!$B$38&lt;&gt;"pvp",Inputs!$B$43&gt;0),IF(MAX(0,Inputs!$B$43-B3070)&lt;=0,0,(INT(MAX(0,Inputs!$B$43-B3070)/(IF(Inputs!$B$38="pvp",15,MAX(0.1,Skills!E7-IF(TRUE=TRUE,3.5,0)))*(1-IF(AND(ArtifactsInput!$M$27,Inputs!$B$4="Chapter Hunt"),CHOOSE(ArtifactsInput!$N$27+1,20,24,28,32,36,40),0)/100)))+1)),0)</f>
        <v>2</v>
      </c>
      <c r="S3039">
        <f>IF(C3039,(H3039*N3039*IF(AND(Inputs!$B$38&lt;&gt;"pvp",Inputs!$B$43&gt;0),((Skills!G7*((R3039-1)*IF(Skills!H7&gt;0,Skills!I7/Skills!H7,1)+IF(Skills!H7&gt;0,MIN(Skills!I7,MAX(0,MAX(0,Inputs!$B$43-B3070)-((R3039-1)*(IF(Inputs!$B$38="pvp",15,MAX(0.1,Skills!E7-IF(TRUE=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90775219654297.828</v>
      </c>
      <c r="U3039">
        <f>IF(C3039,(H3039*N3039*IF(AND(Inputs!$B$38&lt;&gt;"pvp",Inputs!$B$43&gt;0),((Skills!G7*((R3039-1)*IF(Skills!H7&gt;0,Skills!I7/Skills!H7,1)+IF(Skills!H7&gt;0,MIN(Skills!I7,MAX(0,MAX(0,Inputs!$B$43-B3070)-((R3039-1)*(IF(Inputs!$B$38="pvp",15,MAX(0.1,Skills!E7-IF(TRUE=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861935050976140.12</v>
      </c>
    </row>
    <row r="3040" spans="1:26" x14ac:dyDescent="0.2">
      <c r="A3040" t="str">
        <f>Skills!A8</f>
        <v>POISON_MIST_DOT</v>
      </c>
      <c r="B3040" t="str">
        <f>Skills!B8</f>
        <v>Poison Mist (fog DoT)</v>
      </c>
      <c r="C3040" t="b">
        <f>TRUE</f>
        <v>1</v>
      </c>
      <c r="D3040">
        <f>IF(Skills!C8=1,60+Inputs!$B$25+Inputs!$B$29,IF(Skills!C8=2,90+Inputs!$B$26+Inputs!$B$29,IF(Skills!C8=3,120+Inputs!$B$27+Inputs!$B$29,MAX(0,(Inputs!$B$3-100)*3)+Inputs!$B$28+Inputs!$B$29)))</f>
        <v>184</v>
      </c>
      <c r="E3040">
        <f>INDEX(FactorTable!$B$2:$Y$301, MATCH(ROUND(MIN(300,MAX(1,D3040)),0), FactorTable!$A$2:$A$301,0), Skills!M8+1)</f>
        <v>1920</v>
      </c>
      <c r="F3040">
        <f>IF(Skills!N8=TRUE,(Skills!L8/10)*(E3040/1000),Skills!L8/10)+Skills!O8</f>
        <v>134.4</v>
      </c>
      <c r="G3040">
        <f>Calc!G8</f>
        <v>50</v>
      </c>
      <c r="H3040">
        <f>Calc!H8</f>
        <v>1</v>
      </c>
      <c r="I3040">
        <f>IF(Skills!X8&lt;&gt;"",1+(Skills!X8/10)*(Z3035/1000)/100,1)</f>
        <v>1.7650000000000001</v>
      </c>
      <c r="J3040">
        <f>((Inputs!$B$6*(1+Inputs!$B$7/100))+(((Inputs!$B$12*(1+Inputs!$B$13/100))-(Inputs!$B$12*(1+Inputs!$B$13/100)))+0.25*(Inputs!$B$14-Inputs!$B$14))*(1+Inputs!$B$7/100))*(F3040/100)</f>
        <v>485364796.74950409</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4577864972804.8584</v>
      </c>
      <c r="L3040">
        <f>K3040*(MIN(Inputs!$B$22+(F3054-Calc!F22),(Inputs!$B$23+(IF(ArtifactsInput!$M$15,CHOOSE(ArtifactsInput!$N$15+1,25,30,35,40,45,50)/100*(Inputs!$B$11-Inputs!$B$11),0))))/100+(Inputs!$B$23+(IF(ArtifactsInput!$M$15,CHOOSE(ArtifactsInput!$N$15+1,25,30,35,40,45,50)/100*(Inputs!$B$11-Inputs!$B$11),0)))/100)/2</f>
        <v>15221401034576.154</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71829791482164.859</v>
      </c>
      <c r="N3040">
        <f>L3040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71829791482164.859</v>
      </c>
      <c r="O3040">
        <f>(1-Summary!$B$11)*S3040+Summary!$B$11*U3040</f>
        <v>2736645685881701</v>
      </c>
      <c r="P3040">
        <f>IF(B3073=0,0,O3040/B3073)</f>
        <v>7.7327873266035074E-2</v>
      </c>
      <c r="Q3040">
        <f>IFERROR(1/(IF(Inputs!$B$38="pvp",15,MAX(0.1,Skills!E8-IF(TRUE=TRUE,3.5,0)))*(1-IF(AND(ArtifactsInput!$M$27,Inputs!$B$4="Chapter Hunt"),CHOOSE(ArtifactsInput!$N$27+1,20,24,28,32,36,40),0)/100)),0)</f>
        <v>4.7619047619047616E-2</v>
      </c>
      <c r="R3040">
        <f>IF(AND(Inputs!$B$38&lt;&gt;"pvp",Inputs!$B$43&gt;0),IF(MAX(0,Inputs!$B$43-B3070)&lt;=0,0,(INT(MAX(0,Inputs!$B$43-B3070)/(IF(Inputs!$B$38="pvp",15,MAX(0.1,Skills!E8-IF(TRUE=TRUE,3.5,0)))*(1-IF(AND(ArtifactsInput!$M$27,Inputs!$B$4="Chapter Hunt"),CHOOSE(ArtifactsInput!$N$27+1,20,24,28,32,36,40),0)/100)))+1)),0)</f>
        <v>2</v>
      </c>
      <c r="S3040">
        <f>IF(C3040,(H3040*N3040*IF(AND(Inputs!$B$38&lt;&gt;"pvp",Inputs!$B$43&gt;0),((Skills!G8*((R3040-1)*IF(Skills!H8&gt;0,Skills!I8/Skills!H8,1)+IF(Skills!H8&gt;0,MIN(Skills!I8,MAX(0,MAX(0,Inputs!$B$43-B3070)-((R3040-1)*(IF(Inputs!$B$38="pvp",15,MAX(0.1,Skills!E8-IF(TRUE=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521500861090772.06</v>
      </c>
      <c r="U3040">
        <f>IF(C3040,(H3040*N3040*IF(AND(Inputs!$B$38&lt;&gt;"pvp",Inputs!$B$43&gt;0),((Skills!G8*((R3040-1)*IF(Skills!H8&gt;0,Skills!I8/Skills!H8,1)+IF(Skills!H8&gt;0,MIN(Skills!I8,MAX(0,MAX(0,Inputs!$B$43-B3070)-((R3040-1)*(IF(Inputs!$B$38="pvp",15,MAX(0.1,Skills!E8-IF(TRUE=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4951790510672630</v>
      </c>
    </row>
    <row r="3041" spans="1:21" x14ac:dyDescent="0.2">
      <c r="A3041" t="str">
        <f>Skills!A9</f>
        <v>MIST_ERUPTION</v>
      </c>
      <c r="B3041" t="str">
        <f>Skills!B9</f>
        <v>Mist Eruption</v>
      </c>
      <c r="C3041" t="b">
        <f>Inputs!$B$3&gt;=103</f>
        <v>1</v>
      </c>
      <c r="D3041">
        <f>IF(Skills!C9=1,60+Inputs!$B$25+Inputs!$B$29,IF(Skills!C9=2,90+Inputs!$B$26+Inputs!$B$29,IF(Skills!C9=3,120+Inputs!$B$27+Inputs!$B$29,MAX(0,(Inputs!$B$3-100)*3)+Inputs!$B$28+Inputs!$B$29)))</f>
        <v>185</v>
      </c>
      <c r="E3041">
        <f>INDEX(FactorTable!$B$2:$Y$301, MATCH(ROUND(MIN(300,MAX(1,D3041)),0), FactorTable!$A$2:$A$301,0), Skills!M9+1)</f>
        <v>1925</v>
      </c>
      <c r="F3041">
        <f>IF(Skills!N9=TRUE,(Skills!L9/10)*(E3041/1000),Skills!L9/10)+Skills!O9</f>
        <v>5775</v>
      </c>
      <c r="G3041">
        <f>Calc!G9</f>
        <v>2.5</v>
      </c>
      <c r="H3041">
        <f>Calc!H9</f>
        <v>1</v>
      </c>
      <c r="I3041">
        <f>IF(Skills!X9&lt;&gt;"",1+(Skills!X9/10)*(Z3035/1000)/100,1)</f>
        <v>1</v>
      </c>
      <c r="J3041">
        <f>((Inputs!$B$6*(1+Inputs!$B$7/100))+(((Inputs!$B$12*(1+Inputs!$B$13/100))-(Inputs!$B$12*(1+Inputs!$B$13/100)))+0.25*(Inputs!$B$14-Inputs!$B$14))*(1+Inputs!$B$7/100))*(F3041/100)</f>
        <v>20855518610.330254</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111447668866973.78</v>
      </c>
      <c r="L3041">
        <f>K3041*(MIN(Inputs!$B$22+(F3054-Calc!F22),(Inputs!$B$23+(IF(ArtifactsInput!$M$15,CHOOSE(ArtifactsInput!$N$15+1,25,30,35,40,45,50)/100*(Inputs!$B$11-Inputs!$B$11),0))))/100+(Inputs!$B$23+(IF(ArtifactsInput!$M$15,CHOOSE(ArtifactsInput!$N$15+1,25,30,35,40,45,50)/100*(Inputs!$B$11-Inputs!$B$11),0)))/100)/2</f>
        <v>370563498982687.81</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1748689151699303.5</v>
      </c>
      <c r="N3041">
        <f>L3041*(1-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1748689151699303.5</v>
      </c>
      <c r="O3041">
        <f>(1-Summary!$B$11)*S3041+Summary!$B$11*U3041</f>
        <v>3636180504814739</v>
      </c>
      <c r="P3041">
        <f>IF(B3073=0,0,O3041/B3073)</f>
        <v>0.102745527745639</v>
      </c>
      <c r="Q3041">
        <f>IFERROR(1/(IF(Inputs!$B$38="pvp",15,MAX(0.1,Skills!E9-IF(TRUE=TRUE,3.5,0)))*(1-IF(AND(ArtifactsInput!$M$27,Inputs!$B$4="Chapter Hunt"),CHOOSE(ArtifactsInput!$N$27+1,20,24,28,32,36,40),0)/100)),0)</f>
        <v>4.7619047619047616E-2</v>
      </c>
      <c r="R3041">
        <f>IF(AND(Inputs!$B$38&lt;&gt;"pvp",Inputs!$B$43&gt;0),IF(MAX(0,Inputs!$B$43-B3070)&lt;=0,0,(INT(MAX(0,Inputs!$B$43-B3070)/(IF(Inputs!$B$38="pvp",15,MAX(0.1,Skills!E9-IF(TRUE=TRUE,3.5,0)))*(1-IF(AND(ArtifactsInput!$M$27,Inputs!$B$4="Chapter Hunt"),CHOOSE(ArtifactsInput!$N$27+1,20,24,28,32,36,40),0)/100)))+1)),0)</f>
        <v>2</v>
      </c>
      <c r="S3041">
        <f>IF(C3041,(H3041*N3041*IF(AND(Inputs!$B$38&lt;&gt;"pvp",Inputs!$B$43&gt;0),((Skills!G9*((R3041-1)*IF(Skills!H9&gt;0,Skills!I9/Skills!H9,1)+IF(Skills!H9&gt;0,MIN(Skills!I9,MAX(0,MAX(0,Inputs!$B$43-B3070)-((R3041-1)*(IF(Inputs!$B$38="pvp",15,MAX(0.1,Skills!E9-IF(TRUE=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692918076360849</v>
      </c>
      <c r="U3041">
        <f>IF(C3041,(H3041*N3041*IF(AND(Inputs!$B$38&lt;&gt;"pvp",Inputs!$B$43&gt;0),((Skills!G9*((R3041-1)*IF(Skills!H9&gt;0,Skills!I9/Skills!H9,1)+IF(Skills!H9&gt;0,MIN(Skills!I9,MAX(0,MAX(0,Inputs!$B$43-B3070)-((R3041-1)*(IF(Inputs!$B$38="pvp",15,MAX(0.1,Skills!E9-IF(TRUE=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6579442933268629</v>
      </c>
    </row>
    <row r="3042" spans="1:21" x14ac:dyDescent="0.2">
      <c r="A3042" t="str">
        <f>Skills!A10</f>
        <v>CREEPING_TOXIN</v>
      </c>
      <c r="B3042" t="str">
        <f>Skills!B10</f>
        <v>Creeping Toxin</v>
      </c>
      <c r="C3042" t="b">
        <f>TRUE</f>
        <v>1</v>
      </c>
      <c r="D3042">
        <f>IF(Skills!C10=1,60+Inputs!$B$25+Inputs!$B$29,IF(Skills!C10=2,90+Inputs!$B$26+Inputs!$B$29,IF(Skills!C10=3,120+Inputs!$B$27+Inputs!$B$29,MAX(0,(Inputs!$B$3-100)*3)+Inputs!$B$28+Inputs!$B$29)))</f>
        <v>184</v>
      </c>
      <c r="E3042">
        <f>INDEX(FactorTable!$B$2:$Y$301, MATCH(ROUND(MIN(300,MAX(1,D3042)),0), FactorTable!$A$2:$A$301,0), Skills!M10+1)</f>
        <v>1920</v>
      </c>
      <c r="F3042">
        <f>IF(Skills!N10=TRUE,(Skills!L10/10)*(E3042/1000),Skills!L10/10)+Skills!O10</f>
        <v>280.39999999999998</v>
      </c>
      <c r="G3042">
        <f>Calc!G10</f>
        <v>15</v>
      </c>
      <c r="H3042">
        <f>Calc!H10</f>
        <v>1</v>
      </c>
      <c r="I3042">
        <f>IF(Skills!X10&lt;&gt;"",1+(Skills!X10/10)*(Z3035/1000)/100,1)</f>
        <v>1.7650000000000001</v>
      </c>
      <c r="J3042">
        <f>((Inputs!$B$6*(1+Inputs!$B$7/100))+(((Inputs!$B$12*(1+Inputs!$B$13/100))-(Inputs!$B$12*(1+Inputs!$B$13/100)))+0.25*(Inputs!$B$14-Inputs!$B$14))*(1+Inputs!$B$7/100))*(F3042/100)</f>
        <v>1012621197.9803641</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9550843291476.8008</v>
      </c>
      <c r="L3042">
        <f>K3042*(MIN(Inputs!$B$22+(F3054-Calc!F22),(Inputs!$B$23+(IF(ArtifactsInput!$M$15,CHOOSE(ArtifactsInput!$N$15+1,25,30,35,40,45,50)/100*(Inputs!$B$11-Inputs!$B$11),0))))/100+(Inputs!$B$23+(IF(ArtifactsInput!$M$15,CHOOSE(ArtifactsInput!$N$15+1,25,30,35,40,45,50)/100*(Inputs!$B$11-Inputs!$B$11),0)))/100)/2</f>
        <v>31756553944160.363</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149859178062492.75</v>
      </c>
      <c r="N3042">
        <f>L3042*(1-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149859178062492.75</v>
      </c>
      <c r="O3042">
        <f>(1-Summary!$B$11)*S3042+Summary!$B$11*U3042</f>
        <v>391992141116852</v>
      </c>
      <c r="P3042">
        <f>IF(B3073=0,0,O3042/B3073)</f>
        <v>1.1076303653755485E-2</v>
      </c>
      <c r="Q3042">
        <f>IFERROR(1/(IF(Inputs!$B$38="pvp",15,MAX(0.1,Skills!E10-IF(TRUE=TRUE,3.5,0)))*(1-IF(AND(ArtifactsInput!$M$27,Inputs!$B$4="Chapter Hunt"),CHOOSE(ArtifactsInput!$N$27+1,20,24,28,32,36,40),0)/100)),0)</f>
        <v>4.2553191489361701E-2</v>
      </c>
      <c r="R3042">
        <f>IF(AND(Inputs!$B$38&lt;&gt;"pvp",Inputs!$B$43&gt;0),IF(MAX(0,Inputs!$B$43-B3070)&lt;=0,0,(INT(MAX(0,Inputs!$B$43-B3070)/(IF(Inputs!$B$38="pvp",15,MAX(0.1,Skills!E10-IF(TRUE=TRUE,3.5,0)))*(1-IF(AND(ArtifactsInput!$M$27,Inputs!$B$4="Chapter Hunt"),CHOOSE(ArtifactsInput!$N$27+1,20,24,28,32,36,40),0)/100)))+1)),0)</f>
        <v>2</v>
      </c>
      <c r="S3042">
        <f>IF(C3042,(H3042*N3042*IF(AND(Inputs!$B$38&lt;&gt;"pvp",Inputs!$B$43&gt;0),((Skills!G10*((R3042-1)*IF(Skills!H10&gt;0,Skills!I10/Skills!H10,1)+IF(Skills!H10&gt;0,MIN(Skills!I10,MAX(0,MAX(0,Inputs!$B$43-B3070)-((R3042-1)*(IF(Inputs!$B$38="pvp",15,MAX(0.1,Skills!E10-IF(TRUE=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346132336306523.94</v>
      </c>
      <c r="U3042">
        <f>IF(C3042,(H3042*N3042*IF(AND(Inputs!$B$38&lt;&gt;"pvp",Inputs!$B$43&gt;0),((Skills!G10*((R3042-1)*IF(Skills!H10&gt;0,Skills!I10/Skills!H10,1)+IF(Skills!H10&gt;0,MIN(Skills!I10,MAX(0,MAX(0,Inputs!$B$43-B3070)-((R3042-1)*(IF(Inputs!$B$38="pvp",15,MAX(0.1,Skills!E10-IF(TRUE=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437851945927180.12</v>
      </c>
    </row>
    <row r="3043" spans="1:21" x14ac:dyDescent="0.2">
      <c r="A3043" t="str">
        <f>Skills!A11</f>
        <v>BURNING_MAGIC</v>
      </c>
      <c r="B3043" t="str">
        <f>Skills!B11</f>
        <v>Burning Magic</v>
      </c>
      <c r="C3043" t="b">
        <f>TRUE</f>
        <v>1</v>
      </c>
      <c r="D3043">
        <f>IF(Skills!C11=1,60+Inputs!$B$25+Inputs!$B$29,IF(Skills!C11=2,90+Inputs!$B$26+Inputs!$B$29,IF(Skills!C11=3,120+Inputs!$B$27+Inputs!$B$29,MAX(0,(Inputs!$B$3-100)*3)+Inputs!$B$28+Inputs!$B$29)))</f>
        <v>184</v>
      </c>
      <c r="E3043">
        <f>INDEX(FactorTable!$B$2:$Y$301, MATCH(ROUND(MIN(300,MAX(1,D3043)),0), FactorTable!$A$2:$A$301,0), Skills!M11+1)</f>
        <v>0</v>
      </c>
      <c r="F3043">
        <f>IF(Skills!N11=TRUE,(Skills!L11/10)*(E3043/1000),Skills!L11/10)+Skills!O11</f>
        <v>5</v>
      </c>
      <c r="G3043">
        <f>Calc!G11</f>
        <v>1</v>
      </c>
      <c r="H3043">
        <f>Calc!H11</f>
        <v>1</v>
      </c>
      <c r="I3043">
        <f>IF(Skills!X11&lt;&gt;"",1+(Skills!X11/10)*(Z3035/1000)/100,1)</f>
        <v>1</v>
      </c>
      <c r="O3043">
        <f>(1-Summary!$B$11)*S3043+Summary!$B$11*U3043</f>
        <v>0</v>
      </c>
      <c r="P3043">
        <f>IF(B3073=0,0,O3043/B3073)</f>
        <v>0</v>
      </c>
      <c r="Q3043">
        <f>IFERROR(1/(IF(Inputs!$B$38="pvp",15,MAX(0.1,Skills!E11-IF(TRUE=TRUE,3.5,0)))*(1-IF(AND(ArtifactsInput!$M$27,Inputs!$B$4="Chapter Hunt"),CHOOSE(ArtifactsInput!$N$27+1,20,24,28,32,36,40),0)/100)),0)</f>
        <v>10</v>
      </c>
      <c r="R3043">
        <v>0</v>
      </c>
      <c r="S3043">
        <v>0</v>
      </c>
      <c r="U3043">
        <v>0</v>
      </c>
    </row>
    <row r="3044" spans="1:21" x14ac:dyDescent="0.2">
      <c r="A3044" t="str">
        <f>Skills!A12</f>
        <v>ELEMENTAL_DECREASE</v>
      </c>
      <c r="B3044" t="str">
        <f>Skills!B12</f>
        <v>Elemental Decrease</v>
      </c>
      <c r="C3044" t="b">
        <f>TRUE</f>
        <v>1</v>
      </c>
      <c r="D3044">
        <f>IF(Skills!C12=1,60+Inputs!$B$25+Inputs!$B$29,IF(Skills!C12=2,90+Inputs!$B$26+Inputs!$B$29,IF(Skills!C12=3,120+Inputs!$B$27+Inputs!$B$29,MAX(0,(Inputs!$B$3-100)*3)+Inputs!$B$28+Inputs!$B$29)))</f>
        <v>184</v>
      </c>
      <c r="E3044">
        <f>INDEX(FactorTable!$B$2:$Y$301, MATCH(ROUND(MIN(300,MAX(1,D3044)),0), FactorTable!$A$2:$A$301,0), Skills!M12+1)</f>
        <v>1552</v>
      </c>
      <c r="F3044">
        <f>IF(Skills!N12=TRUE,(Skills!L12/10)*(E3044/1000),Skills!L12/10)+Skills!O12</f>
        <v>18.624000000000002</v>
      </c>
      <c r="G3044">
        <f>Calc!G12</f>
        <v>1</v>
      </c>
      <c r="H3044">
        <f>Calc!H12</f>
        <v>0.5</v>
      </c>
      <c r="I3044">
        <f>IF(Skills!X12&lt;&gt;"",1+(Skills!X12/10)*(Z3035/1000)/100,1)</f>
        <v>1</v>
      </c>
      <c r="O3044">
        <f>(1-Summary!$B$11)*S3044+Summary!$B$11*U3044</f>
        <v>0</v>
      </c>
      <c r="P3044">
        <f>IF(B3073=0,0,O3044/B3073)</f>
        <v>0</v>
      </c>
      <c r="Q3044">
        <f>IFERROR(1/(IF(Inputs!$B$38="pvp",15,MAX(0.1,Skills!E12-IF(TRUE=TRUE,3.5,0)))*(1-IF(AND(ArtifactsInput!$M$27,Inputs!$B$4="Chapter Hunt"),CHOOSE(ArtifactsInput!$N$27+1,20,24,28,32,36,40),0)/100)),0)</f>
        <v>10</v>
      </c>
      <c r="R3044">
        <v>0</v>
      </c>
      <c r="S3044">
        <v>0</v>
      </c>
      <c r="U3044">
        <v>0</v>
      </c>
    </row>
    <row r="3045" spans="1:21" x14ac:dyDescent="0.2">
      <c r="A3045" t="str">
        <f>Skills!A13</f>
        <v>METEOR_SHOWER_BURST</v>
      </c>
      <c r="B3045" t="str">
        <f>Skills!B13</f>
        <v>Meteor Shower (burst)</v>
      </c>
      <c r="C3045" t="b">
        <f>Inputs!$B$3&gt;=105</f>
        <v>1</v>
      </c>
      <c r="D3045">
        <f>IF(Skills!C13=1,60+Inputs!$B$25+Inputs!$B$29,IF(Skills!C13=2,90+Inputs!$B$26+Inputs!$B$29,IF(Skills!C13=3,120+Inputs!$B$27+Inputs!$B$29,MAX(0,(Inputs!$B$3-100)*3)+Inputs!$B$28+Inputs!$B$29)))</f>
        <v>185</v>
      </c>
      <c r="E3045">
        <f>INDEX(FactorTable!$B$2:$Y$301, MATCH(ROUND(MIN(300,MAX(1,D3045)),0), FactorTable!$A$2:$A$301,0), Skills!M13+1)</f>
        <v>1925</v>
      </c>
      <c r="F3045">
        <f>IF(Skills!N13=TRUE,(Skills!L13/10)*(E3045/1000),Skills!L13/10)+Skills!O13</f>
        <v>1155</v>
      </c>
      <c r="G3045">
        <f>Calc!G13</f>
        <v>9</v>
      </c>
      <c r="H3045">
        <f>Calc!H13</f>
        <v>1</v>
      </c>
      <c r="I3045">
        <f>IF(Skills!X13&lt;&gt;"",1+(Skills!X13/10)*(Z3035/1000)/100,1)</f>
        <v>1</v>
      </c>
      <c r="J3045">
        <f>((Inputs!$B$6*(1+Inputs!$B$7/100))+(((Inputs!$B$12*(1+Inputs!$B$13/100))-(Inputs!$B$12*(1+Inputs!$B$13/100)))+0.25*(Inputs!$B$14-Inputs!$B$14))*(1+Inputs!$B$7/100))*(F3045/100)</f>
        <v>4171103722.0660505</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22289533773394.758</v>
      </c>
      <c r="L3045">
        <f>K3045*(MIN(Inputs!$B$22+(F3054-Calc!F22),(Inputs!$B$23+(IF(ArtifactsInput!$M$15,CHOOSE(ArtifactsInput!$N$15+1,25,30,35,40,45,50)/100*(Inputs!$B$11-Inputs!$B$11),0))))/100+(Inputs!$B$23+(IF(ArtifactsInput!$M$15,CHOOSE(ArtifactsInput!$N$15+1,25,30,35,40,45,50)/100*(Inputs!$B$11-Inputs!$B$11),0)))/100)/2</f>
        <v>74112699796537.578</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349737830339860.81</v>
      </c>
      <c r="N3045">
        <f>L3045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349737830339860.81</v>
      </c>
      <c r="O3045">
        <f>(1-Summary!$B$11)*S3045+Summary!$B$11*U3045</f>
        <v>1907470126673601</v>
      </c>
      <c r="P3045">
        <f>IF(B3073=0,0,O3045/B3073)</f>
        <v>5.3898321209470669E-2</v>
      </c>
      <c r="Q3045">
        <f>IFERROR(1/(IF(Inputs!$B$38="pvp",15,MAX(0.1,Skills!E13-IF(TRUE=TRUE,3.5,0)))*(1-IF(AND(ArtifactsInput!$M$27,Inputs!$B$4="Chapter Hunt"),CHOOSE(ArtifactsInput!$N$27+1,20,24,28,32,36,40),0)/100)),0)</f>
        <v>3.3898305084745763E-2</v>
      </c>
      <c r="R3045">
        <f>IF(AND(Inputs!$B$38&lt;&gt;"pvp",Inputs!$B$43&gt;0),IF(MAX(0,Inputs!$B$43-B3070)&lt;=0,0,(INT(MAX(0,Inputs!$B$43-B3070)/(IF(Inputs!$B$38="pvp",15,MAX(0.1,Skills!E13-IF(TRUE=TRUE,3.5,0)))*(1-IF(AND(ArtifactsInput!$M$27,Inputs!$B$4="Chapter Hunt"),CHOOSE(ArtifactsInput!$N$27+1,20,24,28,32,36,40),0)/100)))+1)),0)</f>
        <v>2</v>
      </c>
      <c r="S3045">
        <f>IF(C3045,(H3045*N3045*IF(AND(Inputs!$B$38&lt;&gt;"pvp",Inputs!$B$43&gt;0),((Skills!G13*((R3045-1)*IF(Skills!H13&gt;0,Skills!I13/Skills!H13,1)+IF(Skills!H13&gt;0,MIN(Skills!I13,MAX(0,MAX(0,Inputs!$B$43-B3070)-((R3045-1)*(IF(Inputs!$B$38="pvp",15,MAX(0.1,Skills!E13-IF(TRUE=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498901014979811.44</v>
      </c>
      <c r="U3045">
        <f>IF(C3045,(H3045*N3045*IF(AND(Inputs!$B$38&lt;&gt;"pvp",Inputs!$B$43&gt;0),((Skills!G13*((R3045-1)*IF(Skills!H13&gt;0,Skills!I13/Skills!H13,1)+IF(Skills!H13&gt;0,MIN(Skills!I13,MAX(0,MAX(0,Inputs!$B$43-B3070)-((R3045-1)*(IF(Inputs!$B$38="pvp",15,MAX(0.1,Skills!E13-IF(TRUE=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3316039238367390.5</v>
      </c>
    </row>
    <row r="3046" spans="1:21" x14ac:dyDescent="0.2">
      <c r="A3046" t="str">
        <f>Skills!A14</f>
        <v>METEOR_PROC</v>
      </c>
      <c r="B3046" t="str">
        <f>Skills!B14</f>
        <v>Meteor Proc (30% on-hit, 1s ICD)</v>
      </c>
      <c r="C3046" t="b">
        <f>Inputs!$B$3&gt;=113</f>
        <v>1</v>
      </c>
      <c r="D3046">
        <f>IF(Skills!C14=1,60+Inputs!$B$25+Inputs!$B$29,IF(Skills!C14=2,90+Inputs!$B$26+Inputs!$B$29,IF(Skills!C14=3,120+Inputs!$B$27+Inputs!$B$29,MAX(0,(Inputs!$B$3-100)*3)+Inputs!$B$28+Inputs!$B$29)))</f>
        <v>185</v>
      </c>
      <c r="E3046">
        <f>INDEX(FactorTable!$B$2:$Y$301, MATCH(ROUND(MIN(300,MAX(1,D3046)),0), FactorTable!$A$2:$A$301,0), Skills!M14+1)</f>
        <v>1740</v>
      </c>
      <c r="F3046">
        <f>IF(Skills!N14=TRUE,(Skills!L14/10)*(E3046/1000),Skills!L14/10)+Skills!O14</f>
        <v>1653</v>
      </c>
      <c r="G3046">
        <f>Calc!G14</f>
        <v>0</v>
      </c>
      <c r="H3046">
        <f>Calc!H14</f>
        <v>0.30000000000000004</v>
      </c>
      <c r="I3046">
        <f>IF(Skills!X14&lt;&gt;"",1+(Skills!X14/10)*(Z3035/1000)/100,1)</f>
        <v>1</v>
      </c>
      <c r="J3046">
        <f>((Inputs!$B$6*(1+Inputs!$B$7/100))+(((Inputs!$B$12*(1+Inputs!$B$13/100))-(Inputs!$B$12*(1+Inputs!$B$13/100)))+0.25*(Inputs!$B$14-Inputs!$B$14))*(1+Inputs!$B$7/100))*(F3046/100)</f>
        <v>5969553638.5932312</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31900085997767.555</v>
      </c>
      <c r="L3046">
        <f>K3046*(MIN(Inputs!$B$22+(F3054-Calc!F22),(Inputs!$B$23+(IF(ArtifactsInput!$M$15,CHOOSE(ArtifactsInput!$N$15+1,25,30,35,40,45,50)/100*(Inputs!$B$11-Inputs!$B$11),0))))/100+(Inputs!$B$23+(IF(ArtifactsInput!$M$15,CHOOSE(ArtifactsInput!$N$15+1,25,30,35,40,45,50)/100*(Inputs!$B$11-Inputs!$B$11),0)))/100)/2</f>
        <v>106067785942577.12</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500533881863021.38</v>
      </c>
      <c r="N3046">
        <f>L3046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500533881863021.38</v>
      </c>
      <c r="O3046">
        <f>(1-Summary!$B$11)*S3046+Summary!$B$11*U3046</f>
        <v>485111174712496.25</v>
      </c>
      <c r="P3046">
        <f>IF(B3073=0,0,O3046/B3073)</f>
        <v>1.3707516333455998E-2</v>
      </c>
      <c r="Q3046">
        <f>IFERROR(1/(IF(Inputs!$B$38="pvp",15,MAX(0.1,Skills!E14-IF(TRUE=TRUE,3.5,0)))*(1-IF(AND(ArtifactsInput!$M$27,Inputs!$B$4="Chapter Hunt"),CHOOSE(ArtifactsInput!$N$27+1,20,24,28,32,36,40),0)/100)),0)</f>
        <v>10</v>
      </c>
      <c r="R3046">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497670687326412.06</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472551662098580.5</v>
      </c>
    </row>
    <row r="3047" spans="1:21" x14ac:dyDescent="0.2">
      <c r="A3047" t="str">
        <f>Skills!A15</f>
        <v>FLAME_HAZE_BURST</v>
      </c>
      <c r="B3047" t="str">
        <f>Skills!B15</f>
        <v>Flame Haze (burst)</v>
      </c>
      <c r="C3047" t="b">
        <f>Inputs!$B$3&gt;=107</f>
        <v>1</v>
      </c>
      <c r="D3047">
        <f>IF(Skills!C15=1,60+Inputs!$B$25+Inputs!$B$29,IF(Skills!C15=2,90+Inputs!$B$26+Inputs!$B$29,IF(Skills!C15=3,120+Inputs!$B$27+Inputs!$B$29,MAX(0,(Inputs!$B$3-100)*3)+Inputs!$B$28+Inputs!$B$29)))</f>
        <v>185</v>
      </c>
      <c r="E3047">
        <f>INDEX(FactorTable!$B$2:$Y$301, MATCH(ROUND(MIN(300,MAX(1,D3047)),0), FactorTable!$A$2:$A$301,0), Skills!M15+1)</f>
        <v>1925</v>
      </c>
      <c r="F3047">
        <f>IF(Skills!N15=TRUE,(Skills!L15/10)*(E3047/1000),Skills!L15/10)+Skills!O15</f>
        <v>2310</v>
      </c>
      <c r="G3047">
        <f>Calc!G15</f>
        <v>3</v>
      </c>
      <c r="H3047">
        <f>Calc!H15</f>
        <v>1</v>
      </c>
      <c r="I3047">
        <f>IF(Skills!X15&lt;&gt;"",1+(Skills!X15/10)*(Z3035/1000)/100,1)</f>
        <v>1</v>
      </c>
      <c r="J3047">
        <f>((Inputs!$B$6*(1+Inputs!$B$7/100))+(((Inputs!$B$12*(1+Inputs!$B$13/100))-(Inputs!$B$12*(1+Inputs!$B$13/100)))+0.25*(Inputs!$B$14-Inputs!$B$14))*(1+Inputs!$B$7/100))*(F3047/100)</f>
        <v>8342207444.1321011</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44579067546789.516</v>
      </c>
      <c r="L3047">
        <f>K3047*(MIN(Inputs!$B$22+(F3054-Calc!F22),(Inputs!$B$23+(IF(ArtifactsInput!$M$15,CHOOSE(ArtifactsInput!$N$15+1,25,30,35,40,45,50)/100*(Inputs!$B$11-Inputs!$B$11),0))))/100+(Inputs!$B$23+(IF(ArtifactsInput!$M$15,CHOOSE(ArtifactsInput!$N$15+1,25,30,35,40,45,50)/100*(Inputs!$B$11-Inputs!$B$11),0)))/100)/2</f>
        <v>148225399593075.16</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699475660679721.62</v>
      </c>
      <c r="N3047">
        <f>L3047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699475660679721.62</v>
      </c>
      <c r="O3047">
        <f>(1-Summary!$B$11)*S3047+Summary!$B$11*U3047</f>
        <v>1745366642311075</v>
      </c>
      <c r="P3047">
        <f>IF(B3073=0,0,O3047/B3073)</f>
        <v>4.9317853317906724E-2</v>
      </c>
      <c r="Q3047">
        <f>IFERROR(1/(IF(Inputs!$B$38="pvp",15,MAX(0.1,Skills!E15-IF(TRUE=TRUE,3.5,0)))*(1-IF(AND(ArtifactsInput!$M$27,Inputs!$B$4="Chapter Hunt"),CHOOSE(ArtifactsInput!$N$27+1,20,24,28,32,36,40),0)/100)),0)</f>
        <v>4.6511627906976744E-2</v>
      </c>
      <c r="R3047">
        <f>IF(AND(Inputs!$B$38&lt;&gt;"pvp",Inputs!$B$43&gt;0),IF(MAX(0,Inputs!$B$43-B3070)&lt;=0,0,(INT(MAX(0,Inputs!$B$43-B3070)/(IF(Inputs!$B$38="pvp",15,MAX(0.1,Skills!E15-IF(TRUE=TRUE,3.5,0)))*(1-IF(AND(ArtifactsInput!$M$27,Inputs!$B$4="Chapter Hunt"),CHOOSE(ArtifactsInput!$N$27+1,20,24,28,32,36,40),0)/100)))+1)),0)</f>
        <v>2</v>
      </c>
      <c r="S3047">
        <f>IF(C3047,(H3047*N3047*IF(AND(Inputs!$B$38&lt;&gt;"pvp",Inputs!$B$43&gt;0),((Skills!G15*((R3047-1)*IF(Skills!H15&gt;0,Skills!I15/Skills!H15,1)+IF(Skills!H15&gt;0,MIN(Skills!I15,MAX(0,MAX(0,Inputs!$B$43-B3070)-((R3047-1)*(IF(Inputs!$B$38="pvp",15,MAX(0.1,Skills!E15-IF(TRUE=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332600676653207.62</v>
      </c>
      <c r="U3047">
        <f>IF(C3047,(H3047*N3047*IF(AND(Inputs!$B$38&lt;&gt;"pvp",Inputs!$B$43&gt;0),((Skills!G15*((R3047-1)*IF(Skills!H15&gt;0,Skills!I15/Skills!H15,1)+IF(Skills!H15&gt;0,MIN(Skills!I15,MAX(0,MAX(0,Inputs!$B$43-B3070)-((R3047-1)*(IF(Inputs!$B$38="pvp",15,MAX(0.1,Skills!E15-IF(TRUE=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3158132607968942.5</v>
      </c>
    </row>
    <row r="3048" spans="1:21" x14ac:dyDescent="0.2">
      <c r="A3048" t="str">
        <f>Skills!A16</f>
        <v>FLAME_HAZE_DOT</v>
      </c>
      <c r="B3048" t="str">
        <f>Skills!B16</f>
        <v>Flame Haze (burn DoT)</v>
      </c>
      <c r="C3048" t="b">
        <f>Inputs!$B$3&gt;=107</f>
        <v>1</v>
      </c>
      <c r="D3048">
        <f>IF(Skills!C16=1,60+Inputs!$B$25+Inputs!$B$29,IF(Skills!C16=2,90+Inputs!$B$26+Inputs!$B$29,IF(Skills!C16=3,120+Inputs!$B$27+Inputs!$B$29,MAX(0,(Inputs!$B$3-100)*3)+Inputs!$B$28+Inputs!$B$29)))</f>
        <v>185</v>
      </c>
      <c r="E3048">
        <f>INDEX(FactorTable!$B$2:$Y$301, MATCH(ROUND(MIN(300,MAX(1,D3048)),0), FactorTable!$A$2:$A$301,0), Skills!M16+1)</f>
        <v>1925</v>
      </c>
      <c r="F3048">
        <f>IF(Skills!N16=TRUE,(Skills!L16/10)*(E3048/1000),Skills!L16/10)+Skills!O16</f>
        <v>288.75</v>
      </c>
      <c r="G3048">
        <f>Calc!G16</f>
        <v>30</v>
      </c>
      <c r="H3048">
        <f>Calc!H16</f>
        <v>1</v>
      </c>
      <c r="I3048">
        <f>IF(Skills!X16&lt;&gt;"",1+(Skills!X16/10)*(Z3035/1000)/100,1)</f>
        <v>1</v>
      </c>
      <c r="J3048">
        <f>((Inputs!$B$6*(1+Inputs!$B$7/100))+(((Inputs!$B$12*(1+Inputs!$B$13/100))-(Inputs!$B$12*(1+Inputs!$B$13/100)))+0.25*(Inputs!$B$14-Inputs!$B$14))*(1+Inputs!$B$7/100))*(F3048/100)</f>
        <v>1042775930.5165126</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5572383443348.6895</v>
      </c>
      <c r="L3048">
        <f>K3048*(MIN(Inputs!$B$22+(F3054-Calc!F22),(Inputs!$B$23+(IF(ArtifactsInput!$M$15,CHOOSE(ArtifactsInput!$N$15+1,25,30,35,40,45,50)/100*(Inputs!$B$11-Inputs!$B$11),0))))/100+(Inputs!$B$23+(IF(ArtifactsInput!$M$15,CHOOSE(ArtifactsInput!$N$15+1,25,30,35,40,45,50)/100*(Inputs!$B$11-Inputs!$B$11),0)))/100)/2</f>
        <v>18528174949134.395</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87434457584965.203</v>
      </c>
      <c r="N3048">
        <f>L3048*(1-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87434457584965.203</v>
      </c>
      <c r="O3048">
        <f>(1-Summary!$B$11)*S3048+Summary!$B$11*U3048</f>
        <v>2181708302888844.2</v>
      </c>
      <c r="P3048">
        <f>IF(B3073=0,0,O3048/B3073)</f>
        <v>6.1647316647383425E-2</v>
      </c>
      <c r="Q3048">
        <f>IFERROR(1/(IF(Inputs!$B$38="pvp",15,MAX(0.1,Skills!E16-IF(TRUE=TRUE,3.5,0)))*(1-IF(AND(ArtifactsInput!$M$27,Inputs!$B$4="Chapter Hunt"),CHOOSE(ArtifactsInput!$N$27+1,20,24,28,32,36,40),0)/100)),0)</f>
        <v>4.6511627906976744E-2</v>
      </c>
      <c r="R3048">
        <f>IF(AND(Inputs!$B$38&lt;&gt;"pvp",Inputs!$B$43&gt;0),IF(MAX(0,Inputs!$B$43-B3070)&lt;=0,0,(INT(MAX(0,Inputs!$B$43-B3070)/(IF(Inputs!$B$38="pvp",15,MAX(0.1,Skills!E16-IF(TRUE=TRUE,3.5,0)))*(1-IF(AND(ArtifactsInput!$M$27,Inputs!$B$4="Chapter Hunt"),CHOOSE(ArtifactsInput!$N$27+1,20,24,28,32,36,40),0)/100)))+1)),0)</f>
        <v>2</v>
      </c>
      <c r="S3048">
        <f>IF(C3048,(H3048*N3048*IF(AND(Inputs!$B$38&lt;&gt;"pvp",Inputs!$B$43&gt;0),((Skills!G16*((R3048-1)*IF(Skills!H16&gt;0,Skills!I16/Skills!H16,1)+IF(Skills!H16&gt;0,MIN(Skills!I16,MAX(0,MAX(0,Inputs!$B$43-B3070)-((R3048-1)*(IF(Inputs!$B$38="pvp",15,MAX(0.1,Skills!E16-IF(TRUE=TRUE,3.5,0)))*(1-IF(AND(ArtifactsInput!$M$27,Inputs!$B$4="Chapter Hunt"),CHOOSE(ArtifactsInput!$N$27+1,20,24,28,32,36,40),0)/100)))))/Skills!H16,1)))/Inputs!$B$43),G3048*Q3048)*(1+IF(Inputs!$B$3&gt;=126,0.05*(B3068+Q3045+(H3046*B3069)/(1+Skills!H14*H3046*B3069)+Q3056),0)*(1/Q3047)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415750845816509.56</v>
      </c>
      <c r="U3048">
        <f>IF(C3048,(H3048*N3048*IF(AND(Inputs!$B$38&lt;&gt;"pvp",Inputs!$B$43&gt;0),((Skills!G16*((R3048-1)*IF(Skills!H16&gt;0,Skills!I16/Skills!H16,1)+IF(Skills!H16&gt;0,MIN(Skills!I16,MAX(0,MAX(0,Inputs!$B$43-B3070)-((R3048-1)*(IF(Inputs!$B$38="pvp",15,MAX(0.1,Skills!E16-IF(TRUE=TRUE,3.5,0)))*(1-IF(AND(ArtifactsInput!$M$27,Inputs!$B$4="Chapter Hunt"),CHOOSE(ArtifactsInput!$N$27+1,20,24,28,32,36,40),0)/100)))))/Skills!H16,1)))/Inputs!$B$43),G3048*Q3048)*(1+IF(Inputs!$B$3&gt;=126,0.05*(B3068+Q3045+(H3046*B3069)/(1+Skills!H14*H3046*B3069)+Q3056),0)*(1/Q3047)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3947665759961179</v>
      </c>
    </row>
    <row r="3049" spans="1:21" x14ac:dyDescent="0.2">
      <c r="A3049" t="str">
        <f>Skills!A17</f>
        <v>MAGIC_GUARD</v>
      </c>
      <c r="B3049" t="str">
        <f>Skills!B17</f>
        <v>Magic Guard</v>
      </c>
      <c r="C3049" t="b">
        <f>TRUE</f>
        <v>1</v>
      </c>
      <c r="D3049">
        <f>IF(Skills!C17=1,60+Inputs!$B$25+Inputs!$B$29,IF(Skills!C17=2,90+Inputs!$B$26+Inputs!$B$29,IF(Skills!C17=3,120+Inputs!$B$27+Inputs!$B$29,MAX(0,(Inputs!$B$3-100)*3)+Inputs!$B$28+Inputs!$B$29)))</f>
        <v>127</v>
      </c>
      <c r="E3049">
        <f>INDEX(FactorTable!$B$2:$Y$301, MATCH(ROUND(MIN(300,MAX(1,D3049)),0), FactorTable!$A$2:$A$301,0), Skills!M17+1)</f>
        <v>1508</v>
      </c>
      <c r="F3049">
        <f>IF(Skills!N17=TRUE,(Skills!L17/10)*(E3049/1000),Skills!L17/10)+Skills!O17</f>
        <v>18.096</v>
      </c>
      <c r="G3049">
        <f>Calc!G17</f>
        <v>1</v>
      </c>
      <c r="H3049">
        <f>Calc!H17</f>
        <v>1</v>
      </c>
      <c r="I3049">
        <f>IF(Skills!X17&lt;&gt;"",1+(Skills!X17/10)*(Z3035/1000)/100,1)</f>
        <v>1</v>
      </c>
      <c r="O3049">
        <f>(1-Summary!$B$11)*S3049+Summary!$B$11*U3049</f>
        <v>0</v>
      </c>
      <c r="P3049">
        <f>IF(B3073=0,0,O3049/B3073)</f>
        <v>0</v>
      </c>
      <c r="Q3049">
        <f>IFERROR(1/(IF(Inputs!$B$38="pvp",15,MAX(0.1,Skills!E17-IF(TRUE=TRUE,3.5,0)))*(1-IF(AND(ArtifactsInput!$M$27,Inputs!$B$4="Chapter Hunt"),CHOOSE(ArtifactsInput!$N$27+1,20,24,28,32,36,40),0)/100)),0)</f>
        <v>5.7142857142857141E-2</v>
      </c>
      <c r="R3049">
        <f>IF(AND(Inputs!$B$38&lt;&gt;"pvp",Inputs!$B$43&gt;0),IF(Inputs!$B$43&lt;=0,0,(INT(Inputs!$B$43/(IF(Inputs!$B$38="pvp",15,MAX(0.1,Skills!E17-IF(TRUE=TRUE,3.5,0)))*(1-IF(AND(ArtifactsInput!$M$27,Inputs!$B$4="Chapter Hunt"),CHOOSE(ArtifactsInput!$N$27+1,20,24,28,32,36,40),0)/100)))+1)),0)</f>
        <v>3</v>
      </c>
      <c r="S3049">
        <v>0</v>
      </c>
      <c r="U3049">
        <v>0</v>
      </c>
    </row>
    <row r="3050" spans="1:21" x14ac:dyDescent="0.2">
      <c r="A3050" t="str">
        <f>Skills!A18</f>
        <v>NIMBLE_FEET</v>
      </c>
      <c r="B3050" t="str">
        <f>Skills!B18</f>
        <v>Nimble Feet</v>
      </c>
      <c r="C3050" t="b">
        <f>TRUE</f>
        <v>1</v>
      </c>
      <c r="D3050">
        <f>IF(Skills!C18=1,60+Inputs!$B$25+Inputs!$B$29,IF(Skills!C18=2,90+Inputs!$B$26+Inputs!$B$29,IF(Skills!C18=3,120+Inputs!$B$27+Inputs!$B$29,MAX(0,(Inputs!$B$3-100)*3)+Inputs!$B$28+Inputs!$B$29)))</f>
        <v>127</v>
      </c>
      <c r="E3050">
        <f>INDEX(FactorTable!$B$2:$Y$301, MATCH(ROUND(MIN(300,MAX(1,D3050)),0), FactorTable!$A$2:$A$301,0), Skills!M18+1)</f>
        <v>0</v>
      </c>
      <c r="F3050">
        <f>IF(Skills!N18=TRUE,(Skills!L18/10)*(E3050/1000),Skills!L18/10)+Skills!O18</f>
        <v>15</v>
      </c>
      <c r="G3050">
        <f>Calc!G18</f>
        <v>1</v>
      </c>
      <c r="H3050">
        <f>Calc!H18</f>
        <v>1</v>
      </c>
      <c r="I3050">
        <f>IF(Skills!X18&lt;&gt;"",1+(Skills!X18/10)*(Z3035/1000)/100,1)</f>
        <v>1</v>
      </c>
      <c r="O3050">
        <f>(1-Summary!$B$11)*S3050+Summary!$B$11*U3050</f>
        <v>0</v>
      </c>
      <c r="P3050">
        <f>IF(B3073=0,0,O3050/B3073)</f>
        <v>0</v>
      </c>
      <c r="Q3050">
        <f>IFERROR(1/(IF(Inputs!$B$38="pvp",15,MAX(0.1,Skills!E18-IF(TRUE=TRUE,3.5,0)))*(1-IF(AND(ArtifactsInput!$M$27,Inputs!$B$4="Chapter Hunt"),CHOOSE(ArtifactsInput!$N$27+1,20,24,28,32,36,40),0)/100)),0)</f>
        <v>1.7699115044247787E-2</v>
      </c>
      <c r="R3050">
        <f>IF(AND(Inputs!$B$38&lt;&gt;"pvp",Inputs!$B$43&gt;0),IF(Inputs!$B$43&lt;=0,0,(INT(Inputs!$B$43/(IF(Inputs!$B$38="pvp",15,MAX(0.1,Skills!E18-IF(TRUE=TRUE,3.5,0)))*(1-IF(AND(ArtifactsInput!$M$27,Inputs!$B$4="Chapter Hunt"),CHOOSE(ArtifactsInput!$N$27+1,20,24,28,32,36,40),0)/100)))+1)),0)</f>
        <v>1</v>
      </c>
      <c r="S3050">
        <v>0</v>
      </c>
      <c r="U3050">
        <v>0</v>
      </c>
    </row>
    <row r="3051" spans="1:21" x14ac:dyDescent="0.2">
      <c r="A3051" t="str">
        <f>Skills!A19</f>
        <v>INFINITY</v>
      </c>
      <c r="B3051" t="str">
        <f>Skills!B19</f>
        <v>Infinity</v>
      </c>
      <c r="C3051" t="b">
        <f>Inputs!$B$3&gt;=110</f>
        <v>1</v>
      </c>
      <c r="D3051">
        <f>IF(Skills!C19=1,60+Inputs!$B$25+Inputs!$B$29,IF(Skills!C19=2,90+Inputs!$B$26+Inputs!$B$29,IF(Skills!C19=3,120+Inputs!$B$27+Inputs!$B$29,MAX(0,(Inputs!$B$3-100)*3)+Inputs!$B$28+Inputs!$B$29)))</f>
        <v>185</v>
      </c>
      <c r="E3051">
        <f>INDEX(FactorTable!$B$2:$Y$301, MATCH(ROUND(MIN(300,MAX(1,D3051)),0), FactorTable!$A$2:$A$301,0), Skills!M19+1)</f>
        <v>1740</v>
      </c>
      <c r="F3051">
        <f>IF(Skills!N19=TRUE,(Skills!L19/10)*(E3051/1000),Skills!L19/10)+Skills!O19</f>
        <v>37.700579999999995</v>
      </c>
      <c r="G3051">
        <f>Calc!G19</f>
        <v>1</v>
      </c>
      <c r="H3051">
        <f>Calc!H19</f>
        <v>1</v>
      </c>
      <c r="I3051">
        <f>IF(Skills!X19&lt;&gt;"",1+(Skills!X19/10)*(Z3035/1000)/100,1)</f>
        <v>1</v>
      </c>
      <c r="O3051">
        <f>(1-Summary!$B$11)*S3051+Summary!$B$11*U3051</f>
        <v>0</v>
      </c>
      <c r="P3051">
        <f>IF(B3073=0,0,O3051/B3073)</f>
        <v>0</v>
      </c>
      <c r="Q3051">
        <f>IFERROR(1/(IF(Inputs!$B$38="pvp",15,MAX(0.1,Skills!E19-IF(TRUE=TRUE,3.5,0)))*(1-IF(AND(ArtifactsInput!$M$27,Inputs!$B$4="Chapter Hunt"),CHOOSE(ArtifactsInput!$N$27+1,20,24,28,32,36,40),0)/100)),0)</f>
        <v>3.7735849056603772E-2</v>
      </c>
      <c r="R3051">
        <f>IF(AND(Inputs!$B$38&lt;&gt;"pvp",Inputs!$B$43&gt;0),IF(Inputs!$B$43&lt;=0,0,(INT(Inputs!$B$43/(IF(Inputs!$B$38="pvp",15,MAX(0.1,Skills!E19-IF(TRUE=TRUE,3.5,0)))*(1-IF(AND(ArtifactsInput!$M$27,Inputs!$B$4="Chapter Hunt"),CHOOSE(ArtifactsInput!$N$27+1,20,24,28,32,36,40),0)/100)))+1)),0)</f>
        <v>2</v>
      </c>
      <c r="S3051">
        <v>0</v>
      </c>
      <c r="U3051">
        <v>0</v>
      </c>
    </row>
    <row r="3052" spans="1:21" x14ac:dyDescent="0.2">
      <c r="A3052" t="str">
        <f>Skills!A20</f>
        <v>MAGIC_CRITICAL_RATE</v>
      </c>
      <c r="B3052" t="str">
        <f>Skills!B20</f>
        <v>Magic Critical (Crit Rate)</v>
      </c>
      <c r="C3052" t="b">
        <f>TRUE</f>
        <v>1</v>
      </c>
      <c r="D3052">
        <f>IF(Skills!C20=1,60+Inputs!$B$25+Inputs!$B$29,IF(Skills!C20=2,90+Inputs!$B$26+Inputs!$B$29,IF(Skills!C20=3,120+Inputs!$B$27+Inputs!$B$29,MAX(0,(Inputs!$B$3-100)*3)+Inputs!$B$28+Inputs!$B$29)))</f>
        <v>184</v>
      </c>
      <c r="E3052">
        <f>INDEX(FactorTable!$B$2:$Y$301, MATCH(ROUND(MIN(300,MAX(1,D3052)),0), FactorTable!$A$2:$A$301,0), Skills!M20+1)</f>
        <v>1552</v>
      </c>
      <c r="F3052">
        <f>IF(Skills!N20=TRUE,(Skills!L20/10)*(E3052/1000),Skills!L20/10)+Skills!O20</f>
        <v>12.416</v>
      </c>
      <c r="G3052">
        <f>Calc!G20</f>
        <v>1</v>
      </c>
      <c r="H3052">
        <f>Calc!H20</f>
        <v>1</v>
      </c>
      <c r="I3052">
        <f>IF(Skills!X20&lt;&gt;"",1+(Skills!X20/10)*(Z3035/1000)/100,1)</f>
        <v>1</v>
      </c>
      <c r="O3052">
        <f>(1-Summary!$B$11)*S3052+Summary!$B$11*U3052</f>
        <v>0</v>
      </c>
      <c r="P3052">
        <f>IF(B3073=0,0,O3052/B3073)</f>
        <v>0</v>
      </c>
      <c r="Q3052">
        <f>IFERROR(1/(IF(Inputs!$B$38="pvp",15,MAX(0.1,Skills!E20-IF(TRUE=TRUE,3.5,0)))*(1-IF(AND(ArtifactsInput!$M$27,Inputs!$B$4="Chapter Hunt"),CHOOSE(ArtifactsInput!$N$27+1,20,24,28,32,36,40),0)/100)),0)</f>
        <v>10</v>
      </c>
      <c r="R3052">
        <v>0</v>
      </c>
      <c r="S3052">
        <v>0</v>
      </c>
      <c r="U3052">
        <v>0</v>
      </c>
    </row>
    <row r="3053" spans="1:21" x14ac:dyDescent="0.2">
      <c r="A3053" t="str">
        <f>Skills!A21</f>
        <v>MAGIC_CRITICAL_DAMAGE</v>
      </c>
      <c r="B3053" t="str">
        <f>Skills!B21</f>
        <v>Magic Critical (Crit Damage)</v>
      </c>
      <c r="C3053" t="b">
        <f>TRUE</f>
        <v>1</v>
      </c>
      <c r="D3053">
        <f>IF(Skills!C21=1,60+Inputs!$B$25+Inputs!$B$29,IF(Skills!C21=2,90+Inputs!$B$26+Inputs!$B$29,IF(Skills!C21=3,120+Inputs!$B$27+Inputs!$B$29,MAX(0,(Inputs!$B$3-100)*3)+Inputs!$B$28+Inputs!$B$29)))</f>
        <v>184</v>
      </c>
      <c r="E3053">
        <f>INDEX(FactorTable!$B$2:$Y$301, MATCH(ROUND(MIN(300,MAX(1,D3053)),0), FactorTable!$A$2:$A$301,0), Skills!M21+1)</f>
        <v>1552</v>
      </c>
      <c r="F3053">
        <f>IF(Skills!N21=TRUE,(Skills!L21/10)*(E3053/1000),Skills!L21/10)+Skills!O21</f>
        <v>18.624000000000002</v>
      </c>
      <c r="G3053">
        <f>Calc!G21</f>
        <v>1</v>
      </c>
      <c r="H3053">
        <f>Calc!H21</f>
        <v>1</v>
      </c>
      <c r="I3053">
        <f>IF(Skills!X21&lt;&gt;"",1+(Skills!X21/10)*(Z3035/1000)/100,1)</f>
        <v>1</v>
      </c>
      <c r="O3053">
        <f>(1-Summary!$B$11)*S3053+Summary!$B$11*U3053</f>
        <v>0</v>
      </c>
      <c r="P3053">
        <f>IF(B3073=0,0,O3053/B3073)</f>
        <v>0</v>
      </c>
      <c r="Q3053">
        <f>IFERROR(1/(IF(Inputs!$B$38="pvp",15,MAX(0.1,Skills!E21-IF(TRUE=TRUE,3.5,0)))*(1-IF(AND(ArtifactsInput!$M$27,Inputs!$B$4="Chapter Hunt"),CHOOSE(ArtifactsInput!$N$27+1,20,24,28,32,36,40),0)/100)),0)</f>
        <v>10</v>
      </c>
      <c r="R3053">
        <v>0</v>
      </c>
      <c r="S3053">
        <v>0</v>
      </c>
      <c r="U3053">
        <v>0</v>
      </c>
    </row>
    <row r="3054" spans="1:21" x14ac:dyDescent="0.2">
      <c r="A3054" t="str">
        <f>Skills!A22</f>
        <v>SPELL_MASTERY</v>
      </c>
      <c r="B3054" t="str">
        <f>Skills!B22</f>
        <v>Spell Mastery</v>
      </c>
      <c r="C3054" t="b">
        <f>TRUE</f>
        <v>1</v>
      </c>
      <c r="D3054">
        <f>IF(Skills!C22=1,60+Inputs!$B$25+Inputs!$B$29,IF(Skills!C22=2,90+Inputs!$B$26+Inputs!$B$29,IF(Skills!C22=3,120+Inputs!$B$27+Inputs!$B$29,MAX(0,(Inputs!$B$3-100)*3)+Inputs!$B$28+Inputs!$B$29)))</f>
        <v>168</v>
      </c>
      <c r="E3054">
        <f>INDEX(FactorTable!$B$2:$Y$301, MATCH(ROUND(MIN(300,MAX(1,D3054)),0), FactorTable!$A$2:$A$301,0), Skills!M22+1)</f>
        <v>1504</v>
      </c>
      <c r="F3054">
        <f>IF(Skills!N22=TRUE,(Skills!L22/10)*(E3054/1000),Skills!L22/10)+Skills!O22</f>
        <v>22.56</v>
      </c>
      <c r="G3054">
        <f>Calc!G22</f>
        <v>1</v>
      </c>
      <c r="H3054">
        <f>Calc!H22</f>
        <v>1</v>
      </c>
      <c r="I3054">
        <f>IF(Skills!X22&lt;&gt;"",1+(Skills!X22/10)*(Z3035/1000)/100,1)</f>
        <v>1</v>
      </c>
      <c r="O3054">
        <f>(1-Summary!$B$11)*S3054+Summary!$B$11*U3054</f>
        <v>0</v>
      </c>
      <c r="P3054">
        <f>IF(B3073=0,0,O3054/B3073)</f>
        <v>0</v>
      </c>
      <c r="Q3054">
        <f>IFERROR(1/(IF(Inputs!$B$38="pvp",15,MAX(0.1,Skills!E22-IF(TRUE=TRUE,3.5,0)))*(1-IF(AND(ArtifactsInput!$M$27,Inputs!$B$4="Chapter Hunt"),CHOOSE(ArtifactsInput!$N$27+1,20,24,28,32,36,40),0)/100)),0)</f>
        <v>10</v>
      </c>
      <c r="R3054">
        <v>0</v>
      </c>
      <c r="S3054">
        <v>0</v>
      </c>
      <c r="U3054">
        <v>0</v>
      </c>
    </row>
    <row r="3055" spans="1:21" x14ac:dyDescent="0.2">
      <c r="A3055" t="str">
        <f>Skills!A23</f>
        <v>ELEMENT_AMPLIFICATION</v>
      </c>
      <c r="B3055" t="str">
        <f>Skills!B23</f>
        <v>Element Amplification</v>
      </c>
      <c r="C3055" t="b">
        <f>TRUE</f>
        <v>1</v>
      </c>
      <c r="D3055">
        <f>IF(Skills!C23=1,60+Inputs!$B$25+Inputs!$B$29,IF(Skills!C23=2,90+Inputs!$B$26+Inputs!$B$29,IF(Skills!C23=3,120+Inputs!$B$27+Inputs!$B$29,MAX(0,(Inputs!$B$3-100)*3)+Inputs!$B$28+Inputs!$B$29)))</f>
        <v>185</v>
      </c>
      <c r="E3055">
        <f>INDEX(FactorTable!$B$2:$Y$301, MATCH(ROUND(MIN(300,MAX(1,D3055)),0), FactorTable!$A$2:$A$301,0), Skills!M23+1)</f>
        <v>1555</v>
      </c>
      <c r="F3055">
        <f>IF(Skills!N23=TRUE,(Skills!L23/10)*(E3055/1000),Skills!L23/10)+Skills!O23</f>
        <v>23.324999999999999</v>
      </c>
      <c r="G3055">
        <f>Calc!G23</f>
        <v>1</v>
      </c>
      <c r="H3055">
        <f>Calc!H23</f>
        <v>1</v>
      </c>
      <c r="I3055">
        <f>IF(Skills!X23&lt;&gt;"",1+(Skills!X23/10)*(Z3035/1000)/100,1)</f>
        <v>1</v>
      </c>
      <c r="O3055">
        <f>(1-Summary!$B$11)*S3055+Summary!$B$11*U3055</f>
        <v>0</v>
      </c>
      <c r="P3055">
        <f>IF(B3073=0,0,O3055/B3073)</f>
        <v>0</v>
      </c>
      <c r="Q3055">
        <f>IFERROR(1/(IF(Inputs!$B$38="pvp",15,MAX(0.1,Skills!E23-IF(TRUE=TRUE,3.5,0)))*(1-IF(AND(ArtifactsInput!$M$27,Inputs!$B$4="Chapter Hunt"),CHOOSE(ArtifactsInput!$N$27+1,20,24,28,32,36,40),0)/100)),0)</f>
        <v>10</v>
      </c>
      <c r="R3055">
        <v>0</v>
      </c>
      <c r="S3055">
        <v>0</v>
      </c>
      <c r="U3055">
        <v>0</v>
      </c>
    </row>
    <row r="3056" spans="1:21" x14ac:dyDescent="0.2">
      <c r="A3056" t="str">
        <f>Skills!A24</f>
        <v>IFRIT</v>
      </c>
      <c r="B3056" t="str">
        <f>Skills!B24</f>
        <v>Ifrit</v>
      </c>
      <c r="C3056" t="b">
        <f>Inputs!$B$3&gt;=115</f>
        <v>1</v>
      </c>
      <c r="D3056">
        <f>IF(Skills!C24=1,60+Inputs!$B$25+Inputs!$B$29,IF(Skills!C24=2,90+Inputs!$B$26+Inputs!$B$29,IF(Skills!C24=3,120+Inputs!$B$27+Inputs!$B$29,MAX(0,(Inputs!$B$3-100)*3)+Inputs!$B$28+Inputs!$B$29)))</f>
        <v>185</v>
      </c>
      <c r="E3056">
        <f>INDEX(FactorTable!$B$2:$Y$301, MATCH(ROUND(MIN(300,MAX(1,D3056)),0), FactorTable!$A$2:$A$301,0), Skills!M24+1)</f>
        <v>1925</v>
      </c>
      <c r="F3056">
        <f>IF(Skills!N24=TRUE,(Skills!L24/10)*(E3056/1000),Skills!L24/10)+Skills!O24</f>
        <v>6737.5</v>
      </c>
      <c r="G3056">
        <f>Calc!G24</f>
        <v>7.5</v>
      </c>
      <c r="H3056">
        <f>Calc!H24</f>
        <v>1</v>
      </c>
      <c r="I3056">
        <f>IF(Skills!X24&lt;&gt;"",1+(Skills!X24/10)*(Z3035/1000)/100,1)</f>
        <v>1</v>
      </c>
      <c r="J3056">
        <f>((Inputs!$B$6*(1+Inputs!$B$7/100))+(((Inputs!$B$12*(1+Inputs!$B$13/100))-(Inputs!$B$12*(1+Inputs!$B$13/100)))+0.25*(Inputs!$B$14-Inputs!$B$14))*(1+Inputs!$B$7/100))*(F3056/100)</f>
        <v>24331438378.718628</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130022280344802.77</v>
      </c>
      <c r="L3056">
        <f>K3056*(MIN(Inputs!$B$22+(F3054-Calc!F22),(Inputs!$B$23+(IF(ArtifactsInput!$M$15,CHOOSE(ArtifactsInput!$N$15+1,25,30,35,40,45,50)/100*(Inputs!$B$11-Inputs!$B$11),0))))/100+(Inputs!$B$23+(IF(ArtifactsInput!$M$15,CHOOSE(ArtifactsInput!$N$15+1,25,30,35,40,45,50)/100*(Inputs!$B$11-Inputs!$B$11),0)))/100)/2</f>
        <v>432324082146469.25</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2040137343649188.2</v>
      </c>
      <c r="N3056">
        <f>L3056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2040137343649188.2</v>
      </c>
      <c r="O3056">
        <f>(1-Summary!$B$11)*S3056+Summary!$B$11*U3056</f>
        <v>2333407086798759</v>
      </c>
      <c r="P3056">
        <f>IF(B3073=0,0,O3056/B3073)</f>
        <v>6.5933784712034677E-2</v>
      </c>
      <c r="Q3056">
        <f>IFERROR(1/(IF(Inputs!$B$38="pvp",15,MAX(0.1,Skills!E24-IF(TRUE=TRUE,3.5,0)))*(1-IF(AND(ArtifactsInput!$M$27,Inputs!$B$4="Chapter Hunt"),CHOOSE(ArtifactsInput!$N$27+1,20,24,28,32,36,40),0)/100)),0)</f>
        <v>1.3071895424836602E-2</v>
      </c>
      <c r="R3056">
        <f>IF(AND(Inputs!$B$38&lt;&gt;"pvp",Inputs!$B$43&gt;0),IF(MAX(0,Inputs!$B$43-B3070)&lt;=0,0,(INT(MAX(0,Inputs!$B$43-B3070)/(IF(Inputs!$B$38="pvp",15,MAX(0.1,Skills!E24-IF(TRUE=TRUE,3.5,0)))*(1-IF(AND(ArtifactsInput!$M$27,Inputs!$B$4="Chapter Hunt"),CHOOSE(ArtifactsInput!$N$27+1,20,24,28,32,36,40),0)/100)))+1)),0)</f>
        <v>1</v>
      </c>
      <c r="S3056">
        <f>IF(C3056,(H3056*N3056*IF(AND(Inputs!$B$38&lt;&gt;"pvp",Inputs!$B$43&gt;0),((Skills!G24*((R3056-1)*IF(Skills!H24&gt;0,Skills!I24/Skills!H24,1)+IF(Skills!H24&gt;0,MIN(Skills!I24,MAX(0,MAX(0,Inputs!$B$43-B3070)-((R3056-1)*(IF(Inputs!$B$38="pvp",15,MAX(0.1,Skills!E24-IF(TRUE=TRUE,3.5,0)))*(1-IF(AND(ArtifactsInput!$M$27,Inputs!$B$4="Chapter Hunt"),CHOOSE(ArtifactsInput!$N$27+1,20,24,28,32,36,40),0)/100)))))/Skills!H24,1)))/Inputs!$B$43),G3056*Q3056)*(1+IF(Inputs!$B$3&gt;=130,0.2*(Skills!I16/(1/Q3047)+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1212606633631486.2</v>
      </c>
      <c r="U3056">
        <f>IF(C3056,(H3056*N3056*IF(AND(Inputs!$B$38&lt;&gt;"pvp",Inputs!$B$43&gt;0),((Skills!G24*((R3056-1)*IF(Skills!H24&gt;0,Skills!I24/Skills!H24,1)+IF(Skills!H24&gt;0,MIN(Skills!I24,MAX(0,MAX(0,Inputs!$B$43-B3070)-((R3056-1)*(IF(Inputs!$B$38="pvp",15,MAX(0.1,Skills!E24-IF(TRUE=TRUE,3.5,0)))*(1-IF(AND(ArtifactsInput!$M$27,Inputs!$B$4="Chapter Hunt"),CHOOSE(ArtifactsInput!$N$27+1,20,24,28,32,36,40),0)/100)))))/Skills!H24,1)))/Inputs!$B$43),G3056*Q3056)*(1+IF(Inputs!$B$3&gt;=130,0.2*(Skills!I16/(1/Q3047)+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3454207539966032</v>
      </c>
    </row>
    <row r="3057" spans="1:21" x14ac:dyDescent="0.2">
      <c r="A3057" t="str">
        <f>Skills!A25</f>
        <v>BUFF_MASTERY</v>
      </c>
      <c r="B3057" t="str">
        <f>Skills!B25</f>
        <v>Buff Mastery</v>
      </c>
      <c r="C3057" t="b">
        <f>Inputs!$B$3&gt;=117</f>
        <v>1</v>
      </c>
      <c r="D3057">
        <f>IF(Skills!C25=1,60+Inputs!$B$25+Inputs!$B$29,IF(Skills!C25=2,90+Inputs!$B$26+Inputs!$B$29,IF(Skills!C25=3,120+Inputs!$B$27+Inputs!$B$29,MAX(0,(Inputs!$B$3-100)*3)+Inputs!$B$28+Inputs!$B$29)))</f>
        <v>185</v>
      </c>
      <c r="E3057">
        <f>INDEX(FactorTable!$B$2:$Y$301, MATCH(ROUND(MIN(300,MAX(1,D3057)),0), FactorTable!$A$2:$A$301,0), Skills!M25+1)</f>
        <v>1555</v>
      </c>
      <c r="F3057">
        <f>IF(Skills!N25=TRUE,(Skills!L25/10)*(E3057/1000),Skills!L25/10)+Skills!O25</f>
        <v>15.549999999999999</v>
      </c>
      <c r="G3057">
        <f>Calc!G25</f>
        <v>1</v>
      </c>
      <c r="H3057">
        <f>Calc!H25</f>
        <v>1</v>
      </c>
      <c r="I3057">
        <f>IF(Skills!X25&lt;&gt;"",1+(Skills!X25/10)*(Z3035/1000)/100,1)</f>
        <v>1</v>
      </c>
      <c r="O3057">
        <f>(1-Summary!$B$11)*S3057+Summary!$B$11*U3057</f>
        <v>0</v>
      </c>
      <c r="P3057">
        <f>IF(B3073=0,0,O3057/B3073)</f>
        <v>0</v>
      </c>
      <c r="Q3057">
        <f>IFERROR(1/(IF(Inputs!$B$38="pvp",15,MAX(0.1,Skills!E25-IF(TRUE=TRUE,3.5,0)))*(1-IF(AND(ArtifactsInput!$M$27,Inputs!$B$4="Chapter Hunt"),CHOOSE(ArtifactsInput!$N$27+1,20,24,28,32,36,40),0)/100)),0)</f>
        <v>10</v>
      </c>
      <c r="R3057">
        <v>0</v>
      </c>
      <c r="S3057">
        <v>0</v>
      </c>
      <c r="U3057">
        <v>0</v>
      </c>
    </row>
    <row r="3058" spans="1:21" x14ac:dyDescent="0.2">
      <c r="A3058" t="str">
        <f>Skills!A26</f>
        <v>ARCANE_AIM</v>
      </c>
      <c r="B3058" t="str">
        <f>Skills!B26</f>
        <v>Arcane Aim</v>
      </c>
      <c r="C3058" t="b">
        <f>Inputs!$B$3&gt;=120</f>
        <v>0</v>
      </c>
      <c r="D3058">
        <f>IF(Skills!C26=1,60+Inputs!$B$25+Inputs!$B$29,IF(Skills!C26=2,90+Inputs!$B$26+Inputs!$B$29,IF(Skills!C26=3,120+Inputs!$B$27+Inputs!$B$29,MAX(0,(Inputs!$B$3-100)*3)+Inputs!$B$28+Inputs!$B$29)))</f>
        <v>185</v>
      </c>
      <c r="E3058">
        <f>INDEX(FactorTable!$B$2:$Y$301, MATCH(ROUND(MIN(300,MAX(1,D3058)),0), FactorTable!$A$2:$A$301,0), Skills!M26+1)</f>
        <v>1555</v>
      </c>
      <c r="F3058">
        <f>IF(Skills!N26=TRUE,(Skills!L26/10)*(E3058/1000),Skills!L26/10)+Skills!O26</f>
        <v>4.665</v>
      </c>
      <c r="G3058">
        <f>Calc!G26</f>
        <v>1</v>
      </c>
      <c r="H3058">
        <f>Calc!H26</f>
        <v>1</v>
      </c>
      <c r="I3058">
        <f>IF(Skills!X26&lt;&gt;"",1+(Skills!X26/10)*(Z3035/1000)/100,1)</f>
        <v>1</v>
      </c>
      <c r="O3058">
        <f>(1-Summary!$B$11)*S3058+Summary!$B$11*U3058</f>
        <v>0</v>
      </c>
      <c r="P3058">
        <f>IF(B3073=0,0,O3058/B3073)</f>
        <v>0</v>
      </c>
      <c r="Q3058">
        <f>IFERROR(1/(IF(Inputs!$B$38="pvp",15,MAX(0.1,Skills!E26-IF(TRUE=TRUE,3.5,0)))*(1-IF(AND(ArtifactsInput!$M$27,Inputs!$B$4="Chapter Hunt"),CHOOSE(ArtifactsInput!$N$27+1,20,24,28,32,36,40),0)/100)),0)</f>
        <v>10</v>
      </c>
      <c r="R3058">
        <v>0</v>
      </c>
      <c r="S3058">
        <v>0</v>
      </c>
      <c r="U3058">
        <v>0</v>
      </c>
    </row>
    <row r="3059" spans="1:21" x14ac:dyDescent="0.2">
      <c r="A3059" t="str">
        <f>Skills!A27</f>
        <v>FERVENT_DRAIN</v>
      </c>
      <c r="B3059" t="str">
        <f>Skills!B27</f>
        <v>Fervent Drain</v>
      </c>
      <c r="C3059" t="b">
        <f>Inputs!$B$3&gt;=125</f>
        <v>0</v>
      </c>
      <c r="D3059">
        <f>IF(Skills!C27=1,60+Inputs!$B$25+Inputs!$B$29,IF(Skills!C27=2,90+Inputs!$B$26+Inputs!$B$29,IF(Skills!C27=3,120+Inputs!$B$27+Inputs!$B$29,MAX(0,(Inputs!$B$3-100)*3)+Inputs!$B$28+Inputs!$B$29)))</f>
        <v>185</v>
      </c>
      <c r="E3059">
        <f>INDEX(FactorTable!$B$2:$Y$301, MATCH(ROUND(MIN(300,MAX(1,D3059)),0), FactorTable!$A$2:$A$301,0), Skills!M27+1)</f>
        <v>1555</v>
      </c>
      <c r="F3059">
        <f>IF(Skills!N27=TRUE,(Skills!L27/10)*(E3059/1000),Skills!L27/10)+Skills!O27</f>
        <v>6.22</v>
      </c>
      <c r="G3059">
        <f>Calc!G27</f>
        <v>1</v>
      </c>
      <c r="H3059">
        <f>Calc!H27</f>
        <v>1</v>
      </c>
      <c r="I3059">
        <f>IF(Skills!X27&lt;&gt;"",1+(Skills!X27/10)*(Z3035/1000)/100,1)</f>
        <v>1</v>
      </c>
      <c r="O3059">
        <f>(1-Summary!$B$11)*S3059+Summary!$B$11*U3059</f>
        <v>0</v>
      </c>
      <c r="P3059">
        <f>IF(B3073=0,0,O3059/B3073)</f>
        <v>0</v>
      </c>
      <c r="Q3059">
        <f>IFERROR(1/(IF(Inputs!$B$38="pvp",15,MAX(0.1,Skills!E27-IF(TRUE=TRUE,3.5,0)))*(1-IF(AND(ArtifactsInput!$M$27,Inputs!$B$4="Chapter Hunt"),CHOOSE(ArtifactsInput!$N$27+1,20,24,28,32,36,40),0)/100)),0)</f>
        <v>10</v>
      </c>
      <c r="R3059">
        <v>0</v>
      </c>
      <c r="S3059">
        <v>0</v>
      </c>
      <c r="U3059">
        <v>0</v>
      </c>
    </row>
    <row r="3060" spans="1:21" x14ac:dyDescent="0.2">
      <c r="A3060" t="str">
        <f>Skills!A28</f>
        <v>FLAME_HAZE_FOG</v>
      </c>
      <c r="B3060" t="str">
        <f>Skills!B28</f>
        <v>Flame Haze (poison fog DoT)</v>
      </c>
      <c r="C3060" t="b">
        <f>Inputs!$B$3&gt;=118</f>
        <v>0</v>
      </c>
      <c r="D3060">
        <f>IF(Skills!C28=1,60+Inputs!$B$25+Inputs!$B$29,IF(Skills!C28=2,90+Inputs!$B$26+Inputs!$B$29,IF(Skills!C28=3,120+Inputs!$B$27+Inputs!$B$29,MAX(0,(Inputs!$B$3-100)*3)+Inputs!$B$28+Inputs!$B$29)))</f>
        <v>185</v>
      </c>
      <c r="E3060">
        <f>INDEX(FactorTable!$B$2:$Y$301, MATCH(ROUND(MIN(300,MAX(1,D3060)),0), FactorTable!$A$2:$A$301,0), Skills!M28+1)</f>
        <v>1925</v>
      </c>
      <c r="F3060">
        <f>IF(Skills!N28=TRUE,(Skills!L28/10)*(E3060/1000),Skills!L28/10)+Skills!O28</f>
        <v>134.75</v>
      </c>
      <c r="G3060">
        <f>Calc!G28</f>
        <v>50</v>
      </c>
      <c r="H3060">
        <f>Calc!H28</f>
        <v>1</v>
      </c>
      <c r="I3060">
        <f>IF(Skills!X28&lt;&gt;"",1+(Skills!X28/10)*(Z3035/1000)/100,1)</f>
        <v>1</v>
      </c>
      <c r="J3060">
        <f>((Inputs!$B$6*(1+Inputs!$B$7/100))+(((Inputs!$B$12*(1+Inputs!$B$13/100))-(Inputs!$B$12*(1+Inputs!$B$13/100)))+0.25*(Inputs!$B$14-Inputs!$B$14))*(1+Inputs!$B$7/100))*(F3060/100)</f>
        <v>486628767.57437253</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2600445606896.0547</v>
      </c>
      <c r="L3060">
        <f>K3060*(MIN(Inputs!$B$22+(F3054-Calc!F22),(Inputs!$B$23+(IF(ArtifactsInput!$M$15,CHOOSE(ArtifactsInput!$N$15+1,25,30,35,40,45,50)/100*(Inputs!$B$11-Inputs!$B$11),0))))/100+(Inputs!$B$23+(IF(ArtifactsInput!$M$15,CHOOSE(ArtifactsInput!$N$15+1,25,30,35,40,45,50)/100*(Inputs!$B$11-Inputs!$B$11),0)))/100)/2</f>
        <v>8646481642929.3818</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40802746872983.75</v>
      </c>
      <c r="N3060">
        <f>L3060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40802746872983.75</v>
      </c>
      <c r="O3060">
        <f>(1-Summary!$B$11)*S3060+Summary!$B$11*U3060</f>
        <v>0</v>
      </c>
      <c r="P3060">
        <f>IF(B3073=0,0,O3060/B3073)</f>
        <v>0</v>
      </c>
      <c r="Q3060">
        <f>IFERROR(1/(IF(Inputs!$B$38="pvp",15,MAX(0.1,Skills!E28-IF(TRUE=TRUE,3.5,0)))*(1-IF(AND(ArtifactsInput!$M$27,Inputs!$B$4="Chapter Hunt"),CHOOSE(ArtifactsInput!$N$27+1,20,24,28,32,36,40),0)/100)),0)</f>
        <v>4.6511627906976744E-2</v>
      </c>
      <c r="R3060">
        <f>IF(AND(Inputs!$B$38&lt;&gt;"pvp",Inputs!$B$43&gt;0),IF(MAX(0,Inputs!$B$43-B3070)&lt;=0,0,(INT(MAX(0,Inputs!$B$43-B3070)/(IF(Inputs!$B$38="pvp",15,MAX(0.1,Skills!E28-IF(TRUE=TRUE,3.5,0)))*(1-IF(AND(ArtifactsInput!$M$27,Inputs!$B$4="Chapter Hunt"),CHOOSE(ArtifactsInput!$N$27+1,20,24,28,32,36,40),0)/100)))+1)),0)</f>
        <v>2</v>
      </c>
      <c r="S3060">
        <f>IF(C3060,(H3060*N3060*IF(AND(Inputs!$B$38&lt;&gt;"pvp",Inputs!$B$43&gt;0),((Skills!G28*((R3060-1)*IF(Skills!H28&gt;0,Skills!I28/Skills!H28,1)+IF(Skills!H28&gt;0,MIN(Skills!I28,MAX(0,MAX(0,Inputs!$B$43-B3070)-((R3060-1)*(IF(Inputs!$B$38="pvp",15,MAX(0.1,Skills!E28-IF(TRUE=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060">
        <f>IF(C3060,(H3060*N3060*IF(AND(Inputs!$B$38&lt;&gt;"pvp",Inputs!$B$43&gt;0),((Skills!G28*((R3060-1)*IF(Skills!H28&gt;0,Skills!I28/Skills!H28,1)+IF(Skills!H28&gt;0,MIN(Skills!I28,MAX(0,MAX(0,Inputs!$B$43-B3070)-((R3060-1)*(IF(Inputs!$B$38="pvp",15,MAX(0.1,Skills!E28-IF(TRUE=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062" spans="1:21" x14ac:dyDescent="0.2">
      <c r="A3062" t="s">
        <v>356</v>
      </c>
      <c r="B3062">
        <f>1+(F3043*Skills!Z11)/100</f>
        <v>1.25</v>
      </c>
    </row>
    <row r="3063" spans="1:21" x14ac:dyDescent="0.2">
      <c r="A3063" t="s">
        <v>435</v>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1.18624</v>
      </c>
    </row>
    <row r="3064" spans="1:21" x14ac:dyDescent="0.2">
      <c r="A3064" t="s">
        <v>358</v>
      </c>
      <c r="B3064">
        <f>(1+(F3038*IF(AND(Inputs!$B$38&lt;&gt;"pvp",Inputs!$B$43&gt;0),(((R3038-1)*MIN((Skills!T6*(1+((Inputs!$B$34+(ArtifactsInput!$M$7-ArtifactsInput!$M$7)*CHOOSE(ArtifactsInput!$N$7+1,6,7.2,8.4,9.6,10.8,12)))/100)),(1/Q3038))+MIN((Skills!T6*(1+((Inputs!$B$34+(ArtifactsInput!$M$7-ArtifactsInput!$M$7)*CHOOSE(ArtifactsInput!$N$7+1,6,7.2,8.4,9.6,10.8,12)))/100)),MAX(0,Inputs!$B$43-((R3038-1)*(1/Q3038)))))/Inputs!$B$43),IF(Inputs!$B$38="pvp",MIN((Skills!T6*(1+((Inputs!$B$34+(ArtifactsInput!$M$7-ArtifactsInput!$M$7)*CHOOSE(ArtifactsInput!$N$7+1,6,7.2,8.4,9.6,10.8,12)))/100)),15)/15,MIN(1,(Skills!T6*(1+((Inputs!$B$34+(ArtifactsInput!$M$7-ArtifactsInput!$M$7)*CHOOSE(ArtifactsInput!$N$7+1,6,7.2,8.4,9.6,10.8,12)))/100))/(1/Q3038))))+F3049*IF(AND(Inputs!$B$38&lt;&gt;"pvp",Inputs!$B$43&gt;0),(((R3049-1)*MIN((Skills!T17*(1+((Inputs!$B$34+(ArtifactsInput!$M$7-ArtifactsInput!$M$7)*CHOOSE(ArtifactsInput!$N$7+1,6,7.2,8.4,9.6,10.8,12)))/100)),(1/Q3049))+MIN((Skills!T17*(1+((Inputs!$B$34+(ArtifactsInput!$M$7-ArtifactsInput!$M$7)*CHOOSE(ArtifactsInput!$N$7+1,6,7.2,8.4,9.6,10.8,12)))/100)),MAX(0,Inputs!$B$43-((R3049-1)*(1/Q3049)))))/Inputs!$B$43),IF(Inputs!$B$38="pvp",MIN((Skills!T17*(1+((Inputs!$B$34+(ArtifactsInput!$M$7-ArtifactsInput!$M$7)*CHOOSE(ArtifactsInput!$N$7+1,6,7.2,8.4,9.6,10.8,12)))/100)),15)/15,MIN(1,(Skills!T17*(1+((Inputs!$B$34+(ArtifactsInput!$M$7-ArtifactsInput!$M$7)*CHOOSE(ArtifactsInput!$N$7+1,6,7.2,8.4,9.6,10.8,12)))/100))/(1/Q3049)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MIN((Skills!T19*(1+((Inputs!$B$34+(ArtifactsInput!$M$7-ArtifactsInput!$M$7)*CHOOSE(ArtifactsInput!$N$7+1,6,7.2,8.4,9.6,10.8,12)))/100)),(1/Q3051))+MIN((Skills!T19*(1+((Inputs!$B$34+(ArtifactsInput!$M$7-ArtifactsInput!$M$7)*CHOOSE(ArtifactsInput!$N$7+1,6,7.2,8.4,9.6,10.8,12)))/100)),MAX(0,Inputs!$B$43-((R3051-1)*(1/Q3051)))))/Inputs!$B$43),IF(Inputs!$B$38="pvp",MIN((Skills!T19*(1+((Inputs!$B$34+(ArtifactsInput!$M$7-ArtifactsInput!$M$7)*CHOOSE(ArtifactsInput!$N$7+1,6,7.2,8.4,9.6,10.8,12)))/100)),15)/15,MIN(1,(Skills!T19*(1+((Inputs!$B$34+(ArtifactsInput!$M$7-ArtifactsInput!$M$7)*CHOOSE(ArtifactsInput!$N$7+1,6,7.2,8.4,9.6,10.8,12)))/100))/(1/Q3051))))/100),1)</f>
        <v>1.9106616811856496</v>
      </c>
    </row>
    <row r="3065" spans="1:21" x14ac:dyDescent="0.2">
      <c r="A3065" t="s">
        <v>359</v>
      </c>
      <c r="B3065">
        <f>F3050*IF(AND(Inputs!$B$38&lt;&gt;"pvp",Inputs!$B$43&gt;0),(((R3050-1)*MIN((Skills!T18*(1+((Inputs!$B$34+(ArtifactsInput!$M$7-ArtifactsInput!$M$7)*CHOOSE(ArtifactsInput!$N$7+1,6,7.2,8.4,9.6,10.8,12)))/100)),(1/Q3050))+MIN((Skills!T18*(1+((Inputs!$B$34+(ArtifactsInput!$M$7-ArtifactsInput!$M$7)*CHOOSE(ArtifactsInput!$N$7+1,6,7.2,8.4,9.6,10.8,12)))/100)),MAX(0,Inputs!$B$43-((R3050-1)*(1/Q3050)))))/Inputs!$B$43),IF(Inputs!$B$38="pvp",MIN((Skills!T18*(1+((Inputs!$B$34+(ArtifactsInput!$M$7-ArtifactsInput!$M$7)*CHOOSE(ArtifactsInput!$N$7+1,6,7.2,8.4,9.6,10.8,12)))/100)),15)/15,MIN(1,(Skills!T18*(1+((Inputs!$B$34+(ArtifactsInput!$M$7-ArtifactsInput!$M$7)*CHOOSE(ArtifactsInput!$N$7+1,6,7.2,8.4,9.6,10.8,12)))/100))/(1/Q3050))))</f>
        <v>6.4968749999999993</v>
      </c>
    </row>
    <row r="3066" spans="1:21" x14ac:dyDescent="0.2">
      <c r="A3066" t="s">
        <v>436</v>
      </c>
      <c r="B3066">
        <f>1+MIN(150,150*(1-(1-(Inputs!$B$11+(ArtifactsInput!$M$15-ArtifactsInput!$M$15)*CHOOSE(ArtifactsInput!$N$15+1,8,9.6,11.2,12.8,14.4,16))/150)*(1-B3065/150)))/100</f>
        <v>1.6982958749999999</v>
      </c>
    </row>
    <row r="3067" spans="1:21" x14ac:dyDescent="0.2">
      <c r="A3067" t="s">
        <v>437</v>
      </c>
      <c r="B3067">
        <f>IF(AND(Inputs!$B$38&lt;&gt;"pvp",Inputs!$B$43&gt;0),SUMPRODUCT((Skills!F2:F28=TRUE)*(C3034:C3060=TRUE)*R3034:R3060)/Inputs!$B$43,SUMPRODUCT((Skills!F2:F28=TRUE)*(C3034:C3060=TRUE)*Q3034:Q3060))</f>
        <v>0.5</v>
      </c>
    </row>
    <row r="3068" spans="1:21" x14ac:dyDescent="0.2">
      <c r="A3068" t="s">
        <v>362</v>
      </c>
      <c r="B3068">
        <f>MAX(0,B3066-B3067)</f>
        <v>1.1982958749999999</v>
      </c>
    </row>
    <row r="3069" spans="1:21" x14ac:dyDescent="0.2">
      <c r="A3069" t="s">
        <v>438</v>
      </c>
      <c r="B3069">
        <f>IF(AND(Inputs!$B$38&lt;&gt;"pvp",Inputs!$B$43&gt;0),SUMPRODUCT((Skills!V2:V28=TRUE)*(C3034:C3060=TRUE)*R3034:R3060*Skills!W2:W28)/Inputs!$B$43,SUMPRODUCT((Skills!V2:V28=TRUE)*(C3034:C3060=TRUE)*Q3034:Q3060*Skills!W2:W28))+B3068</f>
        <v>1.5232958749999999</v>
      </c>
    </row>
    <row r="3070" spans="1:21" x14ac:dyDescent="0.2">
      <c r="A3070" t="s">
        <v>439</v>
      </c>
      <c r="B3070">
        <f>IF(AND(Inputs!$B$38&lt;&gt;"pvp",Inputs!$B$43&gt;0),SUMPRODUCT((Skills!T2:T28&gt;0)*(Skills!F2:F28=TRUE)*(C3034:C3060=TRUE))/B3066,0)</f>
        <v>2.3553021937358238</v>
      </c>
    </row>
    <row r="3071" spans="1:21" x14ac:dyDescent="0.2">
      <c r="A3071" t="s">
        <v>440</v>
      </c>
      <c r="B3071">
        <f>SUM(S3034:S3060)</f>
        <v>1.0194882831697892E+16</v>
      </c>
    </row>
    <row r="3072" spans="1:21" x14ac:dyDescent="0.2">
      <c r="A3072" t="s">
        <v>441</v>
      </c>
      <c r="B3072">
        <f>SUM(U3034:U3060)</f>
        <v>6.0585434026795752E+16</v>
      </c>
    </row>
    <row r="3073" spans="1:26" x14ac:dyDescent="0.2">
      <c r="A3073" s="6" t="s">
        <v>348</v>
      </c>
      <c r="B3073" s="6">
        <f>SUM(O3034:O3060)</f>
        <v>3.539015842924682E+16</v>
      </c>
    </row>
    <row r="3076" spans="1:26" x14ac:dyDescent="0.2">
      <c r="A3076" s="6" t="s">
        <v>514</v>
      </c>
    </row>
    <row r="3077" spans="1:26" x14ac:dyDescent="0.2">
      <c r="A3077" s="5" t="s">
        <v>136</v>
      </c>
      <c r="B3077" s="5" t="s">
        <v>137</v>
      </c>
      <c r="C3077" s="5" t="s">
        <v>328</v>
      </c>
      <c r="D3077" s="5" t="s">
        <v>329</v>
      </c>
      <c r="E3077" s="5" t="s">
        <v>330</v>
      </c>
      <c r="F3077" s="5" t="s">
        <v>331</v>
      </c>
      <c r="G3077" s="5" t="s">
        <v>332</v>
      </c>
      <c r="H3077" s="5" t="s">
        <v>333</v>
      </c>
      <c r="I3077" s="5" t="s">
        <v>334</v>
      </c>
      <c r="J3077" s="5" t="s">
        <v>335</v>
      </c>
      <c r="K3077" s="5" t="s">
        <v>336</v>
      </c>
      <c r="L3077" s="5" t="s">
        <v>337</v>
      </c>
      <c r="M3077" s="5" t="s">
        <v>338</v>
      </c>
      <c r="N3077" s="5" t="s">
        <v>339</v>
      </c>
      <c r="O3077" s="5" t="s">
        <v>340</v>
      </c>
      <c r="P3077" s="5" t="s">
        <v>341</v>
      </c>
      <c r="R3077" t="s">
        <v>434</v>
      </c>
    </row>
    <row r="3078" spans="1:26" x14ac:dyDescent="0.2">
      <c r="A3078" t="str">
        <f>Skills!A2</f>
        <v>BASIC_ATTACK</v>
      </c>
      <c r="B3078" t="str">
        <f>Skills!B2</f>
        <v>Basic Attack</v>
      </c>
      <c r="C3078" t="b">
        <f>TRUE</f>
        <v>1</v>
      </c>
      <c r="F3078">
        <f>T3080+Skills!O2</f>
        <v>537.6</v>
      </c>
      <c r="G3078">
        <f>Calc!G2</f>
        <v>5</v>
      </c>
      <c r="H3078">
        <f>Calc!H2</f>
        <v>1</v>
      </c>
      <c r="I3078">
        <f>IF(Skills!X2&lt;&gt;"",1+(Skills!X2/10)*(Z3079/1000)/100,1)</f>
        <v>1</v>
      </c>
      <c r="J3078">
        <f>((Inputs!$B$6*(1+Inputs!$B$7/100))+(((Inputs!$B$12*(1+Inputs!$B$13/100))-(Inputs!$B$12*(1+Inputs!$B$13/100)))+0.25*(Inputs!$B$14-Inputs!$B$14))*(1+Inputs!$B$7/100))*(F3078/100)</f>
        <v>1941459186.9980164</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7093889844015.9893</v>
      </c>
      <c r="L3078">
        <f>K3078*(MIN(Inputs!$B$22+(F3098-Calc!F22),(Inputs!$B$23+(IF(ArtifactsInput!$M$15,CHOOSE(ArtifactsInput!$N$15+1,25,30,35,40,45,50)/100*(Inputs!$B$11-Inputs!$B$11),0))))/100+(Inputs!$B$23+(IF(ArtifactsInput!$M$15,CHOOSE(ArtifactsInput!$N$15+1,25,30,35,40,45,50)/100*(Inputs!$B$11-Inputs!$B$11),0)))/100)/2</f>
        <v>23587183731353.164</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111307920028255.56</v>
      </c>
      <c r="N3078">
        <f>L3078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111307920028255.56</v>
      </c>
      <c r="O3078">
        <f>(1-Summary!$B$11)*S3078+Summary!$B$11*U3078</f>
        <v>1.31345779147962E+16</v>
      </c>
      <c r="P3078">
        <f>IF(B3117=0,0,O3078/B3117)</f>
        <v>0.36789412314486625</v>
      </c>
      <c r="Q3078">
        <f>IFERROR(1/(IF(Inputs!$B$38="pvp",15,MAX(0.1,Skills!E2-IF(TRUE=TRUE,4,0)))*(1-IF(AND(ArtifactsInput!$M$27,Inputs!$B$4="Chapter Hunt"),CHOOSE(ArtifactsInput!$N$27+1,20,24,28,32,36,40),0)/100)),0)</f>
        <v>10</v>
      </c>
      <c r="R3078">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2180760080293657.5</v>
      </c>
      <c r="T3078">
        <f>MAX(0,(Inputs!$B$3-100)*3)+Inputs!$B$28+Inputs!$B$29</f>
        <v>185</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2.4088395749298744E+16</v>
      </c>
      <c r="Z3078">
        <f>MAX(0,(Inputs!$B$3-100)*3)+Inputs!$B$28+Inputs!$B$29</f>
        <v>185</v>
      </c>
    </row>
    <row r="3079" spans="1:26" x14ac:dyDescent="0.2">
      <c r="A3079" t="str">
        <f>Skills!A3</f>
        <v>IGNITE</v>
      </c>
      <c r="B3079" t="str">
        <f>Skills!B3</f>
        <v>Ignite</v>
      </c>
      <c r="C3079" t="b">
        <f>TRUE</f>
        <v>1</v>
      </c>
      <c r="D3079">
        <f>IF(Skills!C3=1,60+Inputs!$B$25+Inputs!$B$29,IF(Skills!C3=2,90+Inputs!$B$26+Inputs!$B$29,IF(Skills!C3=3,120+Inputs!$B$27+Inputs!$B$29,MAX(0,(Inputs!$B$3-100)*3)+Inputs!$B$28+Inputs!$B$29)))</f>
        <v>168</v>
      </c>
      <c r="E3079">
        <f>INDEX(FactorTable!$B$2:$Y$301, MATCH(ROUND(MIN(300,MAX(1,D3079)),0), FactorTable!$A$2:$A$301,0), Skills!M3+1)</f>
        <v>1672</v>
      </c>
      <c r="F3079">
        <f>IF(Skills!N3=TRUE,(Skills!L3/10)*(E3079/1000),Skills!L3/10)+Skills!O3</f>
        <v>121.736</v>
      </c>
      <c r="G3079">
        <f>Calc!G3</f>
        <v>3</v>
      </c>
      <c r="H3079">
        <f>Calc!H3</f>
        <v>1</v>
      </c>
      <c r="I3079">
        <f>IF(Skills!X3&lt;&gt;"",1+(Skills!X3/10)*(Z3079/1000)/100,1)</f>
        <v>4.8250000000000002</v>
      </c>
      <c r="J3079">
        <f>((Inputs!$B$6*(1+Inputs!$B$7/100))+(((Inputs!$B$12*(1+Inputs!$B$13/100))-(Inputs!$B$12*(1+Inputs!$B$13/100)))+0.25*(Inputs!$B$14-Inputs!$B$14))*(1+Inputs!$B$7/100))*(F3079/100)</f>
        <v>439630720.9605478</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11421041106253.195</v>
      </c>
      <c r="L3079">
        <f>K3079*(MIN(Inputs!$B$22+(F3098-Calc!F22),(Inputs!$B$23+(IF(ArtifactsInput!$M$15,CHOOSE(ArtifactsInput!$N$15+1,25,30,35,40,45,50)/100*(Inputs!$B$11-Inputs!$B$11),0))))/100+(Inputs!$B$23+(IF(ArtifactsInput!$M$15,CHOOSE(ArtifactsInput!$N$15+1,25,30,35,40,45,50)/100*(Inputs!$B$11-Inputs!$B$11),0)))/100)/2</f>
        <v>37974961678291.875</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179203844159859.34</v>
      </c>
      <c r="N3079">
        <f>L3079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179203844159859.34</v>
      </c>
      <c r="O3079">
        <f>(1-Summary!$B$11)*S3079+Summary!$B$11*U3079</f>
        <v>3115458830719154.5</v>
      </c>
      <c r="P3079">
        <f>IF(B3117=0,0,O3079/B3117)</f>
        <v>8.7262719986623785E-2</v>
      </c>
      <c r="Q3079">
        <f>IFERROR(1/(IF(Inputs!$B$38="pvp",15,MAX(0.1,Skills!E3-IF(FALSE=TRUE,4,0)))*(1-IF(AND(ArtifactsInput!$M$27,Inputs!$B$4="Chapter Hunt"),CHOOSE(ArtifactsInput!$N$27+1,20,24,28,32,36,40),0)/100)),0)</f>
        <v>1</v>
      </c>
      <c r="R3079">
        <f>IF(AND(Inputs!$B$38&lt;&gt;"pvp",Inputs!$B$43&gt;0),IF(MAX(0,Inputs!$B$43-B3114)&lt;=0,0,(INT(MAX(0,Inputs!$B$43-B3114)/(IF(Inputs!$B$38="pvp",15,MAX(0.1,Skills!E3-IF(FALSE=TRUE,4,0)))*(1-IF(AND(ArtifactsInput!$M$27,Inputs!$B$4="Chapter Hunt"),CHOOSE(ArtifactsInput!$N$27+1,20,24,28,32,36,40),0)/100)))+1)),0)</f>
        <v>38</v>
      </c>
      <c r="S3079">
        <f>IF(C3079,(H3079*N3079*IF(AND(Inputs!$B$38&lt;&gt;"pvp",Inputs!$B$43&gt;0),((Skills!G3*((R3079-1)*IF(Skills!H3&gt;0,Skills!I3/Skills!H3,1)+IF(Skills!H3&gt;0,MIN(Skills!I3,MAX(0,MAX(0,Inputs!$B$43-B3114)-((R3079-1)*(IF(Inputs!$B$38="pvp",15,MAX(0.1,Skills!E3-IF(FALSE=TRUE,4,0)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1619017130062249.2</v>
      </c>
      <c r="T3079">
        <f>INDEX(FactorTable!$B$2:$Y$301, MATCH(ROUND(MIN(300,MAX(1,T3078)),0), FactorTable!$A$2:$A$301,0), 22)</f>
        <v>1740</v>
      </c>
      <c r="U3079">
        <f>IF(C3079,(H3079*N3079*IF(AND(Inputs!$B$38&lt;&gt;"pvp",Inputs!$B$43&gt;0),((Skills!G3*((R3079-1)*IF(Skills!H3&gt;0,Skills!I3/Skills!H3,1)+IF(Skills!H3&gt;0,MIN(Skills!I3,MAX(0,MAX(0,Inputs!$B$43-B3114)-((R3079-1)*(IF(Inputs!$B$38="pvp",15,MAX(0.1,Skills!E3-IF(FALSE=TRUE,4,0)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4611900531376060</v>
      </c>
      <c r="Z3079">
        <f>INDEX(FactorTable!$B$2:$Y$301, MATCH(ROUND(MIN(300,MAX(1,Z3078)),0), FactorTable!$A$2:$A$301,0), 24)</f>
        <v>7650</v>
      </c>
    </row>
    <row r="3080" spans="1:26" x14ac:dyDescent="0.2">
      <c r="A3080" t="str">
        <f>Skills!A4</f>
        <v>POISON_BREATH</v>
      </c>
      <c r="B3080" t="str">
        <f>Skills!B4</f>
        <v>Poison Breath</v>
      </c>
      <c r="C3080" t="b">
        <f>TRUE</f>
        <v>1</v>
      </c>
      <c r="D3080">
        <f>IF(Skills!C4=1,60+Inputs!$B$25+Inputs!$B$29,IF(Skills!C4=2,90+Inputs!$B$26+Inputs!$B$29,IF(Skills!C4=3,120+Inputs!$B$27+Inputs!$B$29,MAX(0,(Inputs!$B$3-100)*3)+Inputs!$B$28+Inputs!$B$29)))</f>
        <v>168</v>
      </c>
      <c r="E3080">
        <f>INDEX(FactorTable!$B$2:$Y$301, MATCH(ROUND(MIN(300,MAX(1,D3080)),0), FactorTable!$A$2:$A$301,0), Skills!M4+1)</f>
        <v>1840</v>
      </c>
      <c r="F3080">
        <f>IF(Skills!N4=TRUE,(Skills!L4/10)*(E3080/1000),Skills!L4/10)+Skills!O4</f>
        <v>438</v>
      </c>
      <c r="G3080">
        <f>Calc!G4</f>
        <v>3</v>
      </c>
      <c r="H3080">
        <f>Calc!H4</f>
        <v>1</v>
      </c>
      <c r="I3080">
        <f>IF(Skills!X4&lt;&gt;"",1+(Skills!X4/10)*(Z3079/1000)/100,1)</f>
        <v>7.12</v>
      </c>
      <c r="J3080">
        <f>((Inputs!$B$6*(1+Inputs!$B$7/100))+(((Inputs!$B$12*(1+Inputs!$B$13/100))-(Inputs!$B$12*(1+Inputs!$B$13/100)))+0.25*(Inputs!$B$14-Inputs!$B$14))*(1+Inputs!$B$7/100))*(F3080/100)</f>
        <v>1581769203.69258</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60637802403837.539</v>
      </c>
      <c r="L3080">
        <f>K3080*(MIN(Inputs!$B$22+(F3098-Calc!F22),(Inputs!$B$23+(IF(ArtifactsInput!$M$15,CHOOSE(ArtifactsInput!$N$15+1,25,30,35,40,45,50)/100*(Inputs!$B$11-Inputs!$B$11),0))))/100+(Inputs!$B$23+(IF(ArtifactsInput!$M$15,CHOOSE(ArtifactsInput!$N$15+1,25,30,35,40,45,50)/100*(Inputs!$B$11-Inputs!$B$11),0)))/100)/2</f>
        <v>201620692992759.84</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951448050232833.62</v>
      </c>
      <c r="N3080">
        <f>L3080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951448050232833.62</v>
      </c>
      <c r="O3080">
        <f>(1-Summary!$B$11)*S3080+Summary!$B$11*U3080</f>
        <v>2272414736974844</v>
      </c>
      <c r="P3080">
        <f>IF(B3117=0,0,O3080/B3117)</f>
        <v>6.3649401793038421E-2</v>
      </c>
      <c r="Q3080">
        <f>IFERROR(1/(IF(Inputs!$B$38="pvp",15,MAX(0.1,Skills!E4-IF(TRUE=TRUE,4,0)))*(1-IF(AND(ArtifactsInput!$M$27,Inputs!$B$4="Chapter Hunt"),CHOOSE(ArtifactsInput!$N$27+1,20,24,28,32,36,40),0)/100)),0)</f>
        <v>7.1428571428571425E-2</v>
      </c>
      <c r="R3080">
        <f>IF(AND(Inputs!$B$38&lt;&gt;"pvp",Inputs!$B$43&gt;0),IF(MAX(0,Inputs!$B$43-B3114)&lt;=0,0,(INT(MAX(0,Inputs!$B$43-B3114)/(IF(Inputs!$B$38="pvp",15,MAX(0.1,Skills!E4-IF(TRUE=TRUE,4,0)))*(1-IF(AND(ArtifactsInput!$M$27,Inputs!$B$4="Chapter Hunt"),CHOOSE(ArtifactsInput!$N$27+1,20,24,28,32,36,40),0)/100)))+1)),0)</f>
        <v>3</v>
      </c>
      <c r="S3080">
        <f>IF(C3080,(H3080*N3080*IF(AND(Inputs!$B$38&lt;&gt;"pvp",Inputs!$B$43&gt;0),((Skills!G4*((R3080-1)*IF(Skills!H4&gt;0,Skills!I4/Skills!H4,1)+IF(Skills!H4&gt;0,MIN(Skills!I4,MAX(0,MAX(0,Inputs!$B$43-B3114)-((R3080-1)*(IF(Inputs!$B$38="pvp",15,MAX(0.1,Skills!E4-IF(TRUE=TRUE,4,0)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678620321828568.5</v>
      </c>
      <c r="T3080">
        <f>290*T3079/1000</f>
        <v>504.6</v>
      </c>
      <c r="U3080">
        <f>IF(C3080,(H3080*N3080*IF(AND(Inputs!$B$38&lt;&gt;"pvp",Inputs!$B$43&gt;0),((Skills!G4*((R3080-1)*IF(Skills!H4&gt;0,Skills!I4/Skills!H4,1)+IF(Skills!H4&gt;0,MIN(Skills!I4,MAX(0,MAX(0,Inputs!$B$43-B3114)-((R3080-1)*(IF(Inputs!$B$38="pvp",15,MAX(0.1,Skills!E4-IF(TRUE=TRUE,4,0)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3866209152121119</v>
      </c>
    </row>
    <row r="3081" spans="1:26" x14ac:dyDescent="0.2">
      <c r="A3081" t="str">
        <f>Skills!A5</f>
        <v>ELEMENTAL_DRAIN</v>
      </c>
      <c r="B3081" t="str">
        <f>Skills!B5</f>
        <v>Elemental Drain</v>
      </c>
      <c r="C3081" t="b">
        <f>TRUE</f>
        <v>1</v>
      </c>
      <c r="D3081">
        <f>IF(Skills!C5=1,60+Inputs!$B$25+Inputs!$B$29,IF(Skills!C5=2,90+Inputs!$B$26+Inputs!$B$29,IF(Skills!C5=3,120+Inputs!$B$27+Inputs!$B$29,MAX(0,(Inputs!$B$3-100)*3)+Inputs!$B$28+Inputs!$B$29)))</f>
        <v>168</v>
      </c>
      <c r="E3081">
        <f>INDEX(FactorTable!$B$2:$Y$301, MATCH(ROUND(MIN(300,MAX(1,D3081)),0), FactorTable!$A$2:$A$301,0), Skills!M5+1)</f>
        <v>1672</v>
      </c>
      <c r="F3081">
        <f>IF(Skills!N5=TRUE,(Skills!L5/10)*(E3081/1000),Skills!L5/10)+Skills!O5</f>
        <v>20.064</v>
      </c>
      <c r="G3081">
        <f>Calc!G5</f>
        <v>5</v>
      </c>
      <c r="H3081">
        <f>Calc!H5</f>
        <v>1</v>
      </c>
      <c r="I3081">
        <f>IF(Skills!X5&lt;&gt;"",1+(Skills!X5/10)*(Z3079/1000)/100,1)</f>
        <v>12.475</v>
      </c>
      <c r="J3081">
        <f>((Inputs!$B$6*(1+Inputs!$B$7/100))+(((Inputs!$B$12*(1+Inputs!$B$13/100))-(Inputs!$B$12*(1+Inputs!$B$13/100)))+0.25*(Inputs!$B$14-Inputs!$B$14))*(1+Inputs!$B$7/100))*(F3081/100)</f>
        <v>72458030.371890247</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4866843966829.7852</v>
      </c>
      <c r="L3081">
        <f>K3081*(MIN(Inputs!$B$22+(F3098-Calc!F22),(Inputs!$B$23+(IF(ArtifactsInput!$M$15,CHOOSE(ArtifactsInput!$N$15+1,25,30,35,40,45,50)/100*(Inputs!$B$11-Inputs!$B$11),0))))/100+(Inputs!$B$23+(IF(ArtifactsInput!$M$15,CHOOSE(ArtifactsInput!$N$15+1,25,30,35,40,45,50)/100*(Inputs!$B$11-Inputs!$B$11),0)))/100)/2</f>
        <v>16182256189709.037</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76364066959236.938</v>
      </c>
      <c r="N3081">
        <f>L3081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76364066959236.938</v>
      </c>
      <c r="O3081">
        <f>(1-Summary!$B$11)*S3081+Summary!$B$11*U3081</f>
        <v>1120833592794200</v>
      </c>
      <c r="P3081">
        <f>IF(B3117=0,0,O3081/B3117)</f>
        <v>3.1394087764923077E-2</v>
      </c>
      <c r="Q3081">
        <f>IFERROR(1/(IF(Inputs!$B$38="pvp",15,MAX(0.1,Skills!E5-IF(FALSE=TRUE,4,0)))*(1-IF(AND(ArtifactsInput!$M$27,Inputs!$B$4="Chapter Hunt"),CHOOSE(ArtifactsInput!$N$27+1,20,24,28,32,36,40),0)/100)),0)</f>
        <v>1</v>
      </c>
      <c r="R3081">
        <f>IF(AND(Inputs!$B$38&lt;&gt;"pvp",Inputs!$B$43&gt;0),IF(MAX(0,Inputs!$B$43-B3114)&lt;=0,0,(INT(MAX(0,Inputs!$B$43-B3114)/(IF(Inputs!$B$38="pvp",15,MAX(0.1,Skills!E5-IF(FALSE=TRUE,4,0)))*(1-IF(AND(ArtifactsInput!$M$27,Inputs!$B$4="Chapter Hunt"),CHOOSE(ArtifactsInput!$N$27+1,20,24,28,32,36,40),0)/100)))+1)),0)</f>
        <v>38</v>
      </c>
      <c r="S3081">
        <f>IF(C3081,(H3081*N3081*IF(AND(Inputs!$B$38&lt;&gt;"pvp",Inputs!$B$43&gt;0),((Skills!G5*((R3081-1)*IF(Skills!H5&gt;0,Skills!I5/Skills!H5,1)+IF(Skills!H5&gt;0,MIN(Skills!I5,MAX(0,MAX(0,Inputs!$B$43-B3114)-((R3081-1)*(IF(Inputs!$B$38="pvp",15,MAX(0.1,Skills!E5-IF(FALSE=TRUE,4,0)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1149851938238710</v>
      </c>
      <c r="U3081">
        <f>IF(C3081,(H3081*N3081*IF(AND(Inputs!$B$38&lt;&gt;"pvp",Inputs!$B$43&gt;0),((Skills!G5*((R3081-1)*IF(Skills!H5&gt;0,Skills!I5/Skills!H5,1)+IF(Skills!H5&gt;0,MIN(Skills!I5,MAX(0,MAX(0,Inputs!$B$43-B3114)-((R3081-1)*(IF(Inputs!$B$38="pvp",15,MAX(0.1,Skills!E5-IF(FALSE=TRUE,4,0)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1091815247349690</v>
      </c>
    </row>
    <row r="3082" spans="1:26" x14ac:dyDescent="0.2">
      <c r="A3082" t="str">
        <f>Skills!A6</f>
        <v>MEDITATION</v>
      </c>
      <c r="B3082" t="str">
        <f>Skills!B6</f>
        <v>Meditation</v>
      </c>
      <c r="C3082" t="b">
        <f>TRUE</f>
        <v>1</v>
      </c>
      <c r="D3082">
        <f>IF(Skills!C6=1,60+Inputs!$B$25+Inputs!$B$29,IF(Skills!C6=2,90+Inputs!$B$26+Inputs!$B$29,IF(Skills!C6=3,120+Inputs!$B$27+Inputs!$B$29,MAX(0,(Inputs!$B$3-100)*3)+Inputs!$B$28+Inputs!$B$29)))</f>
        <v>168</v>
      </c>
      <c r="E3082">
        <f>INDEX(FactorTable!$B$2:$Y$301, MATCH(ROUND(MIN(300,MAX(1,D3082)),0), FactorTable!$A$2:$A$301,0), Skills!M6+1)</f>
        <v>1672</v>
      </c>
      <c r="F3082">
        <f>IF(Skills!N6=TRUE,(Skills!L6/10)*(E3082/1000),Skills!L6/10)+Skills!O6</f>
        <v>33.44</v>
      </c>
      <c r="G3082">
        <f>Calc!G6</f>
        <v>1</v>
      </c>
      <c r="H3082">
        <f>Calc!H6</f>
        <v>1</v>
      </c>
      <c r="I3082">
        <f>IF(Skills!X6&lt;&gt;"",1+(Skills!X6/10)*(Z3079/1000)/100,1)</f>
        <v>1</v>
      </c>
      <c r="O3082">
        <f>(1-Summary!$B$11)*S3082+Summary!$B$11*U3082</f>
        <v>0</v>
      </c>
      <c r="P3082">
        <f>IF(B3117=0,0,O3082/B3117)</f>
        <v>0</v>
      </c>
      <c r="Q3082">
        <f>IFERROR(1/(IF(Inputs!$B$38="pvp",15,MAX(0.1,Skills!E6-IF(TRUE=TRUE,4,0)))*(1-IF(AND(ArtifactsInput!$M$27,Inputs!$B$4="Chapter Hunt"),CHOOSE(ArtifactsInput!$N$27+1,20,24,28,32,36,40),0)/100)),0)</f>
        <v>3.8461538461538464E-2</v>
      </c>
      <c r="R3082">
        <f>IF(AND(Inputs!$B$38&lt;&gt;"pvp",Inputs!$B$43&gt;0),IF(Inputs!$B$43&lt;=0,0,(INT(Inputs!$B$43/(IF(Inputs!$B$38="pvp",15,MAX(0.1,Skills!E6-IF(TRUE=TRUE,4,0)))*(1-IF(AND(ArtifactsInput!$M$27,Inputs!$B$4="Chapter Hunt"),CHOOSE(ArtifactsInput!$N$27+1,20,24,28,32,36,40),0)/100)))+1)),0)</f>
        <v>2</v>
      </c>
      <c r="S3082">
        <v>0</v>
      </c>
      <c r="U3082">
        <v>0</v>
      </c>
    </row>
    <row r="3083" spans="1:26" x14ac:dyDescent="0.2">
      <c r="A3083" t="str">
        <f>Skills!A7</f>
        <v>POISON_MIST_BURST</v>
      </c>
      <c r="B3083" t="str">
        <f>Skills!B7</f>
        <v>Poison Mist (burst)</v>
      </c>
      <c r="C3083" t="b">
        <f>TRUE</f>
        <v>1</v>
      </c>
      <c r="D3083">
        <f>IF(Skills!C7=1,60+Inputs!$B$25+Inputs!$B$29,IF(Skills!C7=2,90+Inputs!$B$26+Inputs!$B$29,IF(Skills!C7=3,120+Inputs!$B$27+Inputs!$B$29,MAX(0,(Inputs!$B$3-100)*3)+Inputs!$B$28+Inputs!$B$29)))</f>
        <v>184</v>
      </c>
      <c r="E3083">
        <f>INDEX(FactorTable!$B$2:$Y$301, MATCH(ROUND(MIN(300,MAX(1,D3083)),0), FactorTable!$A$2:$A$301,0), Skills!M7+1)</f>
        <v>1920</v>
      </c>
      <c r="F3083">
        <f>IF(Skills!N7=TRUE,(Skills!L7/10)*(E3083/1000),Skills!L7/10)+Skills!O7</f>
        <v>357.2</v>
      </c>
      <c r="G3083">
        <f>Calc!G7</f>
        <v>3</v>
      </c>
      <c r="H3083">
        <f>Calc!H7</f>
        <v>1</v>
      </c>
      <c r="I3083">
        <f>IF(Skills!X7&lt;&gt;"",1+(Skills!X7/10)*(Z3079/1000)/100,1)</f>
        <v>1.7650000000000001</v>
      </c>
      <c r="J3083">
        <f>((Inputs!$B$6*(1+Inputs!$B$7/100))+(((Inputs!$B$12*(1+Inputs!$B$13/100))-(Inputs!$B$12*(1+Inputs!$B$13/100)))+0.25*(Inputs!$B$14-Inputs!$B$14))*(1+Inputs!$B$7/100))*(F3083/100)</f>
        <v>1289972510.4086521</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12258730833435.502</v>
      </c>
      <c r="L3083">
        <f>K3083*(MIN(Inputs!$B$22+(F3098-Calc!F22),(Inputs!$B$23+(IF(ArtifactsInput!$M$15,CHOOSE(ArtifactsInput!$N$15+1,25,30,35,40,45,50)/100*(Inputs!$B$11-Inputs!$B$11),0))))/100+(Inputs!$B$23+(IF(ArtifactsInput!$M$15,CHOOSE(ArtifactsInput!$N$15+1,25,30,35,40,45,50)/100*(Inputs!$B$11-Inputs!$B$11),0)))/100)/2</f>
        <v>40760280021173.047</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192347761419915.59</v>
      </c>
      <c r="N3083">
        <f>L3083*(1-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192347761419915.59</v>
      </c>
      <c r="O3083">
        <f>(1-Summary!$B$11)*S3083+Summary!$B$11*U3083</f>
        <v>479955751683044.38</v>
      </c>
      <c r="P3083">
        <f>IF(B3117=0,0,O3083/B3117)</f>
        <v>1.3443363125879978E-2</v>
      </c>
      <c r="Q3083">
        <f>IFERROR(1/(IF(Inputs!$B$38="pvp",15,MAX(0.1,Skills!E7-IF(TRUE=TRUE,4,0)))*(1-IF(AND(ArtifactsInput!$M$27,Inputs!$B$4="Chapter Hunt"),CHOOSE(ArtifactsInput!$N$27+1,20,24,28,32,36,40),0)/100)),0)</f>
        <v>4.878048780487805E-2</v>
      </c>
      <c r="R3083">
        <f>IF(AND(Inputs!$B$38&lt;&gt;"pvp",Inputs!$B$43&gt;0),IF(MAX(0,Inputs!$B$43-B3114)&lt;=0,0,(INT(MAX(0,Inputs!$B$43-B3114)/(IF(Inputs!$B$38="pvp",15,MAX(0.1,Skills!E7-IF(TRUE=TRUE,4,0)))*(1-IF(AND(ArtifactsInput!$M$27,Inputs!$B$4="Chapter Hunt"),CHOOSE(ArtifactsInput!$N$27+1,20,24,28,32,36,40),0)/100)))+1)),0)</f>
        <v>2</v>
      </c>
      <c r="S3083">
        <f>IF(C3083,(H3083*N3083*IF(AND(Inputs!$B$38&lt;&gt;"pvp",Inputs!$B$43&gt;0),((Skills!G7*((R3083-1)*IF(Skills!H7&gt;0,Skills!I7/Skills!H7,1)+IF(Skills!H7&gt;0,MIN(Skills!I7,MAX(0,MAX(0,Inputs!$B$43-B3114)-((R3083-1)*(IF(Inputs!$B$38="pvp",15,MAX(0.1,Skills!E7-IF(TRUE=TRUE,4,0)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91461360555169.859</v>
      </c>
      <c r="U3083">
        <f>IF(C3083,(H3083*N3083*IF(AND(Inputs!$B$38&lt;&gt;"pvp",Inputs!$B$43&gt;0),((Skills!G7*((R3083-1)*IF(Skills!H7&gt;0,Skills!I7/Skills!H7,1)+IF(Skills!H7&gt;0,MIN(Skills!I7,MAX(0,MAX(0,Inputs!$B$43-B3114)-((R3083-1)*(IF(Inputs!$B$38="pvp",15,MAX(0.1,Skills!E7-IF(TRUE=TRUE,4,0)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868450142810918.88</v>
      </c>
    </row>
    <row r="3084" spans="1:26" x14ac:dyDescent="0.2">
      <c r="A3084" t="str">
        <f>Skills!A8</f>
        <v>POISON_MIST_DOT</v>
      </c>
      <c r="B3084" t="str">
        <f>Skills!B8</f>
        <v>Poison Mist (fog DoT)</v>
      </c>
      <c r="C3084" t="b">
        <f>TRUE</f>
        <v>1</v>
      </c>
      <c r="D3084">
        <f>IF(Skills!C8=1,60+Inputs!$B$25+Inputs!$B$29,IF(Skills!C8=2,90+Inputs!$B$26+Inputs!$B$29,IF(Skills!C8=3,120+Inputs!$B$27+Inputs!$B$29,MAX(0,(Inputs!$B$3-100)*3)+Inputs!$B$28+Inputs!$B$29)))</f>
        <v>184</v>
      </c>
      <c r="E3084">
        <f>INDEX(FactorTable!$B$2:$Y$301, MATCH(ROUND(MIN(300,MAX(1,D3084)),0), FactorTable!$A$2:$A$301,0), Skills!M8+1)</f>
        <v>1920</v>
      </c>
      <c r="F3084">
        <f>IF(Skills!N8=TRUE,(Skills!L8/10)*(E3084/1000),Skills!L8/10)+Skills!O8</f>
        <v>134.4</v>
      </c>
      <c r="G3084">
        <f>Calc!G8</f>
        <v>50</v>
      </c>
      <c r="H3084">
        <f>Calc!H8</f>
        <v>1</v>
      </c>
      <c r="I3084">
        <f>IF(Skills!X8&lt;&gt;"",1+(Skills!X8/10)*(Z3079/1000)/100,1)</f>
        <v>1.7650000000000001</v>
      </c>
      <c r="J3084">
        <f>((Inputs!$B$6*(1+Inputs!$B$7/100))+(((Inputs!$B$12*(1+Inputs!$B$13/100))-(Inputs!$B$12*(1+Inputs!$B$13/100)))+0.25*(Inputs!$B$14-Inputs!$B$14))*(1+Inputs!$B$7/100))*(F3084/100)</f>
        <v>485364796.74950409</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4612467592423.6602</v>
      </c>
      <c r="L3084">
        <f>K3084*(MIN(Inputs!$B$22+(F3098-Calc!F22),(Inputs!$B$23+(IF(ArtifactsInput!$M$15,CHOOSE(ArtifactsInput!$N$15+1,25,30,35,40,45,50)/100*(Inputs!$B$11-Inputs!$B$11),0))))/100+(Inputs!$B$23+(IF(ArtifactsInput!$M$15,CHOOSE(ArtifactsInput!$N$15+1,25,30,35,40,45,50)/100*(Inputs!$B$11-Inputs!$B$11),0)))/100)/2</f>
        <v>15336454744808.67</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72372729940752.109</v>
      </c>
      <c r="N3084">
        <f>L3084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72372729940752.109</v>
      </c>
      <c r="O3084">
        <f>(1-Summary!$B$11)*S3084+Summary!$B$11*U3084</f>
        <v>2794953628141441.5</v>
      </c>
      <c r="P3084">
        <f>IF(B3117=0,0,O3084/B3117)</f>
        <v>7.8285501134934099E-2</v>
      </c>
      <c r="Q3084">
        <f>IFERROR(1/(IF(Inputs!$B$38="pvp",15,MAX(0.1,Skills!E8-IF(TRUE=TRUE,4,0)))*(1-IF(AND(ArtifactsInput!$M$27,Inputs!$B$4="Chapter Hunt"),CHOOSE(ArtifactsInput!$N$27+1,20,24,28,32,36,40),0)/100)),0)</f>
        <v>4.878048780487805E-2</v>
      </c>
      <c r="R3084">
        <f>IF(AND(Inputs!$B$38&lt;&gt;"pvp",Inputs!$B$43&gt;0),IF(MAX(0,Inputs!$B$43-B3114)&lt;=0,0,(INT(MAX(0,Inputs!$B$43-B3114)/(IF(Inputs!$B$38="pvp",15,MAX(0.1,Skills!E8-IF(TRUE=TRUE,4,0)))*(1-IF(AND(ArtifactsInput!$M$27,Inputs!$B$4="Chapter Hunt"),CHOOSE(ArtifactsInput!$N$27+1,20,24,28,32,36,40),0)/100)))+1)),0)</f>
        <v>2</v>
      </c>
      <c r="S3084">
        <f>IF(C3084,(H3084*N3084*IF(AND(Inputs!$B$38&lt;&gt;"pvp",Inputs!$B$43&gt;0),((Skills!G8*((R3084-1)*IF(Skills!H8&gt;0,Skills!I8/Skills!H8,1)+IF(Skills!H8&gt;0,MIN(Skills!I8,MAX(0,MAX(0,Inputs!$B$43-B3114)-((R3084-1)*(IF(Inputs!$B$38="pvp",15,MAX(0.1,Skills!E8-IF(TRUE=TRUE,4,0)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532612143144476.62</v>
      </c>
      <c r="U3084">
        <f>IF(C3084,(H3084*N3084*IF(AND(Inputs!$B$38&lt;&gt;"pvp",Inputs!$B$43&gt;0),((Skills!G8*((R3084-1)*IF(Skills!H8&gt;0,Skills!I8/Skills!H8,1)+IF(Skills!H8&gt;0,MIN(Skills!I8,MAX(0,MAX(0,Inputs!$B$43-B3114)-((R3084-1)*(IF(Inputs!$B$38="pvp",15,MAX(0.1,Skills!E8-IF(TRUE=TRUE,4,0)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5057295113138406</v>
      </c>
    </row>
    <row r="3085" spans="1:26" x14ac:dyDescent="0.2">
      <c r="A3085" t="str">
        <f>Skills!A9</f>
        <v>MIST_ERUPTION</v>
      </c>
      <c r="B3085" t="str">
        <f>Skills!B9</f>
        <v>Mist Eruption</v>
      </c>
      <c r="C3085" t="b">
        <f>Inputs!$B$3&gt;=103</f>
        <v>1</v>
      </c>
      <c r="D3085">
        <f>IF(Skills!C9=1,60+Inputs!$B$25+Inputs!$B$29,IF(Skills!C9=2,90+Inputs!$B$26+Inputs!$B$29,IF(Skills!C9=3,120+Inputs!$B$27+Inputs!$B$29,MAX(0,(Inputs!$B$3-100)*3)+Inputs!$B$28+Inputs!$B$29)))</f>
        <v>185</v>
      </c>
      <c r="E3085">
        <f>INDEX(FactorTable!$B$2:$Y$301, MATCH(ROUND(MIN(300,MAX(1,D3085)),0), FactorTable!$A$2:$A$301,0), Skills!M9+1)</f>
        <v>1925</v>
      </c>
      <c r="F3085">
        <f>IF(Skills!N9=TRUE,(Skills!L9/10)*(E3085/1000),Skills!L9/10)+Skills!O9</f>
        <v>5775</v>
      </c>
      <c r="G3085">
        <f>Calc!G9</f>
        <v>2.5</v>
      </c>
      <c r="H3085">
        <f>Calc!H9</f>
        <v>1</v>
      </c>
      <c r="I3085">
        <f>IF(Skills!X9&lt;&gt;"",1+(Skills!X9/10)*(Z3079/1000)/100,1)</f>
        <v>1</v>
      </c>
      <c r="J3085">
        <f>((Inputs!$B$6*(1+Inputs!$B$7/100))+(((Inputs!$B$12*(1+Inputs!$B$13/100))-(Inputs!$B$12*(1+Inputs!$B$13/100)))+0.25*(Inputs!$B$14-Inputs!$B$14))*(1+Inputs!$B$7/100))*(F3085/100)</f>
        <v>20855518610.330254</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112290066210738.89</v>
      </c>
      <c r="L3085">
        <f>K3085*(MIN(Inputs!$B$22+(F3098-Calc!F22),(Inputs!$B$23+(IF(ArtifactsInput!$M$15,CHOOSE(ArtifactsInput!$N$15+1,25,30,35,40,45,50)/100*(Inputs!$B$11-Inputs!$B$11),0))))/100+(Inputs!$B$23+(IF(ArtifactsInput!$M$15,CHOOSE(ArtifactsInput!$N$15+1,25,30,35,40,45,50)/100*(Inputs!$B$11-Inputs!$B$11),0)))/100)/2</f>
        <v>373364470150706.81</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1761906934641185.2</v>
      </c>
      <c r="N3085">
        <f>L3085*(1-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1761906934641185.2</v>
      </c>
      <c r="O3085">
        <f>(1-Summary!$B$11)*S3085+Summary!$B$11*U3085</f>
        <v>3663665232219514.5</v>
      </c>
      <c r="P3085">
        <f>IF(B3117=0,0,O3085/B3117)</f>
        <v>0.10261775573201924</v>
      </c>
      <c r="Q3085">
        <f>IFERROR(1/(IF(Inputs!$B$38="pvp",15,MAX(0.1,Skills!E9-IF(TRUE=TRUE,4,0)))*(1-IF(AND(ArtifactsInput!$M$27,Inputs!$B$4="Chapter Hunt"),CHOOSE(ArtifactsInput!$N$27+1,20,24,28,32,36,40),0)/100)),0)</f>
        <v>4.878048780487805E-2</v>
      </c>
      <c r="R3085">
        <f>IF(AND(Inputs!$B$38&lt;&gt;"pvp",Inputs!$B$43&gt;0),IF(MAX(0,Inputs!$B$43-B3114)&lt;=0,0,(INT(MAX(0,Inputs!$B$43-B3114)/(IF(Inputs!$B$38="pvp",15,MAX(0.1,Skills!E9-IF(TRUE=TRUE,4,0)))*(1-IF(AND(ArtifactsInput!$M$27,Inputs!$B$4="Chapter Hunt"),CHOOSE(ArtifactsInput!$N$27+1,20,24,28,32,36,40),0)/100)))+1)),0)</f>
        <v>2</v>
      </c>
      <c r="S3085">
        <f>IF(C3085,(H3085*N3085*IF(AND(Inputs!$B$38&lt;&gt;"pvp",Inputs!$B$43&gt;0),((Skills!G9*((R3085-1)*IF(Skills!H9&gt;0,Skills!I9/Skills!H9,1)+IF(Skills!H9&gt;0,MIN(Skills!I9,MAX(0,MAX(0,Inputs!$B$43-B3114)-((R3085-1)*(IF(Inputs!$B$38="pvp",15,MAX(0.1,Skills!E9-IF(TRUE=TRUE,4,0)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698155622851569.62</v>
      </c>
      <c r="U3085">
        <f>IF(C3085,(H3085*N3085*IF(AND(Inputs!$B$38&lt;&gt;"pvp",Inputs!$B$43&gt;0),((Skills!G9*((R3085-1)*IF(Skills!H9&gt;0,Skills!I9/Skills!H9,1)+IF(Skills!H9&gt;0,MIN(Skills!I9,MAX(0,MAX(0,Inputs!$B$43-B3114)-((R3085-1)*(IF(Inputs!$B$38="pvp",15,MAX(0.1,Skills!E9-IF(TRUE=TRUE,4,0)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6629174841587459</v>
      </c>
    </row>
    <row r="3086" spans="1:26" x14ac:dyDescent="0.2">
      <c r="A3086" t="str">
        <f>Skills!A10</f>
        <v>CREEPING_TOXIN</v>
      </c>
      <c r="B3086" t="str">
        <f>Skills!B10</f>
        <v>Creeping Toxin</v>
      </c>
      <c r="C3086" t="b">
        <f>TRUE</f>
        <v>1</v>
      </c>
      <c r="D3086">
        <f>IF(Skills!C10=1,60+Inputs!$B$25+Inputs!$B$29,IF(Skills!C10=2,90+Inputs!$B$26+Inputs!$B$29,IF(Skills!C10=3,120+Inputs!$B$27+Inputs!$B$29,MAX(0,(Inputs!$B$3-100)*3)+Inputs!$B$28+Inputs!$B$29)))</f>
        <v>184</v>
      </c>
      <c r="E3086">
        <f>INDEX(FactorTable!$B$2:$Y$301, MATCH(ROUND(MIN(300,MAX(1,D3086)),0), FactorTable!$A$2:$A$301,0), Skills!M10+1)</f>
        <v>1920</v>
      </c>
      <c r="F3086">
        <f>IF(Skills!N10=TRUE,(Skills!L10/10)*(E3086/1000),Skills!L10/10)+Skills!O10</f>
        <v>280.39999999999998</v>
      </c>
      <c r="G3086">
        <f>Calc!G10</f>
        <v>15</v>
      </c>
      <c r="H3086">
        <f>Calc!H10</f>
        <v>1</v>
      </c>
      <c r="I3086">
        <f>IF(Skills!X10&lt;&gt;"",1+(Skills!X10/10)*(Z3079/1000)/100,1)</f>
        <v>1.7650000000000001</v>
      </c>
      <c r="J3086">
        <f>((Inputs!$B$6*(1+Inputs!$B$7/100))+(((Inputs!$B$12*(1+Inputs!$B$13/100))-(Inputs!$B$12*(1+Inputs!$B$13/100)))+0.25*(Inputs!$B$14-Inputs!$B$14))*(1+Inputs!$B$7/100))*(F3086/100)</f>
        <v>1012621197.9803641</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9623035066336.2656</v>
      </c>
      <c r="L3086">
        <f>K3086*(MIN(Inputs!$B$22+(F3098-Calc!F22),(Inputs!$B$23+(IF(ArtifactsInput!$M$15,CHOOSE(ArtifactsInput!$N$15+1,25,30,35,40,45,50)/100*(Inputs!$B$11-Inputs!$B$11),0))))/100+(Inputs!$B$23+(IF(ArtifactsInput!$M$15,CHOOSE(ArtifactsInput!$N$15+1,25,30,35,40,45,50)/100*(Inputs!$B$11-Inputs!$B$11),0)))/100)/2</f>
        <v>31996591595568.086</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150991915739485.78</v>
      </c>
      <c r="N3086">
        <f>L3086*(1-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150991915739485.78</v>
      </c>
      <c r="O3086">
        <f>(1-Summary!$B$11)*S3086+Summary!$B$11*U3086</f>
        <v>401730846767414.81</v>
      </c>
      <c r="P3086">
        <f>IF(B3117=0,0,O3086/B3117)</f>
        <v>1.1252315724988101E-2</v>
      </c>
      <c r="Q3086">
        <f>IFERROR(1/(IF(Inputs!$B$38="pvp",15,MAX(0.1,Skills!E10-IF(TRUE=TRUE,4,0)))*(1-IF(AND(ArtifactsInput!$M$27,Inputs!$B$4="Chapter Hunt"),CHOOSE(ArtifactsInput!$N$27+1,20,24,28,32,36,40),0)/100)),0)</f>
        <v>4.3478260869565216E-2</v>
      </c>
      <c r="R3086">
        <f>IF(AND(Inputs!$B$38&lt;&gt;"pvp",Inputs!$B$43&gt;0),IF(MAX(0,Inputs!$B$43-B3114)&lt;=0,0,(INT(MAX(0,Inputs!$B$43-B3114)/(IF(Inputs!$B$38="pvp",15,MAX(0.1,Skills!E10-IF(TRUE=TRUE,4,0)))*(1-IF(AND(ArtifactsInput!$M$27,Inputs!$B$4="Chapter Hunt"),CHOOSE(ArtifactsInput!$N$27+1,20,24,28,32,36,40),0)/100)))+1)),0)</f>
        <v>2</v>
      </c>
      <c r="S3086">
        <f>IF(C3086,(H3086*N3086*IF(AND(Inputs!$B$38&lt;&gt;"pvp",Inputs!$B$43&gt;0),((Skills!G10*((R3086-1)*IF(Skills!H10&gt;0,Skills!I10/Skills!H10,1)+IF(Skills!H10&gt;0,MIN(Skills!I10,MAX(0,MAX(0,Inputs!$B$43-B3114)-((R3086-1)*(IF(Inputs!$B$38="pvp",15,MAX(0.1,Skills!E10-IF(TRUE=TRUE,4,0)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354731694777912.25</v>
      </c>
      <c r="U3086">
        <f>IF(C3086,(H3086*N3086*IF(AND(Inputs!$B$38&lt;&gt;"pvp",Inputs!$B$43&gt;0),((Skills!G10*((R3086-1)*IF(Skills!H10&gt;0,Skills!I10/Skills!H10,1)+IF(Skills!H10&gt;0,MIN(Skills!I10,MAX(0,MAX(0,Inputs!$B$43-B3114)-((R3086-1)*(IF(Inputs!$B$38="pvp",15,MAX(0.1,Skills!E10-IF(TRUE=TRUE,4,0)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448729998756917.38</v>
      </c>
    </row>
    <row r="3087" spans="1:26" x14ac:dyDescent="0.2">
      <c r="A3087" t="str">
        <f>Skills!A11</f>
        <v>BURNING_MAGIC</v>
      </c>
      <c r="B3087" t="str">
        <f>Skills!B11</f>
        <v>Burning Magic</v>
      </c>
      <c r="C3087" t="b">
        <f>TRUE</f>
        <v>1</v>
      </c>
      <c r="D3087">
        <f>IF(Skills!C11=1,60+Inputs!$B$25+Inputs!$B$29,IF(Skills!C11=2,90+Inputs!$B$26+Inputs!$B$29,IF(Skills!C11=3,120+Inputs!$B$27+Inputs!$B$29,MAX(0,(Inputs!$B$3-100)*3)+Inputs!$B$28+Inputs!$B$29)))</f>
        <v>184</v>
      </c>
      <c r="E3087">
        <f>INDEX(FactorTable!$B$2:$Y$301, MATCH(ROUND(MIN(300,MAX(1,D3087)),0), FactorTable!$A$2:$A$301,0), Skills!M11+1)</f>
        <v>0</v>
      </c>
      <c r="F3087">
        <f>IF(Skills!N11=TRUE,(Skills!L11/10)*(E3087/1000),Skills!L11/10)+Skills!O11</f>
        <v>5</v>
      </c>
      <c r="G3087">
        <f>Calc!G11</f>
        <v>1</v>
      </c>
      <c r="H3087">
        <f>Calc!H11</f>
        <v>1</v>
      </c>
      <c r="I3087">
        <f>IF(Skills!X11&lt;&gt;"",1+(Skills!X11/10)*(Z3079/1000)/100,1)</f>
        <v>1</v>
      </c>
      <c r="O3087">
        <f>(1-Summary!$B$11)*S3087+Summary!$B$11*U3087</f>
        <v>0</v>
      </c>
      <c r="P3087">
        <f>IF(B3117=0,0,O3087/B3117)</f>
        <v>0</v>
      </c>
      <c r="Q3087">
        <f>IFERROR(1/(IF(Inputs!$B$38="pvp",15,MAX(0.1,Skills!E11-IF(TRUE=TRUE,4,0)))*(1-IF(AND(ArtifactsInput!$M$27,Inputs!$B$4="Chapter Hunt"),CHOOSE(ArtifactsInput!$N$27+1,20,24,28,32,36,40),0)/100)),0)</f>
        <v>10</v>
      </c>
      <c r="R3087">
        <v>0</v>
      </c>
      <c r="S3087">
        <v>0</v>
      </c>
      <c r="U3087">
        <v>0</v>
      </c>
    </row>
    <row r="3088" spans="1:26" x14ac:dyDescent="0.2">
      <c r="A3088" t="str">
        <f>Skills!A12</f>
        <v>ELEMENTAL_DECREASE</v>
      </c>
      <c r="B3088" t="str">
        <f>Skills!B12</f>
        <v>Elemental Decrease</v>
      </c>
      <c r="C3088" t="b">
        <f>TRUE</f>
        <v>1</v>
      </c>
      <c r="D3088">
        <f>IF(Skills!C12=1,60+Inputs!$B$25+Inputs!$B$29,IF(Skills!C12=2,90+Inputs!$B$26+Inputs!$B$29,IF(Skills!C12=3,120+Inputs!$B$27+Inputs!$B$29,MAX(0,(Inputs!$B$3-100)*3)+Inputs!$B$28+Inputs!$B$29)))</f>
        <v>184</v>
      </c>
      <c r="E3088">
        <f>INDEX(FactorTable!$B$2:$Y$301, MATCH(ROUND(MIN(300,MAX(1,D3088)),0), FactorTable!$A$2:$A$301,0), Skills!M12+1)</f>
        <v>1552</v>
      </c>
      <c r="F3088">
        <f>IF(Skills!N12=TRUE,(Skills!L12/10)*(E3088/1000),Skills!L12/10)+Skills!O12</f>
        <v>18.624000000000002</v>
      </c>
      <c r="G3088">
        <f>Calc!G12</f>
        <v>1</v>
      </c>
      <c r="H3088">
        <f>Calc!H12</f>
        <v>0.5</v>
      </c>
      <c r="I3088">
        <f>IF(Skills!X12&lt;&gt;"",1+(Skills!X12/10)*(Z3079/1000)/100,1)</f>
        <v>1</v>
      </c>
      <c r="O3088">
        <f>(1-Summary!$B$11)*S3088+Summary!$B$11*U3088</f>
        <v>0</v>
      </c>
      <c r="P3088">
        <f>IF(B3117=0,0,O3088/B3117)</f>
        <v>0</v>
      </c>
      <c r="Q3088">
        <f>IFERROR(1/(IF(Inputs!$B$38="pvp",15,MAX(0.1,Skills!E12-IF(TRUE=TRUE,4,0)))*(1-IF(AND(ArtifactsInput!$M$27,Inputs!$B$4="Chapter Hunt"),CHOOSE(ArtifactsInput!$N$27+1,20,24,28,32,36,40),0)/100)),0)</f>
        <v>10</v>
      </c>
      <c r="R3088">
        <v>0</v>
      </c>
      <c r="S3088">
        <v>0</v>
      </c>
      <c r="U3088">
        <v>0</v>
      </c>
    </row>
    <row r="3089" spans="1:21" x14ac:dyDescent="0.2">
      <c r="A3089" t="str">
        <f>Skills!A13</f>
        <v>METEOR_SHOWER_BURST</v>
      </c>
      <c r="B3089" t="str">
        <f>Skills!B13</f>
        <v>Meteor Shower (burst)</v>
      </c>
      <c r="C3089" t="b">
        <f>Inputs!$B$3&gt;=105</f>
        <v>1</v>
      </c>
      <c r="D3089">
        <f>IF(Skills!C13=1,60+Inputs!$B$25+Inputs!$B$29,IF(Skills!C13=2,90+Inputs!$B$26+Inputs!$B$29,IF(Skills!C13=3,120+Inputs!$B$27+Inputs!$B$29,MAX(0,(Inputs!$B$3-100)*3)+Inputs!$B$28+Inputs!$B$29)))</f>
        <v>185</v>
      </c>
      <c r="E3089">
        <f>INDEX(FactorTable!$B$2:$Y$301, MATCH(ROUND(MIN(300,MAX(1,D3089)),0), FactorTable!$A$2:$A$301,0), Skills!M13+1)</f>
        <v>1925</v>
      </c>
      <c r="F3089">
        <f>IF(Skills!N13=TRUE,(Skills!L13/10)*(E3089/1000),Skills!L13/10)+Skills!O13</f>
        <v>1155</v>
      </c>
      <c r="G3089">
        <f>Calc!G13</f>
        <v>9</v>
      </c>
      <c r="H3089">
        <f>Calc!H13</f>
        <v>1</v>
      </c>
      <c r="I3089">
        <f>IF(Skills!X13&lt;&gt;"",1+(Skills!X13/10)*(Z3079/1000)/100,1)</f>
        <v>1</v>
      </c>
      <c r="J3089">
        <f>((Inputs!$B$6*(1+Inputs!$B$7/100))+(((Inputs!$B$12*(1+Inputs!$B$13/100))-(Inputs!$B$12*(1+Inputs!$B$13/100)))+0.25*(Inputs!$B$14-Inputs!$B$14))*(1+Inputs!$B$7/100))*(F3089/100)</f>
        <v>4171103722.0660505</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22458013242147.777</v>
      </c>
      <c r="L3089">
        <f>K3089*(MIN(Inputs!$B$22+(F3098-Calc!F22),(Inputs!$B$23+(IF(ArtifactsInput!$M$15,CHOOSE(ArtifactsInput!$N$15+1,25,30,35,40,45,50)/100*(Inputs!$B$11-Inputs!$B$11),0))))/100+(Inputs!$B$23+(IF(ArtifactsInput!$M$15,CHOOSE(ArtifactsInput!$N$15+1,25,30,35,40,45,50)/100*(Inputs!$B$11-Inputs!$B$11),0)))/100)/2</f>
        <v>74672894030141.359</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352381386928237.06</v>
      </c>
      <c r="N3089">
        <f>L3089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352381386928237.06</v>
      </c>
      <c r="O3089">
        <f>(1-Summary!$B$11)*S3089+Summary!$B$11*U3089</f>
        <v>1921888084306605</v>
      </c>
      <c r="P3089">
        <f>IF(B3117=0,0,O3089/B3117)</f>
        <v>5.3831294476699293E-2</v>
      </c>
      <c r="Q3089">
        <f>IFERROR(1/(IF(Inputs!$B$38="pvp",15,MAX(0.1,Skills!E13-IF(TRUE=TRUE,4,0)))*(1-IF(AND(ArtifactsInput!$M$27,Inputs!$B$4="Chapter Hunt"),CHOOSE(ArtifactsInput!$N$27+1,20,24,28,32,36,40),0)/100)),0)</f>
        <v>3.4482758620689655E-2</v>
      </c>
      <c r="R3089">
        <f>IF(AND(Inputs!$B$38&lt;&gt;"pvp",Inputs!$B$43&gt;0),IF(MAX(0,Inputs!$B$43-B3114)&lt;=0,0,(INT(MAX(0,Inputs!$B$43-B3114)/(IF(Inputs!$B$38="pvp",15,MAX(0.1,Skills!E13-IF(TRUE=TRUE,4,0)))*(1-IF(AND(ArtifactsInput!$M$27,Inputs!$B$4="Chapter Hunt"),CHOOSE(ArtifactsInput!$N$27+1,20,24,28,32,36,40),0)/100)))+1)),0)</f>
        <v>2</v>
      </c>
      <c r="S3089">
        <f>IF(C3089,(H3089*N3089*IF(AND(Inputs!$B$38&lt;&gt;"pvp",Inputs!$B$43&gt;0),((Skills!G13*((R3089-1)*IF(Skills!H13&gt;0,Skills!I13/Skills!H13,1)+IF(Skills!H13&gt;0,MIN(Skills!I13,MAX(0,MAX(0,Inputs!$B$43-B3114)-((R3089-1)*(IF(Inputs!$B$38="pvp",15,MAX(0.1,Skills!E13-IF(TRUE=TRUE,4,0)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502672048453130.19</v>
      </c>
      <c r="U3089">
        <f>IF(C3089,(H3089*N3089*IF(AND(Inputs!$B$38&lt;&gt;"pvp",Inputs!$B$43&gt;0),((Skills!G13*((R3089-1)*IF(Skills!H13&gt;0,Skills!I13/Skills!H13,1)+IF(Skills!H13&gt;0,MIN(Skills!I13,MAX(0,MAX(0,Inputs!$B$43-B3114)-((R3089-1)*(IF(Inputs!$B$38="pvp",15,MAX(0.1,Skills!E13-IF(TRUE=TRUE,4,0)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3341104120160080</v>
      </c>
    </row>
    <row r="3090" spans="1:21" x14ac:dyDescent="0.2">
      <c r="A3090" t="str">
        <f>Skills!A14</f>
        <v>METEOR_PROC</v>
      </c>
      <c r="B3090" t="str">
        <f>Skills!B14</f>
        <v>Meteor Proc (30% on-hit, 1s ICD)</v>
      </c>
      <c r="C3090" t="b">
        <f>Inputs!$B$3&gt;=113</f>
        <v>1</v>
      </c>
      <c r="D3090">
        <f>IF(Skills!C14=1,60+Inputs!$B$25+Inputs!$B$29,IF(Skills!C14=2,90+Inputs!$B$26+Inputs!$B$29,IF(Skills!C14=3,120+Inputs!$B$27+Inputs!$B$29,MAX(0,(Inputs!$B$3-100)*3)+Inputs!$B$28+Inputs!$B$29)))</f>
        <v>185</v>
      </c>
      <c r="E3090">
        <f>INDEX(FactorTable!$B$2:$Y$301, MATCH(ROUND(MIN(300,MAX(1,D3090)),0), FactorTable!$A$2:$A$301,0), Skills!M14+1)</f>
        <v>1740</v>
      </c>
      <c r="F3090">
        <f>IF(Skills!N14=TRUE,(Skills!L14/10)*(E3090/1000),Skills!L14/10)+Skills!O14</f>
        <v>1653</v>
      </c>
      <c r="G3090">
        <f>Calc!G14</f>
        <v>0</v>
      </c>
      <c r="H3090">
        <f>Calc!H14</f>
        <v>0.30000000000000004</v>
      </c>
      <c r="I3090">
        <f>IF(Skills!X14&lt;&gt;"",1+(Skills!X14/10)*(Z3079/1000)/100,1)</f>
        <v>1</v>
      </c>
      <c r="J3090">
        <f>((Inputs!$B$6*(1+Inputs!$B$7/100))+(((Inputs!$B$12*(1+Inputs!$B$13/100))-(Inputs!$B$12*(1+Inputs!$B$13/100)))+0.25*(Inputs!$B$14-Inputs!$B$14))*(1+Inputs!$B$7/100))*(F3090/100)</f>
        <v>5969553638.5932312</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32141208562138.762</v>
      </c>
      <c r="L3090">
        <f>K3090*(MIN(Inputs!$B$22+(F3098-Calc!F22),(Inputs!$B$23+(IF(ArtifactsInput!$M$15,CHOOSE(ArtifactsInput!$N$15+1,25,30,35,40,45,50)/100*(Inputs!$B$11-Inputs!$B$11),0))))/100+(Inputs!$B$23+(IF(ArtifactsInput!$M$15,CHOOSE(ArtifactsInput!$N$15+1,25,30,35,40,45,50)/100*(Inputs!$B$11-Inputs!$B$11),0)))/100)/2</f>
        <v>106869518469111.39</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504317257655736.56</v>
      </c>
      <c r="N3090">
        <f>L3090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504317257655736.56</v>
      </c>
      <c r="O3090">
        <f>(1-Summary!$B$11)*S3090+Summary!$B$11*U3090</f>
        <v>488777975186325.5</v>
      </c>
      <c r="P3090">
        <f>IF(B3117=0,0,O3090/B3117)</f>
        <v>1.3690469976285228E-2</v>
      </c>
      <c r="Q3090">
        <f>IFERROR(1/(IF(Inputs!$B$38="pvp",15,MAX(0.1,Skills!E14-IF(TRUE=TRUE,4,0)))*(1-IF(AND(ArtifactsInput!$M$27,Inputs!$B$4="Chapter Hunt"),CHOOSE(ArtifactsInput!$N$27+1,20,24,28,32,36,40),0)/100)),0)</f>
        <v>10</v>
      </c>
      <c r="R3090">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501432421145842</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476123529226808.94</v>
      </c>
    </row>
    <row r="3091" spans="1:21" x14ac:dyDescent="0.2">
      <c r="A3091" t="str">
        <f>Skills!A15</f>
        <v>FLAME_HAZE_BURST</v>
      </c>
      <c r="B3091" t="str">
        <f>Skills!B15</f>
        <v>Flame Haze (burst)</v>
      </c>
      <c r="C3091" t="b">
        <f>Inputs!$B$3&gt;=107</f>
        <v>1</v>
      </c>
      <c r="D3091">
        <f>IF(Skills!C15=1,60+Inputs!$B$25+Inputs!$B$29,IF(Skills!C15=2,90+Inputs!$B$26+Inputs!$B$29,IF(Skills!C15=3,120+Inputs!$B$27+Inputs!$B$29,MAX(0,(Inputs!$B$3-100)*3)+Inputs!$B$28+Inputs!$B$29)))</f>
        <v>185</v>
      </c>
      <c r="E3091">
        <f>INDEX(FactorTable!$B$2:$Y$301, MATCH(ROUND(MIN(300,MAX(1,D3091)),0), FactorTable!$A$2:$A$301,0), Skills!M15+1)</f>
        <v>1925</v>
      </c>
      <c r="F3091">
        <f>IF(Skills!N15=TRUE,(Skills!L15/10)*(E3091/1000),Skills!L15/10)+Skills!O15</f>
        <v>2310</v>
      </c>
      <c r="G3091">
        <f>Calc!G15</f>
        <v>3</v>
      </c>
      <c r="H3091">
        <f>Calc!H15</f>
        <v>1</v>
      </c>
      <c r="I3091">
        <f>IF(Skills!X15&lt;&gt;"",1+(Skills!X15/10)*(Z3079/1000)/100,1)</f>
        <v>1</v>
      </c>
      <c r="J3091">
        <f>((Inputs!$B$6*(1+Inputs!$B$7/100))+(((Inputs!$B$12*(1+Inputs!$B$13/100))-(Inputs!$B$12*(1+Inputs!$B$13/100)))+0.25*(Inputs!$B$14-Inputs!$B$14))*(1+Inputs!$B$7/100))*(F3091/100)</f>
        <v>8342207444.1321011</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44916026484295.555</v>
      </c>
      <c r="L3091">
        <f>K3091*(MIN(Inputs!$B$22+(F3098-Calc!F22),(Inputs!$B$23+(IF(ArtifactsInput!$M$15,CHOOSE(ArtifactsInput!$N$15+1,25,30,35,40,45,50)/100*(Inputs!$B$11-Inputs!$B$11),0))))/100+(Inputs!$B$23+(IF(ArtifactsInput!$M$15,CHOOSE(ArtifactsInput!$N$15+1,25,30,35,40,45,50)/100*(Inputs!$B$11-Inputs!$B$11),0)))/100)/2</f>
        <v>149345788060282.72</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704762773856474.12</v>
      </c>
      <c r="N3091">
        <f>L3091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704762773856474.12</v>
      </c>
      <c r="O3091">
        <f>(1-Summary!$B$11)*S3091+Summary!$B$11*U3091</f>
        <v>1758559311465366.8</v>
      </c>
      <c r="P3091">
        <f>IF(B3117=0,0,O3091/B3117)</f>
        <v>4.9256522751369228E-2</v>
      </c>
      <c r="Q3091">
        <f>IFERROR(1/(IF(Inputs!$B$38="pvp",15,MAX(0.1,Skills!E15-IF(TRUE=TRUE,4,0)))*(1-IF(AND(ArtifactsInput!$M$27,Inputs!$B$4="Chapter Hunt"),CHOOSE(ArtifactsInput!$N$27+1,20,24,28,32,36,40),0)/100)),0)</f>
        <v>4.7619047619047616E-2</v>
      </c>
      <c r="R3091">
        <f>IF(AND(Inputs!$B$38&lt;&gt;"pvp",Inputs!$B$43&gt;0),IF(MAX(0,Inputs!$B$43-B3114)&lt;=0,0,(INT(MAX(0,Inputs!$B$43-B3114)/(IF(Inputs!$B$38="pvp",15,MAX(0.1,Skills!E15-IF(TRUE=TRUE,4,0)))*(1-IF(AND(ArtifactsInput!$M$27,Inputs!$B$4="Chapter Hunt"),CHOOSE(ArtifactsInput!$N$27+1,20,24,28,32,36,40),0)/100)))+1)),0)</f>
        <v>2</v>
      </c>
      <c r="S3091">
        <f>IF(C3091,(H3091*N3091*IF(AND(Inputs!$B$38&lt;&gt;"pvp",Inputs!$B$43&gt;0),((Skills!G15*((R3091-1)*IF(Skills!H15&gt;0,Skills!I15/Skills!H15,1)+IF(Skills!H15&gt;0,MIN(Skills!I15,MAX(0,MAX(0,Inputs!$B$43-B3114)-((R3091-1)*(IF(Inputs!$B$38="pvp",15,MAX(0.1,Skills!E15-IF(TRUE=TRUE,4,0)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335114698968753.44</v>
      </c>
      <c r="U3091">
        <f>IF(C3091,(H3091*N3091*IF(AND(Inputs!$B$38&lt;&gt;"pvp",Inputs!$B$43&gt;0),((Skills!G15*((R3091-1)*IF(Skills!H15&gt;0,Skills!I15/Skills!H15,1)+IF(Skills!H15&gt;0,MIN(Skills!I15,MAX(0,MAX(0,Inputs!$B$43-B3114)-((R3091-1)*(IF(Inputs!$B$38="pvp",15,MAX(0.1,Skills!E15-IF(TRUE=TRUE,4,0)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3182003923961980</v>
      </c>
    </row>
    <row r="3092" spans="1:21" x14ac:dyDescent="0.2">
      <c r="A3092" t="str">
        <f>Skills!A16</f>
        <v>FLAME_HAZE_DOT</v>
      </c>
      <c r="B3092" t="str">
        <f>Skills!B16</f>
        <v>Flame Haze (burn DoT)</v>
      </c>
      <c r="C3092" t="b">
        <f>Inputs!$B$3&gt;=107</f>
        <v>1</v>
      </c>
      <c r="D3092">
        <f>IF(Skills!C16=1,60+Inputs!$B$25+Inputs!$B$29,IF(Skills!C16=2,90+Inputs!$B$26+Inputs!$B$29,IF(Skills!C16=3,120+Inputs!$B$27+Inputs!$B$29,MAX(0,(Inputs!$B$3-100)*3)+Inputs!$B$28+Inputs!$B$29)))</f>
        <v>185</v>
      </c>
      <c r="E3092">
        <f>INDEX(FactorTable!$B$2:$Y$301, MATCH(ROUND(MIN(300,MAX(1,D3092)),0), FactorTable!$A$2:$A$301,0), Skills!M16+1)</f>
        <v>1925</v>
      </c>
      <c r="F3092">
        <f>IF(Skills!N16=TRUE,(Skills!L16/10)*(E3092/1000),Skills!L16/10)+Skills!O16</f>
        <v>288.75</v>
      </c>
      <c r="G3092">
        <f>Calc!G16</f>
        <v>30</v>
      </c>
      <c r="H3092">
        <f>Calc!H16</f>
        <v>1</v>
      </c>
      <c r="I3092">
        <f>IF(Skills!X16&lt;&gt;"",1+(Skills!X16/10)*(Z3079/1000)/100,1)</f>
        <v>1</v>
      </c>
      <c r="J3092">
        <f>((Inputs!$B$6*(1+Inputs!$B$7/100))+(((Inputs!$B$12*(1+Inputs!$B$13/100))-(Inputs!$B$12*(1+Inputs!$B$13/100)))+0.25*(Inputs!$B$14-Inputs!$B$14))*(1+Inputs!$B$7/100))*(F3092/100)</f>
        <v>1042775930.5165126</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5614503310536.9443</v>
      </c>
      <c r="L3092">
        <f>K3092*(MIN(Inputs!$B$22+(F3098-Calc!F22),(Inputs!$B$23+(IF(ArtifactsInput!$M$15,CHOOSE(ArtifactsInput!$N$15+1,25,30,35,40,45,50)/100*(Inputs!$B$11-Inputs!$B$11),0))))/100+(Inputs!$B$23+(IF(ArtifactsInput!$M$15,CHOOSE(ArtifactsInput!$N$15+1,25,30,35,40,45,50)/100*(Inputs!$B$11-Inputs!$B$11),0)))/100)/2</f>
        <v>18668223507535.34</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88095346732059.266</v>
      </c>
      <c r="N3092">
        <f>L3092*(1-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88095346732059.266</v>
      </c>
      <c r="O3092">
        <f>(1-Summary!$B$11)*S3092+Summary!$B$11*U3092</f>
        <v>2198199139331709</v>
      </c>
      <c r="P3092">
        <f>IF(B3117=0,0,O3092/B3117)</f>
        <v>6.1570653439211552E-2</v>
      </c>
      <c r="Q3092">
        <f>IFERROR(1/(IF(Inputs!$B$38="pvp",15,MAX(0.1,Skills!E16-IF(TRUE=TRUE,4,0)))*(1-IF(AND(ArtifactsInput!$M$27,Inputs!$B$4="Chapter Hunt"),CHOOSE(ArtifactsInput!$N$27+1,20,24,28,32,36,40),0)/100)),0)</f>
        <v>4.7619047619047616E-2</v>
      </c>
      <c r="R3092">
        <f>IF(AND(Inputs!$B$38&lt;&gt;"pvp",Inputs!$B$43&gt;0),IF(MAX(0,Inputs!$B$43-B3114)&lt;=0,0,(INT(MAX(0,Inputs!$B$43-B3114)/(IF(Inputs!$B$38="pvp",15,MAX(0.1,Skills!E16-IF(TRUE=TRUE,4,0)))*(1-IF(AND(ArtifactsInput!$M$27,Inputs!$B$4="Chapter Hunt"),CHOOSE(ArtifactsInput!$N$27+1,20,24,28,32,36,40),0)/100)))+1)),0)</f>
        <v>2</v>
      </c>
      <c r="S3092">
        <f>IF(C3092,(H3092*N3092*IF(AND(Inputs!$B$38&lt;&gt;"pvp",Inputs!$B$43&gt;0),((Skills!G16*((R3092-1)*IF(Skills!H16&gt;0,Skills!I16/Skills!H16,1)+IF(Skills!H16&gt;0,MIN(Skills!I16,MAX(0,MAX(0,Inputs!$B$43-B3114)-((R3092-1)*(IF(Inputs!$B$38="pvp",15,MAX(0.1,Skills!E16-IF(TRUE=TRUE,4,0)))*(1-IF(AND(ArtifactsInput!$M$27,Inputs!$B$4="Chapter Hunt"),CHOOSE(ArtifactsInput!$N$27+1,20,24,28,32,36,40),0)/100)))))/Skills!H16,1)))/Inputs!$B$43),G3092*Q3092)*(1+IF(Inputs!$B$3&gt;=126,0.05*(B3112+Q3089+(H3090*B3113)/(1+Skills!H14*H3090*B3113)+Q3100),0)*(1/Q3091)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418893373710941.81</v>
      </c>
      <c r="U3092">
        <f>IF(C3092,(H3092*N3092*IF(AND(Inputs!$B$38&lt;&gt;"pvp",Inputs!$B$43&gt;0),((Skills!G16*((R3092-1)*IF(Skills!H16&gt;0,Skills!I16/Skills!H16,1)+IF(Skills!H16&gt;0,MIN(Skills!I16,MAX(0,MAX(0,Inputs!$B$43-B3114)-((R3092-1)*(IF(Inputs!$B$38="pvp",15,MAX(0.1,Skills!E16-IF(TRUE=TRUE,4,0)))*(1-IF(AND(ArtifactsInput!$M$27,Inputs!$B$4="Chapter Hunt"),CHOOSE(ArtifactsInput!$N$27+1,20,24,28,32,36,40),0)/100)))))/Skills!H16,1)))/Inputs!$B$43),G3092*Q3092)*(1+IF(Inputs!$B$3&gt;=126,0.05*(B3112+Q3089+(H3090*B3113)/(1+Skills!H14*H3090*B3113)+Q3100),0)*(1/Q3091)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3977504904952476</v>
      </c>
    </row>
    <row r="3093" spans="1:21" x14ac:dyDescent="0.2">
      <c r="A3093" t="str">
        <f>Skills!A17</f>
        <v>MAGIC_GUARD</v>
      </c>
      <c r="B3093" t="str">
        <f>Skills!B17</f>
        <v>Magic Guard</v>
      </c>
      <c r="C3093" t="b">
        <f>TRUE</f>
        <v>1</v>
      </c>
      <c r="D3093">
        <f>IF(Skills!C17=1,60+Inputs!$B$25+Inputs!$B$29,IF(Skills!C17=2,90+Inputs!$B$26+Inputs!$B$29,IF(Skills!C17=3,120+Inputs!$B$27+Inputs!$B$29,MAX(0,(Inputs!$B$3-100)*3)+Inputs!$B$28+Inputs!$B$29)))</f>
        <v>127</v>
      </c>
      <c r="E3093">
        <f>INDEX(FactorTable!$B$2:$Y$301, MATCH(ROUND(MIN(300,MAX(1,D3093)),0), FactorTable!$A$2:$A$301,0), Skills!M17+1)</f>
        <v>1508</v>
      </c>
      <c r="F3093">
        <f>IF(Skills!N17=TRUE,(Skills!L17/10)*(E3093/1000),Skills!L17/10)+Skills!O17</f>
        <v>18.096</v>
      </c>
      <c r="G3093">
        <f>Calc!G17</f>
        <v>1</v>
      </c>
      <c r="H3093">
        <f>Calc!H17</f>
        <v>1</v>
      </c>
      <c r="I3093">
        <f>IF(Skills!X17&lt;&gt;"",1+(Skills!X17/10)*(Z3079/1000)/100,1)</f>
        <v>1</v>
      </c>
      <c r="O3093">
        <f>(1-Summary!$B$11)*S3093+Summary!$B$11*U3093</f>
        <v>0</v>
      </c>
      <c r="P3093">
        <f>IF(B3117=0,0,O3093/B3117)</f>
        <v>0</v>
      </c>
      <c r="Q3093">
        <f>IFERROR(1/(IF(Inputs!$B$38="pvp",15,MAX(0.1,Skills!E17-IF(TRUE=TRUE,4,0)))*(1-IF(AND(ArtifactsInput!$M$27,Inputs!$B$4="Chapter Hunt"),CHOOSE(ArtifactsInput!$N$27+1,20,24,28,32,36,40),0)/100)),0)</f>
        <v>5.8823529411764705E-2</v>
      </c>
      <c r="R3093">
        <f>IF(AND(Inputs!$B$38&lt;&gt;"pvp",Inputs!$B$43&gt;0),IF(Inputs!$B$43&lt;=0,0,(INT(Inputs!$B$43/(IF(Inputs!$B$38="pvp",15,MAX(0.1,Skills!E17-IF(TRUE=TRUE,4,0)))*(1-IF(AND(ArtifactsInput!$M$27,Inputs!$B$4="Chapter Hunt"),CHOOSE(ArtifactsInput!$N$27+1,20,24,28,32,36,40),0)/100)))+1)),0)</f>
        <v>3</v>
      </c>
      <c r="S3093">
        <v>0</v>
      </c>
      <c r="U3093">
        <v>0</v>
      </c>
    </row>
    <row r="3094" spans="1:21" x14ac:dyDescent="0.2">
      <c r="A3094" t="str">
        <f>Skills!A18</f>
        <v>NIMBLE_FEET</v>
      </c>
      <c r="B3094" t="str">
        <f>Skills!B18</f>
        <v>Nimble Feet</v>
      </c>
      <c r="C3094" t="b">
        <f>TRUE</f>
        <v>1</v>
      </c>
      <c r="D3094">
        <f>IF(Skills!C18=1,60+Inputs!$B$25+Inputs!$B$29,IF(Skills!C18=2,90+Inputs!$B$26+Inputs!$B$29,IF(Skills!C18=3,120+Inputs!$B$27+Inputs!$B$29,MAX(0,(Inputs!$B$3-100)*3)+Inputs!$B$28+Inputs!$B$29)))</f>
        <v>127</v>
      </c>
      <c r="E3094">
        <f>INDEX(FactorTable!$B$2:$Y$301, MATCH(ROUND(MIN(300,MAX(1,D3094)),0), FactorTable!$A$2:$A$301,0), Skills!M18+1)</f>
        <v>0</v>
      </c>
      <c r="F3094">
        <f>IF(Skills!N18=TRUE,(Skills!L18/10)*(E3094/1000),Skills!L18/10)+Skills!O18</f>
        <v>15</v>
      </c>
      <c r="G3094">
        <f>Calc!G18</f>
        <v>1</v>
      </c>
      <c r="H3094">
        <f>Calc!H18</f>
        <v>1</v>
      </c>
      <c r="I3094">
        <f>IF(Skills!X18&lt;&gt;"",1+(Skills!X18/10)*(Z3079/1000)/100,1)</f>
        <v>1</v>
      </c>
      <c r="O3094">
        <f>(1-Summary!$B$11)*S3094+Summary!$B$11*U3094</f>
        <v>0</v>
      </c>
      <c r="P3094">
        <f>IF(B3117=0,0,O3094/B3117)</f>
        <v>0</v>
      </c>
      <c r="Q3094">
        <f>IFERROR(1/(IF(Inputs!$B$38="pvp",15,MAX(0.1,Skills!E18-IF(TRUE=TRUE,4,0)))*(1-IF(AND(ArtifactsInput!$M$27,Inputs!$B$4="Chapter Hunt"),CHOOSE(ArtifactsInput!$N$27+1,20,24,28,32,36,40),0)/100)),0)</f>
        <v>1.7857142857142856E-2</v>
      </c>
      <c r="R3094">
        <f>IF(AND(Inputs!$B$38&lt;&gt;"pvp",Inputs!$B$43&gt;0),IF(Inputs!$B$43&lt;=0,0,(INT(Inputs!$B$43/(IF(Inputs!$B$38="pvp",15,MAX(0.1,Skills!E18-IF(TRUE=TRUE,4,0)))*(1-IF(AND(ArtifactsInput!$M$27,Inputs!$B$4="Chapter Hunt"),CHOOSE(ArtifactsInput!$N$27+1,20,24,28,32,36,40),0)/100)))+1)),0)</f>
        <v>1</v>
      </c>
      <c r="S3094">
        <v>0</v>
      </c>
      <c r="U3094">
        <v>0</v>
      </c>
    </row>
    <row r="3095" spans="1:21" x14ac:dyDescent="0.2">
      <c r="A3095" t="str">
        <f>Skills!A19</f>
        <v>INFINITY</v>
      </c>
      <c r="B3095" t="str">
        <f>Skills!B19</f>
        <v>Infinity</v>
      </c>
      <c r="C3095" t="b">
        <f>Inputs!$B$3&gt;=110</f>
        <v>1</v>
      </c>
      <c r="D3095">
        <f>IF(Skills!C19=1,60+Inputs!$B$25+Inputs!$B$29,IF(Skills!C19=2,90+Inputs!$B$26+Inputs!$B$29,IF(Skills!C19=3,120+Inputs!$B$27+Inputs!$B$29,MAX(0,(Inputs!$B$3-100)*3)+Inputs!$B$28+Inputs!$B$29)))</f>
        <v>185</v>
      </c>
      <c r="E3095">
        <f>INDEX(FactorTable!$B$2:$Y$301, MATCH(ROUND(MIN(300,MAX(1,D3095)),0), FactorTable!$A$2:$A$301,0), Skills!M19+1)</f>
        <v>1740</v>
      </c>
      <c r="F3095">
        <f>IF(Skills!N19=TRUE,(Skills!L19/10)*(E3095/1000),Skills!L19/10)+Skills!O19</f>
        <v>37.700579999999995</v>
      </c>
      <c r="G3095">
        <f>Calc!G19</f>
        <v>1</v>
      </c>
      <c r="H3095">
        <f>Calc!H19</f>
        <v>1</v>
      </c>
      <c r="I3095">
        <f>IF(Skills!X19&lt;&gt;"",1+(Skills!X19/10)*(Z3079/1000)/100,1)</f>
        <v>1</v>
      </c>
      <c r="O3095">
        <f>(1-Summary!$B$11)*S3095+Summary!$B$11*U3095</f>
        <v>0</v>
      </c>
      <c r="P3095">
        <f>IF(B3117=0,0,O3095/B3117)</f>
        <v>0</v>
      </c>
      <c r="Q3095">
        <f>IFERROR(1/(IF(Inputs!$B$38="pvp",15,MAX(0.1,Skills!E19-IF(TRUE=TRUE,4,0)))*(1-IF(AND(ArtifactsInput!$M$27,Inputs!$B$4="Chapter Hunt"),CHOOSE(ArtifactsInput!$N$27+1,20,24,28,32,36,40),0)/100)),0)</f>
        <v>3.8461538461538464E-2</v>
      </c>
      <c r="R3095">
        <f>IF(AND(Inputs!$B$38&lt;&gt;"pvp",Inputs!$B$43&gt;0),IF(Inputs!$B$43&lt;=0,0,(INT(Inputs!$B$43/(IF(Inputs!$B$38="pvp",15,MAX(0.1,Skills!E19-IF(TRUE=TRUE,4,0)))*(1-IF(AND(ArtifactsInput!$M$27,Inputs!$B$4="Chapter Hunt"),CHOOSE(ArtifactsInput!$N$27+1,20,24,28,32,36,40),0)/100)))+1)),0)</f>
        <v>2</v>
      </c>
      <c r="S3095">
        <v>0</v>
      </c>
      <c r="U3095">
        <v>0</v>
      </c>
    </row>
    <row r="3096" spans="1:21" x14ac:dyDescent="0.2">
      <c r="A3096" t="str">
        <f>Skills!A20</f>
        <v>MAGIC_CRITICAL_RATE</v>
      </c>
      <c r="B3096" t="str">
        <f>Skills!B20</f>
        <v>Magic Critical (Crit Rate)</v>
      </c>
      <c r="C3096" t="b">
        <f>TRUE</f>
        <v>1</v>
      </c>
      <c r="D3096">
        <f>IF(Skills!C20=1,60+Inputs!$B$25+Inputs!$B$29,IF(Skills!C20=2,90+Inputs!$B$26+Inputs!$B$29,IF(Skills!C20=3,120+Inputs!$B$27+Inputs!$B$29,MAX(0,(Inputs!$B$3-100)*3)+Inputs!$B$28+Inputs!$B$29)))</f>
        <v>184</v>
      </c>
      <c r="E3096">
        <f>INDEX(FactorTable!$B$2:$Y$301, MATCH(ROUND(MIN(300,MAX(1,D3096)),0), FactorTable!$A$2:$A$301,0), Skills!M20+1)</f>
        <v>1552</v>
      </c>
      <c r="F3096">
        <f>IF(Skills!N20=TRUE,(Skills!L20/10)*(E3096/1000),Skills!L20/10)+Skills!O20</f>
        <v>12.416</v>
      </c>
      <c r="G3096">
        <f>Calc!G20</f>
        <v>1</v>
      </c>
      <c r="H3096">
        <f>Calc!H20</f>
        <v>1</v>
      </c>
      <c r="I3096">
        <f>IF(Skills!X20&lt;&gt;"",1+(Skills!X20/10)*(Z3079/1000)/100,1)</f>
        <v>1</v>
      </c>
      <c r="O3096">
        <f>(1-Summary!$B$11)*S3096+Summary!$B$11*U3096</f>
        <v>0</v>
      </c>
      <c r="P3096">
        <f>IF(B3117=0,0,O3096/B3117)</f>
        <v>0</v>
      </c>
      <c r="Q3096">
        <f>IFERROR(1/(IF(Inputs!$B$38="pvp",15,MAX(0.1,Skills!E20-IF(TRUE=TRUE,4,0)))*(1-IF(AND(ArtifactsInput!$M$27,Inputs!$B$4="Chapter Hunt"),CHOOSE(ArtifactsInput!$N$27+1,20,24,28,32,36,40),0)/100)),0)</f>
        <v>10</v>
      </c>
      <c r="R3096">
        <v>0</v>
      </c>
      <c r="S3096">
        <v>0</v>
      </c>
      <c r="U3096">
        <v>0</v>
      </c>
    </row>
    <row r="3097" spans="1:21" x14ac:dyDescent="0.2">
      <c r="A3097" t="str">
        <f>Skills!A21</f>
        <v>MAGIC_CRITICAL_DAMAGE</v>
      </c>
      <c r="B3097" t="str">
        <f>Skills!B21</f>
        <v>Magic Critical (Crit Damage)</v>
      </c>
      <c r="C3097" t="b">
        <f>TRUE</f>
        <v>1</v>
      </c>
      <c r="D3097">
        <f>IF(Skills!C21=1,60+Inputs!$B$25+Inputs!$B$29,IF(Skills!C21=2,90+Inputs!$B$26+Inputs!$B$29,IF(Skills!C21=3,120+Inputs!$B$27+Inputs!$B$29,MAX(0,(Inputs!$B$3-100)*3)+Inputs!$B$28+Inputs!$B$29)))</f>
        <v>184</v>
      </c>
      <c r="E3097">
        <f>INDEX(FactorTable!$B$2:$Y$301, MATCH(ROUND(MIN(300,MAX(1,D3097)),0), FactorTable!$A$2:$A$301,0), Skills!M21+1)</f>
        <v>1552</v>
      </c>
      <c r="F3097">
        <f>IF(Skills!N21=TRUE,(Skills!L21/10)*(E3097/1000),Skills!L21/10)+Skills!O21</f>
        <v>18.624000000000002</v>
      </c>
      <c r="G3097">
        <f>Calc!G21</f>
        <v>1</v>
      </c>
      <c r="H3097">
        <f>Calc!H21</f>
        <v>1</v>
      </c>
      <c r="I3097">
        <f>IF(Skills!X21&lt;&gt;"",1+(Skills!X21/10)*(Z3079/1000)/100,1)</f>
        <v>1</v>
      </c>
      <c r="O3097">
        <f>(1-Summary!$B$11)*S3097+Summary!$B$11*U3097</f>
        <v>0</v>
      </c>
      <c r="P3097">
        <f>IF(B3117=0,0,O3097/B3117)</f>
        <v>0</v>
      </c>
      <c r="Q3097">
        <f>IFERROR(1/(IF(Inputs!$B$38="pvp",15,MAX(0.1,Skills!E21-IF(TRUE=TRUE,4,0)))*(1-IF(AND(ArtifactsInput!$M$27,Inputs!$B$4="Chapter Hunt"),CHOOSE(ArtifactsInput!$N$27+1,20,24,28,32,36,40),0)/100)),0)</f>
        <v>10</v>
      </c>
      <c r="R3097">
        <v>0</v>
      </c>
      <c r="S3097">
        <v>0</v>
      </c>
      <c r="U3097">
        <v>0</v>
      </c>
    </row>
    <row r="3098" spans="1:21" x14ac:dyDescent="0.2">
      <c r="A3098" t="str">
        <f>Skills!A22</f>
        <v>SPELL_MASTERY</v>
      </c>
      <c r="B3098" t="str">
        <f>Skills!B22</f>
        <v>Spell Mastery</v>
      </c>
      <c r="C3098" t="b">
        <f>TRUE</f>
        <v>1</v>
      </c>
      <c r="D3098">
        <f>IF(Skills!C22=1,60+Inputs!$B$25+Inputs!$B$29,IF(Skills!C22=2,90+Inputs!$B$26+Inputs!$B$29,IF(Skills!C22=3,120+Inputs!$B$27+Inputs!$B$29,MAX(0,(Inputs!$B$3-100)*3)+Inputs!$B$28+Inputs!$B$29)))</f>
        <v>168</v>
      </c>
      <c r="E3098">
        <f>INDEX(FactorTable!$B$2:$Y$301, MATCH(ROUND(MIN(300,MAX(1,D3098)),0), FactorTable!$A$2:$A$301,0), Skills!M22+1)</f>
        <v>1504</v>
      </c>
      <c r="F3098">
        <f>IF(Skills!N22=TRUE,(Skills!L22/10)*(E3098/1000),Skills!L22/10)+Skills!O22</f>
        <v>22.56</v>
      </c>
      <c r="G3098">
        <f>Calc!G22</f>
        <v>1</v>
      </c>
      <c r="H3098">
        <f>Calc!H22</f>
        <v>1</v>
      </c>
      <c r="I3098">
        <f>IF(Skills!X22&lt;&gt;"",1+(Skills!X22/10)*(Z3079/1000)/100,1)</f>
        <v>1</v>
      </c>
      <c r="O3098">
        <f>(1-Summary!$B$11)*S3098+Summary!$B$11*U3098</f>
        <v>0</v>
      </c>
      <c r="P3098">
        <f>IF(B3117=0,0,O3098/B3117)</f>
        <v>0</v>
      </c>
      <c r="Q3098">
        <f>IFERROR(1/(IF(Inputs!$B$38="pvp",15,MAX(0.1,Skills!E22-IF(TRUE=TRUE,4,0)))*(1-IF(AND(ArtifactsInput!$M$27,Inputs!$B$4="Chapter Hunt"),CHOOSE(ArtifactsInput!$N$27+1,20,24,28,32,36,40),0)/100)),0)</f>
        <v>10</v>
      </c>
      <c r="R3098">
        <v>0</v>
      </c>
      <c r="S3098">
        <v>0</v>
      </c>
      <c r="U3098">
        <v>0</v>
      </c>
    </row>
    <row r="3099" spans="1:21" x14ac:dyDescent="0.2">
      <c r="A3099" t="str">
        <f>Skills!A23</f>
        <v>ELEMENT_AMPLIFICATION</v>
      </c>
      <c r="B3099" t="str">
        <f>Skills!B23</f>
        <v>Element Amplification</v>
      </c>
      <c r="C3099" t="b">
        <f>TRUE</f>
        <v>1</v>
      </c>
      <c r="D3099">
        <f>IF(Skills!C23=1,60+Inputs!$B$25+Inputs!$B$29,IF(Skills!C23=2,90+Inputs!$B$26+Inputs!$B$29,IF(Skills!C23=3,120+Inputs!$B$27+Inputs!$B$29,MAX(0,(Inputs!$B$3-100)*3)+Inputs!$B$28+Inputs!$B$29)))</f>
        <v>185</v>
      </c>
      <c r="E3099">
        <f>INDEX(FactorTable!$B$2:$Y$301, MATCH(ROUND(MIN(300,MAX(1,D3099)),0), FactorTable!$A$2:$A$301,0), Skills!M23+1)</f>
        <v>1555</v>
      </c>
      <c r="F3099">
        <f>IF(Skills!N23=TRUE,(Skills!L23/10)*(E3099/1000),Skills!L23/10)+Skills!O23</f>
        <v>23.324999999999999</v>
      </c>
      <c r="G3099">
        <f>Calc!G23</f>
        <v>1</v>
      </c>
      <c r="H3099">
        <f>Calc!H23</f>
        <v>1</v>
      </c>
      <c r="I3099">
        <f>IF(Skills!X23&lt;&gt;"",1+(Skills!X23/10)*(Z3079/1000)/100,1)</f>
        <v>1</v>
      </c>
      <c r="O3099">
        <f>(1-Summary!$B$11)*S3099+Summary!$B$11*U3099</f>
        <v>0</v>
      </c>
      <c r="P3099">
        <f>IF(B3117=0,0,O3099/B3117)</f>
        <v>0</v>
      </c>
      <c r="Q3099">
        <f>IFERROR(1/(IF(Inputs!$B$38="pvp",15,MAX(0.1,Skills!E23-IF(TRUE=TRUE,4,0)))*(1-IF(AND(ArtifactsInput!$M$27,Inputs!$B$4="Chapter Hunt"),CHOOSE(ArtifactsInput!$N$27+1,20,24,28,32,36,40),0)/100)),0)</f>
        <v>10</v>
      </c>
      <c r="R3099">
        <v>0</v>
      </c>
      <c r="S3099">
        <v>0</v>
      </c>
      <c r="U3099">
        <v>0</v>
      </c>
    </row>
    <row r="3100" spans="1:21" x14ac:dyDescent="0.2">
      <c r="A3100" t="str">
        <f>Skills!A24</f>
        <v>IFRIT</v>
      </c>
      <c r="B3100" t="str">
        <f>Skills!B24</f>
        <v>Ifrit</v>
      </c>
      <c r="C3100" t="b">
        <f>Inputs!$B$3&gt;=115</f>
        <v>1</v>
      </c>
      <c r="D3100">
        <f>IF(Skills!C24=1,60+Inputs!$B$25+Inputs!$B$29,IF(Skills!C24=2,90+Inputs!$B$26+Inputs!$B$29,IF(Skills!C24=3,120+Inputs!$B$27+Inputs!$B$29,MAX(0,(Inputs!$B$3-100)*3)+Inputs!$B$28+Inputs!$B$29)))</f>
        <v>185</v>
      </c>
      <c r="E3100">
        <f>INDEX(FactorTable!$B$2:$Y$301, MATCH(ROUND(MIN(300,MAX(1,D3100)),0), FactorTable!$A$2:$A$301,0), Skills!M24+1)</f>
        <v>1925</v>
      </c>
      <c r="F3100">
        <f>IF(Skills!N24=TRUE,(Skills!L24/10)*(E3100/1000),Skills!L24/10)+Skills!O24</f>
        <v>6737.5</v>
      </c>
      <c r="G3100">
        <f>Calc!G24</f>
        <v>7.5</v>
      </c>
      <c r="H3100">
        <f>Calc!H24</f>
        <v>1</v>
      </c>
      <c r="I3100">
        <f>IF(Skills!X24&lt;&gt;"",1+(Skills!X24/10)*(Z3079/1000)/100,1)</f>
        <v>1</v>
      </c>
      <c r="J3100">
        <f>((Inputs!$B$6*(1+Inputs!$B$7/100))+(((Inputs!$B$12*(1+Inputs!$B$13/100))-(Inputs!$B$12*(1+Inputs!$B$13/100)))+0.25*(Inputs!$B$14-Inputs!$B$14))*(1+Inputs!$B$7/100))*(F3100/100)</f>
        <v>24331438378.718628</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131005077245862.05</v>
      </c>
      <c r="L3100">
        <f>K3100*(MIN(Inputs!$B$22+(F3098-Calc!F22),(Inputs!$B$23+(IF(ArtifactsInput!$M$15,CHOOSE(ArtifactsInput!$N$15+1,25,30,35,40,45,50)/100*(Inputs!$B$11-Inputs!$B$11),0))))/100+(Inputs!$B$23+(IF(ArtifactsInput!$M$15,CHOOSE(ArtifactsInput!$N$15+1,25,30,35,40,45,50)/100*(Inputs!$B$11-Inputs!$B$11),0)))/100)/2</f>
        <v>435591881842491.31</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2055558090414716.2</v>
      </c>
      <c r="N3100">
        <f>L3100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2055558090414716.2</v>
      </c>
      <c r="O3100">
        <f>(1-Summary!$B$11)*S3100+Summary!$B$11*U3100</f>
        <v>2351044565911832</v>
      </c>
      <c r="P3100">
        <f>IF(B3117=0,0,O3100/B3117)</f>
        <v>6.5851790949161743E-2</v>
      </c>
      <c r="Q3100">
        <f>IFERROR(1/(IF(Inputs!$B$38="pvp",15,MAX(0.1,Skills!E24-IF(TRUE=TRUE,4,0)))*(1-IF(AND(ArtifactsInput!$M$27,Inputs!$B$4="Chapter Hunt"),CHOOSE(ArtifactsInput!$N$27+1,20,24,28,32,36,40),0)/100)),0)</f>
        <v>1.3157894736842105E-2</v>
      </c>
      <c r="R3100">
        <f>IF(AND(Inputs!$B$38&lt;&gt;"pvp",Inputs!$B$43&gt;0),IF(MAX(0,Inputs!$B$43-B3114)&lt;=0,0,(INT(MAX(0,Inputs!$B$43-B3114)/(IF(Inputs!$B$38="pvp",15,MAX(0.1,Skills!E24-IF(TRUE=TRUE,4,0)))*(1-IF(AND(ArtifactsInput!$M$27,Inputs!$B$4="Chapter Hunt"),CHOOSE(ArtifactsInput!$N$27+1,20,24,28,32,36,40),0)/100)))+1)),0)</f>
        <v>1</v>
      </c>
      <c r="S3100">
        <f>IF(C3100,(H3100*N3100*IF(AND(Inputs!$B$38&lt;&gt;"pvp",Inputs!$B$43&gt;0),((Skills!G24*((R3100-1)*IF(Skills!H24&gt;0,Skills!I24/Skills!H24,1)+IF(Skills!H24&gt;0,MIN(Skills!I24,MAX(0,MAX(0,Inputs!$B$43-B3114)-((R3100-1)*(IF(Inputs!$B$38="pvp",15,MAX(0.1,Skills!E24-IF(TRUE=TRUE,4,0)))*(1-IF(AND(ArtifactsInput!$M$27,Inputs!$B$4="Chapter Hunt"),CHOOSE(ArtifactsInput!$N$27+1,20,24,28,32,36,40),0)/100)))))/Skills!H24,1)))/Inputs!$B$43),G3100*Q3100)*(1+IF(Inputs!$B$3&gt;=130,0.2*(Skills!I16/(1/Q3091)+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1221772339990247</v>
      </c>
      <c r="U3100">
        <f>IF(C3100,(H3100*N3100*IF(AND(Inputs!$B$38&lt;&gt;"pvp",Inputs!$B$43&gt;0),((Skills!G24*((R3100-1)*IF(Skills!H24&gt;0,Skills!I24/Skills!H24,1)+IF(Skills!H24&gt;0,MIN(Skills!I24,MAX(0,MAX(0,Inputs!$B$43-B3114)-((R3100-1)*(IF(Inputs!$B$38="pvp",15,MAX(0.1,Skills!E24-IF(TRUE=TRUE,4,0)))*(1-IF(AND(ArtifactsInput!$M$27,Inputs!$B$4="Chapter Hunt"),CHOOSE(ArtifactsInput!$N$27+1,20,24,28,32,36,40),0)/100)))))/Skills!H24,1)))/Inputs!$B$43),G3100*Q3100)*(1+IF(Inputs!$B$3&gt;=130,0.2*(Skills!I16/(1/Q3091)+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3480316791833416.5</v>
      </c>
    </row>
    <row r="3101" spans="1:21" x14ac:dyDescent="0.2">
      <c r="A3101" t="str">
        <f>Skills!A25</f>
        <v>BUFF_MASTERY</v>
      </c>
      <c r="B3101" t="str">
        <f>Skills!B25</f>
        <v>Buff Mastery</v>
      </c>
      <c r="C3101" t="b">
        <f>Inputs!$B$3&gt;=117</f>
        <v>1</v>
      </c>
      <c r="D3101">
        <f>IF(Skills!C25=1,60+Inputs!$B$25+Inputs!$B$29,IF(Skills!C25=2,90+Inputs!$B$26+Inputs!$B$29,IF(Skills!C25=3,120+Inputs!$B$27+Inputs!$B$29,MAX(0,(Inputs!$B$3-100)*3)+Inputs!$B$28+Inputs!$B$29)))</f>
        <v>185</v>
      </c>
      <c r="E3101">
        <f>INDEX(FactorTable!$B$2:$Y$301, MATCH(ROUND(MIN(300,MAX(1,D3101)),0), FactorTable!$A$2:$A$301,0), Skills!M25+1)</f>
        <v>1555</v>
      </c>
      <c r="F3101">
        <f>IF(Skills!N25=TRUE,(Skills!L25/10)*(E3101/1000),Skills!L25/10)+Skills!O25</f>
        <v>15.549999999999999</v>
      </c>
      <c r="G3101">
        <f>Calc!G25</f>
        <v>1</v>
      </c>
      <c r="H3101">
        <f>Calc!H25</f>
        <v>1</v>
      </c>
      <c r="I3101">
        <f>IF(Skills!X25&lt;&gt;"",1+(Skills!X25/10)*(Z3079/1000)/100,1)</f>
        <v>1</v>
      </c>
      <c r="O3101">
        <f>(1-Summary!$B$11)*S3101+Summary!$B$11*U3101</f>
        <v>0</v>
      </c>
      <c r="P3101">
        <f>IF(B3117=0,0,O3101/B3117)</f>
        <v>0</v>
      </c>
      <c r="Q3101">
        <f>IFERROR(1/(IF(Inputs!$B$38="pvp",15,MAX(0.1,Skills!E25-IF(TRUE=TRUE,4,0)))*(1-IF(AND(ArtifactsInput!$M$27,Inputs!$B$4="Chapter Hunt"),CHOOSE(ArtifactsInput!$N$27+1,20,24,28,32,36,40),0)/100)),0)</f>
        <v>10</v>
      </c>
      <c r="R3101">
        <v>0</v>
      </c>
      <c r="S3101">
        <v>0</v>
      </c>
      <c r="U3101">
        <v>0</v>
      </c>
    </row>
    <row r="3102" spans="1:21" x14ac:dyDescent="0.2">
      <c r="A3102" t="str">
        <f>Skills!A26</f>
        <v>ARCANE_AIM</v>
      </c>
      <c r="B3102" t="str">
        <f>Skills!B26</f>
        <v>Arcane Aim</v>
      </c>
      <c r="C3102" t="b">
        <f>Inputs!$B$3&gt;=120</f>
        <v>0</v>
      </c>
      <c r="D3102">
        <f>IF(Skills!C26=1,60+Inputs!$B$25+Inputs!$B$29,IF(Skills!C26=2,90+Inputs!$B$26+Inputs!$B$29,IF(Skills!C26=3,120+Inputs!$B$27+Inputs!$B$29,MAX(0,(Inputs!$B$3-100)*3)+Inputs!$B$28+Inputs!$B$29)))</f>
        <v>185</v>
      </c>
      <c r="E3102">
        <f>INDEX(FactorTable!$B$2:$Y$301, MATCH(ROUND(MIN(300,MAX(1,D3102)),0), FactorTable!$A$2:$A$301,0), Skills!M26+1)</f>
        <v>1555</v>
      </c>
      <c r="F3102">
        <f>IF(Skills!N26=TRUE,(Skills!L26/10)*(E3102/1000),Skills!L26/10)+Skills!O26</f>
        <v>4.665</v>
      </c>
      <c r="G3102">
        <f>Calc!G26</f>
        <v>1</v>
      </c>
      <c r="H3102">
        <f>Calc!H26</f>
        <v>1</v>
      </c>
      <c r="I3102">
        <f>IF(Skills!X26&lt;&gt;"",1+(Skills!X26/10)*(Z3079/1000)/100,1)</f>
        <v>1</v>
      </c>
      <c r="O3102">
        <f>(1-Summary!$B$11)*S3102+Summary!$B$11*U3102</f>
        <v>0</v>
      </c>
      <c r="P3102">
        <f>IF(B3117=0,0,O3102/B3117)</f>
        <v>0</v>
      </c>
      <c r="Q3102">
        <f>IFERROR(1/(IF(Inputs!$B$38="pvp",15,MAX(0.1,Skills!E26-IF(TRUE=TRUE,4,0)))*(1-IF(AND(ArtifactsInput!$M$27,Inputs!$B$4="Chapter Hunt"),CHOOSE(ArtifactsInput!$N$27+1,20,24,28,32,36,40),0)/100)),0)</f>
        <v>10</v>
      </c>
      <c r="R3102">
        <v>0</v>
      </c>
      <c r="S3102">
        <v>0</v>
      </c>
      <c r="U3102">
        <v>0</v>
      </c>
    </row>
    <row r="3103" spans="1:21" x14ac:dyDescent="0.2">
      <c r="A3103" t="str">
        <f>Skills!A27</f>
        <v>FERVENT_DRAIN</v>
      </c>
      <c r="B3103" t="str">
        <f>Skills!B27</f>
        <v>Fervent Drain</v>
      </c>
      <c r="C3103" t="b">
        <f>Inputs!$B$3&gt;=125</f>
        <v>0</v>
      </c>
      <c r="D3103">
        <f>IF(Skills!C27=1,60+Inputs!$B$25+Inputs!$B$29,IF(Skills!C27=2,90+Inputs!$B$26+Inputs!$B$29,IF(Skills!C27=3,120+Inputs!$B$27+Inputs!$B$29,MAX(0,(Inputs!$B$3-100)*3)+Inputs!$B$28+Inputs!$B$29)))</f>
        <v>185</v>
      </c>
      <c r="E3103">
        <f>INDEX(FactorTable!$B$2:$Y$301, MATCH(ROUND(MIN(300,MAX(1,D3103)),0), FactorTable!$A$2:$A$301,0), Skills!M27+1)</f>
        <v>1555</v>
      </c>
      <c r="F3103">
        <f>IF(Skills!N27=TRUE,(Skills!L27/10)*(E3103/1000),Skills!L27/10)+Skills!O27</f>
        <v>6.22</v>
      </c>
      <c r="G3103">
        <f>Calc!G27</f>
        <v>1</v>
      </c>
      <c r="H3103">
        <f>Calc!H27</f>
        <v>1</v>
      </c>
      <c r="I3103">
        <f>IF(Skills!X27&lt;&gt;"",1+(Skills!X27/10)*(Z3079/1000)/100,1)</f>
        <v>1</v>
      </c>
      <c r="O3103">
        <f>(1-Summary!$B$11)*S3103+Summary!$B$11*U3103</f>
        <v>0</v>
      </c>
      <c r="P3103">
        <f>IF(B3117=0,0,O3103/B3117)</f>
        <v>0</v>
      </c>
      <c r="Q3103">
        <f>IFERROR(1/(IF(Inputs!$B$38="pvp",15,MAX(0.1,Skills!E27-IF(TRUE=TRUE,4,0)))*(1-IF(AND(ArtifactsInput!$M$27,Inputs!$B$4="Chapter Hunt"),CHOOSE(ArtifactsInput!$N$27+1,20,24,28,32,36,40),0)/100)),0)</f>
        <v>10</v>
      </c>
      <c r="R3103">
        <v>0</v>
      </c>
      <c r="S3103">
        <v>0</v>
      </c>
      <c r="U3103">
        <v>0</v>
      </c>
    </row>
    <row r="3104" spans="1:21" x14ac:dyDescent="0.2">
      <c r="A3104" t="str">
        <f>Skills!A28</f>
        <v>FLAME_HAZE_FOG</v>
      </c>
      <c r="B3104" t="str">
        <f>Skills!B28</f>
        <v>Flame Haze (poison fog DoT)</v>
      </c>
      <c r="C3104" t="b">
        <f>Inputs!$B$3&gt;=118</f>
        <v>0</v>
      </c>
      <c r="D3104">
        <f>IF(Skills!C28=1,60+Inputs!$B$25+Inputs!$B$29,IF(Skills!C28=2,90+Inputs!$B$26+Inputs!$B$29,IF(Skills!C28=3,120+Inputs!$B$27+Inputs!$B$29,MAX(0,(Inputs!$B$3-100)*3)+Inputs!$B$28+Inputs!$B$29)))</f>
        <v>185</v>
      </c>
      <c r="E3104">
        <f>INDEX(FactorTable!$B$2:$Y$301, MATCH(ROUND(MIN(300,MAX(1,D3104)),0), FactorTable!$A$2:$A$301,0), Skills!M28+1)</f>
        <v>1925</v>
      </c>
      <c r="F3104">
        <f>IF(Skills!N28=TRUE,(Skills!L28/10)*(E3104/1000),Skills!L28/10)+Skills!O28</f>
        <v>134.75</v>
      </c>
      <c r="G3104">
        <f>Calc!G28</f>
        <v>50</v>
      </c>
      <c r="H3104">
        <f>Calc!H28</f>
        <v>1</v>
      </c>
      <c r="I3104">
        <f>IF(Skills!X28&lt;&gt;"",1+(Skills!X28/10)*(Z3079/1000)/100,1)</f>
        <v>1</v>
      </c>
      <c r="J3104">
        <f>((Inputs!$B$6*(1+Inputs!$B$7/100))+(((Inputs!$B$12*(1+Inputs!$B$13/100))-(Inputs!$B$12*(1+Inputs!$B$13/100)))+0.25*(Inputs!$B$14-Inputs!$B$14))*(1+Inputs!$B$7/100))*(F3104/100)</f>
        <v>486628767.57437253</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2620101544917.2402</v>
      </c>
      <c r="L3104">
        <f>K3104*(MIN(Inputs!$B$22+(F3098-Calc!F22),(Inputs!$B$23+(IF(ArtifactsInput!$M$15,CHOOSE(ArtifactsInput!$N$15+1,25,30,35,40,45,50)/100*(Inputs!$B$11-Inputs!$B$11),0))))/100+(Inputs!$B$23+(IF(ArtifactsInput!$M$15,CHOOSE(ArtifactsInput!$N$15+1,25,30,35,40,45,50)/100*(Inputs!$B$11-Inputs!$B$11),0)))/100)/2</f>
        <v>8711837636849.8242</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41111161808294.312</v>
      </c>
      <c r="N3104">
        <f>L3104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41111161808294.312</v>
      </c>
      <c r="O3104">
        <f>(1-Summary!$B$11)*S3104+Summary!$B$11*U3104</f>
        <v>0</v>
      </c>
      <c r="P3104">
        <f>IF(B3117=0,0,O3104/B3117)</f>
        <v>0</v>
      </c>
      <c r="Q3104">
        <f>IFERROR(1/(IF(Inputs!$B$38="pvp",15,MAX(0.1,Skills!E28-IF(TRUE=TRUE,4,0)))*(1-IF(AND(ArtifactsInput!$M$27,Inputs!$B$4="Chapter Hunt"),CHOOSE(ArtifactsInput!$N$27+1,20,24,28,32,36,40),0)/100)),0)</f>
        <v>4.7619047619047616E-2</v>
      </c>
      <c r="R3104">
        <f>IF(AND(Inputs!$B$38&lt;&gt;"pvp",Inputs!$B$43&gt;0),IF(MAX(0,Inputs!$B$43-B3114)&lt;=0,0,(INT(MAX(0,Inputs!$B$43-B3114)/(IF(Inputs!$B$38="pvp",15,MAX(0.1,Skills!E28-IF(TRUE=TRUE,4,0)))*(1-IF(AND(ArtifactsInput!$M$27,Inputs!$B$4="Chapter Hunt"),CHOOSE(ArtifactsInput!$N$27+1,20,24,28,32,36,40),0)/100)))+1)),0)</f>
        <v>2</v>
      </c>
      <c r="S3104">
        <f>IF(C3104,(H3104*N3104*IF(AND(Inputs!$B$38&lt;&gt;"pvp",Inputs!$B$43&gt;0),((Skills!G28*((R3104-1)*IF(Skills!H28&gt;0,Skills!I28/Skills!H28,1)+IF(Skills!H28&gt;0,MIN(Skills!I28,MAX(0,MAX(0,Inputs!$B$43-B3114)-((R3104-1)*(IF(Inputs!$B$38="pvp",15,MAX(0.1,Skills!E28-IF(TRUE=TRUE,4,0)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04">
        <f>IF(C3104,(H3104*N3104*IF(AND(Inputs!$B$38&lt;&gt;"pvp",Inputs!$B$43&gt;0),((Skills!G28*((R3104-1)*IF(Skills!H28&gt;0,Skills!I28/Skills!H28,1)+IF(Skills!H28&gt;0,MIN(Skills!I28,MAX(0,MAX(0,Inputs!$B$43-B3114)-((R3104-1)*(IF(Inputs!$B$38="pvp",15,MAX(0.1,Skills!E28-IF(TRUE=TRUE,4,0)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06" spans="1:2" x14ac:dyDescent="0.2">
      <c r="A3106" t="s">
        <v>356</v>
      </c>
      <c r="B3106">
        <f>1+(F3087*Skills!Z11)/100</f>
        <v>1.25</v>
      </c>
    </row>
    <row r="3107" spans="1:2" x14ac:dyDescent="0.2">
      <c r="A3107" t="s">
        <v>435</v>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1.18624</v>
      </c>
    </row>
    <row r="3108" spans="1:2" x14ac:dyDescent="0.2">
      <c r="A3108" t="s">
        <v>358</v>
      </c>
      <c r="B3108">
        <f>(1+(F3082*IF(AND(Inputs!$B$38&lt;&gt;"pvp",Inputs!$B$43&gt;0),(((R3082-1)*MIN((Skills!T6*(1+((Inputs!$B$34+(ArtifactsInput!$M$7-ArtifactsInput!$M$7)*CHOOSE(ArtifactsInput!$N$7+1,6,7.2,8.4,9.6,10.8,12)))/100)),(1/Q3082))+MIN((Skills!T6*(1+((Inputs!$B$34+(ArtifactsInput!$M$7-ArtifactsInput!$M$7)*CHOOSE(ArtifactsInput!$N$7+1,6,7.2,8.4,9.6,10.8,12)))/100)),MAX(0,Inputs!$B$43-((R3082-1)*(1/Q3082)))))/Inputs!$B$43),IF(Inputs!$B$38="pvp",MIN((Skills!T6*(1+((Inputs!$B$34+(ArtifactsInput!$M$7-ArtifactsInput!$M$7)*CHOOSE(ArtifactsInput!$N$7+1,6,7.2,8.4,9.6,10.8,12)))/100)),15)/15,MIN(1,(Skills!T6*(1+((Inputs!$B$34+(ArtifactsInput!$M$7-ArtifactsInput!$M$7)*CHOOSE(ArtifactsInput!$N$7+1,6,7.2,8.4,9.6,10.8,12)))/100))/(1/Q3082))))+F3093*IF(AND(Inputs!$B$38&lt;&gt;"pvp",Inputs!$B$43&gt;0),(((R3093-1)*MIN((Skills!T17*(1+((Inputs!$B$34+(ArtifactsInput!$M$7-ArtifactsInput!$M$7)*CHOOSE(ArtifactsInput!$N$7+1,6,7.2,8.4,9.6,10.8,12)))/100)),(1/Q3093))+MIN((Skills!T17*(1+((Inputs!$B$34+(ArtifactsInput!$M$7-ArtifactsInput!$M$7)*CHOOSE(ArtifactsInput!$N$7+1,6,7.2,8.4,9.6,10.8,12)))/100)),MAX(0,Inputs!$B$43-((R3093-1)*(1/Q3093)))))/Inputs!$B$43),IF(Inputs!$B$38="pvp",MIN((Skills!T17*(1+((Inputs!$B$34+(ArtifactsInput!$M$7-ArtifactsInput!$M$7)*CHOOSE(ArtifactsInput!$N$7+1,6,7.2,8.4,9.6,10.8,12)))/100)),15)/15,MIN(1,(Skills!T17*(1+((Inputs!$B$34+(ArtifactsInput!$M$7-ArtifactsInput!$M$7)*CHOOSE(ArtifactsInput!$N$7+1,6,7.2,8.4,9.6,10.8,12)))/100))/(1/Q3093)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MIN((Skills!T19*(1+((Inputs!$B$34+(ArtifactsInput!$M$7-ArtifactsInput!$M$7)*CHOOSE(ArtifactsInput!$N$7+1,6,7.2,8.4,9.6,10.8,12)))/100)),(1/Q3095))+MIN((Skills!T19*(1+((Inputs!$B$34+(ArtifactsInput!$M$7-ArtifactsInput!$M$7)*CHOOSE(ArtifactsInput!$N$7+1,6,7.2,8.4,9.6,10.8,12)))/100)),MAX(0,Inputs!$B$43-((R3095-1)*(1/Q3095)))))/Inputs!$B$43),IF(Inputs!$B$38="pvp",MIN((Skills!T19*(1+((Inputs!$B$34+(ArtifactsInput!$M$7-ArtifactsInput!$M$7)*CHOOSE(ArtifactsInput!$N$7+1,6,7.2,8.4,9.6,10.8,12)))/100)),15)/15,MIN(1,(Skills!T19*(1+((Inputs!$B$34+(ArtifactsInput!$M$7-ArtifactsInput!$M$7)*CHOOSE(ArtifactsInput!$N$7+1,6,7.2,8.4,9.6,10.8,12)))/100))/(1/Q3095))))/100),1)</f>
        <v>1.9251037627601484</v>
      </c>
    </row>
    <row r="3109" spans="1:2" x14ac:dyDescent="0.2">
      <c r="A3109" t="s">
        <v>359</v>
      </c>
      <c r="B3109">
        <f>F3094*IF(AND(Inputs!$B$38&lt;&gt;"pvp",Inputs!$B$43&gt;0),(((R3094-1)*MIN((Skills!T18*(1+((Inputs!$B$34+(ArtifactsInput!$M$7-ArtifactsInput!$M$7)*CHOOSE(ArtifactsInput!$N$7+1,6,7.2,8.4,9.6,10.8,12)))/100)),(1/Q3094))+MIN((Skills!T18*(1+((Inputs!$B$34+(ArtifactsInput!$M$7-ArtifactsInput!$M$7)*CHOOSE(ArtifactsInput!$N$7+1,6,7.2,8.4,9.6,10.8,12)))/100)),MAX(0,Inputs!$B$43-((R3094-1)*(1/Q3094)))))/Inputs!$B$43),IF(Inputs!$B$38="pvp",MIN((Skills!T18*(1+((Inputs!$B$34+(ArtifactsInput!$M$7-ArtifactsInput!$M$7)*CHOOSE(ArtifactsInput!$N$7+1,6,7.2,8.4,9.6,10.8,12)))/100)),15)/15,MIN(1,(Skills!T18*(1+((Inputs!$B$34+(ArtifactsInput!$M$7-ArtifactsInput!$M$7)*CHOOSE(ArtifactsInput!$N$7+1,6,7.2,8.4,9.6,10.8,12)))/100))/(1/Q3094))))</f>
        <v>6.4968749999999993</v>
      </c>
    </row>
    <row r="3110" spans="1:2" x14ac:dyDescent="0.2">
      <c r="A3110" t="s">
        <v>436</v>
      </c>
      <c r="B3110">
        <f>1+MIN(150,150*(1-(1-(Inputs!$B$11+(ArtifactsInput!$M$15-ArtifactsInput!$M$15)*CHOOSE(ArtifactsInput!$N$15+1,8,9.6,11.2,12.8,14.4,16))/150)*(1-B3109/150)))/100</f>
        <v>1.6982958749999999</v>
      </c>
    </row>
    <row r="3111" spans="1:2" x14ac:dyDescent="0.2">
      <c r="A3111" t="s">
        <v>437</v>
      </c>
      <c r="B3111">
        <f>IF(AND(Inputs!$B$38&lt;&gt;"pvp",Inputs!$B$43&gt;0),SUMPRODUCT((Skills!F2:F28=TRUE)*(C3078:C3104=TRUE)*R3078:R3104)/Inputs!$B$43,SUMPRODUCT((Skills!F2:F28=TRUE)*(C3078:C3104=TRUE)*Q3078:Q3104))</f>
        <v>0.5</v>
      </c>
    </row>
    <row r="3112" spans="1:2" x14ac:dyDescent="0.2">
      <c r="A3112" t="s">
        <v>362</v>
      </c>
      <c r="B3112">
        <f>MAX(0,B3110-B3111)</f>
        <v>1.1982958749999999</v>
      </c>
    </row>
    <row r="3113" spans="1:2" x14ac:dyDescent="0.2">
      <c r="A3113" t="s">
        <v>438</v>
      </c>
      <c r="B3113">
        <f>IF(AND(Inputs!$B$38&lt;&gt;"pvp",Inputs!$B$43&gt;0),SUMPRODUCT((Skills!V2:V28=TRUE)*(C3078:C3104=TRUE)*R3078:R3104*Skills!W2:W28)/Inputs!$B$43,SUMPRODUCT((Skills!V2:V28=TRUE)*(C3078:C3104=TRUE)*Q3078:Q3104*Skills!W2:W28))+B3112</f>
        <v>1.5232958749999999</v>
      </c>
    </row>
    <row r="3114" spans="1:2" x14ac:dyDescent="0.2">
      <c r="A3114" t="s">
        <v>439</v>
      </c>
      <c r="B3114">
        <f>IF(AND(Inputs!$B$38&lt;&gt;"pvp",Inputs!$B$43&gt;0),SUMPRODUCT((Skills!T2:T28&gt;0)*(Skills!F2:F28=TRUE)*(C3078:C3104=TRUE))/B3110,0)</f>
        <v>2.3553021937358238</v>
      </c>
    </row>
    <row r="3115" spans="1:2" x14ac:dyDescent="0.2">
      <c r="A3115" t="s">
        <v>440</v>
      </c>
      <c r="B3115">
        <f>SUM(S3078:S3104)</f>
        <v>1.0285095174021228E+16</v>
      </c>
    </row>
    <row r="3116" spans="1:2" x14ac:dyDescent="0.2">
      <c r="A3116" t="s">
        <v>441</v>
      </c>
      <c r="B3116">
        <f>SUM(U3078:U3104)</f>
        <v>6.1119024046574088E+16</v>
      </c>
    </row>
    <row r="3117" spans="1:2" x14ac:dyDescent="0.2">
      <c r="A3117" s="6" t="s">
        <v>348</v>
      </c>
      <c r="B3117" s="6">
        <f>SUM(O3078:O3104)</f>
        <v>3.5702059610297652E+16</v>
      </c>
    </row>
    <row r="3120" spans="1:2" x14ac:dyDescent="0.2">
      <c r="A3120" s="6" t="s">
        <v>515</v>
      </c>
    </row>
    <row r="3121" spans="1:26" x14ac:dyDescent="0.2">
      <c r="A3121" s="5" t="s">
        <v>136</v>
      </c>
      <c r="B3121" s="5" t="s">
        <v>137</v>
      </c>
      <c r="C3121" s="5" t="s">
        <v>328</v>
      </c>
      <c r="D3121" s="5" t="s">
        <v>329</v>
      </c>
      <c r="E3121" s="5" t="s">
        <v>330</v>
      </c>
      <c r="F3121" s="5" t="s">
        <v>331</v>
      </c>
      <c r="G3121" s="5" t="s">
        <v>332</v>
      </c>
      <c r="H3121" s="5" t="s">
        <v>333</v>
      </c>
      <c r="I3121" s="5" t="s">
        <v>334</v>
      </c>
      <c r="J3121" s="5" t="s">
        <v>335</v>
      </c>
      <c r="K3121" s="5" t="s">
        <v>336</v>
      </c>
      <c r="L3121" s="5" t="s">
        <v>337</v>
      </c>
      <c r="M3121" s="5" t="s">
        <v>338</v>
      </c>
      <c r="N3121" s="5" t="s">
        <v>339</v>
      </c>
      <c r="O3121" s="5" t="s">
        <v>340</v>
      </c>
      <c r="P3121" s="5" t="s">
        <v>341</v>
      </c>
      <c r="R3121" t="s">
        <v>434</v>
      </c>
    </row>
    <row r="3122" spans="1:26" x14ac:dyDescent="0.2">
      <c r="A3122" t="str">
        <f>Skills!A2</f>
        <v>BASIC_ATTACK</v>
      </c>
      <c r="B3122" t="str">
        <f>Skills!B2</f>
        <v>Basic Attack</v>
      </c>
      <c r="C3122" t="b">
        <f>TRUE</f>
        <v>1</v>
      </c>
      <c r="F3122">
        <f>T3124+Skills!O2</f>
        <v>537.6</v>
      </c>
      <c r="G3122">
        <f>Calc!G2</f>
        <v>5</v>
      </c>
      <c r="H3122">
        <f>Calc!H2</f>
        <v>1</v>
      </c>
      <c r="I3122">
        <f>IF(Skills!X2&lt;&gt;"",1+(Skills!X2/10)*(Z3123/1000)/100,1)</f>
        <v>1</v>
      </c>
      <c r="J3122">
        <f>((Inputs!$B$6*(1+Inputs!$B$7/100))+(((Inputs!$B$12*(1+Inputs!$B$13/100))-(Inputs!$B$12*(1+Inputs!$B$13/100)))+0.25*(Inputs!$B$14-Inputs!$B$14))*(1+Inputs!$B$7/100))*(F3122/100)</f>
        <v>1941459186.9980164</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7139723311227.0166</v>
      </c>
      <c r="L3122">
        <f>K3122*(MIN(Inputs!$B$22+(F3142-Calc!F22),(Inputs!$B$23+(IF(ArtifactsInput!$M$15,CHOOSE(ArtifactsInput!$N$15+1,25,30,35,40,45,50)/100*(Inputs!$B$11-Inputs!$B$11),0))))/100+(Inputs!$B$23+(IF(ArtifactsInput!$M$15,CHOOSE(ArtifactsInput!$N$15+1,25,30,35,40,45,50)/100*(Inputs!$B$11-Inputs!$B$11),0)))/100)/2</f>
        <v>23739580009829.832</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112027078066386.97</v>
      </c>
      <c r="N3122">
        <f>L3122*(1-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112027078066386.97</v>
      </c>
      <c r="O3122">
        <f>(1-Summary!$B$11)*S3122+Summary!$B$11*U3122</f>
        <v>1.3219440135584184E+16</v>
      </c>
      <c r="P3122">
        <f>IF(B3161=0,0,O3122/B3161)</f>
        <v>0.36745734348592479</v>
      </c>
      <c r="Q3122">
        <f>IFERROR(1/(IF(Inputs!$B$38="pvp",15,MAX(0.1,Skills!E2-IF(TRUE=TRUE,4.5,0)))*(1-IF(AND(ArtifactsInput!$M$27,Inputs!$B$4="Chapter Hunt"),CHOOSE(ArtifactsInput!$N$27+1,20,24,28,32,36,40),0)/100)),0)</f>
        <v>10</v>
      </c>
      <c r="R3122">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2194849923501410.8</v>
      </c>
      <c r="T3122">
        <f>MAX(0,(Inputs!$B$3-100)*3)+Inputs!$B$28+Inputs!$B$29</f>
        <v>185</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2.4244030347666956E+16</v>
      </c>
      <c r="Z3122">
        <f>MAX(0,(Inputs!$B$3-100)*3)+Inputs!$B$28+Inputs!$B$29</f>
        <v>185</v>
      </c>
    </row>
    <row r="3123" spans="1:26" x14ac:dyDescent="0.2">
      <c r="A3123" t="str">
        <f>Skills!A3</f>
        <v>IGNITE</v>
      </c>
      <c r="B3123" t="str">
        <f>Skills!B3</f>
        <v>Ignite</v>
      </c>
      <c r="C3123" t="b">
        <f>TRUE</f>
        <v>1</v>
      </c>
      <c r="D3123">
        <f>IF(Skills!C3=1,60+Inputs!$B$25+Inputs!$B$29,IF(Skills!C3=2,90+Inputs!$B$26+Inputs!$B$29,IF(Skills!C3=3,120+Inputs!$B$27+Inputs!$B$29,MAX(0,(Inputs!$B$3-100)*3)+Inputs!$B$28+Inputs!$B$29)))</f>
        <v>168</v>
      </c>
      <c r="E3123">
        <f>INDEX(FactorTable!$B$2:$Y$301, MATCH(ROUND(MIN(300,MAX(1,D3123)),0), FactorTable!$A$2:$A$301,0), Skills!M3+1)</f>
        <v>1672</v>
      </c>
      <c r="F3123">
        <f>IF(Skills!N3=TRUE,(Skills!L3/10)*(E3123/1000),Skills!L3/10)+Skills!O3</f>
        <v>121.736</v>
      </c>
      <c r="G3123">
        <f>Calc!G3</f>
        <v>3</v>
      </c>
      <c r="H3123">
        <f>Calc!H3</f>
        <v>1</v>
      </c>
      <c r="I3123">
        <f>IF(Skills!X3&lt;&gt;"",1+(Skills!X3/10)*(Z3123/1000)/100,1)</f>
        <v>4.8250000000000002</v>
      </c>
      <c r="J3123">
        <f>((Inputs!$B$6*(1+Inputs!$B$7/100))+(((Inputs!$B$12*(1+Inputs!$B$13/100))-(Inputs!$B$12*(1+Inputs!$B$13/100)))+0.25*(Inputs!$B$14-Inputs!$B$14))*(1+Inputs!$B$7/100))*(F3123/100)</f>
        <v>439630720.9605478</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11494832203178.787</v>
      </c>
      <c r="L3123">
        <f>K3123*(MIN(Inputs!$B$22+(F3142-Calc!F22),(Inputs!$B$23+(IF(ArtifactsInput!$M$15,CHOOSE(ArtifactsInput!$N$15+1,25,30,35,40,45,50)/100*(Inputs!$B$11-Inputs!$B$11),0))))/100+(Inputs!$B$23+(IF(ArtifactsInput!$M$15,CHOOSE(ArtifactsInput!$N$15+1,25,30,35,40,45,50)/100*(Inputs!$B$11-Inputs!$B$11),0)))/100)/2</f>
        <v>38220317075569.469</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180361676279612.31</v>
      </c>
      <c r="N3123">
        <f>L3123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180361676279612.31</v>
      </c>
      <c r="O3123">
        <f>(1-Summary!$B$11)*S3123+Summary!$B$11*U3123</f>
        <v>3135587742121060</v>
      </c>
      <c r="P3123">
        <f>IF(B3161=0,0,O3123/B3161)</f>
        <v>8.7159117948221398E-2</v>
      </c>
      <c r="Q3123">
        <f>IFERROR(1/(IF(Inputs!$B$38="pvp",15,MAX(0.1,Skills!E3-IF(FALSE=TRUE,4.5,0)))*(1-IF(AND(ArtifactsInput!$M$27,Inputs!$B$4="Chapter Hunt"),CHOOSE(ArtifactsInput!$N$27+1,20,24,28,32,36,40),0)/100)),0)</f>
        <v>1</v>
      </c>
      <c r="R3123">
        <f>IF(AND(Inputs!$B$38&lt;&gt;"pvp",Inputs!$B$43&gt;0),IF(MAX(0,Inputs!$B$43-B3158)&lt;=0,0,(INT(MAX(0,Inputs!$B$43-B3158)/(IF(Inputs!$B$38="pvp",15,MAX(0.1,Skills!E3-IF(FALSE=TRUE,4.5,0)))*(1-IF(AND(ArtifactsInput!$M$27,Inputs!$B$4="Chapter Hunt"),CHOOSE(ArtifactsInput!$N$27+1,20,24,28,32,36,40),0)/100)))+1)),0)</f>
        <v>38</v>
      </c>
      <c r="S3123">
        <f>IF(C3123,(H3123*N3123*IF(AND(Inputs!$B$38&lt;&gt;"pvp",Inputs!$B$43&gt;0),((Skills!G3*((R3123-1)*IF(Skills!H3&gt;0,Skills!I3/Skills!H3,1)+IF(Skills!H3&gt;0,MIN(Skills!I3,MAX(0,MAX(0,Inputs!$B$43-B3158)-((R3123-1)*(IF(Inputs!$B$38="pvp",15,MAX(0.1,Skills!E3-IF(FALSE=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1629477564348157.5</v>
      </c>
      <c r="T3123">
        <f>INDEX(FactorTable!$B$2:$Y$301, MATCH(ROUND(MIN(300,MAX(1,T3122)),0), FactorTable!$A$2:$A$301,0), 22)</f>
        <v>1740</v>
      </c>
      <c r="U3123">
        <f>IF(C3123,(H3123*N3123*IF(AND(Inputs!$B$38&lt;&gt;"pvp",Inputs!$B$43&gt;0),((Skills!G3*((R3123-1)*IF(Skills!H3&gt;0,Skills!I3/Skills!H3,1)+IF(Skills!H3&gt;0,MIN(Skills!I3,MAX(0,MAX(0,Inputs!$B$43-B3158)-((R3123-1)*(IF(Inputs!$B$38="pvp",15,MAX(0.1,Skills!E3-IF(FALSE=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4641697919893963</v>
      </c>
      <c r="Z3123">
        <f>INDEX(FactorTable!$B$2:$Y$301, MATCH(ROUND(MIN(300,MAX(1,Z3122)),0), FactorTable!$A$2:$A$301,0), 24)</f>
        <v>7650</v>
      </c>
    </row>
    <row r="3124" spans="1:26" x14ac:dyDescent="0.2">
      <c r="A3124" t="str">
        <f>Skills!A4</f>
        <v>POISON_BREATH</v>
      </c>
      <c r="B3124" t="str">
        <f>Skills!B4</f>
        <v>Poison Breath</v>
      </c>
      <c r="C3124" t="b">
        <f>TRUE</f>
        <v>1</v>
      </c>
      <c r="D3124">
        <f>IF(Skills!C4=1,60+Inputs!$B$25+Inputs!$B$29,IF(Skills!C4=2,90+Inputs!$B$26+Inputs!$B$29,IF(Skills!C4=3,120+Inputs!$B$27+Inputs!$B$29,MAX(0,(Inputs!$B$3-100)*3)+Inputs!$B$28+Inputs!$B$29)))</f>
        <v>168</v>
      </c>
      <c r="E3124">
        <f>INDEX(FactorTable!$B$2:$Y$301, MATCH(ROUND(MIN(300,MAX(1,D3124)),0), FactorTable!$A$2:$A$301,0), Skills!M4+1)</f>
        <v>1840</v>
      </c>
      <c r="F3124">
        <f>IF(Skills!N4=TRUE,(Skills!L4/10)*(E3124/1000),Skills!L4/10)+Skills!O4</f>
        <v>438</v>
      </c>
      <c r="G3124">
        <f>Calc!G4</f>
        <v>3</v>
      </c>
      <c r="H3124">
        <f>Calc!H4</f>
        <v>1</v>
      </c>
      <c r="I3124">
        <f>IF(Skills!X4&lt;&gt;"",1+(Skills!X4/10)*(Z3123/1000)/100,1)</f>
        <v>7.12</v>
      </c>
      <c r="J3124">
        <f>((Inputs!$B$6*(1+Inputs!$B$7/100))+(((Inputs!$B$12*(1+Inputs!$B$13/100))-(Inputs!$B$12*(1+Inputs!$B$13/100)))+0.25*(Inputs!$B$14-Inputs!$B$14))*(1+Inputs!$B$7/100))*(F3124/100)</f>
        <v>1581769203.69258</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61029581919637.25</v>
      </c>
      <c r="L3124">
        <f>K3124*(MIN(Inputs!$B$22+(F3142-Calc!F22),(Inputs!$B$23+(IF(ArtifactsInput!$M$15,CHOOSE(ArtifactsInput!$N$15+1,25,30,35,40,45,50)/100*(Inputs!$B$11-Inputs!$B$11),0))))/100+(Inputs!$B$23+(IF(ArtifactsInput!$M$15,CHOOSE(ArtifactsInput!$N$15+1,25,30,35,40,45,50)/100*(Inputs!$B$11-Inputs!$B$11),0)))/100)/2</f>
        <v>202923359882793.88</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957595335286904.12</v>
      </c>
      <c r="N3124">
        <f>L3124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957595335286904.12</v>
      </c>
      <c r="O3124">
        <f>(1-Summary!$B$11)*S3124+Summary!$B$11*U3124</f>
        <v>2287096758915859.5</v>
      </c>
      <c r="P3124">
        <f>IF(B3161=0,0,O3124/B3161)</f>
        <v>6.3573834497292162E-2</v>
      </c>
      <c r="Q3124">
        <f>IFERROR(1/(IF(Inputs!$B$38="pvp",15,MAX(0.1,Skills!E4-IF(TRUE=TRUE,4.5,0)))*(1-IF(AND(ArtifactsInput!$M$27,Inputs!$B$4="Chapter Hunt"),CHOOSE(ArtifactsInput!$N$27+1,20,24,28,32,36,40),0)/100)),0)</f>
        <v>7.407407407407407E-2</v>
      </c>
      <c r="R3124">
        <f>IF(AND(Inputs!$B$38&lt;&gt;"pvp",Inputs!$B$43&gt;0),IF(MAX(0,Inputs!$B$43-B3158)&lt;=0,0,(INT(MAX(0,Inputs!$B$43-B3158)/(IF(Inputs!$B$38="pvp",15,MAX(0.1,Skills!E4-IF(TRUE=TRUE,4.5,0)))*(1-IF(AND(ArtifactsInput!$M$27,Inputs!$B$4="Chapter Hunt"),CHOOSE(ArtifactsInput!$N$27+1,20,24,28,32,36,40),0)/100)))+1)),0)</f>
        <v>3</v>
      </c>
      <c r="S3124">
        <f>IF(C3124,(H3124*N3124*IF(AND(Inputs!$B$38&lt;&gt;"pvp",Inputs!$B$43&gt;0),((Skills!G4*((R3124-1)*IF(Skills!H4&gt;0,Skills!I4/Skills!H4,1)+IF(Skills!H4&gt;0,MIN(Skills!I4,MAX(0,MAX(0,Inputs!$B$43-B3158)-((R3124-1)*(IF(Inputs!$B$38="pvp",15,MAX(0.1,Skills!E4-IF(TRUE=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683004872893384.38</v>
      </c>
      <c r="T3124">
        <f>290*T3123/1000</f>
        <v>504.6</v>
      </c>
      <c r="U3124">
        <f>IF(C3124,(H3124*N3124*IF(AND(Inputs!$B$38&lt;&gt;"pvp",Inputs!$B$43&gt;0),((Skills!G4*((R3124-1)*IF(Skills!H4&gt;0,Skills!I4/Skills!H4,1)+IF(Skills!H4&gt;0,MIN(Skills!I4,MAX(0,MAX(0,Inputs!$B$43-B3158)-((R3124-1)*(IF(Inputs!$B$38="pvp",15,MAX(0.1,Skills!E4-IF(TRUE=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3891188644938335</v>
      </c>
    </row>
    <row r="3125" spans="1:26" x14ac:dyDescent="0.2">
      <c r="A3125" t="str">
        <f>Skills!A5</f>
        <v>ELEMENTAL_DRAIN</v>
      </c>
      <c r="B3125" t="str">
        <f>Skills!B5</f>
        <v>Elemental Drain</v>
      </c>
      <c r="C3125" t="b">
        <f>TRUE</f>
        <v>1</v>
      </c>
      <c r="D3125">
        <f>IF(Skills!C5=1,60+Inputs!$B$25+Inputs!$B$29,IF(Skills!C5=2,90+Inputs!$B$26+Inputs!$B$29,IF(Skills!C5=3,120+Inputs!$B$27+Inputs!$B$29,MAX(0,(Inputs!$B$3-100)*3)+Inputs!$B$28+Inputs!$B$29)))</f>
        <v>168</v>
      </c>
      <c r="E3125">
        <f>INDEX(FactorTable!$B$2:$Y$301, MATCH(ROUND(MIN(300,MAX(1,D3125)),0), FactorTable!$A$2:$A$301,0), Skills!M5+1)</f>
        <v>1672</v>
      </c>
      <c r="F3125">
        <f>IF(Skills!N5=TRUE,(Skills!L5/10)*(E3125/1000),Skills!L5/10)+Skills!O5</f>
        <v>20.064</v>
      </c>
      <c r="G3125">
        <f>Calc!G5</f>
        <v>5</v>
      </c>
      <c r="H3125">
        <f>Calc!H5</f>
        <v>1</v>
      </c>
      <c r="I3125">
        <f>IF(Skills!X5&lt;&gt;"",1+(Skills!X5/10)*(Z3123/1000)/100,1)</f>
        <v>12.475</v>
      </c>
      <c r="J3125">
        <f>((Inputs!$B$6*(1+Inputs!$B$7/100))+(((Inputs!$B$12*(1+Inputs!$B$13/100))-(Inputs!$B$12*(1+Inputs!$B$13/100)))+0.25*(Inputs!$B$14-Inputs!$B$14))*(1+Inputs!$B$7/100))*(F3125/100)</f>
        <v>72458030.371890247</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4898288539311.1357</v>
      </c>
      <c r="L3125">
        <f>K3125*(MIN(Inputs!$B$22+(F3142-Calc!F22),(Inputs!$B$23+(IF(ArtifactsInput!$M$15,CHOOSE(ArtifactsInput!$N$15+1,25,30,35,40,45,50)/100*(Inputs!$B$11-Inputs!$B$11),0))))/100+(Inputs!$B$23+(IF(ArtifactsInput!$M$15,CHOOSE(ArtifactsInput!$N$15+1,25,30,35,40,45,50)/100*(Inputs!$B$11-Inputs!$B$11),0)))/100)/2</f>
        <v>16286809393209.527</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76857453526555.75</v>
      </c>
      <c r="N3125">
        <f>L3125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76857453526555.75</v>
      </c>
      <c r="O3125">
        <f>(1-Summary!$B$11)*S3125+Summary!$B$11*U3125</f>
        <v>1128075274136022</v>
      </c>
      <c r="P3125">
        <f>IF(B3161=0,0,O3125/B3161)</f>
        <v>3.1356815359401817E-2</v>
      </c>
      <c r="Q3125">
        <f>IFERROR(1/(IF(Inputs!$B$38="pvp",15,MAX(0.1,Skills!E5-IF(FALSE=TRUE,4.5,0)))*(1-IF(AND(ArtifactsInput!$M$27,Inputs!$B$4="Chapter Hunt"),CHOOSE(ArtifactsInput!$N$27+1,20,24,28,32,36,40),0)/100)),0)</f>
        <v>1</v>
      </c>
      <c r="R3125">
        <f>IF(AND(Inputs!$B$38&lt;&gt;"pvp",Inputs!$B$43&gt;0),IF(MAX(0,Inputs!$B$43-B3158)&lt;=0,0,(INT(MAX(0,Inputs!$B$43-B3158)/(IF(Inputs!$B$38="pvp",15,MAX(0.1,Skills!E5-IF(FALSE=TRUE,4.5,0)))*(1-IF(AND(ArtifactsInput!$M$27,Inputs!$B$4="Chapter Hunt"),CHOOSE(ArtifactsInput!$N$27+1,20,24,28,32,36,40),0)/100)))+1)),0)</f>
        <v>38</v>
      </c>
      <c r="S3125">
        <f>IF(C3125,(H3125*N3125*IF(AND(Inputs!$B$38&lt;&gt;"pvp",Inputs!$B$43&gt;0),((Skills!G5*((R3125-1)*IF(Skills!H5&gt;0,Skills!I5/Skills!H5,1)+IF(Skills!H5&gt;0,MIN(Skills!I5,MAX(0,MAX(0,Inputs!$B$43-B3158)-((R3125-1)*(IF(Inputs!$B$38="pvp",15,MAX(0.1,Skills!E5-IF(FALSE=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1157281106476113.2</v>
      </c>
      <c r="U3125">
        <f>IF(C3125,(H3125*N3125*IF(AND(Inputs!$B$38&lt;&gt;"pvp",Inputs!$B$43&gt;0),((Skills!G5*((R3125-1)*IF(Skills!H5&gt;0,Skills!I5/Skills!H5,1)+IF(Skills!H5&gt;0,MIN(Skills!I5,MAX(0,MAX(0,Inputs!$B$43-B3158)-((R3125-1)*(IF(Inputs!$B$38="pvp",15,MAX(0.1,Skills!E5-IF(FALSE=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1098869441795930.8</v>
      </c>
    </row>
    <row r="3126" spans="1:26" x14ac:dyDescent="0.2">
      <c r="A3126" t="str">
        <f>Skills!A6</f>
        <v>MEDITATION</v>
      </c>
      <c r="B3126" t="str">
        <f>Skills!B6</f>
        <v>Meditation</v>
      </c>
      <c r="C3126" t="b">
        <f>TRUE</f>
        <v>1</v>
      </c>
      <c r="D3126">
        <f>IF(Skills!C6=1,60+Inputs!$B$25+Inputs!$B$29,IF(Skills!C6=2,90+Inputs!$B$26+Inputs!$B$29,IF(Skills!C6=3,120+Inputs!$B$27+Inputs!$B$29,MAX(0,(Inputs!$B$3-100)*3)+Inputs!$B$28+Inputs!$B$29)))</f>
        <v>168</v>
      </c>
      <c r="E3126">
        <f>INDEX(FactorTable!$B$2:$Y$301, MATCH(ROUND(MIN(300,MAX(1,D3126)),0), FactorTable!$A$2:$A$301,0), Skills!M6+1)</f>
        <v>1672</v>
      </c>
      <c r="F3126">
        <f>IF(Skills!N6=TRUE,(Skills!L6/10)*(E3126/1000),Skills!L6/10)+Skills!O6</f>
        <v>33.44</v>
      </c>
      <c r="G3126">
        <f>Calc!G6</f>
        <v>1</v>
      </c>
      <c r="H3126">
        <f>Calc!H6</f>
        <v>1</v>
      </c>
      <c r="I3126">
        <f>IF(Skills!X6&lt;&gt;"",1+(Skills!X6/10)*(Z3123/1000)/100,1)</f>
        <v>1</v>
      </c>
      <c r="O3126">
        <f>(1-Summary!$B$11)*S3126+Summary!$B$11*U3126</f>
        <v>0</v>
      </c>
      <c r="P3126">
        <f>IF(B3161=0,0,O3126/B3161)</f>
        <v>0</v>
      </c>
      <c r="Q3126">
        <f>IFERROR(1/(IF(Inputs!$B$38="pvp",15,MAX(0.1,Skills!E6-IF(TRUE=TRUE,4.5,0)))*(1-IF(AND(ArtifactsInput!$M$27,Inputs!$B$4="Chapter Hunt"),CHOOSE(ArtifactsInput!$N$27+1,20,24,28,32,36,40),0)/100)),0)</f>
        <v>3.9215686274509803E-2</v>
      </c>
      <c r="R3126">
        <f>IF(AND(Inputs!$B$38&lt;&gt;"pvp",Inputs!$B$43&gt;0),IF(Inputs!$B$43&lt;=0,0,(INT(Inputs!$B$43/(IF(Inputs!$B$38="pvp",15,MAX(0.1,Skills!E6-IF(TRUE=TRUE,4.5,0)))*(1-IF(AND(ArtifactsInput!$M$27,Inputs!$B$4="Chapter Hunt"),CHOOSE(ArtifactsInput!$N$27+1,20,24,28,32,36,40),0)/100)))+1)),0)</f>
        <v>2</v>
      </c>
      <c r="S3126">
        <v>0</v>
      </c>
      <c r="U3126">
        <v>0</v>
      </c>
    </row>
    <row r="3127" spans="1:26" x14ac:dyDescent="0.2">
      <c r="A3127" t="str">
        <f>Skills!A7</f>
        <v>POISON_MIST_BURST</v>
      </c>
      <c r="B3127" t="str">
        <f>Skills!B7</f>
        <v>Poison Mist (burst)</v>
      </c>
      <c r="C3127" t="b">
        <f>TRUE</f>
        <v>1</v>
      </c>
      <c r="D3127">
        <f>IF(Skills!C7=1,60+Inputs!$B$25+Inputs!$B$29,IF(Skills!C7=2,90+Inputs!$B$26+Inputs!$B$29,IF(Skills!C7=3,120+Inputs!$B$27+Inputs!$B$29,MAX(0,(Inputs!$B$3-100)*3)+Inputs!$B$28+Inputs!$B$29)))</f>
        <v>184</v>
      </c>
      <c r="E3127">
        <f>INDEX(FactorTable!$B$2:$Y$301, MATCH(ROUND(MIN(300,MAX(1,D3127)),0), FactorTable!$A$2:$A$301,0), Skills!M7+1)</f>
        <v>1920</v>
      </c>
      <c r="F3127">
        <f>IF(Skills!N7=TRUE,(Skills!L7/10)*(E3127/1000),Skills!L7/10)+Skills!O7</f>
        <v>357.2</v>
      </c>
      <c r="G3127">
        <f>Calc!G7</f>
        <v>3</v>
      </c>
      <c r="H3127">
        <f>Calc!H7</f>
        <v>1</v>
      </c>
      <c r="I3127">
        <f>IF(Skills!X7&lt;&gt;"",1+(Skills!X7/10)*(Z3123/1000)/100,1)</f>
        <v>1.7650000000000001</v>
      </c>
      <c r="J3127">
        <f>((Inputs!$B$6*(1+Inputs!$B$7/100))+(((Inputs!$B$12*(1+Inputs!$B$13/100))-(Inputs!$B$12*(1+Inputs!$B$13/100)))+0.25*(Inputs!$B$14-Inputs!$B$14))*(1+Inputs!$B$7/100))*(F3127/100)</f>
        <v>1289972510.4086521</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12337934225376.672</v>
      </c>
      <c r="L3127">
        <f>K3127*(MIN(Inputs!$B$22+(F3142-Calc!F22),(Inputs!$B$23+(IF(ArtifactsInput!$M$15,CHOOSE(ArtifactsInput!$N$15+1,25,30,35,40,45,50)/100*(Inputs!$B$11-Inputs!$B$11),0))))/100+(Inputs!$B$23+(IF(ArtifactsInput!$M$15,CHOOSE(ArtifactsInput!$N$15+1,25,30,35,40,45,50)/100*(Inputs!$B$11-Inputs!$B$11),0)))/100)/2</f>
        <v>41023631299377.438</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193590516101762.09</v>
      </c>
      <c r="N3127">
        <f>L3127*(1-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193590516101762.09</v>
      </c>
      <c r="O3127">
        <f>(1-Summary!$B$11)*S3127+Summary!$B$11*U3127</f>
        <v>483056735302921.81</v>
      </c>
      <c r="P3127">
        <f>IF(B3161=0,0,O3127/B3161)</f>
        <v>1.3427402589432818E-2</v>
      </c>
      <c r="Q3127">
        <f>IFERROR(1/(IF(Inputs!$B$38="pvp",15,MAX(0.1,Skills!E7-IF(TRUE=TRUE,4.5,0)))*(1-IF(AND(ArtifactsInput!$M$27,Inputs!$B$4="Chapter Hunt"),CHOOSE(ArtifactsInput!$N$27+1,20,24,28,32,36,40),0)/100)),0)</f>
        <v>0.05</v>
      </c>
      <c r="R3127">
        <f>IF(AND(Inputs!$B$38&lt;&gt;"pvp",Inputs!$B$43&gt;0),IF(MAX(0,Inputs!$B$43-B3158)&lt;=0,0,(INT(MAX(0,Inputs!$B$43-B3158)/(IF(Inputs!$B$38="pvp",15,MAX(0.1,Skills!E7-IF(TRUE=TRUE,4.5,0)))*(1-IF(AND(ArtifactsInput!$M$27,Inputs!$B$4="Chapter Hunt"),CHOOSE(ArtifactsInput!$N$27+1,20,24,28,32,36,40),0)/100)))+1)),0)</f>
        <v>2</v>
      </c>
      <c r="S3127">
        <f>IF(C3127,(H3127*N3127*IF(AND(Inputs!$B$38&lt;&gt;"pvp",Inputs!$B$43&gt;0),((Skills!G7*((R3127-1)*IF(Skills!H7&gt;0,Skills!I7/Skills!H7,1)+IF(Skills!H7&gt;0,MIN(Skills!I7,MAX(0,MAX(0,Inputs!$B$43-B3158)-((R3127-1)*(IF(Inputs!$B$38="pvp",15,MAX(0.1,Skills!E7-IF(TRUE=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92052290406387.875</v>
      </c>
      <c r="U3127">
        <f>IF(C3127,(H3127*N3127*IF(AND(Inputs!$B$38&lt;&gt;"pvp",Inputs!$B$43&gt;0),((Skills!G7*((R3127-1)*IF(Skills!H7&gt;0,Skills!I7/Skills!H7,1)+IF(Skills!H7&gt;0,MIN(Skills!I7,MAX(0,MAX(0,Inputs!$B$43-B3158)-((R3127-1)*(IF(Inputs!$B$38="pvp",15,MAX(0.1,Skills!E7-IF(TRUE=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874061180199455.75</v>
      </c>
    </row>
    <row r="3128" spans="1:26" x14ac:dyDescent="0.2">
      <c r="A3128" t="str">
        <f>Skills!A8</f>
        <v>POISON_MIST_DOT</v>
      </c>
      <c r="B3128" t="str">
        <f>Skills!B8</f>
        <v>Poison Mist (fog DoT)</v>
      </c>
      <c r="C3128" t="b">
        <f>TRUE</f>
        <v>1</v>
      </c>
      <c r="D3128">
        <f>IF(Skills!C8=1,60+Inputs!$B$25+Inputs!$B$29,IF(Skills!C8=2,90+Inputs!$B$26+Inputs!$B$29,IF(Skills!C8=3,120+Inputs!$B$27+Inputs!$B$29,MAX(0,(Inputs!$B$3-100)*3)+Inputs!$B$28+Inputs!$B$29)))</f>
        <v>184</v>
      </c>
      <c r="E3128">
        <f>INDEX(FactorTable!$B$2:$Y$301, MATCH(ROUND(MIN(300,MAX(1,D3128)),0), FactorTable!$A$2:$A$301,0), Skills!M8+1)</f>
        <v>1920</v>
      </c>
      <c r="F3128">
        <f>IF(Skills!N8=TRUE,(Skills!L8/10)*(E3128/1000),Skills!L8/10)+Skills!O8</f>
        <v>134.4</v>
      </c>
      <c r="G3128">
        <f>Calc!G8</f>
        <v>50</v>
      </c>
      <c r="H3128">
        <f>Calc!H8</f>
        <v>1</v>
      </c>
      <c r="I3128">
        <f>IF(Skills!X8&lt;&gt;"",1+(Skills!X8/10)*(Z3123/1000)/100,1)</f>
        <v>1.7650000000000001</v>
      </c>
      <c r="J3128">
        <f>((Inputs!$B$6*(1+Inputs!$B$7/100))+(((Inputs!$B$12*(1+Inputs!$B$13/100))-(Inputs!$B$12*(1+Inputs!$B$13/100)))+0.25*(Inputs!$B$14-Inputs!$B$14))*(1+Inputs!$B$7/100))*(F3128/100)</f>
        <v>485364796.74950409</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4642268644710.5947</v>
      </c>
      <c r="L3128">
        <f>K3128*(MIN(Inputs!$B$22+(F3142-Calc!F22),(Inputs!$B$23+(IF(ArtifactsInput!$M$15,CHOOSE(ArtifactsInput!$N$15+1,25,30,35,40,45,50)/100*(Inputs!$B$11-Inputs!$B$11),0))))/100+(Inputs!$B$23+(IF(ArtifactsInput!$M$15,CHOOSE(ArtifactsInput!$N$15+1,25,30,35,40,45,50)/100*(Inputs!$B$11-Inputs!$B$11),0)))/100)/2</f>
        <v>15435543243662.729</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72840328566844.406</v>
      </c>
      <c r="N3128">
        <f>L3128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72840328566844.406</v>
      </c>
      <c r="O3128">
        <f>(1-Summary!$B$11)*S3128+Summary!$B$11*U3128</f>
        <v>2850877351989098.5</v>
      </c>
      <c r="P3128">
        <f>IF(B3161=0,0,O3128/B3161)</f>
        <v>7.924509719184171E-2</v>
      </c>
      <c r="Q3128">
        <f>IFERROR(1/(IF(Inputs!$B$38="pvp",15,MAX(0.1,Skills!E8-IF(TRUE=TRUE,4.5,0)))*(1-IF(AND(ArtifactsInput!$M$27,Inputs!$B$4="Chapter Hunt"),CHOOSE(ArtifactsInput!$N$27+1,20,24,28,32,36,40),0)/100)),0)</f>
        <v>0.05</v>
      </c>
      <c r="R3128">
        <f>IF(AND(Inputs!$B$38&lt;&gt;"pvp",Inputs!$B$43&gt;0),IF(MAX(0,Inputs!$B$43-B3158)&lt;=0,0,(INT(MAX(0,Inputs!$B$43-B3158)/(IF(Inputs!$B$38="pvp",15,MAX(0.1,Skills!E8-IF(TRUE=TRUE,4.5,0)))*(1-IF(AND(ArtifactsInput!$M$27,Inputs!$B$4="Chapter Hunt"),CHOOSE(ArtifactsInput!$N$27+1,20,24,28,32,36,40),0)/100)))+1)),0)</f>
        <v>2</v>
      </c>
      <c r="S3128">
        <f>IF(C3128,(H3128*N3128*IF(AND(Inputs!$B$38&lt;&gt;"pvp",Inputs!$B$43&gt;0),((Skills!G8*((R3128-1)*IF(Skills!H8&gt;0,Skills!I8/Skills!H8,1)+IF(Skills!H8&gt;0,MIN(Skills!I8,MAX(0,MAX(0,Inputs!$B$43-B3158)-((R3128-1)*(IF(Inputs!$B$38="pvp",15,MAX(0.1,Skills!E8-IF(TRUE=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543269083607180.19</v>
      </c>
      <c r="U3128">
        <f>IF(C3128,(H3128*N3128*IF(AND(Inputs!$B$38&lt;&gt;"pvp",Inputs!$B$43&gt;0),((Skills!G8*((R3128-1)*IF(Skills!H8&gt;0,Skills!I8/Skills!H8,1)+IF(Skills!H8&gt;0,MIN(Skills!I8,MAX(0,MAX(0,Inputs!$B$43-B3158)-((R3128-1)*(IF(Inputs!$B$38="pvp",15,MAX(0.1,Skills!E8-IF(TRUE=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5158485620371017</v>
      </c>
    </row>
    <row r="3129" spans="1:26" x14ac:dyDescent="0.2">
      <c r="A3129" t="str">
        <f>Skills!A9</f>
        <v>MIST_ERUPTION</v>
      </c>
      <c r="B3129" t="str">
        <f>Skills!B9</f>
        <v>Mist Eruption</v>
      </c>
      <c r="C3129" t="b">
        <f>Inputs!$B$3&gt;=103</f>
        <v>1</v>
      </c>
      <c r="D3129">
        <f>IF(Skills!C9=1,60+Inputs!$B$25+Inputs!$B$29,IF(Skills!C9=2,90+Inputs!$B$26+Inputs!$B$29,IF(Skills!C9=3,120+Inputs!$B$27+Inputs!$B$29,MAX(0,(Inputs!$B$3-100)*3)+Inputs!$B$28+Inputs!$B$29)))</f>
        <v>185</v>
      </c>
      <c r="E3129">
        <f>INDEX(FactorTable!$B$2:$Y$301, MATCH(ROUND(MIN(300,MAX(1,D3129)),0), FactorTable!$A$2:$A$301,0), Skills!M9+1)</f>
        <v>1925</v>
      </c>
      <c r="F3129">
        <f>IF(Skills!N9=TRUE,(Skills!L9/10)*(E3129/1000),Skills!L9/10)+Skills!O9</f>
        <v>5775</v>
      </c>
      <c r="G3129">
        <f>Calc!G9</f>
        <v>2.5</v>
      </c>
      <c r="H3129">
        <f>Calc!H9</f>
        <v>1</v>
      </c>
      <c r="I3129">
        <f>IF(Skills!X9&lt;&gt;"",1+(Skills!X9/10)*(Z3123/1000)/100,1)</f>
        <v>1</v>
      </c>
      <c r="J3129">
        <f>((Inputs!$B$6*(1+Inputs!$B$7/100))+(((Inputs!$B$12*(1+Inputs!$B$13/100))-(Inputs!$B$12*(1+Inputs!$B$13/100)))+0.25*(Inputs!$B$14-Inputs!$B$14))*(1+Inputs!$B$7/100))*(F3129/100)</f>
        <v>20855518610.330254</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113015569873885.77</v>
      </c>
      <c r="L3129">
        <f>K3129*(MIN(Inputs!$B$22+(F3142-Calc!F22),(Inputs!$B$23+(IF(ArtifactsInput!$M$15,CHOOSE(ArtifactsInput!$N$15+1,25,30,35,40,45,50)/100*(Inputs!$B$11-Inputs!$B$11),0))))/100+(Inputs!$B$23+(IF(ArtifactsInput!$M$15,CHOOSE(ArtifactsInput!$N$15+1,25,30,35,40,45,50)/100*(Inputs!$B$11-Inputs!$B$11),0)))/100)/2</f>
        <v>375776769830670.19</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1773290576830932.5</v>
      </c>
      <c r="N3129">
        <f>L3129*(1-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1773290576830932.5</v>
      </c>
      <c r="O3129">
        <f>(1-Summary!$B$11)*S3129+Summary!$B$11*U3129</f>
        <v>3687336093197820</v>
      </c>
      <c r="P3129">
        <f>IF(B3161=0,0,O3129/B3161)</f>
        <v>0.10249592353756386</v>
      </c>
      <c r="Q3129">
        <f>IFERROR(1/(IF(Inputs!$B$38="pvp",15,MAX(0.1,Skills!E9-IF(TRUE=TRUE,4.5,0)))*(1-IF(AND(ArtifactsInput!$M$27,Inputs!$B$4="Chapter Hunt"),CHOOSE(ArtifactsInput!$N$27+1,20,24,28,32,36,40),0)/100)),0)</f>
        <v>0.05</v>
      </c>
      <c r="R3129">
        <f>IF(AND(Inputs!$B$38&lt;&gt;"pvp",Inputs!$B$43&gt;0),IF(MAX(0,Inputs!$B$43-B3158)&lt;=0,0,(INT(MAX(0,Inputs!$B$43-B3158)/(IF(Inputs!$B$38="pvp",15,MAX(0.1,Skills!E9-IF(TRUE=TRUE,4.5,0)))*(1-IF(AND(ArtifactsInput!$M$27,Inputs!$B$4="Chapter Hunt"),CHOOSE(ArtifactsInput!$N$27+1,20,24,28,32,36,40),0)/100)))+1)),0)</f>
        <v>2</v>
      </c>
      <c r="S3129">
        <f>IF(C3129,(H3129*N3129*IF(AND(Inputs!$B$38&lt;&gt;"pvp",Inputs!$B$43&gt;0),((Skills!G9*((R3129-1)*IF(Skills!H9&gt;0,Skills!I9/Skills!H9,1)+IF(Skills!H9&gt;0,MIN(Skills!I9,MAX(0,MAX(0,Inputs!$B$43-B3158)-((R3129-1)*(IF(Inputs!$B$38="pvp",15,MAX(0.1,Skills!E9-IF(TRUE=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702666391069257</v>
      </c>
      <c r="U3129">
        <f>IF(C3129,(H3129*N3129*IF(AND(Inputs!$B$38&lt;&gt;"pvp",Inputs!$B$43&gt;0),((Skills!G9*((R3129-1)*IF(Skills!H9&gt;0,Skills!I9/Skills!H9,1)+IF(Skills!H9&gt;0,MIN(Skills!I9,MAX(0,MAX(0,Inputs!$B$43-B3158)-((R3129-1)*(IF(Inputs!$B$38="pvp",15,MAX(0.1,Skills!E9-IF(TRUE=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6672005795326383</v>
      </c>
    </row>
    <row r="3130" spans="1:26" x14ac:dyDescent="0.2">
      <c r="A3130" t="str">
        <f>Skills!A10</f>
        <v>CREEPING_TOXIN</v>
      </c>
      <c r="B3130" t="str">
        <f>Skills!B10</f>
        <v>Creeping Toxin</v>
      </c>
      <c r="C3130" t="b">
        <f>TRUE</f>
        <v>1</v>
      </c>
      <c r="D3130">
        <f>IF(Skills!C10=1,60+Inputs!$B$25+Inputs!$B$29,IF(Skills!C10=2,90+Inputs!$B$26+Inputs!$B$29,IF(Skills!C10=3,120+Inputs!$B$27+Inputs!$B$29,MAX(0,(Inputs!$B$3-100)*3)+Inputs!$B$28+Inputs!$B$29)))</f>
        <v>184</v>
      </c>
      <c r="E3130">
        <f>INDEX(FactorTable!$B$2:$Y$301, MATCH(ROUND(MIN(300,MAX(1,D3130)),0), FactorTable!$A$2:$A$301,0), Skills!M10+1)</f>
        <v>1920</v>
      </c>
      <c r="F3130">
        <f>IF(Skills!N10=TRUE,(Skills!L10/10)*(E3130/1000),Skills!L10/10)+Skills!O10</f>
        <v>280.39999999999998</v>
      </c>
      <c r="G3130">
        <f>Calc!G10</f>
        <v>15</v>
      </c>
      <c r="H3130">
        <f>Calc!H10</f>
        <v>1</v>
      </c>
      <c r="I3130">
        <f>IF(Skills!X10&lt;&gt;"",1+(Skills!X10/10)*(Z3123/1000)/100,1)</f>
        <v>1.7650000000000001</v>
      </c>
      <c r="J3130">
        <f>((Inputs!$B$6*(1+Inputs!$B$7/100))+(((Inputs!$B$12*(1+Inputs!$B$13/100))-(Inputs!$B$12*(1+Inputs!$B$13/100)))+0.25*(Inputs!$B$14-Inputs!$B$14))*(1+Inputs!$B$7/100))*(F3130/100)</f>
        <v>1012621197.9803641</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9685209285542.0449</v>
      </c>
      <c r="L3130">
        <f>K3130*(MIN(Inputs!$B$22+(F3142-Calc!F22),(Inputs!$B$23+(IF(ArtifactsInput!$M$15,CHOOSE(ArtifactsInput!$N$15+1,25,30,35,40,45,50)/100*(Inputs!$B$11-Inputs!$B$11),0))))/100+(Inputs!$B$23+(IF(ArtifactsInput!$M$15,CHOOSE(ArtifactsInput!$N$15+1,25,30,35,40,45,50)/100*(Inputs!$B$11-Inputs!$B$11),0)))/100)/2</f>
        <v>32203320874427.301</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151967471206422.41</v>
      </c>
      <c r="N3130">
        <f>L3130*(1-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151967471206422.41</v>
      </c>
      <c r="O3130">
        <f>(1-Summary!$B$11)*S3130+Summary!$B$11*U3130</f>
        <v>409172416223292.38</v>
      </c>
      <c r="P3130">
        <f>IF(B3161=0,0,O3130/B3161)</f>
        <v>1.1373659364620575E-2</v>
      </c>
      <c r="Q3130">
        <f>IFERROR(1/(IF(Inputs!$B$38="pvp",15,MAX(0.1,Skills!E10-IF(TRUE=TRUE,4.5,0)))*(1-IF(AND(ArtifactsInput!$M$27,Inputs!$B$4="Chapter Hunt"),CHOOSE(ArtifactsInput!$N$27+1,20,24,28,32,36,40),0)/100)),0)</f>
        <v>4.4444444444444446E-2</v>
      </c>
      <c r="R3130">
        <f>IF(AND(Inputs!$B$38&lt;&gt;"pvp",Inputs!$B$43&gt;0),IF(MAX(0,Inputs!$B$43-B3158)&lt;=0,0,(INT(MAX(0,Inputs!$B$43-B3158)/(IF(Inputs!$B$38="pvp",15,MAX(0.1,Skills!E10-IF(TRUE=TRUE,4.5,0)))*(1-IF(AND(ArtifactsInput!$M$27,Inputs!$B$4="Chapter Hunt"),CHOOSE(ArtifactsInput!$N$27+1,20,24,28,32,36,40),0)/100)))+1)),0)</f>
        <v>2</v>
      </c>
      <c r="S3130">
        <f>IF(C3130,(H3130*N3130*IF(AND(Inputs!$B$38&lt;&gt;"pvp",Inputs!$B$43&gt;0),((Skills!G10*((R3130-1)*IF(Skills!H10&gt;0,Skills!I10/Skills!H10,1)+IF(Skills!H10&gt;0,MIN(Skills!I10,MAX(0,MAX(0,Inputs!$B$43-B3158)-((R3130-1)*(IF(Inputs!$B$38="pvp",15,MAX(0.1,Skills!E10-IF(TRUE=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361302662793269.31</v>
      </c>
      <c r="U3130">
        <f>IF(C3130,(H3130*N3130*IF(AND(Inputs!$B$38&lt;&gt;"pvp",Inputs!$B$43&gt;0),((Skills!G10*((R3130-1)*IF(Skills!H10&gt;0,Skills!I10/Skills!H10,1)+IF(Skills!H10&gt;0,MIN(Skills!I10,MAX(0,MAX(0,Inputs!$B$43-B3158)-((R3130-1)*(IF(Inputs!$B$38="pvp",15,MAX(0.1,Skills!E10-IF(TRUE=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457042169653315.38</v>
      </c>
    </row>
    <row r="3131" spans="1:26" x14ac:dyDescent="0.2">
      <c r="A3131" t="str">
        <f>Skills!A11</f>
        <v>BURNING_MAGIC</v>
      </c>
      <c r="B3131" t="str">
        <f>Skills!B11</f>
        <v>Burning Magic</v>
      </c>
      <c r="C3131" t="b">
        <f>TRUE</f>
        <v>1</v>
      </c>
      <c r="D3131">
        <f>IF(Skills!C11=1,60+Inputs!$B$25+Inputs!$B$29,IF(Skills!C11=2,90+Inputs!$B$26+Inputs!$B$29,IF(Skills!C11=3,120+Inputs!$B$27+Inputs!$B$29,MAX(0,(Inputs!$B$3-100)*3)+Inputs!$B$28+Inputs!$B$29)))</f>
        <v>184</v>
      </c>
      <c r="E3131">
        <f>INDEX(FactorTable!$B$2:$Y$301, MATCH(ROUND(MIN(300,MAX(1,D3131)),0), FactorTable!$A$2:$A$301,0), Skills!M11+1)</f>
        <v>0</v>
      </c>
      <c r="F3131">
        <f>IF(Skills!N11=TRUE,(Skills!L11/10)*(E3131/1000),Skills!L11/10)+Skills!O11</f>
        <v>5</v>
      </c>
      <c r="G3131">
        <f>Calc!G11</f>
        <v>1</v>
      </c>
      <c r="H3131">
        <f>Calc!H11</f>
        <v>1</v>
      </c>
      <c r="I3131">
        <f>IF(Skills!X11&lt;&gt;"",1+(Skills!X11/10)*(Z3123/1000)/100,1)</f>
        <v>1</v>
      </c>
      <c r="O3131">
        <f>(1-Summary!$B$11)*S3131+Summary!$B$11*U3131</f>
        <v>0</v>
      </c>
      <c r="P3131">
        <f>IF(B3161=0,0,O3131/B3161)</f>
        <v>0</v>
      </c>
      <c r="Q3131">
        <f>IFERROR(1/(IF(Inputs!$B$38="pvp",15,MAX(0.1,Skills!E11-IF(TRUE=TRUE,4.5,0)))*(1-IF(AND(ArtifactsInput!$M$27,Inputs!$B$4="Chapter Hunt"),CHOOSE(ArtifactsInput!$N$27+1,20,24,28,32,36,40),0)/100)),0)</f>
        <v>10</v>
      </c>
      <c r="R3131">
        <v>0</v>
      </c>
      <c r="S3131">
        <v>0</v>
      </c>
      <c r="U3131">
        <v>0</v>
      </c>
    </row>
    <row r="3132" spans="1:26" x14ac:dyDescent="0.2">
      <c r="A3132" t="str">
        <f>Skills!A12</f>
        <v>ELEMENTAL_DECREASE</v>
      </c>
      <c r="B3132" t="str">
        <f>Skills!B12</f>
        <v>Elemental Decrease</v>
      </c>
      <c r="C3132" t="b">
        <f>TRUE</f>
        <v>1</v>
      </c>
      <c r="D3132">
        <f>IF(Skills!C12=1,60+Inputs!$B$25+Inputs!$B$29,IF(Skills!C12=2,90+Inputs!$B$26+Inputs!$B$29,IF(Skills!C12=3,120+Inputs!$B$27+Inputs!$B$29,MAX(0,(Inputs!$B$3-100)*3)+Inputs!$B$28+Inputs!$B$29)))</f>
        <v>184</v>
      </c>
      <c r="E3132">
        <f>INDEX(FactorTable!$B$2:$Y$301, MATCH(ROUND(MIN(300,MAX(1,D3132)),0), FactorTable!$A$2:$A$301,0), Skills!M12+1)</f>
        <v>1552</v>
      </c>
      <c r="F3132">
        <f>IF(Skills!N12=TRUE,(Skills!L12/10)*(E3132/1000),Skills!L12/10)+Skills!O12</f>
        <v>18.624000000000002</v>
      </c>
      <c r="G3132">
        <f>Calc!G12</f>
        <v>1</v>
      </c>
      <c r="H3132">
        <f>Calc!H12</f>
        <v>0.5</v>
      </c>
      <c r="I3132">
        <f>IF(Skills!X12&lt;&gt;"",1+(Skills!X12/10)*(Z3123/1000)/100,1)</f>
        <v>1</v>
      </c>
      <c r="O3132">
        <f>(1-Summary!$B$11)*S3132+Summary!$B$11*U3132</f>
        <v>0</v>
      </c>
      <c r="P3132">
        <f>IF(B3161=0,0,O3132/B3161)</f>
        <v>0</v>
      </c>
      <c r="Q3132">
        <f>IFERROR(1/(IF(Inputs!$B$38="pvp",15,MAX(0.1,Skills!E12-IF(TRUE=TRUE,4.5,0)))*(1-IF(AND(ArtifactsInput!$M$27,Inputs!$B$4="Chapter Hunt"),CHOOSE(ArtifactsInput!$N$27+1,20,24,28,32,36,40),0)/100)),0)</f>
        <v>10</v>
      </c>
      <c r="R3132">
        <v>0</v>
      </c>
      <c r="S3132">
        <v>0</v>
      </c>
      <c r="U3132">
        <v>0</v>
      </c>
    </row>
    <row r="3133" spans="1:26" x14ac:dyDescent="0.2">
      <c r="A3133" t="str">
        <f>Skills!A13</f>
        <v>METEOR_SHOWER_BURST</v>
      </c>
      <c r="B3133" t="str">
        <f>Skills!B13</f>
        <v>Meteor Shower (burst)</v>
      </c>
      <c r="C3133" t="b">
        <f>Inputs!$B$3&gt;=105</f>
        <v>1</v>
      </c>
      <c r="D3133">
        <f>IF(Skills!C13=1,60+Inputs!$B$25+Inputs!$B$29,IF(Skills!C13=2,90+Inputs!$B$26+Inputs!$B$29,IF(Skills!C13=3,120+Inputs!$B$27+Inputs!$B$29,MAX(0,(Inputs!$B$3-100)*3)+Inputs!$B$28+Inputs!$B$29)))</f>
        <v>185</v>
      </c>
      <c r="E3133">
        <f>INDEX(FactorTable!$B$2:$Y$301, MATCH(ROUND(MIN(300,MAX(1,D3133)),0), FactorTable!$A$2:$A$301,0), Skills!M13+1)</f>
        <v>1925</v>
      </c>
      <c r="F3133">
        <f>IF(Skills!N13=TRUE,(Skills!L13/10)*(E3133/1000),Skills!L13/10)+Skills!O13</f>
        <v>1155</v>
      </c>
      <c r="G3133">
        <f>Calc!G13</f>
        <v>9</v>
      </c>
      <c r="H3133">
        <f>Calc!H13</f>
        <v>1</v>
      </c>
      <c r="I3133">
        <f>IF(Skills!X13&lt;&gt;"",1+(Skills!X13/10)*(Z3123/1000)/100,1)</f>
        <v>1</v>
      </c>
      <c r="J3133">
        <f>((Inputs!$B$6*(1+Inputs!$B$7/100))+(((Inputs!$B$12*(1+Inputs!$B$13/100))-(Inputs!$B$12*(1+Inputs!$B$13/100)))+0.25*(Inputs!$B$14-Inputs!$B$14))*(1+Inputs!$B$7/100))*(F3133/100)</f>
        <v>4171103722.0660505</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22603113974777.152</v>
      </c>
      <c r="L3133">
        <f>K3133*(MIN(Inputs!$B$22+(F3142-Calc!F22),(Inputs!$B$23+(IF(ArtifactsInput!$M$15,CHOOSE(ArtifactsInput!$N$15+1,25,30,35,40,45,50)/100*(Inputs!$B$11-Inputs!$B$11),0))))/100+(Inputs!$B$23+(IF(ArtifactsInput!$M$15,CHOOSE(ArtifactsInput!$N$15+1,25,30,35,40,45,50)/100*(Inputs!$B$11-Inputs!$B$11),0)))/100)/2</f>
        <v>75155353966134.031</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354658115366186.44</v>
      </c>
      <c r="N3133">
        <f>L3133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354658115366186.44</v>
      </c>
      <c r="O3133">
        <f>(1-Summary!$B$11)*S3133+Summary!$B$11*U3133</f>
        <v>1934305361207181</v>
      </c>
      <c r="P3133">
        <f>IF(B3161=0,0,O3133/B3161)</f>
        <v>5.3767383658442879E-2</v>
      </c>
      <c r="Q3133">
        <f>IFERROR(1/(IF(Inputs!$B$38="pvp",15,MAX(0.1,Skills!E13-IF(TRUE=TRUE,4.5,0)))*(1-IF(AND(ArtifactsInput!$M$27,Inputs!$B$4="Chapter Hunt"),CHOOSE(ArtifactsInput!$N$27+1,20,24,28,32,36,40),0)/100)),0)</f>
        <v>3.5087719298245612E-2</v>
      </c>
      <c r="R3133">
        <f>IF(AND(Inputs!$B$38&lt;&gt;"pvp",Inputs!$B$43&gt;0),IF(MAX(0,Inputs!$B$43-B3158)&lt;=0,0,(INT(MAX(0,Inputs!$B$43-B3158)/(IF(Inputs!$B$38="pvp",15,MAX(0.1,Skills!E13-IF(TRUE=TRUE,4.5,0)))*(1-IF(AND(ArtifactsInput!$M$27,Inputs!$B$4="Chapter Hunt"),CHOOSE(ArtifactsInput!$N$27+1,20,24,28,32,36,40),0)/100)))+1)),0)</f>
        <v>2</v>
      </c>
      <c r="S3133">
        <f>IF(C3133,(H3133*N3133*IF(AND(Inputs!$B$38&lt;&gt;"pvp",Inputs!$B$43&gt;0),((Skills!G13*((R3133-1)*IF(Skills!H13&gt;0,Skills!I13/Skills!H13,1)+IF(Skills!H13&gt;0,MIN(Skills!I13,MAX(0,MAX(0,Inputs!$B$43-B3158)-((R3133-1)*(IF(Inputs!$B$38="pvp",15,MAX(0.1,Skills!E13-IF(TRUE=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505919801569865</v>
      </c>
      <c r="U3133">
        <f>IF(C3133,(H3133*N3133*IF(AND(Inputs!$B$38&lt;&gt;"pvp",Inputs!$B$43&gt;0),((Skills!G13*((R3133-1)*IF(Skills!H13&gt;0,Skills!I13/Skills!H13,1)+IF(Skills!H13&gt;0,MIN(Skills!I13,MAX(0,MAX(0,Inputs!$B$43-B3158)-((R3133-1)*(IF(Inputs!$B$38="pvp",15,MAX(0.1,Skills!E13-IF(TRUE=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3362690920844497</v>
      </c>
    </row>
    <row r="3134" spans="1:26" x14ac:dyDescent="0.2">
      <c r="A3134" t="str">
        <f>Skills!A14</f>
        <v>METEOR_PROC</v>
      </c>
      <c r="B3134" t="str">
        <f>Skills!B14</f>
        <v>Meteor Proc (30% on-hit, 1s ICD)</v>
      </c>
      <c r="C3134" t="b">
        <f>Inputs!$B$3&gt;=113</f>
        <v>1</v>
      </c>
      <c r="D3134">
        <f>IF(Skills!C14=1,60+Inputs!$B$25+Inputs!$B$29,IF(Skills!C14=2,90+Inputs!$B$26+Inputs!$B$29,IF(Skills!C14=3,120+Inputs!$B$27+Inputs!$B$29,MAX(0,(Inputs!$B$3-100)*3)+Inputs!$B$28+Inputs!$B$29)))</f>
        <v>185</v>
      </c>
      <c r="E3134">
        <f>INDEX(FactorTable!$B$2:$Y$301, MATCH(ROUND(MIN(300,MAX(1,D3134)),0), FactorTable!$A$2:$A$301,0), Skills!M14+1)</f>
        <v>1740</v>
      </c>
      <c r="F3134">
        <f>IF(Skills!N14=TRUE,(Skills!L14/10)*(E3134/1000),Skills!L14/10)+Skills!O14</f>
        <v>1653</v>
      </c>
      <c r="G3134">
        <f>Calc!G14</f>
        <v>0</v>
      </c>
      <c r="H3134">
        <f>Calc!H14</f>
        <v>0.30000000000000004</v>
      </c>
      <c r="I3134">
        <f>IF(Skills!X14&lt;&gt;"",1+(Skills!X14/10)*(Z3123/1000)/100,1)</f>
        <v>1</v>
      </c>
      <c r="J3134">
        <f>((Inputs!$B$6*(1+Inputs!$B$7/100))+(((Inputs!$B$12*(1+Inputs!$B$13/100))-(Inputs!$B$12*(1+Inputs!$B$13/100)))+0.25*(Inputs!$B$14-Inputs!$B$14))*(1+Inputs!$B$7/100))*(F3134/100)</f>
        <v>5969553638.5932312</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32348872208057.684</v>
      </c>
      <c r="L3134">
        <f>K3134*(MIN(Inputs!$B$22+(F3142-Calc!F22),(Inputs!$B$23+(IF(ArtifactsInput!$M$15,CHOOSE(ArtifactsInput!$N$15+1,25,30,35,40,45,50)/100*(Inputs!$B$11-Inputs!$B$11),0))))/100+(Inputs!$B$23+(IF(ArtifactsInput!$M$15,CHOOSE(ArtifactsInput!$N$15+1,25,30,35,40,45,50)/100*(Inputs!$B$11-Inputs!$B$11),0)))/100)/2</f>
        <v>107560000091791.8</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507575640433165.44</v>
      </c>
      <c r="N3134">
        <f>L3134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507575640433165.44</v>
      </c>
      <c r="O3134">
        <f>(1-Summary!$B$11)*S3134+Summary!$B$11*U3134</f>
        <v>491935958999405.5</v>
      </c>
      <c r="P3134">
        <f>IF(B3161=0,0,O3134/B3161)</f>
        <v>1.3674216064002327E-2</v>
      </c>
      <c r="Q3134">
        <f>IFERROR(1/(IF(Inputs!$B$38="pvp",15,MAX(0.1,Skills!E14-IF(TRUE=TRUE,4.5,0)))*(1-IF(AND(ArtifactsInput!$M$27,Inputs!$B$4="Chapter Hunt"),CHOOSE(ArtifactsInput!$N$27+1,20,24,28,32,36,40),0)/100)),0)</f>
        <v>10</v>
      </c>
      <c r="R3134">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504672165057642.5</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479199752941168.44</v>
      </c>
    </row>
    <row r="3135" spans="1:26" x14ac:dyDescent="0.2">
      <c r="A3135" t="str">
        <f>Skills!A15</f>
        <v>FLAME_HAZE_BURST</v>
      </c>
      <c r="B3135" t="str">
        <f>Skills!B15</f>
        <v>Flame Haze (burst)</v>
      </c>
      <c r="C3135" t="b">
        <f>Inputs!$B$3&gt;=107</f>
        <v>1</v>
      </c>
      <c r="D3135">
        <f>IF(Skills!C15=1,60+Inputs!$B$25+Inputs!$B$29,IF(Skills!C15=2,90+Inputs!$B$26+Inputs!$B$29,IF(Skills!C15=3,120+Inputs!$B$27+Inputs!$B$29,MAX(0,(Inputs!$B$3-100)*3)+Inputs!$B$28+Inputs!$B$29)))</f>
        <v>185</v>
      </c>
      <c r="E3135">
        <f>INDEX(FactorTable!$B$2:$Y$301, MATCH(ROUND(MIN(300,MAX(1,D3135)),0), FactorTable!$A$2:$A$301,0), Skills!M15+1)</f>
        <v>1925</v>
      </c>
      <c r="F3135">
        <f>IF(Skills!N15=TRUE,(Skills!L15/10)*(E3135/1000),Skills!L15/10)+Skills!O15</f>
        <v>2310</v>
      </c>
      <c r="G3135">
        <f>Calc!G15</f>
        <v>3</v>
      </c>
      <c r="H3135">
        <f>Calc!H15</f>
        <v>1</v>
      </c>
      <c r="I3135">
        <f>IF(Skills!X15&lt;&gt;"",1+(Skills!X15/10)*(Z3123/1000)/100,1)</f>
        <v>1</v>
      </c>
      <c r="J3135">
        <f>((Inputs!$B$6*(1+Inputs!$B$7/100))+(((Inputs!$B$12*(1+Inputs!$B$13/100))-(Inputs!$B$12*(1+Inputs!$B$13/100)))+0.25*(Inputs!$B$14-Inputs!$B$14))*(1+Inputs!$B$7/100))*(F3135/100)</f>
        <v>8342207444.1321011</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45206227949554.305</v>
      </c>
      <c r="L3135">
        <f>K3135*(MIN(Inputs!$B$22+(F3142-Calc!F22),(Inputs!$B$23+(IF(ArtifactsInput!$M$15,CHOOSE(ArtifactsInput!$N$15+1,25,30,35,40,45,50)/100*(Inputs!$B$11-Inputs!$B$11),0))))/100+(Inputs!$B$23+(IF(ArtifactsInput!$M$15,CHOOSE(ArtifactsInput!$N$15+1,25,30,35,40,45,50)/100*(Inputs!$B$11-Inputs!$B$11),0)))/100)/2</f>
        <v>150310707932268.06</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709316230732372.88</v>
      </c>
      <c r="N3135">
        <f>L3135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709316230732372.88</v>
      </c>
      <c r="O3135">
        <f>(1-Summary!$B$11)*S3135+Summary!$B$11*U3135</f>
        <v>1769921324734953</v>
      </c>
      <c r="P3135">
        <f>IF(B3161=0,0,O3135/B3161)</f>
        <v>4.9198043298030632E-2</v>
      </c>
      <c r="Q3135">
        <f>IFERROR(1/(IF(Inputs!$B$38="pvp",15,MAX(0.1,Skills!E15-IF(TRUE=TRUE,4.5,0)))*(1-IF(AND(ArtifactsInput!$M$27,Inputs!$B$4="Chapter Hunt"),CHOOSE(ArtifactsInput!$N$27+1,20,24,28,32,36,40),0)/100)),0)</f>
        <v>4.878048780487805E-2</v>
      </c>
      <c r="R3135">
        <f>IF(AND(Inputs!$B$38&lt;&gt;"pvp",Inputs!$B$43&gt;0),IF(MAX(0,Inputs!$B$43-B3158)&lt;=0,0,(INT(MAX(0,Inputs!$B$43-B3158)/(IF(Inputs!$B$38="pvp",15,MAX(0.1,Skills!E15-IF(TRUE=TRUE,4.5,0)))*(1-IF(AND(ArtifactsInput!$M$27,Inputs!$B$4="Chapter Hunt"),CHOOSE(ArtifactsInput!$N$27+1,20,24,28,32,36,40),0)/100)))+1)),0)</f>
        <v>2</v>
      </c>
      <c r="S3135">
        <f>IF(C3135,(H3135*N3135*IF(AND(Inputs!$B$38&lt;&gt;"pvp",Inputs!$B$43&gt;0),((Skills!G15*((R3135-1)*IF(Skills!H15&gt;0,Skills!I15/Skills!H15,1)+IF(Skills!H15&gt;0,MIN(Skills!I15,MAX(0,MAX(0,Inputs!$B$43-B3158)-((R3135-1)*(IF(Inputs!$B$38="pvp",15,MAX(0.1,Skills!E15-IF(TRUE=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337279867713243.25</v>
      </c>
      <c r="U3135">
        <f>IF(C3135,(H3135*N3135*IF(AND(Inputs!$B$38&lt;&gt;"pvp",Inputs!$B$43&gt;0),((Skills!G15*((R3135-1)*IF(Skills!H15&gt;0,Skills!I15/Skills!H15,1)+IF(Skills!H15&gt;0,MIN(Skills!I15,MAX(0,MAX(0,Inputs!$B$43-B3158)-((R3135-1)*(IF(Inputs!$B$38="pvp",15,MAX(0.1,Skills!E15-IF(TRUE=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3202562781756663</v>
      </c>
    </row>
    <row r="3136" spans="1:26" x14ac:dyDescent="0.2">
      <c r="A3136" t="str">
        <f>Skills!A16</f>
        <v>FLAME_HAZE_DOT</v>
      </c>
      <c r="B3136" t="str">
        <f>Skills!B16</f>
        <v>Flame Haze (burn DoT)</v>
      </c>
      <c r="C3136" t="b">
        <f>Inputs!$B$3&gt;=107</f>
        <v>1</v>
      </c>
      <c r="D3136">
        <f>IF(Skills!C16=1,60+Inputs!$B$25+Inputs!$B$29,IF(Skills!C16=2,90+Inputs!$B$26+Inputs!$B$29,IF(Skills!C16=3,120+Inputs!$B$27+Inputs!$B$29,MAX(0,(Inputs!$B$3-100)*3)+Inputs!$B$28+Inputs!$B$29)))</f>
        <v>185</v>
      </c>
      <c r="E3136">
        <f>INDEX(FactorTable!$B$2:$Y$301, MATCH(ROUND(MIN(300,MAX(1,D3136)),0), FactorTable!$A$2:$A$301,0), Skills!M16+1)</f>
        <v>1925</v>
      </c>
      <c r="F3136">
        <f>IF(Skills!N16=TRUE,(Skills!L16/10)*(E3136/1000),Skills!L16/10)+Skills!O16</f>
        <v>288.75</v>
      </c>
      <c r="G3136">
        <f>Calc!G16</f>
        <v>30</v>
      </c>
      <c r="H3136">
        <f>Calc!H16</f>
        <v>1</v>
      </c>
      <c r="I3136">
        <f>IF(Skills!X16&lt;&gt;"",1+(Skills!X16/10)*(Z3123/1000)/100,1)</f>
        <v>1</v>
      </c>
      <c r="J3136">
        <f>((Inputs!$B$6*(1+Inputs!$B$7/100))+(((Inputs!$B$12*(1+Inputs!$B$13/100))-(Inputs!$B$12*(1+Inputs!$B$13/100)))+0.25*(Inputs!$B$14-Inputs!$B$14))*(1+Inputs!$B$7/100))*(F3136/100)</f>
        <v>1042775930.5165126</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5650778493694.2881</v>
      </c>
      <c r="L3136">
        <f>K3136*(MIN(Inputs!$B$22+(F3142-Calc!F22),(Inputs!$B$23+(IF(ArtifactsInput!$M$15,CHOOSE(ArtifactsInput!$N$15+1,25,30,35,40,45,50)/100*(Inputs!$B$11-Inputs!$B$11),0))))/100+(Inputs!$B$23+(IF(ArtifactsInput!$M$15,CHOOSE(ArtifactsInput!$N$15+1,25,30,35,40,45,50)/100*(Inputs!$B$11-Inputs!$B$11),0)))/100)/2</f>
        <v>18788838491533.508</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88664528841546.609</v>
      </c>
      <c r="N3136">
        <f>L3136*(1-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88664528841546.609</v>
      </c>
      <c r="O3136">
        <f>(1-Summary!$B$11)*S3136+Summary!$B$11*U3136</f>
        <v>2212401655918691.5</v>
      </c>
      <c r="P3136">
        <f>IF(B3161=0,0,O3136/B3161)</f>
        <v>6.1497554122538302E-2</v>
      </c>
      <c r="Q3136">
        <f>IFERROR(1/(IF(Inputs!$B$38="pvp",15,MAX(0.1,Skills!E16-IF(TRUE=TRUE,4.5,0)))*(1-IF(AND(ArtifactsInput!$M$27,Inputs!$B$4="Chapter Hunt"),CHOOSE(ArtifactsInput!$N$27+1,20,24,28,32,36,40),0)/100)),0)</f>
        <v>4.878048780487805E-2</v>
      </c>
      <c r="R3136">
        <f>IF(AND(Inputs!$B$38&lt;&gt;"pvp",Inputs!$B$43&gt;0),IF(MAX(0,Inputs!$B$43-B3158)&lt;=0,0,(INT(MAX(0,Inputs!$B$43-B3158)/(IF(Inputs!$B$38="pvp",15,MAX(0.1,Skills!E16-IF(TRUE=TRUE,4.5,0)))*(1-IF(AND(ArtifactsInput!$M$27,Inputs!$B$4="Chapter Hunt"),CHOOSE(ArtifactsInput!$N$27+1,20,24,28,32,36,40),0)/100)))+1)),0)</f>
        <v>2</v>
      </c>
      <c r="S3136">
        <f>IF(C3136,(H3136*N3136*IF(AND(Inputs!$B$38&lt;&gt;"pvp",Inputs!$B$43&gt;0),((Skills!G16*((R3136-1)*IF(Skills!H16&gt;0,Skills!I16/Skills!H16,1)+IF(Skills!H16&gt;0,MIN(Skills!I16,MAX(0,MAX(0,Inputs!$B$43-B3158)-((R3136-1)*(IF(Inputs!$B$38="pvp",15,MAX(0.1,Skills!E16-IF(TRUE=TRUE,4.5,0)))*(1-IF(AND(ArtifactsInput!$M$27,Inputs!$B$4="Chapter Hunt"),CHOOSE(ArtifactsInput!$N$27+1,20,24,28,32,36,40),0)/100)))))/Skills!H16,1)))/Inputs!$B$43),G3136*Q3136)*(1+IF(Inputs!$B$3&gt;=126,0.05*(B3156+Q3133+(H3134*B3157)/(1+Skills!H14*H3134*B3157)+Q3144),0)*(1/Q3135)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421599834641554.06</v>
      </c>
      <c r="U3136">
        <f>IF(C3136,(H3136*N3136*IF(AND(Inputs!$B$38&lt;&gt;"pvp",Inputs!$B$43&gt;0),((Skills!G16*((R3136-1)*IF(Skills!H16&gt;0,Skills!I16/Skills!H16,1)+IF(Skills!H16&gt;0,MIN(Skills!I16,MAX(0,MAX(0,Inputs!$B$43-B3158)-((R3136-1)*(IF(Inputs!$B$38="pvp",15,MAX(0.1,Skills!E16-IF(TRUE=TRUE,4.5,0)))*(1-IF(AND(ArtifactsInput!$M$27,Inputs!$B$4="Chapter Hunt"),CHOOSE(ArtifactsInput!$N$27+1,20,24,28,32,36,40),0)/100)))))/Skills!H16,1)))/Inputs!$B$43),G3136*Q3136)*(1+IF(Inputs!$B$3&gt;=126,0.05*(B3156+Q3133+(H3134*B3157)/(1+Skills!H14*H3134*B3157)+Q3144),0)*(1/Q3135)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4003203477195829</v>
      </c>
    </row>
    <row r="3137" spans="1:21" x14ac:dyDescent="0.2">
      <c r="A3137" t="str">
        <f>Skills!A17</f>
        <v>MAGIC_GUARD</v>
      </c>
      <c r="B3137" t="str">
        <f>Skills!B17</f>
        <v>Magic Guard</v>
      </c>
      <c r="C3137" t="b">
        <f>TRUE</f>
        <v>1</v>
      </c>
      <c r="D3137">
        <f>IF(Skills!C17=1,60+Inputs!$B$25+Inputs!$B$29,IF(Skills!C17=2,90+Inputs!$B$26+Inputs!$B$29,IF(Skills!C17=3,120+Inputs!$B$27+Inputs!$B$29,MAX(0,(Inputs!$B$3-100)*3)+Inputs!$B$28+Inputs!$B$29)))</f>
        <v>127</v>
      </c>
      <c r="E3137">
        <f>INDEX(FactorTable!$B$2:$Y$301, MATCH(ROUND(MIN(300,MAX(1,D3137)),0), FactorTable!$A$2:$A$301,0), Skills!M17+1)</f>
        <v>1508</v>
      </c>
      <c r="F3137">
        <f>IF(Skills!N17=TRUE,(Skills!L17/10)*(E3137/1000),Skills!L17/10)+Skills!O17</f>
        <v>18.096</v>
      </c>
      <c r="G3137">
        <f>Calc!G17</f>
        <v>1</v>
      </c>
      <c r="H3137">
        <f>Calc!H17</f>
        <v>1</v>
      </c>
      <c r="I3137">
        <f>IF(Skills!X17&lt;&gt;"",1+(Skills!X17/10)*(Z3123/1000)/100,1)</f>
        <v>1</v>
      </c>
      <c r="O3137">
        <f>(1-Summary!$B$11)*S3137+Summary!$B$11*U3137</f>
        <v>0</v>
      </c>
      <c r="P3137">
        <f>IF(B3161=0,0,O3137/B3161)</f>
        <v>0</v>
      </c>
      <c r="Q3137">
        <f>IFERROR(1/(IF(Inputs!$B$38="pvp",15,MAX(0.1,Skills!E17-IF(TRUE=TRUE,4.5,0)))*(1-IF(AND(ArtifactsInput!$M$27,Inputs!$B$4="Chapter Hunt"),CHOOSE(ArtifactsInput!$N$27+1,20,24,28,32,36,40),0)/100)),0)</f>
        <v>6.0606060606060608E-2</v>
      </c>
      <c r="R3137">
        <f>IF(AND(Inputs!$B$38&lt;&gt;"pvp",Inputs!$B$43&gt;0),IF(Inputs!$B$43&lt;=0,0,(INT(Inputs!$B$43/(IF(Inputs!$B$38="pvp",15,MAX(0.1,Skills!E17-IF(TRUE=TRUE,4.5,0)))*(1-IF(AND(ArtifactsInput!$M$27,Inputs!$B$4="Chapter Hunt"),CHOOSE(ArtifactsInput!$N$27+1,20,24,28,32,36,40),0)/100)))+1)),0)</f>
        <v>3</v>
      </c>
      <c r="S3137">
        <v>0</v>
      </c>
      <c r="U3137">
        <v>0</v>
      </c>
    </row>
    <row r="3138" spans="1:21" x14ac:dyDescent="0.2">
      <c r="A3138" t="str">
        <f>Skills!A18</f>
        <v>NIMBLE_FEET</v>
      </c>
      <c r="B3138" t="str">
        <f>Skills!B18</f>
        <v>Nimble Feet</v>
      </c>
      <c r="C3138" t="b">
        <f>TRUE</f>
        <v>1</v>
      </c>
      <c r="D3138">
        <f>IF(Skills!C18=1,60+Inputs!$B$25+Inputs!$B$29,IF(Skills!C18=2,90+Inputs!$B$26+Inputs!$B$29,IF(Skills!C18=3,120+Inputs!$B$27+Inputs!$B$29,MAX(0,(Inputs!$B$3-100)*3)+Inputs!$B$28+Inputs!$B$29)))</f>
        <v>127</v>
      </c>
      <c r="E3138">
        <f>INDEX(FactorTable!$B$2:$Y$301, MATCH(ROUND(MIN(300,MAX(1,D3138)),0), FactorTable!$A$2:$A$301,0), Skills!M18+1)</f>
        <v>0</v>
      </c>
      <c r="F3138">
        <f>IF(Skills!N18=TRUE,(Skills!L18/10)*(E3138/1000),Skills!L18/10)+Skills!O18</f>
        <v>15</v>
      </c>
      <c r="G3138">
        <f>Calc!G18</f>
        <v>1</v>
      </c>
      <c r="H3138">
        <f>Calc!H18</f>
        <v>1</v>
      </c>
      <c r="I3138">
        <f>IF(Skills!X18&lt;&gt;"",1+(Skills!X18/10)*(Z3123/1000)/100,1)</f>
        <v>1</v>
      </c>
      <c r="O3138">
        <f>(1-Summary!$B$11)*S3138+Summary!$B$11*U3138</f>
        <v>0</v>
      </c>
      <c r="P3138">
        <f>IF(B3161=0,0,O3138/B3161)</f>
        <v>0</v>
      </c>
      <c r="Q3138">
        <f>IFERROR(1/(IF(Inputs!$B$38="pvp",15,MAX(0.1,Skills!E18-IF(TRUE=TRUE,4.5,0)))*(1-IF(AND(ArtifactsInput!$M$27,Inputs!$B$4="Chapter Hunt"),CHOOSE(ArtifactsInput!$N$27+1,20,24,28,32,36,40),0)/100)),0)</f>
        <v>1.8018018018018018E-2</v>
      </c>
      <c r="R3138">
        <f>IF(AND(Inputs!$B$38&lt;&gt;"pvp",Inputs!$B$43&gt;0),IF(Inputs!$B$43&lt;=0,0,(INT(Inputs!$B$43/(IF(Inputs!$B$38="pvp",15,MAX(0.1,Skills!E18-IF(TRUE=TRUE,4.5,0)))*(1-IF(AND(ArtifactsInput!$M$27,Inputs!$B$4="Chapter Hunt"),CHOOSE(ArtifactsInput!$N$27+1,20,24,28,32,36,40),0)/100)))+1)),0)</f>
        <v>1</v>
      </c>
      <c r="S3138">
        <v>0</v>
      </c>
      <c r="U3138">
        <v>0</v>
      </c>
    </row>
    <row r="3139" spans="1:21" x14ac:dyDescent="0.2">
      <c r="A3139" t="str">
        <f>Skills!A19</f>
        <v>INFINITY</v>
      </c>
      <c r="B3139" t="str">
        <f>Skills!B19</f>
        <v>Infinity</v>
      </c>
      <c r="C3139" t="b">
        <f>Inputs!$B$3&gt;=110</f>
        <v>1</v>
      </c>
      <c r="D3139">
        <f>IF(Skills!C19=1,60+Inputs!$B$25+Inputs!$B$29,IF(Skills!C19=2,90+Inputs!$B$26+Inputs!$B$29,IF(Skills!C19=3,120+Inputs!$B$27+Inputs!$B$29,MAX(0,(Inputs!$B$3-100)*3)+Inputs!$B$28+Inputs!$B$29)))</f>
        <v>185</v>
      </c>
      <c r="E3139">
        <f>INDEX(FactorTable!$B$2:$Y$301, MATCH(ROUND(MIN(300,MAX(1,D3139)),0), FactorTable!$A$2:$A$301,0), Skills!M19+1)</f>
        <v>1740</v>
      </c>
      <c r="F3139">
        <f>IF(Skills!N19=TRUE,(Skills!L19/10)*(E3139/1000),Skills!L19/10)+Skills!O19</f>
        <v>37.700579999999995</v>
      </c>
      <c r="G3139">
        <f>Calc!G19</f>
        <v>1</v>
      </c>
      <c r="H3139">
        <f>Calc!H19</f>
        <v>1</v>
      </c>
      <c r="I3139">
        <f>IF(Skills!X19&lt;&gt;"",1+(Skills!X19/10)*(Z3123/1000)/100,1)</f>
        <v>1</v>
      </c>
      <c r="O3139">
        <f>(1-Summary!$B$11)*S3139+Summary!$B$11*U3139</f>
        <v>0</v>
      </c>
      <c r="P3139">
        <f>IF(B3161=0,0,O3139/B3161)</f>
        <v>0</v>
      </c>
      <c r="Q3139">
        <f>IFERROR(1/(IF(Inputs!$B$38="pvp",15,MAX(0.1,Skills!E19-IF(TRUE=TRUE,4.5,0)))*(1-IF(AND(ArtifactsInput!$M$27,Inputs!$B$4="Chapter Hunt"),CHOOSE(ArtifactsInput!$N$27+1,20,24,28,32,36,40),0)/100)),0)</f>
        <v>3.9215686274509803E-2</v>
      </c>
      <c r="R3139">
        <f>IF(AND(Inputs!$B$38&lt;&gt;"pvp",Inputs!$B$43&gt;0),IF(Inputs!$B$43&lt;=0,0,(INT(Inputs!$B$43/(IF(Inputs!$B$38="pvp",15,MAX(0.1,Skills!E19-IF(TRUE=TRUE,4.5,0)))*(1-IF(AND(ArtifactsInput!$M$27,Inputs!$B$4="Chapter Hunt"),CHOOSE(ArtifactsInput!$N$27+1,20,24,28,32,36,40),0)/100)))+1)),0)</f>
        <v>2</v>
      </c>
      <c r="S3139">
        <v>0</v>
      </c>
      <c r="U3139">
        <v>0</v>
      </c>
    </row>
    <row r="3140" spans="1:21" x14ac:dyDescent="0.2">
      <c r="A3140" t="str">
        <f>Skills!A20</f>
        <v>MAGIC_CRITICAL_RATE</v>
      </c>
      <c r="B3140" t="str">
        <f>Skills!B20</f>
        <v>Magic Critical (Crit Rate)</v>
      </c>
      <c r="C3140" t="b">
        <f>TRUE</f>
        <v>1</v>
      </c>
      <c r="D3140">
        <f>IF(Skills!C20=1,60+Inputs!$B$25+Inputs!$B$29,IF(Skills!C20=2,90+Inputs!$B$26+Inputs!$B$29,IF(Skills!C20=3,120+Inputs!$B$27+Inputs!$B$29,MAX(0,(Inputs!$B$3-100)*3)+Inputs!$B$28+Inputs!$B$29)))</f>
        <v>184</v>
      </c>
      <c r="E3140">
        <f>INDEX(FactorTable!$B$2:$Y$301, MATCH(ROUND(MIN(300,MAX(1,D3140)),0), FactorTable!$A$2:$A$301,0), Skills!M20+1)</f>
        <v>1552</v>
      </c>
      <c r="F3140">
        <f>IF(Skills!N20=TRUE,(Skills!L20/10)*(E3140/1000),Skills!L20/10)+Skills!O20</f>
        <v>12.416</v>
      </c>
      <c r="G3140">
        <f>Calc!G20</f>
        <v>1</v>
      </c>
      <c r="H3140">
        <f>Calc!H20</f>
        <v>1</v>
      </c>
      <c r="I3140">
        <f>IF(Skills!X20&lt;&gt;"",1+(Skills!X20/10)*(Z3123/1000)/100,1)</f>
        <v>1</v>
      </c>
      <c r="O3140">
        <f>(1-Summary!$B$11)*S3140+Summary!$B$11*U3140</f>
        <v>0</v>
      </c>
      <c r="P3140">
        <f>IF(B3161=0,0,O3140/B3161)</f>
        <v>0</v>
      </c>
      <c r="Q3140">
        <f>IFERROR(1/(IF(Inputs!$B$38="pvp",15,MAX(0.1,Skills!E20-IF(TRUE=TRUE,4.5,0)))*(1-IF(AND(ArtifactsInput!$M$27,Inputs!$B$4="Chapter Hunt"),CHOOSE(ArtifactsInput!$N$27+1,20,24,28,32,36,40),0)/100)),0)</f>
        <v>10</v>
      </c>
      <c r="R3140">
        <v>0</v>
      </c>
      <c r="S3140">
        <v>0</v>
      </c>
      <c r="U3140">
        <v>0</v>
      </c>
    </row>
    <row r="3141" spans="1:21" x14ac:dyDescent="0.2">
      <c r="A3141" t="str">
        <f>Skills!A21</f>
        <v>MAGIC_CRITICAL_DAMAGE</v>
      </c>
      <c r="B3141" t="str">
        <f>Skills!B21</f>
        <v>Magic Critical (Crit Damage)</v>
      </c>
      <c r="C3141" t="b">
        <f>TRUE</f>
        <v>1</v>
      </c>
      <c r="D3141">
        <f>IF(Skills!C21=1,60+Inputs!$B$25+Inputs!$B$29,IF(Skills!C21=2,90+Inputs!$B$26+Inputs!$B$29,IF(Skills!C21=3,120+Inputs!$B$27+Inputs!$B$29,MAX(0,(Inputs!$B$3-100)*3)+Inputs!$B$28+Inputs!$B$29)))</f>
        <v>184</v>
      </c>
      <c r="E3141">
        <f>INDEX(FactorTable!$B$2:$Y$301, MATCH(ROUND(MIN(300,MAX(1,D3141)),0), FactorTable!$A$2:$A$301,0), Skills!M21+1)</f>
        <v>1552</v>
      </c>
      <c r="F3141">
        <f>IF(Skills!N21=TRUE,(Skills!L21/10)*(E3141/1000),Skills!L21/10)+Skills!O21</f>
        <v>18.624000000000002</v>
      </c>
      <c r="G3141">
        <f>Calc!G21</f>
        <v>1</v>
      </c>
      <c r="H3141">
        <f>Calc!H21</f>
        <v>1</v>
      </c>
      <c r="I3141">
        <f>IF(Skills!X21&lt;&gt;"",1+(Skills!X21/10)*(Z3123/1000)/100,1)</f>
        <v>1</v>
      </c>
      <c r="O3141">
        <f>(1-Summary!$B$11)*S3141+Summary!$B$11*U3141</f>
        <v>0</v>
      </c>
      <c r="P3141">
        <f>IF(B3161=0,0,O3141/B3161)</f>
        <v>0</v>
      </c>
      <c r="Q3141">
        <f>IFERROR(1/(IF(Inputs!$B$38="pvp",15,MAX(0.1,Skills!E21-IF(TRUE=TRUE,4.5,0)))*(1-IF(AND(ArtifactsInput!$M$27,Inputs!$B$4="Chapter Hunt"),CHOOSE(ArtifactsInput!$N$27+1,20,24,28,32,36,40),0)/100)),0)</f>
        <v>10</v>
      </c>
      <c r="R3141">
        <v>0</v>
      </c>
      <c r="S3141">
        <v>0</v>
      </c>
      <c r="U3141">
        <v>0</v>
      </c>
    </row>
    <row r="3142" spans="1:21" x14ac:dyDescent="0.2">
      <c r="A3142" t="str">
        <f>Skills!A22</f>
        <v>SPELL_MASTERY</v>
      </c>
      <c r="B3142" t="str">
        <f>Skills!B22</f>
        <v>Spell Mastery</v>
      </c>
      <c r="C3142" t="b">
        <f>TRUE</f>
        <v>1</v>
      </c>
      <c r="D3142">
        <f>IF(Skills!C22=1,60+Inputs!$B$25+Inputs!$B$29,IF(Skills!C22=2,90+Inputs!$B$26+Inputs!$B$29,IF(Skills!C22=3,120+Inputs!$B$27+Inputs!$B$29,MAX(0,(Inputs!$B$3-100)*3)+Inputs!$B$28+Inputs!$B$29)))</f>
        <v>168</v>
      </c>
      <c r="E3142">
        <f>INDEX(FactorTable!$B$2:$Y$301, MATCH(ROUND(MIN(300,MAX(1,D3142)),0), FactorTable!$A$2:$A$301,0), Skills!M22+1)</f>
        <v>1504</v>
      </c>
      <c r="F3142">
        <f>IF(Skills!N22=TRUE,(Skills!L22/10)*(E3142/1000),Skills!L22/10)+Skills!O22</f>
        <v>22.56</v>
      </c>
      <c r="G3142">
        <f>Calc!G22</f>
        <v>1</v>
      </c>
      <c r="H3142">
        <f>Calc!H22</f>
        <v>1</v>
      </c>
      <c r="I3142">
        <f>IF(Skills!X22&lt;&gt;"",1+(Skills!X22/10)*(Z3123/1000)/100,1)</f>
        <v>1</v>
      </c>
      <c r="O3142">
        <f>(1-Summary!$B$11)*S3142+Summary!$B$11*U3142</f>
        <v>0</v>
      </c>
      <c r="P3142">
        <f>IF(B3161=0,0,O3142/B3161)</f>
        <v>0</v>
      </c>
      <c r="Q3142">
        <f>IFERROR(1/(IF(Inputs!$B$38="pvp",15,MAX(0.1,Skills!E22-IF(TRUE=TRUE,4.5,0)))*(1-IF(AND(ArtifactsInput!$M$27,Inputs!$B$4="Chapter Hunt"),CHOOSE(ArtifactsInput!$N$27+1,20,24,28,32,36,40),0)/100)),0)</f>
        <v>10</v>
      </c>
      <c r="R3142">
        <v>0</v>
      </c>
      <c r="S3142">
        <v>0</v>
      </c>
      <c r="U3142">
        <v>0</v>
      </c>
    </row>
    <row r="3143" spans="1:21" x14ac:dyDescent="0.2">
      <c r="A3143" t="str">
        <f>Skills!A23</f>
        <v>ELEMENT_AMPLIFICATION</v>
      </c>
      <c r="B3143" t="str">
        <f>Skills!B23</f>
        <v>Element Amplification</v>
      </c>
      <c r="C3143" t="b">
        <f>TRUE</f>
        <v>1</v>
      </c>
      <c r="D3143">
        <f>IF(Skills!C23=1,60+Inputs!$B$25+Inputs!$B$29,IF(Skills!C23=2,90+Inputs!$B$26+Inputs!$B$29,IF(Skills!C23=3,120+Inputs!$B$27+Inputs!$B$29,MAX(0,(Inputs!$B$3-100)*3)+Inputs!$B$28+Inputs!$B$29)))</f>
        <v>185</v>
      </c>
      <c r="E3143">
        <f>INDEX(FactorTable!$B$2:$Y$301, MATCH(ROUND(MIN(300,MAX(1,D3143)),0), FactorTable!$A$2:$A$301,0), Skills!M23+1)</f>
        <v>1555</v>
      </c>
      <c r="F3143">
        <f>IF(Skills!N23=TRUE,(Skills!L23/10)*(E3143/1000),Skills!L23/10)+Skills!O23</f>
        <v>23.324999999999999</v>
      </c>
      <c r="G3143">
        <f>Calc!G23</f>
        <v>1</v>
      </c>
      <c r="H3143">
        <f>Calc!H23</f>
        <v>1</v>
      </c>
      <c r="I3143">
        <f>IF(Skills!X23&lt;&gt;"",1+(Skills!X23/10)*(Z3123/1000)/100,1)</f>
        <v>1</v>
      </c>
      <c r="O3143">
        <f>(1-Summary!$B$11)*S3143+Summary!$B$11*U3143</f>
        <v>0</v>
      </c>
      <c r="P3143">
        <f>IF(B3161=0,0,O3143/B3161)</f>
        <v>0</v>
      </c>
      <c r="Q3143">
        <f>IFERROR(1/(IF(Inputs!$B$38="pvp",15,MAX(0.1,Skills!E23-IF(TRUE=TRUE,4.5,0)))*(1-IF(AND(ArtifactsInput!$M$27,Inputs!$B$4="Chapter Hunt"),CHOOSE(ArtifactsInput!$N$27+1,20,24,28,32,36,40),0)/100)),0)</f>
        <v>10</v>
      </c>
      <c r="R3143">
        <v>0</v>
      </c>
      <c r="S3143">
        <v>0</v>
      </c>
      <c r="U3143">
        <v>0</v>
      </c>
    </row>
    <row r="3144" spans="1:21" x14ac:dyDescent="0.2">
      <c r="A3144" t="str">
        <f>Skills!A24</f>
        <v>IFRIT</v>
      </c>
      <c r="B3144" t="str">
        <f>Skills!B24</f>
        <v>Ifrit</v>
      </c>
      <c r="C3144" t="b">
        <f>Inputs!$B$3&gt;=115</f>
        <v>1</v>
      </c>
      <c r="D3144">
        <f>IF(Skills!C24=1,60+Inputs!$B$25+Inputs!$B$29,IF(Skills!C24=2,90+Inputs!$B$26+Inputs!$B$29,IF(Skills!C24=3,120+Inputs!$B$27+Inputs!$B$29,MAX(0,(Inputs!$B$3-100)*3)+Inputs!$B$28+Inputs!$B$29)))</f>
        <v>185</v>
      </c>
      <c r="E3144">
        <f>INDEX(FactorTable!$B$2:$Y$301, MATCH(ROUND(MIN(300,MAX(1,D3144)),0), FactorTable!$A$2:$A$301,0), Skills!M24+1)</f>
        <v>1925</v>
      </c>
      <c r="F3144">
        <f>IF(Skills!N24=TRUE,(Skills!L24/10)*(E3144/1000),Skills!L24/10)+Skills!O24</f>
        <v>6737.5</v>
      </c>
      <c r="G3144">
        <f>Calc!G24</f>
        <v>7.5</v>
      </c>
      <c r="H3144">
        <f>Calc!H24</f>
        <v>1</v>
      </c>
      <c r="I3144">
        <f>IF(Skills!X24&lt;&gt;"",1+(Skills!X24/10)*(Z3123/1000)/100,1)</f>
        <v>1</v>
      </c>
      <c r="J3144">
        <f>((Inputs!$B$6*(1+Inputs!$B$7/100))+(((Inputs!$B$12*(1+Inputs!$B$13/100))-(Inputs!$B$12*(1+Inputs!$B$13/100)))+0.25*(Inputs!$B$14-Inputs!$B$14))*(1+Inputs!$B$7/100))*(F3144/100)</f>
        <v>24331438378.718628</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131851498186200.06</v>
      </c>
      <c r="L3144">
        <f>K3144*(MIN(Inputs!$B$22+(F3142-Calc!F22),(Inputs!$B$23+(IF(ArtifactsInput!$M$15,CHOOSE(ArtifactsInput!$N$15+1,25,30,35,40,45,50)/100*(Inputs!$B$11-Inputs!$B$11),0))))/100+(Inputs!$B$23+(IF(ArtifactsInput!$M$15,CHOOSE(ArtifactsInput!$N$15+1,25,30,35,40,45,50)/100*(Inputs!$B$11-Inputs!$B$11),0)))/100)/2</f>
        <v>438406231469115.25</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2068839006302754.5</v>
      </c>
      <c r="N3144">
        <f>L3144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2068839006302754.5</v>
      </c>
      <c r="O3144">
        <f>(1-Summary!$B$11)*S3144+Summary!$B$11*U3144</f>
        <v>2366234613458775.5</v>
      </c>
      <c r="P3144">
        <f>IF(B3161=0,0,O3144/B3161)</f>
        <v>6.5773608882686754E-2</v>
      </c>
      <c r="Q3144">
        <f>IFERROR(1/(IF(Inputs!$B$38="pvp",15,MAX(0.1,Skills!E24-IF(TRUE=TRUE,4.5,0)))*(1-IF(AND(ArtifactsInput!$M$27,Inputs!$B$4="Chapter Hunt"),CHOOSE(ArtifactsInput!$N$27+1,20,24,28,32,36,40),0)/100)),0)</f>
        <v>1.3245033112582781E-2</v>
      </c>
      <c r="R3144">
        <f>IF(AND(Inputs!$B$38&lt;&gt;"pvp",Inputs!$B$43&gt;0),IF(MAX(0,Inputs!$B$43-B3158)&lt;=0,0,(INT(MAX(0,Inputs!$B$43-B3158)/(IF(Inputs!$B$38="pvp",15,MAX(0.1,Skills!E24-IF(TRUE=TRUE,4.5,0)))*(1-IF(AND(ArtifactsInput!$M$27,Inputs!$B$4="Chapter Hunt"),CHOOSE(ArtifactsInput!$N$27+1,20,24,28,32,36,40),0)/100)))+1)),0)</f>
        <v>1</v>
      </c>
      <c r="S3144">
        <f>IF(C3144,(H3144*N3144*IF(AND(Inputs!$B$38&lt;&gt;"pvp",Inputs!$B$43&gt;0),((Skills!G24*((R3144-1)*IF(Skills!H24&gt;0,Skills!I24/Skills!H24,1)+IF(Skills!H24&gt;0,MIN(Skills!I24,MAX(0,MAX(0,Inputs!$B$43-B3158)-((R3144-1)*(IF(Inputs!$B$38="pvp",15,MAX(0.1,Skills!E24-IF(TRUE=TRUE,4.5,0)))*(1-IF(AND(ArtifactsInput!$M$27,Inputs!$B$4="Chapter Hunt"),CHOOSE(ArtifactsInput!$N$27+1,20,24,28,32,36,40),0)/100)))))/Skills!H24,1)))/Inputs!$B$43),G3144*Q3144)*(1+IF(Inputs!$B$3&gt;=130,0.2*(Skills!I16/(1/Q3135)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1229666184371199.8</v>
      </c>
      <c r="U3144">
        <f>IF(C3144,(H3144*N3144*IF(AND(Inputs!$B$38&lt;&gt;"pvp",Inputs!$B$43&gt;0),((Skills!G24*((R3144-1)*IF(Skills!H24&gt;0,Skills!I24/Skills!H24,1)+IF(Skills!H24&gt;0,MIN(Skills!I24,MAX(0,MAX(0,Inputs!$B$43-B3158)-((R3144-1)*(IF(Inputs!$B$38="pvp",15,MAX(0.1,Skills!E24-IF(TRUE=TRUE,4.5,0)))*(1-IF(AND(ArtifactsInput!$M$27,Inputs!$B$4="Chapter Hunt"),CHOOSE(ArtifactsInput!$N$27+1,20,24,28,32,36,40),0)/100)))))/Skills!H24,1)))/Inputs!$B$43),G3144*Q3144)*(1+IF(Inputs!$B$3&gt;=130,0.2*(Skills!I16/(1/Q3135)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3502803042546351</v>
      </c>
    </row>
    <row r="3145" spans="1:21" x14ac:dyDescent="0.2">
      <c r="A3145" t="str">
        <f>Skills!A25</f>
        <v>BUFF_MASTERY</v>
      </c>
      <c r="B3145" t="str">
        <f>Skills!B25</f>
        <v>Buff Mastery</v>
      </c>
      <c r="C3145" t="b">
        <f>Inputs!$B$3&gt;=117</f>
        <v>1</v>
      </c>
      <c r="D3145">
        <f>IF(Skills!C25=1,60+Inputs!$B$25+Inputs!$B$29,IF(Skills!C25=2,90+Inputs!$B$26+Inputs!$B$29,IF(Skills!C25=3,120+Inputs!$B$27+Inputs!$B$29,MAX(0,(Inputs!$B$3-100)*3)+Inputs!$B$28+Inputs!$B$29)))</f>
        <v>185</v>
      </c>
      <c r="E3145">
        <f>INDEX(FactorTable!$B$2:$Y$301, MATCH(ROUND(MIN(300,MAX(1,D3145)),0), FactorTable!$A$2:$A$301,0), Skills!M25+1)</f>
        <v>1555</v>
      </c>
      <c r="F3145">
        <f>IF(Skills!N25=TRUE,(Skills!L25/10)*(E3145/1000),Skills!L25/10)+Skills!O25</f>
        <v>15.549999999999999</v>
      </c>
      <c r="G3145">
        <f>Calc!G25</f>
        <v>1</v>
      </c>
      <c r="H3145">
        <f>Calc!H25</f>
        <v>1</v>
      </c>
      <c r="I3145">
        <f>IF(Skills!X25&lt;&gt;"",1+(Skills!X25/10)*(Z3123/1000)/100,1)</f>
        <v>1</v>
      </c>
      <c r="O3145">
        <f>(1-Summary!$B$11)*S3145+Summary!$B$11*U3145</f>
        <v>0</v>
      </c>
      <c r="P3145">
        <f>IF(B3161=0,0,O3145/B3161)</f>
        <v>0</v>
      </c>
      <c r="Q3145">
        <f>IFERROR(1/(IF(Inputs!$B$38="pvp",15,MAX(0.1,Skills!E25-IF(TRUE=TRUE,4.5,0)))*(1-IF(AND(ArtifactsInput!$M$27,Inputs!$B$4="Chapter Hunt"),CHOOSE(ArtifactsInput!$N$27+1,20,24,28,32,36,40),0)/100)),0)</f>
        <v>10</v>
      </c>
      <c r="R3145">
        <v>0</v>
      </c>
      <c r="S3145">
        <v>0</v>
      </c>
      <c r="U3145">
        <v>0</v>
      </c>
    </row>
    <row r="3146" spans="1:21" x14ac:dyDescent="0.2">
      <c r="A3146" t="str">
        <f>Skills!A26</f>
        <v>ARCANE_AIM</v>
      </c>
      <c r="B3146" t="str">
        <f>Skills!B26</f>
        <v>Arcane Aim</v>
      </c>
      <c r="C3146" t="b">
        <f>Inputs!$B$3&gt;=120</f>
        <v>0</v>
      </c>
      <c r="D3146">
        <f>IF(Skills!C26=1,60+Inputs!$B$25+Inputs!$B$29,IF(Skills!C26=2,90+Inputs!$B$26+Inputs!$B$29,IF(Skills!C26=3,120+Inputs!$B$27+Inputs!$B$29,MAX(0,(Inputs!$B$3-100)*3)+Inputs!$B$28+Inputs!$B$29)))</f>
        <v>185</v>
      </c>
      <c r="E3146">
        <f>INDEX(FactorTable!$B$2:$Y$301, MATCH(ROUND(MIN(300,MAX(1,D3146)),0), FactorTable!$A$2:$A$301,0), Skills!M26+1)</f>
        <v>1555</v>
      </c>
      <c r="F3146">
        <f>IF(Skills!N26=TRUE,(Skills!L26/10)*(E3146/1000),Skills!L26/10)+Skills!O26</f>
        <v>4.665</v>
      </c>
      <c r="G3146">
        <f>Calc!G26</f>
        <v>1</v>
      </c>
      <c r="H3146">
        <f>Calc!H26</f>
        <v>1</v>
      </c>
      <c r="I3146">
        <f>IF(Skills!X26&lt;&gt;"",1+(Skills!X26/10)*(Z3123/1000)/100,1)</f>
        <v>1</v>
      </c>
      <c r="O3146">
        <f>(1-Summary!$B$11)*S3146+Summary!$B$11*U3146</f>
        <v>0</v>
      </c>
      <c r="P3146">
        <f>IF(B3161=0,0,O3146/B3161)</f>
        <v>0</v>
      </c>
      <c r="Q3146">
        <f>IFERROR(1/(IF(Inputs!$B$38="pvp",15,MAX(0.1,Skills!E26-IF(TRUE=TRUE,4.5,0)))*(1-IF(AND(ArtifactsInput!$M$27,Inputs!$B$4="Chapter Hunt"),CHOOSE(ArtifactsInput!$N$27+1,20,24,28,32,36,40),0)/100)),0)</f>
        <v>10</v>
      </c>
      <c r="R3146">
        <v>0</v>
      </c>
      <c r="S3146">
        <v>0</v>
      </c>
      <c r="U3146">
        <v>0</v>
      </c>
    </row>
    <row r="3147" spans="1:21" x14ac:dyDescent="0.2">
      <c r="A3147" t="str">
        <f>Skills!A27</f>
        <v>FERVENT_DRAIN</v>
      </c>
      <c r="B3147" t="str">
        <f>Skills!B27</f>
        <v>Fervent Drain</v>
      </c>
      <c r="C3147" t="b">
        <f>Inputs!$B$3&gt;=125</f>
        <v>0</v>
      </c>
      <c r="D3147">
        <f>IF(Skills!C27=1,60+Inputs!$B$25+Inputs!$B$29,IF(Skills!C27=2,90+Inputs!$B$26+Inputs!$B$29,IF(Skills!C27=3,120+Inputs!$B$27+Inputs!$B$29,MAX(0,(Inputs!$B$3-100)*3)+Inputs!$B$28+Inputs!$B$29)))</f>
        <v>185</v>
      </c>
      <c r="E3147">
        <f>INDEX(FactorTable!$B$2:$Y$301, MATCH(ROUND(MIN(300,MAX(1,D3147)),0), FactorTable!$A$2:$A$301,0), Skills!M27+1)</f>
        <v>1555</v>
      </c>
      <c r="F3147">
        <f>IF(Skills!N27=TRUE,(Skills!L27/10)*(E3147/1000),Skills!L27/10)+Skills!O27</f>
        <v>6.22</v>
      </c>
      <c r="G3147">
        <f>Calc!G27</f>
        <v>1</v>
      </c>
      <c r="H3147">
        <f>Calc!H27</f>
        <v>1</v>
      </c>
      <c r="I3147">
        <f>IF(Skills!X27&lt;&gt;"",1+(Skills!X27/10)*(Z3123/1000)/100,1)</f>
        <v>1</v>
      </c>
      <c r="O3147">
        <f>(1-Summary!$B$11)*S3147+Summary!$B$11*U3147</f>
        <v>0</v>
      </c>
      <c r="P3147">
        <f>IF(B3161=0,0,O3147/B3161)</f>
        <v>0</v>
      </c>
      <c r="Q3147">
        <f>IFERROR(1/(IF(Inputs!$B$38="pvp",15,MAX(0.1,Skills!E27-IF(TRUE=TRUE,4.5,0)))*(1-IF(AND(ArtifactsInput!$M$27,Inputs!$B$4="Chapter Hunt"),CHOOSE(ArtifactsInput!$N$27+1,20,24,28,32,36,40),0)/100)),0)</f>
        <v>10</v>
      </c>
      <c r="R3147">
        <v>0</v>
      </c>
      <c r="S3147">
        <v>0</v>
      </c>
      <c r="U3147">
        <v>0</v>
      </c>
    </row>
    <row r="3148" spans="1:21" x14ac:dyDescent="0.2">
      <c r="A3148" t="str">
        <f>Skills!A28</f>
        <v>FLAME_HAZE_FOG</v>
      </c>
      <c r="B3148" t="str">
        <f>Skills!B28</f>
        <v>Flame Haze (poison fog DoT)</v>
      </c>
      <c r="C3148" t="b">
        <f>Inputs!$B$3&gt;=118</f>
        <v>0</v>
      </c>
      <c r="D3148">
        <f>IF(Skills!C28=1,60+Inputs!$B$25+Inputs!$B$29,IF(Skills!C28=2,90+Inputs!$B$26+Inputs!$B$29,IF(Skills!C28=3,120+Inputs!$B$27+Inputs!$B$29,MAX(0,(Inputs!$B$3-100)*3)+Inputs!$B$28+Inputs!$B$29)))</f>
        <v>185</v>
      </c>
      <c r="E3148">
        <f>INDEX(FactorTable!$B$2:$Y$301, MATCH(ROUND(MIN(300,MAX(1,D3148)),0), FactorTable!$A$2:$A$301,0), Skills!M28+1)</f>
        <v>1925</v>
      </c>
      <c r="F3148">
        <f>IF(Skills!N28=TRUE,(Skills!L28/10)*(E3148/1000),Skills!L28/10)+Skills!O28</f>
        <v>134.75</v>
      </c>
      <c r="G3148">
        <f>Calc!G28</f>
        <v>50</v>
      </c>
      <c r="H3148">
        <f>Calc!H28</f>
        <v>1</v>
      </c>
      <c r="I3148">
        <f>IF(Skills!X28&lt;&gt;"",1+(Skills!X28/10)*(Z3123/1000)/100,1)</f>
        <v>1</v>
      </c>
      <c r="J3148">
        <f>((Inputs!$B$6*(1+Inputs!$B$7/100))+(((Inputs!$B$12*(1+Inputs!$B$13/100))-(Inputs!$B$12*(1+Inputs!$B$13/100)))+0.25*(Inputs!$B$14-Inputs!$B$14))*(1+Inputs!$B$7/100))*(F3148/100)</f>
        <v>486628767.57437253</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2637029963724.0005</v>
      </c>
      <c r="L3148">
        <f>K3148*(MIN(Inputs!$B$22+(F3142-Calc!F22),(Inputs!$B$23+(IF(ArtifactsInput!$M$15,CHOOSE(ArtifactsInput!$N$15+1,25,30,35,40,45,50)/100*(Inputs!$B$11-Inputs!$B$11),0))))/100+(Inputs!$B$23+(IF(ArtifactsInput!$M$15,CHOOSE(ArtifactsInput!$N$15+1,25,30,35,40,45,50)/100*(Inputs!$B$11-Inputs!$B$11),0)))/100)/2</f>
        <v>8768124629382.3018</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41376780126055.078</v>
      </c>
      <c r="N3148">
        <f>L3148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41376780126055.078</v>
      </c>
      <c r="O3148">
        <f>(1-Summary!$B$11)*S3148+Summary!$B$11*U3148</f>
        <v>0</v>
      </c>
      <c r="P3148">
        <f>IF(B3161=0,0,O3148/B3161)</f>
        <v>0</v>
      </c>
      <c r="Q3148">
        <f>IFERROR(1/(IF(Inputs!$B$38="pvp",15,MAX(0.1,Skills!E28-IF(TRUE=TRUE,4.5,0)))*(1-IF(AND(ArtifactsInput!$M$27,Inputs!$B$4="Chapter Hunt"),CHOOSE(ArtifactsInput!$N$27+1,20,24,28,32,36,40),0)/100)),0)</f>
        <v>4.878048780487805E-2</v>
      </c>
      <c r="R3148">
        <f>IF(AND(Inputs!$B$38&lt;&gt;"pvp",Inputs!$B$43&gt;0),IF(MAX(0,Inputs!$B$43-B3158)&lt;=0,0,(INT(MAX(0,Inputs!$B$43-B3158)/(IF(Inputs!$B$38="pvp",15,MAX(0.1,Skills!E28-IF(TRUE=TRUE,4.5,0)))*(1-IF(AND(ArtifactsInput!$M$27,Inputs!$B$4="Chapter Hunt"),CHOOSE(ArtifactsInput!$N$27+1,20,24,28,32,36,40),0)/100)))+1)),0)</f>
        <v>2</v>
      </c>
      <c r="S3148">
        <f>IF(C3148,(H3148*N3148*IF(AND(Inputs!$B$38&lt;&gt;"pvp",Inputs!$B$43&gt;0),((Skills!G28*((R3148-1)*IF(Skills!H28&gt;0,Skills!I28/Skills!H28,1)+IF(Skills!H28&gt;0,MIN(Skills!I28,MAX(0,MAX(0,Inputs!$B$43-B3158)-((R3148-1)*(IF(Inputs!$B$38="pvp",15,MAX(0.1,Skills!E28-IF(TRUE=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48">
        <f>IF(C3148,(H3148*N3148*IF(AND(Inputs!$B$38&lt;&gt;"pvp",Inputs!$B$43&gt;0),((Skills!G28*((R3148-1)*IF(Skills!H28&gt;0,Skills!I28/Skills!H28,1)+IF(Skills!H28&gt;0,MIN(Skills!I28,MAX(0,MAX(0,Inputs!$B$43-B3158)-((R3148-1)*(IF(Inputs!$B$38="pvp",15,MAX(0.1,Skills!E28-IF(TRUE=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50" spans="1:21" x14ac:dyDescent="0.2">
      <c r="A3150" t="s">
        <v>356</v>
      </c>
      <c r="B3150">
        <f>1+(F3131*Skills!Z11)/100</f>
        <v>1.25</v>
      </c>
    </row>
    <row r="3151" spans="1:21" x14ac:dyDescent="0.2">
      <c r="A3151" t="s">
        <v>435</v>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1.18624</v>
      </c>
    </row>
    <row r="3152" spans="1:21" x14ac:dyDescent="0.2">
      <c r="A3152" t="s">
        <v>358</v>
      </c>
      <c r="B3152">
        <f>(1+(F3126*IF(AND(Inputs!$B$38&lt;&gt;"pvp",Inputs!$B$43&gt;0),(((R3126-1)*MIN((Skills!T6*(1+((Inputs!$B$34+(ArtifactsInput!$M$7-ArtifactsInput!$M$7)*CHOOSE(ArtifactsInput!$N$7+1,6,7.2,8.4,9.6,10.8,12)))/100)),(1/Q3126))+MIN((Skills!T6*(1+((Inputs!$B$34+(ArtifactsInput!$M$7-ArtifactsInput!$M$7)*CHOOSE(ArtifactsInput!$N$7+1,6,7.2,8.4,9.6,10.8,12)))/100)),MAX(0,Inputs!$B$43-((R3126-1)*(1/Q3126)))))/Inputs!$B$43),IF(Inputs!$B$38="pvp",MIN((Skills!T6*(1+((Inputs!$B$34+(ArtifactsInput!$M$7-ArtifactsInput!$M$7)*CHOOSE(ArtifactsInput!$N$7+1,6,7.2,8.4,9.6,10.8,12)))/100)),15)/15,MIN(1,(Skills!T6*(1+((Inputs!$B$34+(ArtifactsInput!$M$7-ArtifactsInput!$M$7)*CHOOSE(ArtifactsInput!$N$7+1,6,7.2,8.4,9.6,10.8,12)))/100))/(1/Q3126))))+F3137*IF(AND(Inputs!$B$38&lt;&gt;"pvp",Inputs!$B$43&gt;0),(((R3137-1)*MIN((Skills!T17*(1+((Inputs!$B$34+(ArtifactsInput!$M$7-ArtifactsInput!$M$7)*CHOOSE(ArtifactsInput!$N$7+1,6,7.2,8.4,9.6,10.8,12)))/100)),(1/Q3137))+MIN((Skills!T17*(1+((Inputs!$B$34+(ArtifactsInput!$M$7-ArtifactsInput!$M$7)*CHOOSE(ArtifactsInput!$N$7+1,6,7.2,8.4,9.6,10.8,12)))/100)),MAX(0,Inputs!$B$43-((R3137-1)*(1/Q3137)))))/Inputs!$B$43),IF(Inputs!$B$38="pvp",MIN((Skills!T17*(1+((Inputs!$B$34+(ArtifactsInput!$M$7-ArtifactsInput!$M$7)*CHOOSE(ArtifactsInput!$N$7+1,6,7.2,8.4,9.6,10.8,12)))/100)),15)/15,MIN(1,(Skills!T17*(1+((Inputs!$B$34+(ArtifactsInput!$M$7-ArtifactsInput!$M$7)*CHOOSE(ArtifactsInput!$N$7+1,6,7.2,8.4,9.6,10.8,12)))/100))/(1/Q3137)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MIN((Skills!T19*(1+((Inputs!$B$34+(ArtifactsInput!$M$7-ArtifactsInput!$M$7)*CHOOSE(ArtifactsInput!$N$7+1,6,7.2,8.4,9.6,10.8,12)))/100)),(1/Q3139))+MIN((Skills!T19*(1+((Inputs!$B$34+(ArtifactsInput!$M$7-ArtifactsInput!$M$7)*CHOOSE(ArtifactsInput!$N$7+1,6,7.2,8.4,9.6,10.8,12)))/100)),MAX(0,Inputs!$B$43-((R3139-1)*(1/Q3139)))))/Inputs!$B$43),IF(Inputs!$B$38="pvp",MIN((Skills!T19*(1+((Inputs!$B$34+(ArtifactsInput!$M$7-ArtifactsInput!$M$7)*CHOOSE(ArtifactsInput!$N$7+1,6,7.2,8.4,9.6,10.8,12)))/100)),15)/15,MIN(1,(Skills!T19*(1+((Inputs!$B$34+(ArtifactsInput!$M$7-ArtifactsInput!$M$7)*CHOOSE(ArtifactsInput!$N$7+1,6,7.2,8.4,9.6,10.8,12)))/100))/(1/Q3139))))/100),1)</f>
        <v>1.9375418160889184</v>
      </c>
    </row>
    <row r="3153" spans="1:26" x14ac:dyDescent="0.2">
      <c r="A3153" t="s">
        <v>359</v>
      </c>
      <c r="B3153">
        <f>F3138*IF(AND(Inputs!$B$38&lt;&gt;"pvp",Inputs!$B$43&gt;0),(((R3138-1)*MIN((Skills!T18*(1+((Inputs!$B$34+(ArtifactsInput!$M$7-ArtifactsInput!$M$7)*CHOOSE(ArtifactsInput!$N$7+1,6,7.2,8.4,9.6,10.8,12)))/100)),(1/Q3138))+MIN((Skills!T18*(1+((Inputs!$B$34+(ArtifactsInput!$M$7-ArtifactsInput!$M$7)*CHOOSE(ArtifactsInput!$N$7+1,6,7.2,8.4,9.6,10.8,12)))/100)),MAX(0,Inputs!$B$43-((R3138-1)*(1/Q3138)))))/Inputs!$B$43),IF(Inputs!$B$38="pvp",MIN((Skills!T18*(1+((Inputs!$B$34+(ArtifactsInput!$M$7-ArtifactsInput!$M$7)*CHOOSE(ArtifactsInput!$N$7+1,6,7.2,8.4,9.6,10.8,12)))/100)),15)/15,MIN(1,(Skills!T18*(1+((Inputs!$B$34+(ArtifactsInput!$M$7-ArtifactsInput!$M$7)*CHOOSE(ArtifactsInput!$N$7+1,6,7.2,8.4,9.6,10.8,12)))/100))/(1/Q3138))))</f>
        <v>6.4968749999999993</v>
      </c>
    </row>
    <row r="3154" spans="1:26" x14ac:dyDescent="0.2">
      <c r="A3154" t="s">
        <v>436</v>
      </c>
      <c r="B3154">
        <f>1+MIN(150,150*(1-(1-(Inputs!$B$11+(ArtifactsInput!$M$15-ArtifactsInput!$M$15)*CHOOSE(ArtifactsInput!$N$15+1,8,9.6,11.2,12.8,14.4,16))/150)*(1-B3153/150)))/100</f>
        <v>1.6982958749999999</v>
      </c>
    </row>
    <row r="3155" spans="1:26" x14ac:dyDescent="0.2">
      <c r="A3155" t="s">
        <v>437</v>
      </c>
      <c r="B3155">
        <f>IF(AND(Inputs!$B$38&lt;&gt;"pvp",Inputs!$B$43&gt;0),SUMPRODUCT((Skills!F2:F28=TRUE)*(C3122:C3148=TRUE)*R3122:R3148)/Inputs!$B$43,SUMPRODUCT((Skills!F2:F28=TRUE)*(C3122:C3148=TRUE)*Q3122:Q3148))</f>
        <v>0.5</v>
      </c>
    </row>
    <row r="3156" spans="1:26" x14ac:dyDescent="0.2">
      <c r="A3156" t="s">
        <v>362</v>
      </c>
      <c r="B3156">
        <f>MAX(0,B3154-B3155)</f>
        <v>1.1982958749999999</v>
      </c>
    </row>
    <row r="3157" spans="1:26" x14ac:dyDescent="0.2">
      <c r="A3157" t="s">
        <v>438</v>
      </c>
      <c r="B3157">
        <f>IF(AND(Inputs!$B$38&lt;&gt;"pvp",Inputs!$B$43&gt;0),SUMPRODUCT((Skills!V2:V28=TRUE)*(C3122:C3148=TRUE)*R3122:R3148*Skills!W2:W28)/Inputs!$B$43,SUMPRODUCT((Skills!V2:V28=TRUE)*(C3122:C3148=TRUE)*Q3122:Q3148*Skills!W2:W28))+B3156</f>
        <v>1.5232958749999999</v>
      </c>
    </row>
    <row r="3158" spans="1:26" x14ac:dyDescent="0.2">
      <c r="A3158" t="s">
        <v>439</v>
      </c>
      <c r="B3158">
        <f>IF(AND(Inputs!$B$38&lt;&gt;"pvp",Inputs!$B$43&gt;0),SUMPRODUCT((Skills!T2:T28&gt;0)*(Skills!F2:F28=TRUE)*(C3122:C3148=TRUE))/B3154,0)</f>
        <v>2.3553021937358238</v>
      </c>
    </row>
    <row r="3159" spans="1:26" x14ac:dyDescent="0.2">
      <c r="A3159" t="s">
        <v>440</v>
      </c>
      <c r="B3159">
        <f>SUM(S3122:S3148)</f>
        <v>1.0363041748448664E+16</v>
      </c>
    </row>
    <row r="3160" spans="1:26" x14ac:dyDescent="0.2">
      <c r="A3160" t="s">
        <v>441</v>
      </c>
      <c r="B3160">
        <f>SUM(U3122:U3148)</f>
        <v>6.1587841095129872E+16</v>
      </c>
    </row>
    <row r="3161" spans="1:26" x14ac:dyDescent="0.2">
      <c r="A3161" s="6" t="s">
        <v>348</v>
      </c>
      <c r="B3161" s="6">
        <f>SUM(O3122:O3148)</f>
        <v>3.5975441421789264E+16</v>
      </c>
    </row>
    <row r="3164" spans="1:26" x14ac:dyDescent="0.2">
      <c r="A3164" s="6" t="s">
        <v>516</v>
      </c>
    </row>
    <row r="3165" spans="1:26" x14ac:dyDescent="0.2">
      <c r="A3165" s="5" t="s">
        <v>136</v>
      </c>
      <c r="B3165" s="5" t="s">
        <v>137</v>
      </c>
      <c r="C3165" s="5" t="s">
        <v>328</v>
      </c>
      <c r="D3165" s="5" t="s">
        <v>329</v>
      </c>
      <c r="E3165" s="5" t="s">
        <v>330</v>
      </c>
      <c r="F3165" s="5" t="s">
        <v>331</v>
      </c>
      <c r="G3165" s="5" t="s">
        <v>332</v>
      </c>
      <c r="H3165" s="5" t="s">
        <v>333</v>
      </c>
      <c r="I3165" s="5" t="s">
        <v>334</v>
      </c>
      <c r="J3165" s="5" t="s">
        <v>335</v>
      </c>
      <c r="K3165" s="5" t="s">
        <v>336</v>
      </c>
      <c r="L3165" s="5" t="s">
        <v>337</v>
      </c>
      <c r="M3165" s="5" t="s">
        <v>338</v>
      </c>
      <c r="N3165" s="5" t="s">
        <v>339</v>
      </c>
      <c r="O3165" s="5" t="s">
        <v>340</v>
      </c>
      <c r="P3165" s="5" t="s">
        <v>341</v>
      </c>
      <c r="R3165" t="s">
        <v>434</v>
      </c>
    </row>
    <row r="3166" spans="1:26" x14ac:dyDescent="0.2">
      <c r="A3166" t="str">
        <f>Skills!A2</f>
        <v>BASIC_ATTACK</v>
      </c>
      <c r="B3166" t="str">
        <f>Skills!B2</f>
        <v>Basic Attack</v>
      </c>
      <c r="C3166" t="b">
        <f>TRUE</f>
        <v>1</v>
      </c>
      <c r="F3166">
        <f>T3168+Skills!O2</f>
        <v>537.6</v>
      </c>
      <c r="G3166">
        <f>Calc!G2</f>
        <v>5</v>
      </c>
      <c r="H3166">
        <f>Calc!H2</f>
        <v>1</v>
      </c>
      <c r="I3166">
        <f>IF(Skills!X2&lt;&gt;"",1+(Skills!X2/10)*(Z3167/1000)/100,1)</f>
        <v>1</v>
      </c>
      <c r="J3166">
        <f>((Inputs!$B$6*(1+Inputs!$B$7/100))+(((Inputs!$B$12*(1+Inputs!$B$13/100))-(Inputs!$B$12*(1+Inputs!$B$13/100)))+0.25*(Inputs!$B$14-Inputs!$B$14))*(1+Inputs!$B$7/100))*(F3166/100)</f>
        <v>1941459186.9980164</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7185701954368.9453</v>
      </c>
      <c r="L3166">
        <f>K3166*(MIN(Inputs!$B$22+(F3186-Calc!F22),(Inputs!$B$23+(IF(ArtifactsInput!$M$15,CHOOSE(ArtifactsInput!$N$15+1,25,30,35,40,45,50)/100*(Inputs!$B$11-Inputs!$B$11),0))))/100+(Inputs!$B$23+(IF(ArtifactsInput!$M$15,CHOOSE(ArtifactsInput!$N$15+1,25,30,35,40,45,50)/100*(Inputs!$B$11-Inputs!$B$11),0)))/100)/2</f>
        <v>23892458998276.746</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112748514012867.95</v>
      </c>
      <c r="N3166">
        <f>L3166*(1-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112748514012867.95</v>
      </c>
      <c r="O3166">
        <f>(1-Summary!$B$11)*S3166+Summary!$B$11*U3166</f>
        <v>1.3304571154537584E+16</v>
      </c>
      <c r="P3166">
        <f>IF(B3205=0,0,O3166/B3205)</f>
        <v>0.36707098660560694</v>
      </c>
      <c r="Q3166">
        <f>IFERROR(1/(IF(Inputs!$B$38="pvp",15,MAX(0.1,Skills!E2-IF(TRUE=TRUE,5,0)))*(1-IF(AND(ArtifactsInput!$M$27,Inputs!$B$4="Chapter Hunt"),CHOOSE(ArtifactsInput!$N$27+1,20,24,28,32,36,40),0)/100)),0)</f>
        <v>10</v>
      </c>
      <c r="R3166">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2208984395802889.5</v>
      </c>
      <c r="T3166">
        <f>MAX(0,(Inputs!$B$3-100)*3)+Inputs!$B$28+Inputs!$B$29</f>
        <v>185</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2.440015791327228E+16</v>
      </c>
      <c r="Z3166">
        <f>MAX(0,(Inputs!$B$3-100)*3)+Inputs!$B$28+Inputs!$B$29</f>
        <v>185</v>
      </c>
    </row>
    <row r="3167" spans="1:26" x14ac:dyDescent="0.2">
      <c r="A3167" t="str">
        <f>Skills!A3</f>
        <v>IGNITE</v>
      </c>
      <c r="B3167" t="str">
        <f>Skills!B3</f>
        <v>Ignite</v>
      </c>
      <c r="C3167" t="b">
        <f>TRUE</f>
        <v>1</v>
      </c>
      <c r="D3167">
        <f>IF(Skills!C3=1,60+Inputs!$B$25+Inputs!$B$29,IF(Skills!C3=2,90+Inputs!$B$26+Inputs!$B$29,IF(Skills!C3=3,120+Inputs!$B$27+Inputs!$B$29,MAX(0,(Inputs!$B$3-100)*3)+Inputs!$B$28+Inputs!$B$29)))</f>
        <v>168</v>
      </c>
      <c r="E3167">
        <f>INDEX(FactorTable!$B$2:$Y$301, MATCH(ROUND(MIN(300,MAX(1,D3167)),0), FactorTable!$A$2:$A$301,0), Skills!M3+1)</f>
        <v>1672</v>
      </c>
      <c r="F3167">
        <f>IF(Skills!N3=TRUE,(Skills!L3/10)*(E3167/1000),Skills!L3/10)+Skills!O3</f>
        <v>121.736</v>
      </c>
      <c r="G3167">
        <f>Calc!G3</f>
        <v>3</v>
      </c>
      <c r="H3167">
        <f>Calc!H3</f>
        <v>1</v>
      </c>
      <c r="I3167">
        <f>IF(Skills!X3&lt;&gt;"",1+(Skills!X3/10)*(Z3167/1000)/100,1)</f>
        <v>4.8250000000000002</v>
      </c>
      <c r="J3167">
        <f>((Inputs!$B$6*(1+Inputs!$B$7/100))+(((Inputs!$B$12*(1+Inputs!$B$13/100))-(Inputs!$B$12*(1+Inputs!$B$13/100)))+0.25*(Inputs!$B$14-Inputs!$B$14))*(1+Inputs!$B$7/100))*(F3167/100)</f>
        <v>439630720.9605478</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11568857030865.768</v>
      </c>
      <c r="L3167">
        <f>K3167*(MIN(Inputs!$B$22+(F3186-Calc!F22),(Inputs!$B$23+(IF(ArtifactsInput!$M$15,CHOOSE(ArtifactsInput!$N$15+1,25,30,35,40,45,50)/100*(Inputs!$B$11-Inputs!$B$11),0))))/100+(Inputs!$B$23+(IF(ArtifactsInput!$M$15,CHOOSE(ArtifactsInput!$N$15+1,25,30,35,40,45,50)/100*(Inputs!$B$11-Inputs!$B$11),0)))/100)/2</f>
        <v>38466449627628.68</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181523175792779.72</v>
      </c>
      <c r="N3167">
        <f>L3167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181523175792779.72</v>
      </c>
      <c r="O3167">
        <f>(1-Summary!$B$11)*S3167+Summary!$B$11*U3167</f>
        <v>3155780411157475</v>
      </c>
      <c r="P3167">
        <f>IF(B3205=0,0,O3167/B3205)</f>
        <v>8.7067475950861159E-2</v>
      </c>
      <c r="Q3167">
        <f>IFERROR(1/(IF(Inputs!$B$38="pvp",15,MAX(0.1,Skills!E3-IF(FALSE=TRUE,5,0)))*(1-IF(AND(ArtifactsInput!$M$27,Inputs!$B$4="Chapter Hunt"),CHOOSE(ArtifactsInput!$N$27+1,20,24,28,32,36,40),0)/100)),0)</f>
        <v>1</v>
      </c>
      <c r="R3167">
        <f>IF(AND(Inputs!$B$38&lt;&gt;"pvp",Inputs!$B$43&gt;0),IF(MAX(0,Inputs!$B$43-B3202)&lt;=0,0,(INT(MAX(0,Inputs!$B$43-B3202)/(IF(Inputs!$B$38="pvp",15,MAX(0.1,Skills!E3-IF(FALSE=TRUE,5,0)))*(1-IF(AND(ArtifactsInput!$M$27,Inputs!$B$4="Chapter Hunt"),CHOOSE(ArtifactsInput!$N$27+1,20,24,28,32,36,40),0)/100)))+1)),0)</f>
        <v>38</v>
      </c>
      <c r="S3167">
        <f>IF(C3167,(H3167*N3167*IF(AND(Inputs!$B$38&lt;&gt;"pvp",Inputs!$B$43&gt;0),((Skills!G3*((R3167-1)*IF(Skills!H3&gt;0,Skills!I3/Skills!H3,1)+IF(Skills!H3&gt;0,MIN(Skills!I3,MAX(0,MAX(0,Inputs!$B$43-B3202)-((R3167-1)*(IF(Inputs!$B$38="pvp",15,MAX(0.1,Skills!E3-IF(FALSE=TRUE,5,0)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1639971131699868.2</v>
      </c>
      <c r="T3167">
        <f>INDEX(FactorTable!$B$2:$Y$301, MATCH(ROUND(MIN(300,MAX(1,T3166)),0), FactorTable!$A$2:$A$301,0), 22)</f>
        <v>1740</v>
      </c>
      <c r="U3167">
        <f>IF(C3167,(H3167*N3167*IF(AND(Inputs!$B$38&lt;&gt;"pvp",Inputs!$B$43&gt;0),((Skills!G3*((R3167-1)*IF(Skills!H3&gt;0,Skills!I3/Skills!H3,1)+IF(Skills!H3&gt;0,MIN(Skills!I3,MAX(0,MAX(0,Inputs!$B$43-B3202)-((R3167-1)*(IF(Inputs!$B$38="pvp",15,MAX(0.1,Skills!E3-IF(FALSE=TRUE,5,0)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4671589690615082</v>
      </c>
      <c r="Z3167">
        <f>INDEX(FactorTable!$B$2:$Y$301, MATCH(ROUND(MIN(300,MAX(1,Z3166)),0), FactorTable!$A$2:$A$301,0), 24)</f>
        <v>7650</v>
      </c>
    </row>
    <row r="3168" spans="1:26" x14ac:dyDescent="0.2">
      <c r="A3168" t="str">
        <f>Skills!A4</f>
        <v>POISON_BREATH</v>
      </c>
      <c r="B3168" t="str">
        <f>Skills!B4</f>
        <v>Poison Breath</v>
      </c>
      <c r="C3168" t="b">
        <f>TRUE</f>
        <v>1</v>
      </c>
      <c r="D3168">
        <f>IF(Skills!C4=1,60+Inputs!$B$25+Inputs!$B$29,IF(Skills!C4=2,90+Inputs!$B$26+Inputs!$B$29,IF(Skills!C4=3,120+Inputs!$B$27+Inputs!$B$29,MAX(0,(Inputs!$B$3-100)*3)+Inputs!$B$28+Inputs!$B$29)))</f>
        <v>168</v>
      </c>
      <c r="E3168">
        <f>INDEX(FactorTable!$B$2:$Y$301, MATCH(ROUND(MIN(300,MAX(1,D3168)),0), FactorTable!$A$2:$A$301,0), Skills!M4+1)</f>
        <v>1840</v>
      </c>
      <c r="F3168">
        <f>IF(Skills!N4=TRUE,(Skills!L4/10)*(E3168/1000),Skills!L4/10)+Skills!O4</f>
        <v>438</v>
      </c>
      <c r="G3168">
        <f>Calc!G4</f>
        <v>3</v>
      </c>
      <c r="H3168">
        <f>Calc!H4</f>
        <v>1</v>
      </c>
      <c r="I3168">
        <f>IF(Skills!X4&lt;&gt;"",1+(Skills!X4/10)*(Z3167/1000)/100,1)</f>
        <v>7.12</v>
      </c>
      <c r="J3168">
        <f>((Inputs!$B$6*(1+Inputs!$B$7/100))+(((Inputs!$B$12*(1+Inputs!$B$13/100))-(Inputs!$B$12*(1+Inputs!$B$13/100)))+0.25*(Inputs!$B$14-Inputs!$B$14))*(1+Inputs!$B$7/100))*(F3168/100)</f>
        <v>1581769203.69258</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61422602383577.586</v>
      </c>
      <c r="L3168">
        <f>K3168*(MIN(Inputs!$B$22+(F3186-Calc!F22),(Inputs!$B$23+(IF(ArtifactsInput!$M$15,CHOOSE(ArtifactsInput!$N$15+1,25,30,35,40,45,50)/100*(Inputs!$B$11-Inputs!$B$11),0))))/100+(Inputs!$B$23+(IF(ArtifactsInput!$M$15,CHOOSE(ArtifactsInput!$N$15+1,25,30,35,40,45,50)/100*(Inputs!$B$11-Inputs!$B$11),0)))/100)/2</f>
        <v>204230152925395.47</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963762091654941.12</v>
      </c>
      <c r="N3168">
        <f>L3168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963762091654941.12</v>
      </c>
      <c r="O3168">
        <f>(1-Summary!$B$11)*S3168+Summary!$B$11*U3168</f>
        <v>2301825285656370</v>
      </c>
      <c r="P3168">
        <f>IF(B3205=0,0,O3168/B3205)</f>
        <v>6.3506990851895928E-2</v>
      </c>
      <c r="Q3168">
        <f>IFERROR(1/(IF(Inputs!$B$38="pvp",15,MAX(0.1,Skills!E4-IF(TRUE=TRUE,5,0)))*(1-IF(AND(ArtifactsInput!$M$27,Inputs!$B$4="Chapter Hunt"),CHOOSE(ArtifactsInput!$N$27+1,20,24,28,32,36,40),0)/100)),0)</f>
        <v>7.6923076923076927E-2</v>
      </c>
      <c r="R3168">
        <f>IF(AND(Inputs!$B$38&lt;&gt;"pvp",Inputs!$B$43&gt;0),IF(MAX(0,Inputs!$B$43-B3202)&lt;=0,0,(INT(MAX(0,Inputs!$B$43-B3202)/(IF(Inputs!$B$38="pvp",15,MAX(0.1,Skills!E4-IF(TRUE=TRUE,5,0)))*(1-IF(AND(ArtifactsInput!$M$27,Inputs!$B$4="Chapter Hunt"),CHOOSE(ArtifactsInput!$N$27+1,20,24,28,32,36,40),0)/100)))+1)),0)</f>
        <v>3</v>
      </c>
      <c r="S3168">
        <f>IF(C3168,(H3168*N3168*IF(AND(Inputs!$B$38&lt;&gt;"pvp",Inputs!$B$43&gt;0),((Skills!G4*((R3168-1)*IF(Skills!H4&gt;0,Skills!I4/Skills!H4,1)+IF(Skills!H4&gt;0,MIN(Skills!I4,MAX(0,MAX(0,Inputs!$B$43-B3202)-((R3168-1)*(IF(Inputs!$B$38="pvp",15,MAX(0.1,Skills!E4-IF(TRUE=TRUE,5,0)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687403311872886.75</v>
      </c>
      <c r="T3168">
        <f>290*T3167/1000</f>
        <v>504.6</v>
      </c>
      <c r="U3168">
        <f>IF(C3168,(H3168*N3168*IF(AND(Inputs!$B$38&lt;&gt;"pvp",Inputs!$B$43&gt;0),((Skills!G4*((R3168-1)*IF(Skills!H4&gt;0,Skills!I4/Skills!H4,1)+IF(Skills!H4&gt;0,MIN(Skills!I4,MAX(0,MAX(0,Inputs!$B$43-B3202)-((R3168-1)*(IF(Inputs!$B$38="pvp",15,MAX(0.1,Skills!E4-IF(TRUE=TRUE,5,0)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3916247259439853</v>
      </c>
    </row>
    <row r="3169" spans="1:21" x14ac:dyDescent="0.2">
      <c r="A3169" t="str">
        <f>Skills!A5</f>
        <v>ELEMENTAL_DRAIN</v>
      </c>
      <c r="B3169" t="str">
        <f>Skills!B5</f>
        <v>Elemental Drain</v>
      </c>
      <c r="C3169" t="b">
        <f>TRUE</f>
        <v>1</v>
      </c>
      <c r="D3169">
        <f>IF(Skills!C5=1,60+Inputs!$B$25+Inputs!$B$29,IF(Skills!C5=2,90+Inputs!$B$26+Inputs!$B$29,IF(Skills!C5=3,120+Inputs!$B$27+Inputs!$B$29,MAX(0,(Inputs!$B$3-100)*3)+Inputs!$B$28+Inputs!$B$29)))</f>
        <v>168</v>
      </c>
      <c r="E3169">
        <f>INDEX(FactorTable!$B$2:$Y$301, MATCH(ROUND(MIN(300,MAX(1,D3169)),0), FactorTable!$A$2:$A$301,0), Skills!M5+1)</f>
        <v>1672</v>
      </c>
      <c r="F3169">
        <f>IF(Skills!N5=TRUE,(Skills!L5/10)*(E3169/1000),Skills!L5/10)+Skills!O5</f>
        <v>20.064</v>
      </c>
      <c r="G3169">
        <f>Calc!G5</f>
        <v>5</v>
      </c>
      <c r="H3169">
        <f>Calc!H5</f>
        <v>1</v>
      </c>
      <c r="I3169">
        <f>IF(Skills!X5&lt;&gt;"",1+(Skills!X5/10)*(Z3167/1000)/100,1)</f>
        <v>12.475</v>
      </c>
      <c r="J3169">
        <f>((Inputs!$B$6*(1+Inputs!$B$7/100))+(((Inputs!$B$12*(1+Inputs!$B$13/100))-(Inputs!$B$12*(1+Inputs!$B$13/100)))+0.25*(Inputs!$B$14-Inputs!$B$14))*(1+Inputs!$B$7/100))*(F3169/100)</f>
        <v>72458030.371890247</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4929832711394.252</v>
      </c>
      <c r="L3169">
        <f>K3169*(MIN(Inputs!$B$22+(F3186-Calc!F22),(Inputs!$B$23+(IF(ArtifactsInput!$M$15,CHOOSE(ArtifactsInput!$N$15+1,25,30,35,40,45,50)/100*(Inputs!$B$11-Inputs!$B$11),0))))/100+(Inputs!$B$23+(IF(ArtifactsInput!$M$15,CHOOSE(ArtifactsInput!$N$15+1,25,30,35,40,45,50)/100*(Inputs!$B$11-Inputs!$B$11),0)))/100)/2</f>
        <v>16391693765385.889</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77352402878856</v>
      </c>
      <c r="N3169">
        <f>L3169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77352402878856</v>
      </c>
      <c r="O3169">
        <f>(1-Summary!$B$11)*S3169+Summary!$B$11*U3169</f>
        <v>1135339893254409</v>
      </c>
      <c r="P3169">
        <f>IF(B3205=0,0,O3169/B3205)</f>
        <v>3.1323845760144305E-2</v>
      </c>
      <c r="Q3169">
        <f>IFERROR(1/(IF(Inputs!$B$38="pvp",15,MAX(0.1,Skills!E5-IF(FALSE=TRUE,5,0)))*(1-IF(AND(ArtifactsInput!$M$27,Inputs!$B$4="Chapter Hunt"),CHOOSE(ArtifactsInput!$N$27+1,20,24,28,32,36,40),0)/100)),0)</f>
        <v>1</v>
      </c>
      <c r="R3169">
        <f>IF(AND(Inputs!$B$38&lt;&gt;"pvp",Inputs!$B$43&gt;0),IF(MAX(0,Inputs!$B$43-B3202)&lt;=0,0,(INT(MAX(0,Inputs!$B$43-B3202)/(IF(Inputs!$B$38="pvp",15,MAX(0.1,Skills!E5-IF(FALSE=TRUE,5,0)))*(1-IF(AND(ArtifactsInput!$M$27,Inputs!$B$4="Chapter Hunt"),CHOOSE(ArtifactsInput!$N$27+1,20,24,28,32,36,40),0)/100)))+1)),0)</f>
        <v>38</v>
      </c>
      <c r="S3169">
        <f>IF(C3169,(H3169*N3169*IF(AND(Inputs!$B$38&lt;&gt;"pvp",Inputs!$B$43&gt;0),((Skills!G5*((R3169-1)*IF(Skills!H5&gt;0,Skills!I5/Skills!H5,1)+IF(Skills!H5&gt;0,MIN(Skills!I5,MAX(0,MAX(0,Inputs!$B$43-B3202)-((R3169-1)*(IF(Inputs!$B$38="pvp",15,MAX(0.1,Skills!E5-IF(FALSE=TRUE,5,0)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1164733806348374.2</v>
      </c>
      <c r="U3169">
        <f>IF(C3169,(H3169*N3169*IF(AND(Inputs!$B$38&lt;&gt;"pvp",Inputs!$B$43&gt;0),((Skills!G5*((R3169-1)*IF(Skills!H5&gt;0,Skills!I5/Skills!H5,1)+IF(Skills!H5&gt;0,MIN(Skills!I5,MAX(0,MAX(0,Inputs!$B$43-B3202)-((R3169-1)*(IF(Inputs!$B$38="pvp",15,MAX(0.1,Skills!E5-IF(FALSE=TRUE,5,0)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1105945980160443.6</v>
      </c>
    </row>
    <row r="3170" spans="1:21" x14ac:dyDescent="0.2">
      <c r="A3170" t="str">
        <f>Skills!A6</f>
        <v>MEDITATION</v>
      </c>
      <c r="B3170" t="str">
        <f>Skills!B6</f>
        <v>Meditation</v>
      </c>
      <c r="C3170" t="b">
        <f>TRUE</f>
        <v>1</v>
      </c>
      <c r="D3170">
        <f>IF(Skills!C6=1,60+Inputs!$B$25+Inputs!$B$29,IF(Skills!C6=2,90+Inputs!$B$26+Inputs!$B$29,IF(Skills!C6=3,120+Inputs!$B$27+Inputs!$B$29,MAX(0,(Inputs!$B$3-100)*3)+Inputs!$B$28+Inputs!$B$29)))</f>
        <v>168</v>
      </c>
      <c r="E3170">
        <f>INDEX(FactorTable!$B$2:$Y$301, MATCH(ROUND(MIN(300,MAX(1,D3170)),0), FactorTable!$A$2:$A$301,0), Skills!M6+1)</f>
        <v>1672</v>
      </c>
      <c r="F3170">
        <f>IF(Skills!N6=TRUE,(Skills!L6/10)*(E3170/1000),Skills!L6/10)+Skills!O6</f>
        <v>33.44</v>
      </c>
      <c r="G3170">
        <f>Calc!G6</f>
        <v>1</v>
      </c>
      <c r="H3170">
        <f>Calc!H6</f>
        <v>1</v>
      </c>
      <c r="I3170">
        <f>IF(Skills!X6&lt;&gt;"",1+(Skills!X6/10)*(Z3167/1000)/100,1)</f>
        <v>1</v>
      </c>
      <c r="O3170">
        <f>(1-Summary!$B$11)*S3170+Summary!$B$11*U3170</f>
        <v>0</v>
      </c>
      <c r="P3170">
        <f>IF(B3205=0,0,O3170/B3205)</f>
        <v>0</v>
      </c>
      <c r="Q3170">
        <f>IFERROR(1/(IF(Inputs!$B$38="pvp",15,MAX(0.1,Skills!E6-IF(TRUE=TRUE,5,0)))*(1-IF(AND(ArtifactsInput!$M$27,Inputs!$B$4="Chapter Hunt"),CHOOSE(ArtifactsInput!$N$27+1,20,24,28,32,36,40),0)/100)),0)</f>
        <v>0.04</v>
      </c>
      <c r="R3170">
        <f>IF(AND(Inputs!$B$38&lt;&gt;"pvp",Inputs!$B$43&gt;0),IF(Inputs!$B$43&lt;=0,0,(INT(Inputs!$B$43/(IF(Inputs!$B$38="pvp",15,MAX(0.1,Skills!E6-IF(TRUE=TRUE,5,0)))*(1-IF(AND(ArtifactsInput!$M$27,Inputs!$B$4="Chapter Hunt"),CHOOSE(ArtifactsInput!$N$27+1,20,24,28,32,36,40),0)/100)))+1)),0)</f>
        <v>2</v>
      </c>
      <c r="S3170">
        <v>0</v>
      </c>
      <c r="U3170">
        <v>0</v>
      </c>
    </row>
    <row r="3171" spans="1:21" x14ac:dyDescent="0.2">
      <c r="A3171" t="str">
        <f>Skills!A7</f>
        <v>POISON_MIST_BURST</v>
      </c>
      <c r="B3171" t="str">
        <f>Skills!B7</f>
        <v>Poison Mist (burst)</v>
      </c>
      <c r="C3171" t="b">
        <f>TRUE</f>
        <v>1</v>
      </c>
      <c r="D3171">
        <f>IF(Skills!C7=1,60+Inputs!$B$25+Inputs!$B$29,IF(Skills!C7=2,90+Inputs!$B$26+Inputs!$B$29,IF(Skills!C7=3,120+Inputs!$B$27+Inputs!$B$29,MAX(0,(Inputs!$B$3-100)*3)+Inputs!$B$28+Inputs!$B$29)))</f>
        <v>184</v>
      </c>
      <c r="E3171">
        <f>INDEX(FactorTable!$B$2:$Y$301, MATCH(ROUND(MIN(300,MAX(1,D3171)),0), FactorTable!$A$2:$A$301,0), Skills!M7+1)</f>
        <v>1920</v>
      </c>
      <c r="F3171">
        <f>IF(Skills!N7=TRUE,(Skills!L7/10)*(E3171/1000),Skills!L7/10)+Skills!O7</f>
        <v>357.2</v>
      </c>
      <c r="G3171">
        <f>Calc!G7</f>
        <v>3</v>
      </c>
      <c r="H3171">
        <f>Calc!H7</f>
        <v>1</v>
      </c>
      <c r="I3171">
        <f>IF(Skills!X7&lt;&gt;"",1+(Skills!X7/10)*(Z3167/1000)/100,1)</f>
        <v>1.7650000000000001</v>
      </c>
      <c r="J3171">
        <f>((Inputs!$B$6*(1+Inputs!$B$7/100))+(((Inputs!$B$12*(1+Inputs!$B$13/100))-(Inputs!$B$12*(1+Inputs!$B$13/100)))+0.25*(Inputs!$B$14-Inputs!$B$14))*(1+Inputs!$B$7/100))*(F3171/100)</f>
        <v>1289972510.4086521</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12417388491337.531</v>
      </c>
      <c r="L3171">
        <f>K3171*(MIN(Inputs!$B$22+(F3186-Calc!F22),(Inputs!$B$23+(IF(ArtifactsInput!$M$15,CHOOSE(ArtifactsInput!$N$15+1,25,30,35,40,45,50)/100*(Inputs!$B$11-Inputs!$B$11),0))))/100+(Inputs!$B$23+(IF(ArtifactsInput!$M$15,CHOOSE(ArtifactsInput!$N$15+1,25,30,35,40,45,50)/100*(Inputs!$B$11-Inputs!$B$11),0)))/100)/2</f>
        <v>41287816733697.297</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194837207166317.53</v>
      </c>
      <c r="N3171">
        <f>L3171*(1-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194837207166317.53</v>
      </c>
      <c r="O3171">
        <f>(1-Summary!$B$11)*S3171+Summary!$B$11*U3171</f>
        <v>486167541181753.81</v>
      </c>
      <c r="P3171">
        <f>IF(B3205=0,0,O3171/B3205)</f>
        <v>1.341328457147185E-2</v>
      </c>
      <c r="Q3171">
        <f>IFERROR(1/(IF(Inputs!$B$38="pvp",15,MAX(0.1,Skills!E7-IF(TRUE=TRUE,5,0)))*(1-IF(AND(ArtifactsInput!$M$27,Inputs!$B$4="Chapter Hunt"),CHOOSE(ArtifactsInput!$N$27+1,20,24,28,32,36,40),0)/100)),0)</f>
        <v>5.128205128205128E-2</v>
      </c>
      <c r="R3171">
        <f>IF(AND(Inputs!$B$38&lt;&gt;"pvp",Inputs!$B$43&gt;0),IF(MAX(0,Inputs!$B$43-B3202)&lt;=0,0,(INT(MAX(0,Inputs!$B$43-B3202)/(IF(Inputs!$B$38="pvp",15,MAX(0.1,Skills!E7-IF(TRUE=TRUE,5,0)))*(1-IF(AND(ArtifactsInput!$M$27,Inputs!$B$4="Chapter Hunt"),CHOOSE(ArtifactsInput!$N$27+1,20,24,28,32,36,40),0)/100)))+1)),0)</f>
        <v>2</v>
      </c>
      <c r="S3171">
        <f>IF(C3171,(H3171*N3171*IF(AND(Inputs!$B$38&lt;&gt;"pvp",Inputs!$B$43&gt;0),((Skills!G7*((R3171-1)*IF(Skills!H7&gt;0,Skills!I7/Skills!H7,1)+IF(Skills!H7&gt;0,MIN(Skills!I7,MAX(0,MAX(0,Inputs!$B$43-B3202)-((R3171-1)*(IF(Inputs!$B$38="pvp",15,MAX(0.1,Skills!E7-IF(TRUE=TRUE,5,0)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92645092007583.984</v>
      </c>
      <c r="U3171">
        <f>IF(C3171,(H3171*N3171*IF(AND(Inputs!$B$38&lt;&gt;"pvp",Inputs!$B$43&gt;0),((Skills!G7*((R3171-1)*IF(Skills!H7&gt;0,Skills!I7/Skills!H7,1)+IF(Skills!H7&gt;0,MIN(Skills!I7,MAX(0,MAX(0,Inputs!$B$43-B3202)-((R3171-1)*(IF(Inputs!$B$38="pvp",15,MAX(0.1,Skills!E7-IF(TRUE=TRUE,5,0)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879689990355923.62</v>
      </c>
    </row>
    <row r="3172" spans="1:21" x14ac:dyDescent="0.2">
      <c r="A3172" t="str">
        <f>Skills!A8</f>
        <v>POISON_MIST_DOT</v>
      </c>
      <c r="B3172" t="str">
        <f>Skills!B8</f>
        <v>Poison Mist (fog DoT)</v>
      </c>
      <c r="C3172" t="b">
        <f>TRUE</f>
        <v>1</v>
      </c>
      <c r="D3172">
        <f>IF(Skills!C8=1,60+Inputs!$B$25+Inputs!$B$29,IF(Skills!C8=2,90+Inputs!$B$26+Inputs!$B$29,IF(Skills!C8=3,120+Inputs!$B$27+Inputs!$B$29,MAX(0,(Inputs!$B$3-100)*3)+Inputs!$B$28+Inputs!$B$29)))</f>
        <v>184</v>
      </c>
      <c r="E3172">
        <f>INDEX(FactorTable!$B$2:$Y$301, MATCH(ROUND(MIN(300,MAX(1,D3172)),0), FactorTable!$A$2:$A$301,0), Skills!M8+1)</f>
        <v>1920</v>
      </c>
      <c r="F3172">
        <f>IF(Skills!N8=TRUE,(Skills!L8/10)*(E3172/1000),Skills!L8/10)+Skills!O8</f>
        <v>134.4</v>
      </c>
      <c r="G3172">
        <f>Calc!G8</f>
        <v>50</v>
      </c>
      <c r="H3172">
        <f>Calc!H8</f>
        <v>1</v>
      </c>
      <c r="I3172">
        <f>IF(Skills!X8&lt;&gt;"",1+(Skills!X8/10)*(Z3167/1000)/100,1)</f>
        <v>1.7650000000000001</v>
      </c>
      <c r="J3172">
        <f>((Inputs!$B$6*(1+Inputs!$B$7/100))+(((Inputs!$B$12*(1+Inputs!$B$13/100))-(Inputs!$B$12*(1+Inputs!$B$13/100)))+0.25*(Inputs!$B$14-Inputs!$B$14))*(1+Inputs!$B$7/100))*(F3172/100)</f>
        <v>485364796.74950409</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4672164090805.6104</v>
      </c>
      <c r="L3172">
        <f>K3172*(MIN(Inputs!$B$22+(F3186-Calc!F22),(Inputs!$B$23+(IF(ArtifactsInput!$M$15,CHOOSE(ArtifactsInput!$N$15+1,25,30,35,40,45,50)/100*(Inputs!$B$11-Inputs!$B$11),0))))/100+(Inputs!$B$23+(IF(ArtifactsInput!$M$15,CHOOSE(ArtifactsInput!$N$15+1,25,30,35,40,45,50)/100*(Inputs!$B$11-Inputs!$B$11),0)))/100)/2</f>
        <v>15534945601928.654</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73309408295501.312</v>
      </c>
      <c r="N3172">
        <f>L3172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73309408295501.312</v>
      </c>
      <c r="O3172">
        <f>(1-Summary!$B$11)*S3172+Summary!$B$11*U3172</f>
        <v>2907345970686392</v>
      </c>
      <c r="P3172">
        <f>IF(B3205=0,0,O3172/B3205)</f>
        <v>8.0213209540370312E-2</v>
      </c>
      <c r="Q3172">
        <f>IFERROR(1/(IF(Inputs!$B$38="pvp",15,MAX(0.1,Skills!E8-IF(TRUE=TRUE,5,0)))*(1-IF(AND(ArtifactsInput!$M$27,Inputs!$B$4="Chapter Hunt"),CHOOSE(ArtifactsInput!$N$27+1,20,24,28,32,36,40),0)/100)),0)</f>
        <v>5.128205128205128E-2</v>
      </c>
      <c r="R3172">
        <f>IF(AND(Inputs!$B$38&lt;&gt;"pvp",Inputs!$B$43&gt;0),IF(MAX(0,Inputs!$B$43-B3202)&lt;=0,0,(INT(MAX(0,Inputs!$B$43-B3202)/(IF(Inputs!$B$38="pvp",15,MAX(0.1,Skills!E8-IF(TRUE=TRUE,5,0)))*(1-IF(AND(ArtifactsInput!$M$27,Inputs!$B$4="Chapter Hunt"),CHOOSE(ArtifactsInput!$N$27+1,20,24,28,32,36,40),0)/100)))+1)),0)</f>
        <v>2</v>
      </c>
      <c r="S3172">
        <f>IF(C3172,(H3172*N3172*IF(AND(Inputs!$B$38&lt;&gt;"pvp",Inputs!$B$43&gt;0),((Skills!G8*((R3172-1)*IF(Skills!H8&gt;0,Skills!I8/Skills!H8,1)+IF(Skills!H8&gt;0,MIN(Skills!I8,MAX(0,MAX(0,Inputs!$B$43-B3202)-((R3172-1)*(IF(Inputs!$B$38="pvp",15,MAX(0.1,Skills!E8-IF(TRUE=TRUE,5,0)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554029860359234.31</v>
      </c>
      <c r="U3172">
        <f>IF(C3172,(H3172*N3172*IF(AND(Inputs!$B$38&lt;&gt;"pvp",Inputs!$B$43&gt;0),((Skills!G8*((R3172-1)*IF(Skills!H8&gt;0,Skills!I8/Skills!H8,1)+IF(Skills!H8&gt;0,MIN(Skills!I8,MAX(0,MAX(0,Inputs!$B$43-B3202)-((R3172-1)*(IF(Inputs!$B$38="pvp",15,MAX(0.1,Skills!E8-IF(TRUE=TRUE,5,0)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5260662081013550</v>
      </c>
    </row>
    <row r="3173" spans="1:21" x14ac:dyDescent="0.2">
      <c r="A3173" t="str">
        <f>Skills!A9</f>
        <v>MIST_ERUPTION</v>
      </c>
      <c r="B3173" t="str">
        <f>Skills!B9</f>
        <v>Mist Eruption</v>
      </c>
      <c r="C3173" t="b">
        <f>Inputs!$B$3&gt;=103</f>
        <v>1</v>
      </c>
      <c r="D3173">
        <f>IF(Skills!C9=1,60+Inputs!$B$25+Inputs!$B$29,IF(Skills!C9=2,90+Inputs!$B$26+Inputs!$B$29,IF(Skills!C9=3,120+Inputs!$B$27+Inputs!$B$29,MAX(0,(Inputs!$B$3-100)*3)+Inputs!$B$28+Inputs!$B$29)))</f>
        <v>185</v>
      </c>
      <c r="E3173">
        <f>INDEX(FactorTable!$B$2:$Y$301, MATCH(ROUND(MIN(300,MAX(1,D3173)),0), FactorTable!$A$2:$A$301,0), Skills!M9+1)</f>
        <v>1925</v>
      </c>
      <c r="F3173">
        <f>IF(Skills!N9=TRUE,(Skills!L9/10)*(E3173/1000),Skills!L9/10)+Skills!O9</f>
        <v>5775</v>
      </c>
      <c r="G3173">
        <f>Calc!G9</f>
        <v>2.5</v>
      </c>
      <c r="H3173">
        <f>Calc!H9</f>
        <v>1</v>
      </c>
      <c r="I3173">
        <f>IF(Skills!X9&lt;&gt;"",1+(Skills!X9/10)*(Z3167/1000)/100,1)</f>
        <v>1</v>
      </c>
      <c r="J3173">
        <f>((Inputs!$B$6*(1+Inputs!$B$7/100))+(((Inputs!$B$12*(1+Inputs!$B$13/100))-(Inputs!$B$12*(1+Inputs!$B$13/100)))+0.25*(Inputs!$B$14-Inputs!$B$14))*(1+Inputs!$B$7/100))*(F3173/100)</f>
        <v>20855518610.330254</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113743371544931.2</v>
      </c>
      <c r="L3173">
        <f>K3173*(MIN(Inputs!$B$22+(F3186-Calc!F22),(Inputs!$B$23+(IF(ArtifactsInput!$M$15,CHOOSE(ArtifactsInput!$N$15+1,25,30,35,40,45,50)/100*(Inputs!$B$11-Inputs!$B$11),0))))/100+(Inputs!$B$23+(IF(ArtifactsInput!$M$15,CHOOSE(ArtifactsInput!$N$15+1,25,30,35,40,45,50)/100*(Inputs!$B$11-Inputs!$B$11),0)))/100)/2</f>
        <v>378196710386896.25</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1784710276315763.2</v>
      </c>
      <c r="N3173">
        <f>L3173*(1-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1784710276315763.2</v>
      </c>
      <c r="O3173">
        <f>(1-Summary!$B$11)*S3173+Summary!$B$11*U3173</f>
        <v>3711081930814090</v>
      </c>
      <c r="P3173">
        <f>IF(B3205=0,0,O3173/B3205)</f>
        <v>0.10238815591238158</v>
      </c>
      <c r="Q3173">
        <f>IFERROR(1/(IF(Inputs!$B$38="pvp",15,MAX(0.1,Skills!E9-IF(TRUE=TRUE,5,0)))*(1-IF(AND(ArtifactsInput!$M$27,Inputs!$B$4="Chapter Hunt"),CHOOSE(ArtifactsInput!$N$27+1,20,24,28,32,36,40),0)/100)),0)</f>
        <v>5.128205128205128E-2</v>
      </c>
      <c r="R3173">
        <f>IF(AND(Inputs!$B$38&lt;&gt;"pvp",Inputs!$B$43&gt;0),IF(MAX(0,Inputs!$B$43-B3202)&lt;=0,0,(INT(MAX(0,Inputs!$B$43-B3202)/(IF(Inputs!$B$38="pvp",15,MAX(0.1,Skills!E9-IF(TRUE=TRUE,5,0)))*(1-IF(AND(ArtifactsInput!$M$27,Inputs!$B$4="Chapter Hunt"),CHOOSE(ArtifactsInput!$N$27+1,20,24,28,32,36,40),0)/100)))+1)),0)</f>
        <v>2</v>
      </c>
      <c r="S3173">
        <f>IF(C3173,(H3173*N3173*IF(AND(Inputs!$B$38&lt;&gt;"pvp",Inputs!$B$43&gt;0),((Skills!G9*((R3173-1)*IF(Skills!H9&gt;0,Skills!I9/Skills!H9,1)+IF(Skills!H9&gt;0,MIN(Skills!I9,MAX(0,MAX(0,Inputs!$B$43-B3202)-((R3173-1)*(IF(Inputs!$B$38="pvp",15,MAX(0.1,Skills!E9-IF(TRUE=TRUE,5,0)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707191446990121.12</v>
      </c>
      <c r="U3173">
        <f>IF(C3173,(H3173*N3173*IF(AND(Inputs!$B$38&lt;&gt;"pvp",Inputs!$B$43&gt;0),((Skills!G9*((R3173-1)*IF(Skills!H9&gt;0,Skills!I9/Skills!H9,1)+IF(Skills!H9&gt;0,MIN(Skills!I9,MAX(0,MAX(0,Inputs!$B$43-B3202)-((R3173-1)*(IF(Inputs!$B$38="pvp",15,MAX(0.1,Skills!E9-IF(TRUE=TRUE,5,0)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6714972414638059</v>
      </c>
    </row>
    <row r="3174" spans="1:21" x14ac:dyDescent="0.2">
      <c r="A3174" t="str">
        <f>Skills!A10</f>
        <v>CREEPING_TOXIN</v>
      </c>
      <c r="B3174" t="str">
        <f>Skills!B10</f>
        <v>Creeping Toxin</v>
      </c>
      <c r="C3174" t="b">
        <f>TRUE</f>
        <v>1</v>
      </c>
      <c r="D3174">
        <f>IF(Skills!C10=1,60+Inputs!$B$25+Inputs!$B$29,IF(Skills!C10=2,90+Inputs!$B$26+Inputs!$B$29,IF(Skills!C10=3,120+Inputs!$B$27+Inputs!$B$29,MAX(0,(Inputs!$B$3-100)*3)+Inputs!$B$28+Inputs!$B$29)))</f>
        <v>184</v>
      </c>
      <c r="E3174">
        <f>INDEX(FactorTable!$B$2:$Y$301, MATCH(ROUND(MIN(300,MAX(1,D3174)),0), FactorTable!$A$2:$A$301,0), Skills!M10+1)</f>
        <v>1920</v>
      </c>
      <c r="F3174">
        <f>IF(Skills!N10=TRUE,(Skills!L10/10)*(E3174/1000),Skills!L10/10)+Skills!O10</f>
        <v>280.39999999999998</v>
      </c>
      <c r="G3174">
        <f>Calc!G10</f>
        <v>15</v>
      </c>
      <c r="H3174">
        <f>Calc!H10</f>
        <v>1</v>
      </c>
      <c r="I3174">
        <f>IF(Skills!X10&lt;&gt;"",1+(Skills!X10/10)*(Z3167/1000)/100,1)</f>
        <v>1.7650000000000001</v>
      </c>
      <c r="J3174">
        <f>((Inputs!$B$6*(1+Inputs!$B$7/100))+(((Inputs!$B$12*(1+Inputs!$B$13/100))-(Inputs!$B$12*(1+Inputs!$B$13/100)))+0.25*(Inputs!$B$14-Inputs!$B$14))*(1+Inputs!$B$7/100))*(F3174/100)</f>
        <v>1012621197.9803641</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9747580439448.6094</v>
      </c>
      <c r="L3174">
        <f>K3174*(MIN(Inputs!$B$22+(F3186-Calc!F22),(Inputs!$B$23+(IF(ArtifactsInput!$M$15,CHOOSE(ArtifactsInput!$N$15+1,25,30,35,40,45,50)/100*(Inputs!$B$11-Inputs!$B$11),0))))/100+(Inputs!$B$23+(IF(ArtifactsInput!$M$15,CHOOSE(ArtifactsInput!$N$15+1,25,30,35,40,45,50)/100*(Inputs!$B$11-Inputs!$B$11),0)))/100)/2</f>
        <v>32410704961166.629</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152946116711745.31</v>
      </c>
      <c r="N3174">
        <f>L3174*(1-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152946116711745.31</v>
      </c>
      <c r="O3174">
        <f>(1-Summary!$B$11)*S3174+Summary!$B$11*U3174</f>
        <v>411807419246374.25</v>
      </c>
      <c r="P3174">
        <f>IF(B3205=0,0,O3174/B3205)</f>
        <v>1.136170072063696E-2</v>
      </c>
      <c r="Q3174">
        <f>IFERROR(1/(IF(Inputs!$B$38="pvp",15,MAX(0.1,Skills!E10-IF(TRUE=TRUE,5,0)))*(1-IF(AND(ArtifactsInput!$M$27,Inputs!$B$4="Chapter Hunt"),CHOOSE(ArtifactsInput!$N$27+1,20,24,28,32,36,40),0)/100)),0)</f>
        <v>4.5454545454545456E-2</v>
      </c>
      <c r="R3174">
        <f>IF(AND(Inputs!$B$38&lt;&gt;"pvp",Inputs!$B$43&gt;0),IF(MAX(0,Inputs!$B$43-B3202)&lt;=0,0,(INT(MAX(0,Inputs!$B$43-B3202)/(IF(Inputs!$B$38="pvp",15,MAX(0.1,Skills!E10-IF(TRUE=TRUE,5,0)))*(1-IF(AND(ArtifactsInput!$M$27,Inputs!$B$4="Chapter Hunt"),CHOOSE(ArtifactsInput!$N$27+1,20,24,28,32,36,40),0)/100)))+1)),0)</f>
        <v>2</v>
      </c>
      <c r="S3174">
        <f>IF(C3174,(H3174*N3174*IF(AND(Inputs!$B$38&lt;&gt;"pvp",Inputs!$B$43&gt;0),((Skills!G10*((R3174-1)*IF(Skills!H10&gt;0,Skills!I10/Skills!H10,1)+IF(Skills!H10&gt;0,MIN(Skills!I10,MAX(0,MAX(0,Inputs!$B$43-B3202)-((R3174-1)*(IF(Inputs!$B$38="pvp",15,MAX(0.1,Skills!E10-IF(TRUE=TRUE,5,0)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363629392482174.5</v>
      </c>
      <c r="U3174">
        <f>IF(C3174,(H3174*N3174*IF(AND(Inputs!$B$38&lt;&gt;"pvp",Inputs!$B$43&gt;0),((Skills!G10*((R3174-1)*IF(Skills!H10&gt;0,Skills!I10/Skills!H10,1)+IF(Skills!H10&gt;0,MIN(Skills!I10,MAX(0,MAX(0,Inputs!$B$43-B3202)-((R3174-1)*(IF(Inputs!$B$38="pvp",15,MAX(0.1,Skills!E10-IF(TRUE=TRUE,5,0)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459985446010574</v>
      </c>
    </row>
    <row r="3175" spans="1:21" x14ac:dyDescent="0.2">
      <c r="A3175" t="str">
        <f>Skills!A11</f>
        <v>BURNING_MAGIC</v>
      </c>
      <c r="B3175" t="str">
        <f>Skills!B11</f>
        <v>Burning Magic</v>
      </c>
      <c r="C3175" t="b">
        <f>TRUE</f>
        <v>1</v>
      </c>
      <c r="D3175">
        <f>IF(Skills!C11=1,60+Inputs!$B$25+Inputs!$B$29,IF(Skills!C11=2,90+Inputs!$B$26+Inputs!$B$29,IF(Skills!C11=3,120+Inputs!$B$27+Inputs!$B$29,MAX(0,(Inputs!$B$3-100)*3)+Inputs!$B$28+Inputs!$B$29)))</f>
        <v>184</v>
      </c>
      <c r="E3175">
        <f>INDEX(FactorTable!$B$2:$Y$301, MATCH(ROUND(MIN(300,MAX(1,D3175)),0), FactorTable!$A$2:$A$301,0), Skills!M11+1)</f>
        <v>0</v>
      </c>
      <c r="F3175">
        <f>IF(Skills!N11=TRUE,(Skills!L11/10)*(E3175/1000),Skills!L11/10)+Skills!O11</f>
        <v>5</v>
      </c>
      <c r="G3175">
        <f>Calc!G11</f>
        <v>1</v>
      </c>
      <c r="H3175">
        <f>Calc!H11</f>
        <v>1</v>
      </c>
      <c r="I3175">
        <f>IF(Skills!X11&lt;&gt;"",1+(Skills!X11/10)*(Z3167/1000)/100,1)</f>
        <v>1</v>
      </c>
      <c r="O3175">
        <f>(1-Summary!$B$11)*S3175+Summary!$B$11*U3175</f>
        <v>0</v>
      </c>
      <c r="P3175">
        <f>IF(B3205=0,0,O3175/B3205)</f>
        <v>0</v>
      </c>
      <c r="Q3175">
        <f>IFERROR(1/(IF(Inputs!$B$38="pvp",15,MAX(0.1,Skills!E11-IF(TRUE=TRUE,5,0)))*(1-IF(AND(ArtifactsInput!$M$27,Inputs!$B$4="Chapter Hunt"),CHOOSE(ArtifactsInput!$N$27+1,20,24,28,32,36,40),0)/100)),0)</f>
        <v>10</v>
      </c>
      <c r="R3175">
        <v>0</v>
      </c>
      <c r="S3175">
        <v>0</v>
      </c>
      <c r="U3175">
        <v>0</v>
      </c>
    </row>
    <row r="3176" spans="1:21" x14ac:dyDescent="0.2">
      <c r="A3176" t="str">
        <f>Skills!A12</f>
        <v>ELEMENTAL_DECREASE</v>
      </c>
      <c r="B3176" t="str">
        <f>Skills!B12</f>
        <v>Elemental Decrease</v>
      </c>
      <c r="C3176" t="b">
        <f>TRUE</f>
        <v>1</v>
      </c>
      <c r="D3176">
        <f>IF(Skills!C12=1,60+Inputs!$B$25+Inputs!$B$29,IF(Skills!C12=2,90+Inputs!$B$26+Inputs!$B$29,IF(Skills!C12=3,120+Inputs!$B$27+Inputs!$B$29,MAX(0,(Inputs!$B$3-100)*3)+Inputs!$B$28+Inputs!$B$29)))</f>
        <v>184</v>
      </c>
      <c r="E3176">
        <f>INDEX(FactorTable!$B$2:$Y$301, MATCH(ROUND(MIN(300,MAX(1,D3176)),0), FactorTable!$A$2:$A$301,0), Skills!M12+1)</f>
        <v>1552</v>
      </c>
      <c r="F3176">
        <f>IF(Skills!N12=TRUE,(Skills!L12/10)*(E3176/1000),Skills!L12/10)+Skills!O12</f>
        <v>18.624000000000002</v>
      </c>
      <c r="G3176">
        <f>Calc!G12</f>
        <v>1</v>
      </c>
      <c r="H3176">
        <f>Calc!H12</f>
        <v>0.5</v>
      </c>
      <c r="I3176">
        <f>IF(Skills!X12&lt;&gt;"",1+(Skills!X12/10)*(Z3167/1000)/100,1)</f>
        <v>1</v>
      </c>
      <c r="O3176">
        <f>(1-Summary!$B$11)*S3176+Summary!$B$11*U3176</f>
        <v>0</v>
      </c>
      <c r="P3176">
        <f>IF(B3205=0,0,O3176/B3205)</f>
        <v>0</v>
      </c>
      <c r="Q3176">
        <f>IFERROR(1/(IF(Inputs!$B$38="pvp",15,MAX(0.1,Skills!E12-IF(TRUE=TRUE,5,0)))*(1-IF(AND(ArtifactsInput!$M$27,Inputs!$B$4="Chapter Hunt"),CHOOSE(ArtifactsInput!$N$27+1,20,24,28,32,36,40),0)/100)),0)</f>
        <v>10</v>
      </c>
      <c r="R3176">
        <v>0</v>
      </c>
      <c r="S3176">
        <v>0</v>
      </c>
      <c r="U3176">
        <v>0</v>
      </c>
    </row>
    <row r="3177" spans="1:21" x14ac:dyDescent="0.2">
      <c r="A3177" t="str">
        <f>Skills!A13</f>
        <v>METEOR_SHOWER_BURST</v>
      </c>
      <c r="B3177" t="str">
        <f>Skills!B13</f>
        <v>Meteor Shower (burst)</v>
      </c>
      <c r="C3177" t="b">
        <f>Inputs!$B$3&gt;=105</f>
        <v>1</v>
      </c>
      <c r="D3177">
        <f>IF(Skills!C13=1,60+Inputs!$B$25+Inputs!$B$29,IF(Skills!C13=2,90+Inputs!$B$26+Inputs!$B$29,IF(Skills!C13=3,120+Inputs!$B$27+Inputs!$B$29,MAX(0,(Inputs!$B$3-100)*3)+Inputs!$B$28+Inputs!$B$29)))</f>
        <v>185</v>
      </c>
      <c r="E3177">
        <f>INDEX(FactorTable!$B$2:$Y$301, MATCH(ROUND(MIN(300,MAX(1,D3177)),0), FactorTable!$A$2:$A$301,0), Skills!M13+1)</f>
        <v>1925</v>
      </c>
      <c r="F3177">
        <f>IF(Skills!N13=TRUE,(Skills!L13/10)*(E3177/1000),Skills!L13/10)+Skills!O13</f>
        <v>1155</v>
      </c>
      <c r="G3177">
        <f>Calc!G13</f>
        <v>9</v>
      </c>
      <c r="H3177">
        <f>Calc!H13</f>
        <v>1</v>
      </c>
      <c r="I3177">
        <f>IF(Skills!X13&lt;&gt;"",1+(Skills!X13/10)*(Z3167/1000)/100,1)</f>
        <v>1</v>
      </c>
      <c r="J3177">
        <f>((Inputs!$B$6*(1+Inputs!$B$7/100))+(((Inputs!$B$12*(1+Inputs!$B$13/100))-(Inputs!$B$12*(1+Inputs!$B$13/100)))+0.25*(Inputs!$B$14-Inputs!$B$14))*(1+Inputs!$B$7/100))*(F3177/100)</f>
        <v>4171103722.0660505</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22748674308986.242</v>
      </c>
      <c r="L3177">
        <f>K3177*(MIN(Inputs!$B$22+(F3186-Calc!F22),(Inputs!$B$23+(IF(ArtifactsInput!$M$15,CHOOSE(ArtifactsInput!$N$15+1,25,30,35,40,45,50)/100*(Inputs!$B$11-Inputs!$B$11),0))))/100+(Inputs!$B$23+(IF(ArtifactsInput!$M$15,CHOOSE(ArtifactsInput!$N$15+1,25,30,35,40,45,50)/100*(Inputs!$B$11-Inputs!$B$11),0)))/100)/2</f>
        <v>75639342077379.266</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356942055263152.69</v>
      </c>
      <c r="N3177">
        <f>L3177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356942055263152.69</v>
      </c>
      <c r="O3177">
        <f>(1-Summary!$B$11)*S3177+Summary!$B$11*U3177</f>
        <v>1946761969405235</v>
      </c>
      <c r="P3177">
        <f>IF(B3205=0,0,O3177/B3205)</f>
        <v>5.3710850841827883E-2</v>
      </c>
      <c r="Q3177">
        <f>IFERROR(1/(IF(Inputs!$B$38="pvp",15,MAX(0.1,Skills!E13-IF(TRUE=TRUE,5,0)))*(1-IF(AND(ArtifactsInput!$M$27,Inputs!$B$4="Chapter Hunt"),CHOOSE(ArtifactsInput!$N$27+1,20,24,28,32,36,40),0)/100)),0)</f>
        <v>3.5714285714285712E-2</v>
      </c>
      <c r="R3177">
        <f>IF(AND(Inputs!$B$38&lt;&gt;"pvp",Inputs!$B$43&gt;0),IF(MAX(0,Inputs!$B$43-B3202)&lt;=0,0,(INT(MAX(0,Inputs!$B$43-B3202)/(IF(Inputs!$B$38="pvp",15,MAX(0.1,Skills!E13-IF(TRUE=TRUE,5,0)))*(1-IF(AND(ArtifactsInput!$M$27,Inputs!$B$4="Chapter Hunt"),CHOOSE(ArtifactsInput!$N$27+1,20,24,28,32,36,40),0)/100)))+1)),0)</f>
        <v>2</v>
      </c>
      <c r="S3177">
        <f>IF(C3177,(H3177*N3177*IF(AND(Inputs!$B$38&lt;&gt;"pvp",Inputs!$B$43&gt;0),((Skills!G13*((R3177-1)*IF(Skills!H13&gt;0,Skills!I13/Skills!H13,1)+IF(Skills!H13&gt;0,MIN(Skills!I13,MAX(0,MAX(0,Inputs!$B$43-B3202)-((R3177-1)*(IF(Inputs!$B$38="pvp",15,MAX(0.1,Skills!E13-IF(TRUE=TRUE,5,0)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509177841832887.31</v>
      </c>
      <c r="U3177">
        <f>IF(C3177,(H3177*N3177*IF(AND(Inputs!$B$38&lt;&gt;"pvp",Inputs!$B$43&gt;0),((Skills!G13*((R3177-1)*IF(Skills!H13&gt;0,Skills!I13/Skills!H13,1)+IF(Skills!H13&gt;0,MIN(Skills!I13,MAX(0,MAX(0,Inputs!$B$43-B3202)-((R3177-1)*(IF(Inputs!$B$38="pvp",15,MAX(0.1,Skills!E13-IF(TRUE=TRUE,5,0)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3384346096977582.5</v>
      </c>
    </row>
    <row r="3178" spans="1:21" x14ac:dyDescent="0.2">
      <c r="A3178" t="str">
        <f>Skills!A14</f>
        <v>METEOR_PROC</v>
      </c>
      <c r="B3178" t="str">
        <f>Skills!B14</f>
        <v>Meteor Proc (30% on-hit, 1s ICD)</v>
      </c>
      <c r="C3178" t="b">
        <f>Inputs!$B$3&gt;=113</f>
        <v>1</v>
      </c>
      <c r="D3178">
        <f>IF(Skills!C14=1,60+Inputs!$B$25+Inputs!$B$29,IF(Skills!C14=2,90+Inputs!$B$26+Inputs!$B$29,IF(Skills!C14=3,120+Inputs!$B$27+Inputs!$B$29,MAX(0,(Inputs!$B$3-100)*3)+Inputs!$B$28+Inputs!$B$29)))</f>
        <v>185</v>
      </c>
      <c r="E3178">
        <f>INDEX(FactorTable!$B$2:$Y$301, MATCH(ROUND(MIN(300,MAX(1,D3178)),0), FactorTable!$A$2:$A$301,0), Skills!M14+1)</f>
        <v>1740</v>
      </c>
      <c r="F3178">
        <f>IF(Skills!N14=TRUE,(Skills!L14/10)*(E3178/1000),Skills!L14/10)+Skills!O14</f>
        <v>1653</v>
      </c>
      <c r="G3178">
        <f>Calc!G14</f>
        <v>0</v>
      </c>
      <c r="H3178">
        <f>Calc!H14</f>
        <v>0.30000000000000004</v>
      </c>
      <c r="I3178">
        <f>IF(Skills!X14&lt;&gt;"",1+(Skills!X14/10)*(Z3167/1000)/100,1)</f>
        <v>1</v>
      </c>
      <c r="J3178">
        <f>((Inputs!$B$6*(1+Inputs!$B$7/100))+(((Inputs!$B$12*(1+Inputs!$B$13/100))-(Inputs!$B$12*(1+Inputs!$B$13/100)))+0.25*(Inputs!$B$14-Inputs!$B$14))*(1+Inputs!$B$7/100))*(F3178/100)</f>
        <v>5969553638.5932312</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32557193621432.25</v>
      </c>
      <c r="L3178">
        <f>K3178*(MIN(Inputs!$B$22+(F3186-Calc!F22),(Inputs!$B$23+(IF(ArtifactsInput!$M$15,CHOOSE(ArtifactsInput!$N$15+1,25,30,35,40,45,50)/100*(Inputs!$B$11-Inputs!$B$11),0))))/100+(Inputs!$B$23+(IF(ArtifactsInput!$M$15,CHOOSE(ArtifactsInput!$N$15+1,25,30,35,40,45,50)/100*(Inputs!$B$11-Inputs!$B$11),0)))/100)/2</f>
        <v>108252668791262.23</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510844344025966.44</v>
      </c>
      <c r="N3178">
        <f>L3178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510844344025966.44</v>
      </c>
      <c r="O3178">
        <f>(1-Summary!$B$11)*S3178+Summary!$B$11*U3178</f>
        <v>495103945617591.25</v>
      </c>
      <c r="P3178">
        <f>IF(B3205=0,0,O3178/B3205)</f>
        <v>1.3659838538139978E-2</v>
      </c>
      <c r="Q3178">
        <f>IFERROR(1/(IF(Inputs!$B$38="pvp",15,MAX(0.1,Skills!E14-IF(TRUE=TRUE,5,0)))*(1-IF(AND(ArtifactsInput!$M$27,Inputs!$B$4="Chapter Hunt"),CHOOSE(ArtifactsInput!$N$27+1,20,24,28,32,36,40),0)/100)),0)</f>
        <v>10</v>
      </c>
      <c r="R3178">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507922170746849.31</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482285720488333.25</v>
      </c>
    </row>
    <row r="3179" spans="1:21" x14ac:dyDescent="0.2">
      <c r="A3179" t="str">
        <f>Skills!A15</f>
        <v>FLAME_HAZE_BURST</v>
      </c>
      <c r="B3179" t="str">
        <f>Skills!B15</f>
        <v>Flame Haze (burst)</v>
      </c>
      <c r="C3179" t="b">
        <f>Inputs!$B$3&gt;=107</f>
        <v>1</v>
      </c>
      <c r="D3179">
        <f>IF(Skills!C15=1,60+Inputs!$B$25+Inputs!$B$29,IF(Skills!C15=2,90+Inputs!$B$26+Inputs!$B$29,IF(Skills!C15=3,120+Inputs!$B$27+Inputs!$B$29,MAX(0,(Inputs!$B$3-100)*3)+Inputs!$B$28+Inputs!$B$29)))</f>
        <v>185</v>
      </c>
      <c r="E3179">
        <f>INDEX(FactorTable!$B$2:$Y$301, MATCH(ROUND(MIN(300,MAX(1,D3179)),0), FactorTable!$A$2:$A$301,0), Skills!M15+1)</f>
        <v>1925</v>
      </c>
      <c r="F3179">
        <f>IF(Skills!N15=TRUE,(Skills!L15/10)*(E3179/1000),Skills!L15/10)+Skills!O15</f>
        <v>2310</v>
      </c>
      <c r="G3179">
        <f>Calc!G15</f>
        <v>3</v>
      </c>
      <c r="H3179">
        <f>Calc!H15</f>
        <v>1</v>
      </c>
      <c r="I3179">
        <f>IF(Skills!X15&lt;&gt;"",1+(Skills!X15/10)*(Z3167/1000)/100,1)</f>
        <v>1</v>
      </c>
      <c r="J3179">
        <f>((Inputs!$B$6*(1+Inputs!$B$7/100))+(((Inputs!$B$12*(1+Inputs!$B$13/100))-(Inputs!$B$12*(1+Inputs!$B$13/100)))+0.25*(Inputs!$B$14-Inputs!$B$14))*(1+Inputs!$B$7/100))*(F3179/100)</f>
        <v>8342207444.1321011</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45497348617972.484</v>
      </c>
      <c r="L3179">
        <f>K3179*(MIN(Inputs!$B$22+(F3186-Calc!F22),(Inputs!$B$23+(IF(ArtifactsInput!$M$15,CHOOSE(ArtifactsInput!$N$15+1,25,30,35,40,45,50)/100*(Inputs!$B$11-Inputs!$B$11),0))))/100+(Inputs!$B$23+(IF(ArtifactsInput!$M$15,CHOOSE(ArtifactsInput!$N$15+1,25,30,35,40,45,50)/100*(Inputs!$B$11-Inputs!$B$11),0)))/100)/2</f>
        <v>151278684154758.53</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713884110526305.38</v>
      </c>
      <c r="N3179">
        <f>L3179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713884110526305.38</v>
      </c>
      <c r="O3179">
        <f>(1-Summary!$B$11)*S3179+Summary!$B$11*U3179</f>
        <v>1781319326790763.2</v>
      </c>
      <c r="P3179">
        <f>IF(B3205=0,0,O3179/B3205)</f>
        <v>4.9146314837943156E-2</v>
      </c>
      <c r="Q3179">
        <f>IFERROR(1/(IF(Inputs!$B$38="pvp",15,MAX(0.1,Skills!E15-IF(TRUE=TRUE,5,0)))*(1-IF(AND(ArtifactsInput!$M$27,Inputs!$B$4="Chapter Hunt"),CHOOSE(ArtifactsInput!$N$27+1,20,24,28,32,36,40),0)/100)),0)</f>
        <v>0.05</v>
      </c>
      <c r="R3179">
        <f>IF(AND(Inputs!$B$38&lt;&gt;"pvp",Inputs!$B$43&gt;0),IF(MAX(0,Inputs!$B$43-B3202)&lt;=0,0,(INT(MAX(0,Inputs!$B$43-B3202)/(IF(Inputs!$B$38="pvp",15,MAX(0.1,Skills!E15-IF(TRUE=TRUE,5,0)))*(1-IF(AND(ArtifactsInput!$M$27,Inputs!$B$4="Chapter Hunt"),CHOOSE(ArtifactsInput!$N$27+1,20,24,28,32,36,40),0)/100)))+1)),0)</f>
        <v>2</v>
      </c>
      <c r="S3179">
        <f>IF(C3179,(H3179*N3179*IF(AND(Inputs!$B$38&lt;&gt;"pvp",Inputs!$B$43&gt;0),((Skills!G15*((R3179-1)*IF(Skills!H15&gt;0,Skills!I15/Skills!H15,1)+IF(Skills!H15&gt;0,MIN(Skills!I15,MAX(0,MAX(0,Inputs!$B$43-B3202)-((R3179-1)*(IF(Inputs!$B$38="pvp",15,MAX(0.1,Skills!E15-IF(TRUE=TRUE,5,0)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339451894555258.19</v>
      </c>
      <c r="U3179">
        <f>IF(C3179,(H3179*N3179*IF(AND(Inputs!$B$38&lt;&gt;"pvp",Inputs!$B$43&gt;0),((Skills!G15*((R3179-1)*IF(Skills!H15&gt;0,Skills!I15/Skills!H15,1)+IF(Skills!H15&gt;0,MIN(Skills!I15,MAX(0,MAX(0,Inputs!$B$43-B3202)-((R3179-1)*(IF(Inputs!$B$38="pvp",15,MAX(0.1,Skills!E15-IF(TRUE=TRUE,5,0)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3223186759026268.5</v>
      </c>
    </row>
    <row r="3180" spans="1:21" x14ac:dyDescent="0.2">
      <c r="A3180" t="str">
        <f>Skills!A16</f>
        <v>FLAME_HAZE_DOT</v>
      </c>
      <c r="B3180" t="str">
        <f>Skills!B16</f>
        <v>Flame Haze (burn DoT)</v>
      </c>
      <c r="C3180" t="b">
        <f>Inputs!$B$3&gt;=107</f>
        <v>1</v>
      </c>
      <c r="D3180">
        <f>IF(Skills!C16=1,60+Inputs!$B$25+Inputs!$B$29,IF(Skills!C16=2,90+Inputs!$B$26+Inputs!$B$29,IF(Skills!C16=3,120+Inputs!$B$27+Inputs!$B$29,MAX(0,(Inputs!$B$3-100)*3)+Inputs!$B$28+Inputs!$B$29)))</f>
        <v>185</v>
      </c>
      <c r="E3180">
        <f>INDEX(FactorTable!$B$2:$Y$301, MATCH(ROUND(MIN(300,MAX(1,D3180)),0), FactorTable!$A$2:$A$301,0), Skills!M16+1)</f>
        <v>1925</v>
      </c>
      <c r="F3180">
        <f>IF(Skills!N16=TRUE,(Skills!L16/10)*(E3180/1000),Skills!L16/10)+Skills!O16</f>
        <v>288.75</v>
      </c>
      <c r="G3180">
        <f>Calc!G16</f>
        <v>30</v>
      </c>
      <c r="H3180">
        <f>Calc!H16</f>
        <v>1</v>
      </c>
      <c r="I3180">
        <f>IF(Skills!X16&lt;&gt;"",1+(Skills!X16/10)*(Z3167/1000)/100,1)</f>
        <v>1</v>
      </c>
      <c r="J3180">
        <f>((Inputs!$B$6*(1+Inputs!$B$7/100))+(((Inputs!$B$12*(1+Inputs!$B$13/100))-(Inputs!$B$12*(1+Inputs!$B$13/100)))+0.25*(Inputs!$B$14-Inputs!$B$14))*(1+Inputs!$B$7/100))*(F3180/100)</f>
        <v>1042775930.5165126</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5687168577246.5605</v>
      </c>
      <c r="L3180">
        <f>K3180*(MIN(Inputs!$B$22+(F3186-Calc!F22),(Inputs!$B$23+(IF(ArtifactsInput!$M$15,CHOOSE(ArtifactsInput!$N$15+1,25,30,35,40,45,50)/100*(Inputs!$B$11-Inputs!$B$11),0))))/100+(Inputs!$B$23+(IF(ArtifactsInput!$M$15,CHOOSE(ArtifactsInput!$N$15+1,25,30,35,40,45,50)/100*(Inputs!$B$11-Inputs!$B$11),0)))/100)/2</f>
        <v>18909835519344.816</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89235513815788.172</v>
      </c>
      <c r="N3180">
        <f>L3180*(1-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89235513815788.172</v>
      </c>
      <c r="O3180">
        <f>(1-Summary!$B$11)*S3180+Summary!$B$11*U3180</f>
        <v>2226649158488454</v>
      </c>
      <c r="P3180">
        <f>IF(B3205=0,0,O3180/B3205)</f>
        <v>6.1432893547428945E-2</v>
      </c>
      <c r="Q3180">
        <f>IFERROR(1/(IF(Inputs!$B$38="pvp",15,MAX(0.1,Skills!E16-IF(TRUE=TRUE,5,0)))*(1-IF(AND(ArtifactsInput!$M$27,Inputs!$B$4="Chapter Hunt"),CHOOSE(ArtifactsInput!$N$27+1,20,24,28,32,36,40),0)/100)),0)</f>
        <v>0.05</v>
      </c>
      <c r="R3180">
        <f>IF(AND(Inputs!$B$38&lt;&gt;"pvp",Inputs!$B$43&gt;0),IF(MAX(0,Inputs!$B$43-B3202)&lt;=0,0,(INT(MAX(0,Inputs!$B$43-B3202)/(IF(Inputs!$B$38="pvp",15,MAX(0.1,Skills!E16-IF(TRUE=TRUE,5,0)))*(1-IF(AND(ArtifactsInput!$M$27,Inputs!$B$4="Chapter Hunt"),CHOOSE(ArtifactsInput!$N$27+1,20,24,28,32,36,40),0)/100)))+1)),0)</f>
        <v>2</v>
      </c>
      <c r="S3180">
        <f>IF(C3180,(H3180*N3180*IF(AND(Inputs!$B$38&lt;&gt;"pvp",Inputs!$B$43&gt;0),((Skills!G16*((R3180-1)*IF(Skills!H16&gt;0,Skills!I16/Skills!H16,1)+IF(Skills!H16&gt;0,MIN(Skills!I16,MAX(0,MAX(0,Inputs!$B$43-B3202)-((R3180-1)*(IF(Inputs!$B$38="pvp",15,MAX(0.1,Skills!E16-IF(TRUE=TRUE,5,0)))*(1-IF(AND(ArtifactsInput!$M$27,Inputs!$B$4="Chapter Hunt"),CHOOSE(ArtifactsInput!$N$27+1,20,24,28,32,36,40),0)/100)))))/Skills!H16,1)))/Inputs!$B$43),G3180*Q3180)*(1+IF(Inputs!$B$3&gt;=126,0.05*(B3200+Q3177+(H3178*B3201)/(1+Skills!H14*H3178*B3201)+Q3188),0)*(1/Q3179)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424314868194072.75</v>
      </c>
      <c r="U3180">
        <f>IF(C3180,(H3180*N3180*IF(AND(Inputs!$B$38&lt;&gt;"pvp",Inputs!$B$43&gt;0),((Skills!G16*((R3180-1)*IF(Skills!H16&gt;0,Skills!I16/Skills!H16,1)+IF(Skills!H16&gt;0,MIN(Skills!I16,MAX(0,MAX(0,Inputs!$B$43-B3202)-((R3180-1)*(IF(Inputs!$B$38="pvp",15,MAX(0.1,Skills!E16-IF(TRUE=TRUE,5,0)))*(1-IF(AND(ArtifactsInput!$M$27,Inputs!$B$4="Chapter Hunt"),CHOOSE(ArtifactsInput!$N$27+1,20,24,28,32,36,40),0)/100)))))/Skills!H16,1)))/Inputs!$B$43),G3180*Q3180)*(1+IF(Inputs!$B$3&gt;=126,0.05*(B3200+Q3177+(H3178*B3201)/(1+Skills!H14*H3178*B3201)+Q3188),0)*(1/Q3179)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4028983448782835.5</v>
      </c>
    </row>
    <row r="3181" spans="1:21" x14ac:dyDescent="0.2">
      <c r="A3181" t="str">
        <f>Skills!A17</f>
        <v>MAGIC_GUARD</v>
      </c>
      <c r="B3181" t="str">
        <f>Skills!B17</f>
        <v>Magic Guard</v>
      </c>
      <c r="C3181" t="b">
        <f>TRUE</f>
        <v>1</v>
      </c>
      <c r="D3181">
        <f>IF(Skills!C17=1,60+Inputs!$B$25+Inputs!$B$29,IF(Skills!C17=2,90+Inputs!$B$26+Inputs!$B$29,IF(Skills!C17=3,120+Inputs!$B$27+Inputs!$B$29,MAX(0,(Inputs!$B$3-100)*3)+Inputs!$B$28+Inputs!$B$29)))</f>
        <v>127</v>
      </c>
      <c r="E3181">
        <f>INDEX(FactorTable!$B$2:$Y$301, MATCH(ROUND(MIN(300,MAX(1,D3181)),0), FactorTable!$A$2:$A$301,0), Skills!M17+1)</f>
        <v>1508</v>
      </c>
      <c r="F3181">
        <f>IF(Skills!N17=TRUE,(Skills!L17/10)*(E3181/1000),Skills!L17/10)+Skills!O17</f>
        <v>18.096</v>
      </c>
      <c r="G3181">
        <f>Calc!G17</f>
        <v>1</v>
      </c>
      <c r="H3181">
        <f>Calc!H17</f>
        <v>1</v>
      </c>
      <c r="I3181">
        <f>IF(Skills!X17&lt;&gt;"",1+(Skills!X17/10)*(Z3167/1000)/100,1)</f>
        <v>1</v>
      </c>
      <c r="O3181">
        <f>(1-Summary!$B$11)*S3181+Summary!$B$11*U3181</f>
        <v>0</v>
      </c>
      <c r="P3181">
        <f>IF(B3205=0,0,O3181/B3205)</f>
        <v>0</v>
      </c>
      <c r="Q3181">
        <f>IFERROR(1/(IF(Inputs!$B$38="pvp",15,MAX(0.1,Skills!E17-IF(TRUE=TRUE,5,0)))*(1-IF(AND(ArtifactsInput!$M$27,Inputs!$B$4="Chapter Hunt"),CHOOSE(ArtifactsInput!$N$27+1,20,24,28,32,36,40),0)/100)),0)</f>
        <v>6.25E-2</v>
      </c>
      <c r="R3181">
        <f>IF(AND(Inputs!$B$38&lt;&gt;"pvp",Inputs!$B$43&gt;0),IF(Inputs!$B$43&lt;=0,0,(INT(Inputs!$B$43/(IF(Inputs!$B$38="pvp",15,MAX(0.1,Skills!E17-IF(TRUE=TRUE,5,0)))*(1-IF(AND(ArtifactsInput!$M$27,Inputs!$B$4="Chapter Hunt"),CHOOSE(ArtifactsInput!$N$27+1,20,24,28,32,36,40),0)/100)))+1)),0)</f>
        <v>3</v>
      </c>
      <c r="S3181">
        <v>0</v>
      </c>
      <c r="U3181">
        <v>0</v>
      </c>
    </row>
    <row r="3182" spans="1:21" x14ac:dyDescent="0.2">
      <c r="A3182" t="str">
        <f>Skills!A18</f>
        <v>NIMBLE_FEET</v>
      </c>
      <c r="B3182" t="str">
        <f>Skills!B18</f>
        <v>Nimble Feet</v>
      </c>
      <c r="C3182" t="b">
        <f>TRUE</f>
        <v>1</v>
      </c>
      <c r="D3182">
        <f>IF(Skills!C18=1,60+Inputs!$B$25+Inputs!$B$29,IF(Skills!C18=2,90+Inputs!$B$26+Inputs!$B$29,IF(Skills!C18=3,120+Inputs!$B$27+Inputs!$B$29,MAX(0,(Inputs!$B$3-100)*3)+Inputs!$B$28+Inputs!$B$29)))</f>
        <v>127</v>
      </c>
      <c r="E3182">
        <f>INDEX(FactorTable!$B$2:$Y$301, MATCH(ROUND(MIN(300,MAX(1,D3182)),0), FactorTable!$A$2:$A$301,0), Skills!M18+1)</f>
        <v>0</v>
      </c>
      <c r="F3182">
        <f>IF(Skills!N18=TRUE,(Skills!L18/10)*(E3182/1000),Skills!L18/10)+Skills!O18</f>
        <v>15</v>
      </c>
      <c r="G3182">
        <f>Calc!G18</f>
        <v>1</v>
      </c>
      <c r="H3182">
        <f>Calc!H18</f>
        <v>1</v>
      </c>
      <c r="I3182">
        <f>IF(Skills!X18&lt;&gt;"",1+(Skills!X18/10)*(Z3167/1000)/100,1)</f>
        <v>1</v>
      </c>
      <c r="O3182">
        <f>(1-Summary!$B$11)*S3182+Summary!$B$11*U3182</f>
        <v>0</v>
      </c>
      <c r="P3182">
        <f>IF(B3205=0,0,O3182/B3205)</f>
        <v>0</v>
      </c>
      <c r="Q3182">
        <f>IFERROR(1/(IF(Inputs!$B$38="pvp",15,MAX(0.1,Skills!E18-IF(TRUE=TRUE,5,0)))*(1-IF(AND(ArtifactsInput!$M$27,Inputs!$B$4="Chapter Hunt"),CHOOSE(ArtifactsInput!$N$27+1,20,24,28,32,36,40),0)/100)),0)</f>
        <v>1.8181818181818181E-2</v>
      </c>
      <c r="R3182">
        <f>IF(AND(Inputs!$B$38&lt;&gt;"pvp",Inputs!$B$43&gt;0),IF(Inputs!$B$43&lt;=0,0,(INT(Inputs!$B$43/(IF(Inputs!$B$38="pvp",15,MAX(0.1,Skills!E18-IF(TRUE=TRUE,5,0)))*(1-IF(AND(ArtifactsInput!$M$27,Inputs!$B$4="Chapter Hunt"),CHOOSE(ArtifactsInput!$N$27+1,20,24,28,32,36,40),0)/100)))+1)),0)</f>
        <v>1</v>
      </c>
      <c r="S3182">
        <v>0</v>
      </c>
      <c r="U3182">
        <v>0</v>
      </c>
    </row>
    <row r="3183" spans="1:21" x14ac:dyDescent="0.2">
      <c r="A3183" t="str">
        <f>Skills!A19</f>
        <v>INFINITY</v>
      </c>
      <c r="B3183" t="str">
        <f>Skills!B19</f>
        <v>Infinity</v>
      </c>
      <c r="C3183" t="b">
        <f>Inputs!$B$3&gt;=110</f>
        <v>1</v>
      </c>
      <c r="D3183">
        <f>IF(Skills!C19=1,60+Inputs!$B$25+Inputs!$B$29,IF(Skills!C19=2,90+Inputs!$B$26+Inputs!$B$29,IF(Skills!C19=3,120+Inputs!$B$27+Inputs!$B$29,MAX(0,(Inputs!$B$3-100)*3)+Inputs!$B$28+Inputs!$B$29)))</f>
        <v>185</v>
      </c>
      <c r="E3183">
        <f>INDEX(FactorTable!$B$2:$Y$301, MATCH(ROUND(MIN(300,MAX(1,D3183)),0), FactorTable!$A$2:$A$301,0), Skills!M19+1)</f>
        <v>1740</v>
      </c>
      <c r="F3183">
        <f>IF(Skills!N19=TRUE,(Skills!L19/10)*(E3183/1000),Skills!L19/10)+Skills!O19</f>
        <v>37.700579999999995</v>
      </c>
      <c r="G3183">
        <f>Calc!G19</f>
        <v>1</v>
      </c>
      <c r="H3183">
        <f>Calc!H19</f>
        <v>1</v>
      </c>
      <c r="I3183">
        <f>IF(Skills!X19&lt;&gt;"",1+(Skills!X19/10)*(Z3167/1000)/100,1)</f>
        <v>1</v>
      </c>
      <c r="O3183">
        <f>(1-Summary!$B$11)*S3183+Summary!$B$11*U3183</f>
        <v>0</v>
      </c>
      <c r="P3183">
        <f>IF(B3205=0,0,O3183/B3205)</f>
        <v>0</v>
      </c>
      <c r="Q3183">
        <f>IFERROR(1/(IF(Inputs!$B$38="pvp",15,MAX(0.1,Skills!E19-IF(TRUE=TRUE,5,0)))*(1-IF(AND(ArtifactsInput!$M$27,Inputs!$B$4="Chapter Hunt"),CHOOSE(ArtifactsInput!$N$27+1,20,24,28,32,36,40),0)/100)),0)</f>
        <v>0.04</v>
      </c>
      <c r="R3183">
        <f>IF(AND(Inputs!$B$38&lt;&gt;"pvp",Inputs!$B$43&gt;0),IF(Inputs!$B$43&lt;=0,0,(INT(Inputs!$B$43/(IF(Inputs!$B$38="pvp",15,MAX(0.1,Skills!E19-IF(TRUE=TRUE,5,0)))*(1-IF(AND(ArtifactsInput!$M$27,Inputs!$B$4="Chapter Hunt"),CHOOSE(ArtifactsInput!$N$27+1,20,24,28,32,36,40),0)/100)))+1)),0)</f>
        <v>2</v>
      </c>
      <c r="S3183">
        <v>0</v>
      </c>
      <c r="U3183">
        <v>0</v>
      </c>
    </row>
    <row r="3184" spans="1:21" x14ac:dyDescent="0.2">
      <c r="A3184" t="str">
        <f>Skills!A20</f>
        <v>MAGIC_CRITICAL_RATE</v>
      </c>
      <c r="B3184" t="str">
        <f>Skills!B20</f>
        <v>Magic Critical (Crit Rate)</v>
      </c>
      <c r="C3184" t="b">
        <f>TRUE</f>
        <v>1</v>
      </c>
      <c r="D3184">
        <f>IF(Skills!C20=1,60+Inputs!$B$25+Inputs!$B$29,IF(Skills!C20=2,90+Inputs!$B$26+Inputs!$B$29,IF(Skills!C20=3,120+Inputs!$B$27+Inputs!$B$29,MAX(0,(Inputs!$B$3-100)*3)+Inputs!$B$28+Inputs!$B$29)))</f>
        <v>184</v>
      </c>
      <c r="E3184">
        <f>INDEX(FactorTable!$B$2:$Y$301, MATCH(ROUND(MIN(300,MAX(1,D3184)),0), FactorTable!$A$2:$A$301,0), Skills!M20+1)</f>
        <v>1552</v>
      </c>
      <c r="F3184">
        <f>IF(Skills!N20=TRUE,(Skills!L20/10)*(E3184/1000),Skills!L20/10)+Skills!O20</f>
        <v>12.416</v>
      </c>
      <c r="G3184">
        <f>Calc!G20</f>
        <v>1</v>
      </c>
      <c r="H3184">
        <f>Calc!H20</f>
        <v>1</v>
      </c>
      <c r="I3184">
        <f>IF(Skills!X20&lt;&gt;"",1+(Skills!X20/10)*(Z3167/1000)/100,1)</f>
        <v>1</v>
      </c>
      <c r="O3184">
        <f>(1-Summary!$B$11)*S3184+Summary!$B$11*U3184</f>
        <v>0</v>
      </c>
      <c r="P3184">
        <f>IF(B3205=0,0,O3184/B3205)</f>
        <v>0</v>
      </c>
      <c r="Q3184">
        <f>IFERROR(1/(IF(Inputs!$B$38="pvp",15,MAX(0.1,Skills!E20-IF(TRUE=TRUE,5,0)))*(1-IF(AND(ArtifactsInput!$M$27,Inputs!$B$4="Chapter Hunt"),CHOOSE(ArtifactsInput!$N$27+1,20,24,28,32,36,40),0)/100)),0)</f>
        <v>10</v>
      </c>
      <c r="R3184">
        <v>0</v>
      </c>
      <c r="S3184">
        <v>0</v>
      </c>
      <c r="U3184">
        <v>0</v>
      </c>
    </row>
    <row r="3185" spans="1:21" x14ac:dyDescent="0.2">
      <c r="A3185" t="str">
        <f>Skills!A21</f>
        <v>MAGIC_CRITICAL_DAMAGE</v>
      </c>
      <c r="B3185" t="str">
        <f>Skills!B21</f>
        <v>Magic Critical (Crit Damage)</v>
      </c>
      <c r="C3185" t="b">
        <f>TRUE</f>
        <v>1</v>
      </c>
      <c r="D3185">
        <f>IF(Skills!C21=1,60+Inputs!$B$25+Inputs!$B$29,IF(Skills!C21=2,90+Inputs!$B$26+Inputs!$B$29,IF(Skills!C21=3,120+Inputs!$B$27+Inputs!$B$29,MAX(0,(Inputs!$B$3-100)*3)+Inputs!$B$28+Inputs!$B$29)))</f>
        <v>184</v>
      </c>
      <c r="E3185">
        <f>INDEX(FactorTable!$B$2:$Y$301, MATCH(ROUND(MIN(300,MAX(1,D3185)),0), FactorTable!$A$2:$A$301,0), Skills!M21+1)</f>
        <v>1552</v>
      </c>
      <c r="F3185">
        <f>IF(Skills!N21=TRUE,(Skills!L21/10)*(E3185/1000),Skills!L21/10)+Skills!O21</f>
        <v>18.624000000000002</v>
      </c>
      <c r="G3185">
        <f>Calc!G21</f>
        <v>1</v>
      </c>
      <c r="H3185">
        <f>Calc!H21</f>
        <v>1</v>
      </c>
      <c r="I3185">
        <f>IF(Skills!X21&lt;&gt;"",1+(Skills!X21/10)*(Z3167/1000)/100,1)</f>
        <v>1</v>
      </c>
      <c r="O3185">
        <f>(1-Summary!$B$11)*S3185+Summary!$B$11*U3185</f>
        <v>0</v>
      </c>
      <c r="P3185">
        <f>IF(B3205=0,0,O3185/B3205)</f>
        <v>0</v>
      </c>
      <c r="Q3185">
        <f>IFERROR(1/(IF(Inputs!$B$38="pvp",15,MAX(0.1,Skills!E21-IF(TRUE=TRUE,5,0)))*(1-IF(AND(ArtifactsInput!$M$27,Inputs!$B$4="Chapter Hunt"),CHOOSE(ArtifactsInput!$N$27+1,20,24,28,32,36,40),0)/100)),0)</f>
        <v>10</v>
      </c>
      <c r="R3185">
        <v>0</v>
      </c>
      <c r="S3185">
        <v>0</v>
      </c>
      <c r="U3185">
        <v>0</v>
      </c>
    </row>
    <row r="3186" spans="1:21" x14ac:dyDescent="0.2">
      <c r="A3186" t="str">
        <f>Skills!A22</f>
        <v>SPELL_MASTERY</v>
      </c>
      <c r="B3186" t="str">
        <f>Skills!B22</f>
        <v>Spell Mastery</v>
      </c>
      <c r="C3186" t="b">
        <f>TRUE</f>
        <v>1</v>
      </c>
      <c r="D3186">
        <f>IF(Skills!C22=1,60+Inputs!$B$25+Inputs!$B$29,IF(Skills!C22=2,90+Inputs!$B$26+Inputs!$B$29,IF(Skills!C22=3,120+Inputs!$B$27+Inputs!$B$29,MAX(0,(Inputs!$B$3-100)*3)+Inputs!$B$28+Inputs!$B$29)))</f>
        <v>168</v>
      </c>
      <c r="E3186">
        <f>INDEX(FactorTable!$B$2:$Y$301, MATCH(ROUND(MIN(300,MAX(1,D3186)),0), FactorTable!$A$2:$A$301,0), Skills!M22+1)</f>
        <v>1504</v>
      </c>
      <c r="F3186">
        <f>IF(Skills!N22=TRUE,(Skills!L22/10)*(E3186/1000),Skills!L22/10)+Skills!O22</f>
        <v>22.56</v>
      </c>
      <c r="G3186">
        <f>Calc!G22</f>
        <v>1</v>
      </c>
      <c r="H3186">
        <f>Calc!H22</f>
        <v>1</v>
      </c>
      <c r="I3186">
        <f>IF(Skills!X22&lt;&gt;"",1+(Skills!X22/10)*(Z3167/1000)/100,1)</f>
        <v>1</v>
      </c>
      <c r="O3186">
        <f>(1-Summary!$B$11)*S3186+Summary!$B$11*U3186</f>
        <v>0</v>
      </c>
      <c r="P3186">
        <f>IF(B3205=0,0,O3186/B3205)</f>
        <v>0</v>
      </c>
      <c r="Q3186">
        <f>IFERROR(1/(IF(Inputs!$B$38="pvp",15,MAX(0.1,Skills!E22-IF(TRUE=TRUE,5,0)))*(1-IF(AND(ArtifactsInput!$M$27,Inputs!$B$4="Chapter Hunt"),CHOOSE(ArtifactsInput!$N$27+1,20,24,28,32,36,40),0)/100)),0)</f>
        <v>10</v>
      </c>
      <c r="R3186">
        <v>0</v>
      </c>
      <c r="S3186">
        <v>0</v>
      </c>
      <c r="U3186">
        <v>0</v>
      </c>
    </row>
    <row r="3187" spans="1:21" x14ac:dyDescent="0.2">
      <c r="A3187" t="str">
        <f>Skills!A23</f>
        <v>ELEMENT_AMPLIFICATION</v>
      </c>
      <c r="B3187" t="str">
        <f>Skills!B23</f>
        <v>Element Amplification</v>
      </c>
      <c r="C3187" t="b">
        <f>TRUE</f>
        <v>1</v>
      </c>
      <c r="D3187">
        <f>IF(Skills!C23=1,60+Inputs!$B$25+Inputs!$B$29,IF(Skills!C23=2,90+Inputs!$B$26+Inputs!$B$29,IF(Skills!C23=3,120+Inputs!$B$27+Inputs!$B$29,MAX(0,(Inputs!$B$3-100)*3)+Inputs!$B$28+Inputs!$B$29)))</f>
        <v>185</v>
      </c>
      <c r="E3187">
        <f>INDEX(FactorTable!$B$2:$Y$301, MATCH(ROUND(MIN(300,MAX(1,D3187)),0), FactorTable!$A$2:$A$301,0), Skills!M23+1)</f>
        <v>1555</v>
      </c>
      <c r="F3187">
        <f>IF(Skills!N23=TRUE,(Skills!L23/10)*(E3187/1000),Skills!L23/10)+Skills!O23</f>
        <v>23.324999999999999</v>
      </c>
      <c r="G3187">
        <f>Calc!G23</f>
        <v>1</v>
      </c>
      <c r="H3187">
        <f>Calc!H23</f>
        <v>1</v>
      </c>
      <c r="I3187">
        <f>IF(Skills!X23&lt;&gt;"",1+(Skills!X23/10)*(Z3167/1000)/100,1)</f>
        <v>1</v>
      </c>
      <c r="O3187">
        <f>(1-Summary!$B$11)*S3187+Summary!$B$11*U3187</f>
        <v>0</v>
      </c>
      <c r="P3187">
        <f>IF(B3205=0,0,O3187/B3205)</f>
        <v>0</v>
      </c>
      <c r="Q3187">
        <f>IFERROR(1/(IF(Inputs!$B$38="pvp",15,MAX(0.1,Skills!E23-IF(TRUE=TRUE,5,0)))*(1-IF(AND(ArtifactsInput!$M$27,Inputs!$B$4="Chapter Hunt"),CHOOSE(ArtifactsInput!$N$27+1,20,24,28,32,36,40),0)/100)),0)</f>
        <v>10</v>
      </c>
      <c r="R3187">
        <v>0</v>
      </c>
      <c r="S3187">
        <v>0</v>
      </c>
      <c r="U3187">
        <v>0</v>
      </c>
    </row>
    <row r="3188" spans="1:21" x14ac:dyDescent="0.2">
      <c r="A3188" t="str">
        <f>Skills!A24</f>
        <v>IFRIT</v>
      </c>
      <c r="B3188" t="str">
        <f>Skills!B24</f>
        <v>Ifrit</v>
      </c>
      <c r="C3188" t="b">
        <f>Inputs!$B$3&gt;=115</f>
        <v>1</v>
      </c>
      <c r="D3188">
        <f>IF(Skills!C24=1,60+Inputs!$B$25+Inputs!$B$29,IF(Skills!C24=2,90+Inputs!$B$26+Inputs!$B$29,IF(Skills!C24=3,120+Inputs!$B$27+Inputs!$B$29,MAX(0,(Inputs!$B$3-100)*3)+Inputs!$B$28+Inputs!$B$29)))</f>
        <v>185</v>
      </c>
      <c r="E3188">
        <f>INDEX(FactorTable!$B$2:$Y$301, MATCH(ROUND(MIN(300,MAX(1,D3188)),0), FactorTable!$A$2:$A$301,0), Skills!M24+1)</f>
        <v>1925</v>
      </c>
      <c r="F3188">
        <f>IF(Skills!N24=TRUE,(Skills!L24/10)*(E3188/1000),Skills!L24/10)+Skills!O24</f>
        <v>6737.5</v>
      </c>
      <c r="G3188">
        <f>Calc!G24</f>
        <v>7.5</v>
      </c>
      <c r="H3188">
        <f>Calc!H24</f>
        <v>1</v>
      </c>
      <c r="I3188">
        <f>IF(Skills!X24&lt;&gt;"",1+(Skills!X24/10)*(Z3167/1000)/100,1)</f>
        <v>1</v>
      </c>
      <c r="J3188">
        <f>((Inputs!$B$6*(1+Inputs!$B$7/100))+(((Inputs!$B$12*(1+Inputs!$B$13/100))-(Inputs!$B$12*(1+Inputs!$B$13/100)))+0.25*(Inputs!$B$14-Inputs!$B$14))*(1+Inputs!$B$7/100))*(F3188/100)</f>
        <v>24331438378.718628</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132700600135753.08</v>
      </c>
      <c r="L3188">
        <f>K3188*(MIN(Inputs!$B$22+(F3186-Calc!F22),(Inputs!$B$23+(IF(ArtifactsInput!$M$15,CHOOSE(ArtifactsInput!$N$15+1,25,30,35,40,45,50)/100*(Inputs!$B$11-Inputs!$B$11),0))))/100+(Inputs!$B$23+(IF(ArtifactsInput!$M$15,CHOOSE(ArtifactsInput!$N$15+1,25,30,35,40,45,50)/100*(Inputs!$B$11-Inputs!$B$11),0)))/100)/2</f>
        <v>441229495451379</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2082161989035057.2</v>
      </c>
      <c r="N3188">
        <f>L3188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2082161989035057.2</v>
      </c>
      <c r="O3188">
        <f>(1-Summary!$B$11)*S3188+Summary!$B$11*U3188</f>
        <v>2381472774958846.5</v>
      </c>
      <c r="P3188">
        <f>IF(B3205=0,0,O3188/B3205)</f>
        <v>6.5704452321290852E-2</v>
      </c>
      <c r="Q3188">
        <f>IFERROR(1/(IF(Inputs!$B$38="pvp",15,MAX(0.1,Skills!E24-IF(TRUE=TRUE,5,0)))*(1-IF(AND(ArtifactsInput!$M$27,Inputs!$B$4="Chapter Hunt"),CHOOSE(ArtifactsInput!$N$27+1,20,24,28,32,36,40),0)/100)),0)</f>
        <v>1.3333333333333334E-2</v>
      </c>
      <c r="R3188">
        <f>IF(AND(Inputs!$B$38&lt;&gt;"pvp",Inputs!$B$43&gt;0),IF(MAX(0,Inputs!$B$43-B3202)&lt;=0,0,(INT(MAX(0,Inputs!$B$43-B3202)/(IF(Inputs!$B$38="pvp",15,MAX(0.1,Skills!E24-IF(TRUE=TRUE,5,0)))*(1-IF(AND(ArtifactsInput!$M$27,Inputs!$B$4="Chapter Hunt"),CHOOSE(ArtifactsInput!$N$27+1,20,24,28,32,36,40),0)/100)))+1)),0)</f>
        <v>1</v>
      </c>
      <c r="S3188">
        <f>IF(C3188,(H3188*N3188*IF(AND(Inputs!$B$38&lt;&gt;"pvp",Inputs!$B$43&gt;0),((Skills!G24*((R3188-1)*IF(Skills!H24&gt;0,Skills!I24/Skills!H24,1)+IF(Skills!H24&gt;0,MIN(Skills!I24,MAX(0,MAX(0,Inputs!$B$43-B3202)-((R3188-1)*(IF(Inputs!$B$38="pvp",15,MAX(0.1,Skills!E24-IF(TRUE=TRUE,5,0)))*(1-IF(AND(ArtifactsInput!$M$27,Inputs!$B$4="Chapter Hunt"),CHOOSE(ArtifactsInput!$N$27+1,20,24,28,32,36,40),0)/100)))))/Skills!H24,1)))/Inputs!$B$43),G3188*Q3188)*(1+IF(Inputs!$B$3&gt;=130,0.2*(Skills!I16/(1/Q3179)+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1237585032232712.2</v>
      </c>
      <c r="U3188">
        <f>IF(C3188,(H3188*N3188*IF(AND(Inputs!$B$38&lt;&gt;"pvp",Inputs!$B$43&gt;0),((Skills!G24*((R3188-1)*IF(Skills!H24&gt;0,Skills!I24/Skills!H24,1)+IF(Skills!H24&gt;0,MIN(Skills!I24,MAX(0,MAX(0,Inputs!$B$43-B3202)-((R3188-1)*(IF(Inputs!$B$38="pvp",15,MAX(0.1,Skills!E24-IF(TRUE=TRUE,5,0)))*(1-IF(AND(ArtifactsInput!$M$27,Inputs!$B$4="Chapter Hunt"),CHOOSE(ArtifactsInput!$N$27+1,20,24,28,32,36,40),0)/100)))))/Skills!H24,1)))/Inputs!$B$43),G3188*Q3188)*(1+IF(Inputs!$B$3&gt;=130,0.2*(Skills!I16/(1/Q3179)+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3525360517684981</v>
      </c>
    </row>
    <row r="3189" spans="1:21" x14ac:dyDescent="0.2">
      <c r="A3189" t="str">
        <f>Skills!A25</f>
        <v>BUFF_MASTERY</v>
      </c>
      <c r="B3189" t="str">
        <f>Skills!B25</f>
        <v>Buff Mastery</v>
      </c>
      <c r="C3189" t="b">
        <f>Inputs!$B$3&gt;=117</f>
        <v>1</v>
      </c>
      <c r="D3189">
        <f>IF(Skills!C25=1,60+Inputs!$B$25+Inputs!$B$29,IF(Skills!C25=2,90+Inputs!$B$26+Inputs!$B$29,IF(Skills!C25=3,120+Inputs!$B$27+Inputs!$B$29,MAX(0,(Inputs!$B$3-100)*3)+Inputs!$B$28+Inputs!$B$29)))</f>
        <v>185</v>
      </c>
      <c r="E3189">
        <f>INDEX(FactorTable!$B$2:$Y$301, MATCH(ROUND(MIN(300,MAX(1,D3189)),0), FactorTable!$A$2:$A$301,0), Skills!M25+1)</f>
        <v>1555</v>
      </c>
      <c r="F3189">
        <f>IF(Skills!N25=TRUE,(Skills!L25/10)*(E3189/1000),Skills!L25/10)+Skills!O25</f>
        <v>15.549999999999999</v>
      </c>
      <c r="G3189">
        <f>Calc!G25</f>
        <v>1</v>
      </c>
      <c r="H3189">
        <f>Calc!H25</f>
        <v>1</v>
      </c>
      <c r="I3189">
        <f>IF(Skills!X25&lt;&gt;"",1+(Skills!X25/10)*(Z3167/1000)/100,1)</f>
        <v>1</v>
      </c>
      <c r="O3189">
        <f>(1-Summary!$B$11)*S3189+Summary!$B$11*U3189</f>
        <v>0</v>
      </c>
      <c r="P3189">
        <f>IF(B3205=0,0,O3189/B3205)</f>
        <v>0</v>
      </c>
      <c r="Q3189">
        <f>IFERROR(1/(IF(Inputs!$B$38="pvp",15,MAX(0.1,Skills!E25-IF(TRUE=TRUE,5,0)))*(1-IF(AND(ArtifactsInput!$M$27,Inputs!$B$4="Chapter Hunt"),CHOOSE(ArtifactsInput!$N$27+1,20,24,28,32,36,40),0)/100)),0)</f>
        <v>10</v>
      </c>
      <c r="R3189">
        <v>0</v>
      </c>
      <c r="S3189">
        <v>0</v>
      </c>
      <c r="U3189">
        <v>0</v>
      </c>
    </row>
    <row r="3190" spans="1:21" x14ac:dyDescent="0.2">
      <c r="A3190" t="str">
        <f>Skills!A26</f>
        <v>ARCANE_AIM</v>
      </c>
      <c r="B3190" t="str">
        <f>Skills!B26</f>
        <v>Arcane Aim</v>
      </c>
      <c r="C3190" t="b">
        <f>Inputs!$B$3&gt;=120</f>
        <v>0</v>
      </c>
      <c r="D3190">
        <f>IF(Skills!C26=1,60+Inputs!$B$25+Inputs!$B$29,IF(Skills!C26=2,90+Inputs!$B$26+Inputs!$B$29,IF(Skills!C26=3,120+Inputs!$B$27+Inputs!$B$29,MAX(0,(Inputs!$B$3-100)*3)+Inputs!$B$28+Inputs!$B$29)))</f>
        <v>185</v>
      </c>
      <c r="E3190">
        <f>INDEX(FactorTable!$B$2:$Y$301, MATCH(ROUND(MIN(300,MAX(1,D3190)),0), FactorTable!$A$2:$A$301,0), Skills!M26+1)</f>
        <v>1555</v>
      </c>
      <c r="F3190">
        <f>IF(Skills!N26=TRUE,(Skills!L26/10)*(E3190/1000),Skills!L26/10)+Skills!O26</f>
        <v>4.665</v>
      </c>
      <c r="G3190">
        <f>Calc!G26</f>
        <v>1</v>
      </c>
      <c r="H3190">
        <f>Calc!H26</f>
        <v>1</v>
      </c>
      <c r="I3190">
        <f>IF(Skills!X26&lt;&gt;"",1+(Skills!X26/10)*(Z3167/1000)/100,1)</f>
        <v>1</v>
      </c>
      <c r="O3190">
        <f>(1-Summary!$B$11)*S3190+Summary!$B$11*U3190</f>
        <v>0</v>
      </c>
      <c r="P3190">
        <f>IF(B3205=0,0,O3190/B3205)</f>
        <v>0</v>
      </c>
      <c r="Q3190">
        <f>IFERROR(1/(IF(Inputs!$B$38="pvp",15,MAX(0.1,Skills!E26-IF(TRUE=TRUE,5,0)))*(1-IF(AND(ArtifactsInput!$M$27,Inputs!$B$4="Chapter Hunt"),CHOOSE(ArtifactsInput!$N$27+1,20,24,28,32,36,40),0)/100)),0)</f>
        <v>10</v>
      </c>
      <c r="R3190">
        <v>0</v>
      </c>
      <c r="S3190">
        <v>0</v>
      </c>
      <c r="U3190">
        <v>0</v>
      </c>
    </row>
    <row r="3191" spans="1:21" x14ac:dyDescent="0.2">
      <c r="A3191" t="str">
        <f>Skills!A27</f>
        <v>FERVENT_DRAIN</v>
      </c>
      <c r="B3191" t="str">
        <f>Skills!B27</f>
        <v>Fervent Drain</v>
      </c>
      <c r="C3191" t="b">
        <f>Inputs!$B$3&gt;=125</f>
        <v>0</v>
      </c>
      <c r="D3191">
        <f>IF(Skills!C27=1,60+Inputs!$B$25+Inputs!$B$29,IF(Skills!C27=2,90+Inputs!$B$26+Inputs!$B$29,IF(Skills!C27=3,120+Inputs!$B$27+Inputs!$B$29,MAX(0,(Inputs!$B$3-100)*3)+Inputs!$B$28+Inputs!$B$29)))</f>
        <v>185</v>
      </c>
      <c r="E3191">
        <f>INDEX(FactorTable!$B$2:$Y$301, MATCH(ROUND(MIN(300,MAX(1,D3191)),0), FactorTable!$A$2:$A$301,0), Skills!M27+1)</f>
        <v>1555</v>
      </c>
      <c r="F3191">
        <f>IF(Skills!N27=TRUE,(Skills!L27/10)*(E3191/1000),Skills!L27/10)+Skills!O27</f>
        <v>6.22</v>
      </c>
      <c r="G3191">
        <f>Calc!G27</f>
        <v>1</v>
      </c>
      <c r="H3191">
        <f>Calc!H27</f>
        <v>1</v>
      </c>
      <c r="I3191">
        <f>IF(Skills!X27&lt;&gt;"",1+(Skills!X27/10)*(Z3167/1000)/100,1)</f>
        <v>1</v>
      </c>
      <c r="O3191">
        <f>(1-Summary!$B$11)*S3191+Summary!$B$11*U3191</f>
        <v>0</v>
      </c>
      <c r="P3191">
        <f>IF(B3205=0,0,O3191/B3205)</f>
        <v>0</v>
      </c>
      <c r="Q3191">
        <f>IFERROR(1/(IF(Inputs!$B$38="pvp",15,MAX(0.1,Skills!E27-IF(TRUE=TRUE,5,0)))*(1-IF(AND(ArtifactsInput!$M$27,Inputs!$B$4="Chapter Hunt"),CHOOSE(ArtifactsInput!$N$27+1,20,24,28,32,36,40),0)/100)),0)</f>
        <v>10</v>
      </c>
      <c r="R3191">
        <v>0</v>
      </c>
      <c r="S3191">
        <v>0</v>
      </c>
      <c r="U3191">
        <v>0</v>
      </c>
    </row>
    <row r="3192" spans="1:21" x14ac:dyDescent="0.2">
      <c r="A3192" t="str">
        <f>Skills!A28</f>
        <v>FLAME_HAZE_FOG</v>
      </c>
      <c r="B3192" t="str">
        <f>Skills!B28</f>
        <v>Flame Haze (poison fog DoT)</v>
      </c>
      <c r="C3192" t="b">
        <f>Inputs!$B$3&gt;=118</f>
        <v>0</v>
      </c>
      <c r="D3192">
        <f>IF(Skills!C28=1,60+Inputs!$B$25+Inputs!$B$29,IF(Skills!C28=2,90+Inputs!$B$26+Inputs!$B$29,IF(Skills!C28=3,120+Inputs!$B$27+Inputs!$B$29,MAX(0,(Inputs!$B$3-100)*3)+Inputs!$B$28+Inputs!$B$29)))</f>
        <v>185</v>
      </c>
      <c r="E3192">
        <f>INDEX(FactorTable!$B$2:$Y$301, MATCH(ROUND(MIN(300,MAX(1,D3192)),0), FactorTable!$A$2:$A$301,0), Skills!M28+1)</f>
        <v>1925</v>
      </c>
      <c r="F3192">
        <f>IF(Skills!N28=TRUE,(Skills!L28/10)*(E3192/1000),Skills!L28/10)+Skills!O28</f>
        <v>134.75</v>
      </c>
      <c r="G3192">
        <f>Calc!G28</f>
        <v>50</v>
      </c>
      <c r="H3192">
        <f>Calc!H28</f>
        <v>1</v>
      </c>
      <c r="I3192">
        <f>IF(Skills!X28&lt;&gt;"",1+(Skills!X28/10)*(Z3167/1000)/100,1)</f>
        <v>1</v>
      </c>
      <c r="J3192">
        <f>((Inputs!$B$6*(1+Inputs!$B$7/100))+(((Inputs!$B$12*(1+Inputs!$B$13/100))-(Inputs!$B$12*(1+Inputs!$B$13/100)))+0.25*(Inputs!$B$14-Inputs!$B$14))*(1+Inputs!$B$7/100))*(F3192/100)</f>
        <v>486628767.57437253</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2654012002715.061</v>
      </c>
      <c r="L3192">
        <f>K3192*(MIN(Inputs!$B$22+(F3186-Calc!F22),(Inputs!$B$23+(IF(ArtifactsInput!$M$15,CHOOSE(ArtifactsInput!$N$15+1,25,30,35,40,45,50)/100*(Inputs!$B$11-Inputs!$B$11),0))))/100+(Inputs!$B$23+(IF(ArtifactsInput!$M$15,CHOOSE(ArtifactsInput!$N$15+1,25,30,35,40,45,50)/100*(Inputs!$B$11-Inputs!$B$11),0)))/100)/2</f>
        <v>8824589909027.5781</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41643239780701.133</v>
      </c>
      <c r="N3192">
        <f>L3192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41643239780701.133</v>
      </c>
      <c r="O3192">
        <f>(1-Summary!$B$11)*S3192+Summary!$B$11*U3192</f>
        <v>0</v>
      </c>
      <c r="P3192">
        <f>IF(B3205=0,0,O3192/B3205)</f>
        <v>0</v>
      </c>
      <c r="Q3192">
        <f>IFERROR(1/(IF(Inputs!$B$38="pvp",15,MAX(0.1,Skills!E28-IF(TRUE=TRUE,5,0)))*(1-IF(AND(ArtifactsInput!$M$27,Inputs!$B$4="Chapter Hunt"),CHOOSE(ArtifactsInput!$N$27+1,20,24,28,32,36,40),0)/100)),0)</f>
        <v>0.05</v>
      </c>
      <c r="R3192">
        <f>IF(AND(Inputs!$B$38&lt;&gt;"pvp",Inputs!$B$43&gt;0),IF(MAX(0,Inputs!$B$43-B3202)&lt;=0,0,(INT(MAX(0,Inputs!$B$43-B3202)/(IF(Inputs!$B$38="pvp",15,MAX(0.1,Skills!E28-IF(TRUE=TRUE,5,0)))*(1-IF(AND(ArtifactsInput!$M$27,Inputs!$B$4="Chapter Hunt"),CHOOSE(ArtifactsInput!$N$27+1,20,24,28,32,36,40),0)/100)))+1)),0)</f>
        <v>2</v>
      </c>
      <c r="S3192">
        <f>IF(C3192,(H3192*N3192*IF(AND(Inputs!$B$38&lt;&gt;"pvp",Inputs!$B$43&gt;0),((Skills!G28*((R3192-1)*IF(Skills!H28&gt;0,Skills!I28/Skills!H28,1)+IF(Skills!H28&gt;0,MIN(Skills!I28,MAX(0,MAX(0,Inputs!$B$43-B3202)-((R3192-1)*(IF(Inputs!$B$38="pvp",15,MAX(0.1,Skills!E28-IF(TRUE=TRUE,5,0)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92">
        <f>IF(C3192,(H3192*N3192*IF(AND(Inputs!$B$38&lt;&gt;"pvp",Inputs!$B$43&gt;0),((Skills!G28*((R3192-1)*IF(Skills!H28&gt;0,Skills!I28/Skills!H28,1)+IF(Skills!H28&gt;0,MIN(Skills!I28,MAX(0,MAX(0,Inputs!$B$43-B3202)-((R3192-1)*(IF(Inputs!$B$38="pvp",15,MAX(0.1,Skills!E28-IF(TRUE=TRUE,5,0)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94" spans="1:21" x14ac:dyDescent="0.2">
      <c r="A3194" t="s">
        <v>356</v>
      </c>
      <c r="B3194">
        <f>1+(F3175*Skills!Z11)/100</f>
        <v>1.25</v>
      </c>
    </row>
    <row r="3195" spans="1:21" x14ac:dyDescent="0.2">
      <c r="A3195" t="s">
        <v>435</v>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1.18624</v>
      </c>
    </row>
    <row r="3196" spans="1:21" x14ac:dyDescent="0.2">
      <c r="A3196" t="s">
        <v>358</v>
      </c>
      <c r="B3196">
        <f>(1+(F3170*IF(AND(Inputs!$B$38&lt;&gt;"pvp",Inputs!$B$43&gt;0),(((R3170-1)*MIN((Skills!T6*(1+((Inputs!$B$34+(ArtifactsInput!$M$7-ArtifactsInput!$M$7)*CHOOSE(ArtifactsInput!$N$7+1,6,7.2,8.4,9.6,10.8,12)))/100)),(1/Q3170))+MIN((Skills!T6*(1+((Inputs!$B$34+(ArtifactsInput!$M$7-ArtifactsInput!$M$7)*CHOOSE(ArtifactsInput!$N$7+1,6,7.2,8.4,9.6,10.8,12)))/100)),MAX(0,Inputs!$B$43-((R3170-1)*(1/Q3170)))))/Inputs!$B$43),IF(Inputs!$B$38="pvp",MIN((Skills!T6*(1+((Inputs!$B$34+(ArtifactsInput!$M$7-ArtifactsInput!$M$7)*CHOOSE(ArtifactsInput!$N$7+1,6,7.2,8.4,9.6,10.8,12)))/100)),15)/15,MIN(1,(Skills!T6*(1+((Inputs!$B$34+(ArtifactsInput!$M$7-ArtifactsInput!$M$7)*CHOOSE(ArtifactsInput!$N$7+1,6,7.2,8.4,9.6,10.8,12)))/100))/(1/Q3170))))+F3181*IF(AND(Inputs!$B$38&lt;&gt;"pvp",Inputs!$B$43&gt;0),(((R3181-1)*MIN((Skills!T17*(1+((Inputs!$B$34+(ArtifactsInput!$M$7-ArtifactsInput!$M$7)*CHOOSE(ArtifactsInput!$N$7+1,6,7.2,8.4,9.6,10.8,12)))/100)),(1/Q3181))+MIN((Skills!T17*(1+((Inputs!$B$34+(ArtifactsInput!$M$7-ArtifactsInput!$M$7)*CHOOSE(ArtifactsInput!$N$7+1,6,7.2,8.4,9.6,10.8,12)))/100)),MAX(0,Inputs!$B$43-((R3181-1)*(1/Q3181)))))/Inputs!$B$43),IF(Inputs!$B$38="pvp",MIN((Skills!T17*(1+((Inputs!$B$34+(ArtifactsInput!$M$7-ArtifactsInput!$M$7)*CHOOSE(ArtifactsInput!$N$7+1,6,7.2,8.4,9.6,10.8,12)))/100)),15)/15,MIN(1,(Skills!T17*(1+((Inputs!$B$34+(ArtifactsInput!$M$7-ArtifactsInput!$M$7)*CHOOSE(ArtifactsInput!$N$7+1,6,7.2,8.4,9.6,10.8,12)))/100))/(1/Q3181)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MIN((Skills!T19*(1+((Inputs!$B$34+(ArtifactsInput!$M$7-ArtifactsInput!$M$7)*CHOOSE(ArtifactsInput!$N$7+1,6,7.2,8.4,9.6,10.8,12)))/100)),(1/Q3183))+MIN((Skills!T19*(1+((Inputs!$B$34+(ArtifactsInput!$M$7-ArtifactsInput!$M$7)*CHOOSE(ArtifactsInput!$N$7+1,6,7.2,8.4,9.6,10.8,12)))/100)),MAX(0,Inputs!$B$43-((R3183-1)*(1/Q3183)))))/Inputs!$B$43),IF(Inputs!$B$38="pvp",MIN((Skills!T19*(1+((Inputs!$B$34+(ArtifactsInput!$M$7-ArtifactsInput!$M$7)*CHOOSE(ArtifactsInput!$N$7+1,6,7.2,8.4,9.6,10.8,12)))/100)),15)/15,MIN(1,(Skills!T19*(1+((Inputs!$B$34+(ArtifactsInput!$M$7-ArtifactsInput!$M$7)*CHOOSE(ArtifactsInput!$N$7+1,6,7.2,8.4,9.6,10.8,12)))/100))/(1/Q3183))))/100),1)</f>
        <v>1.9500192665237881</v>
      </c>
    </row>
    <row r="3197" spans="1:21" x14ac:dyDescent="0.2">
      <c r="A3197" t="s">
        <v>359</v>
      </c>
      <c r="B3197">
        <f>F3182*IF(AND(Inputs!$B$38&lt;&gt;"pvp",Inputs!$B$43&gt;0),(((R3182-1)*MIN((Skills!T18*(1+((Inputs!$B$34+(ArtifactsInput!$M$7-ArtifactsInput!$M$7)*CHOOSE(ArtifactsInput!$N$7+1,6,7.2,8.4,9.6,10.8,12)))/100)),(1/Q3182))+MIN((Skills!T18*(1+((Inputs!$B$34+(ArtifactsInput!$M$7-ArtifactsInput!$M$7)*CHOOSE(ArtifactsInput!$N$7+1,6,7.2,8.4,9.6,10.8,12)))/100)),MAX(0,Inputs!$B$43-((R3182-1)*(1/Q3182)))))/Inputs!$B$43),IF(Inputs!$B$38="pvp",MIN((Skills!T18*(1+((Inputs!$B$34+(ArtifactsInput!$M$7-ArtifactsInput!$M$7)*CHOOSE(ArtifactsInput!$N$7+1,6,7.2,8.4,9.6,10.8,12)))/100)),15)/15,MIN(1,(Skills!T18*(1+((Inputs!$B$34+(ArtifactsInput!$M$7-ArtifactsInput!$M$7)*CHOOSE(ArtifactsInput!$N$7+1,6,7.2,8.4,9.6,10.8,12)))/100))/(1/Q3182))))</f>
        <v>6.4968749999999993</v>
      </c>
    </row>
    <row r="3198" spans="1:21" x14ac:dyDescent="0.2">
      <c r="A3198" t="s">
        <v>436</v>
      </c>
      <c r="B3198">
        <f>1+MIN(150,150*(1-(1-(Inputs!$B$11+(ArtifactsInput!$M$15-ArtifactsInput!$M$15)*CHOOSE(ArtifactsInput!$N$15+1,8,9.6,11.2,12.8,14.4,16))/150)*(1-B3197/150)))/100</f>
        <v>1.6982958749999999</v>
      </c>
    </row>
    <row r="3199" spans="1:21" x14ac:dyDescent="0.2">
      <c r="A3199" t="s">
        <v>437</v>
      </c>
      <c r="B3199">
        <f>IF(AND(Inputs!$B$38&lt;&gt;"pvp",Inputs!$B$43&gt;0),SUMPRODUCT((Skills!F2:F28=TRUE)*(C3166:C3192=TRUE)*R3166:R3192)/Inputs!$B$43,SUMPRODUCT((Skills!F2:F28=TRUE)*(C3166:C3192=TRUE)*Q3166:Q3192))</f>
        <v>0.5</v>
      </c>
    </row>
    <row r="3200" spans="1:21" x14ac:dyDescent="0.2">
      <c r="A3200" t="s">
        <v>362</v>
      </c>
      <c r="B3200">
        <f>MAX(0,B3198-B3199)</f>
        <v>1.1982958749999999</v>
      </c>
    </row>
    <row r="3201" spans="1:2" x14ac:dyDescent="0.2">
      <c r="A3201" t="s">
        <v>438</v>
      </c>
      <c r="B3201">
        <f>IF(AND(Inputs!$B$38&lt;&gt;"pvp",Inputs!$B$43&gt;0),SUMPRODUCT((Skills!V2:V28=TRUE)*(C3166:C3192=TRUE)*R3166:R3192*Skills!W2:W28)/Inputs!$B$43,SUMPRODUCT((Skills!V2:V28=TRUE)*(C3166:C3192=TRUE)*Q3166:Q3192*Skills!W2:W28))+B3200</f>
        <v>1.5232958749999999</v>
      </c>
    </row>
    <row r="3202" spans="1:2" x14ac:dyDescent="0.2">
      <c r="A3202" t="s">
        <v>439</v>
      </c>
      <c r="B3202">
        <f>IF(AND(Inputs!$B$38&lt;&gt;"pvp",Inputs!$B$43&gt;0),SUMPRODUCT((Skills!T2:T28&gt;0)*(Skills!F2:F28=TRUE)*(C3166:C3192=TRUE))/B3198,0)</f>
        <v>2.3553021937358238</v>
      </c>
    </row>
    <row r="3203" spans="1:2" x14ac:dyDescent="0.2">
      <c r="A3203" t="s">
        <v>440</v>
      </c>
      <c r="B3203">
        <f>SUM(S3166:S3192)</f>
        <v>1.043704024512491E+16</v>
      </c>
    </row>
    <row r="3204" spans="1:2" x14ac:dyDescent="0.2">
      <c r="A3204" t="s">
        <v>441</v>
      </c>
      <c r="B3204">
        <f>SUM(U3166:U3192)</f>
        <v>6.2053413318465768E+16</v>
      </c>
    </row>
    <row r="3205" spans="1:2" x14ac:dyDescent="0.2">
      <c r="A3205" s="6" t="s">
        <v>348</v>
      </c>
      <c r="B3205" s="6">
        <f>SUM(O3166:O3192)</f>
        <v>3.6245226781795344E+16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1"/>
  <sheetViews>
    <sheetView workbookViewId="0">
      <pane ySplit="4" topLeftCell="A5" activePane="bottomLeft" state="frozen"/>
      <selection pane="bottomLeft"/>
    </sheetView>
  </sheetViews>
  <sheetFormatPr baseColWidth="10" defaultColWidth="8.83203125" defaultRowHeight="15" x14ac:dyDescent="0.2"/>
  <cols>
    <col min="1" max="1" width="26" customWidth="1"/>
    <col min="2" max="2" width="22" customWidth="1"/>
    <col min="3" max="3" width="12" customWidth="1"/>
    <col min="5" max="7" width="13" hidden="1" customWidth="1"/>
    <col min="9" max="9" width="22" customWidth="1"/>
    <col min="10" max="10" width="12" customWidth="1"/>
    <col min="12" max="14" width="13" hidden="1" customWidth="1"/>
    <col min="17" max="17" width="13" hidden="1" customWidth="1"/>
  </cols>
  <sheetData>
    <row r="1" spans="1:17" ht="19" x14ac:dyDescent="0.25">
      <c r="A1" s="4" t="s">
        <v>517</v>
      </c>
      <c r="Q1" t="s">
        <v>518</v>
      </c>
    </row>
    <row r="2" spans="1:17" x14ac:dyDescent="0.2">
      <c r="A2" t="s">
        <v>519</v>
      </c>
      <c r="Q2" t="s">
        <v>520</v>
      </c>
    </row>
    <row r="3" spans="1:17" x14ac:dyDescent="0.2">
      <c r="Q3" t="s">
        <v>521</v>
      </c>
    </row>
    <row r="4" spans="1:17" x14ac:dyDescent="0.2">
      <c r="B4" s="11" t="s">
        <v>522</v>
      </c>
      <c r="C4" s="12"/>
      <c r="D4" s="12"/>
      <c r="E4" s="12"/>
      <c r="F4" s="12"/>
      <c r="G4" s="12"/>
      <c r="I4" s="11" t="s">
        <v>523</v>
      </c>
      <c r="J4" s="12"/>
      <c r="K4" s="12"/>
      <c r="L4" s="12"/>
      <c r="M4" s="12"/>
      <c r="N4" s="12"/>
      <c r="Q4" t="s">
        <v>524</v>
      </c>
    </row>
    <row r="5" spans="1:17" x14ac:dyDescent="0.2">
      <c r="A5" s="6" t="s">
        <v>521</v>
      </c>
      <c r="B5" s="8" t="s">
        <v>521</v>
      </c>
      <c r="C5" s="7">
        <v>20503</v>
      </c>
      <c r="D5">
        <f>C5*Sensitivity!H25</f>
        <v>639210683672753</v>
      </c>
      <c r="E5">
        <f t="shared" ref="E5:E10" si="0">SUMIF($B$5:$B$10,B5,$D$5:$D$10)</f>
        <v>639210683672753</v>
      </c>
      <c r="F5" t="b">
        <f>TRUE</f>
        <v>1</v>
      </c>
      <c r="G5">
        <f>IF(NOT(F5),1,1+E5/Summary!$B$3)</f>
        <v>1.019319178687536</v>
      </c>
      <c r="I5" s="8" t="s">
        <v>521</v>
      </c>
      <c r="J5" s="7">
        <v>20013</v>
      </c>
      <c r="K5">
        <f>J5*Sensitivity!H25</f>
        <v>623934224861864.38</v>
      </c>
      <c r="L5">
        <f t="shared" ref="L5:L10" si="1">SUMIF($I$5:$I$10,I5,$K$5:$K$10)</f>
        <v>623934224861864.38</v>
      </c>
      <c r="M5" t="b">
        <f>TRUE</f>
        <v>1</v>
      </c>
      <c r="N5">
        <f>IF(NOT(M5),1,1+L5/Summary!$B$3)</f>
        <v>1.018857470763969</v>
      </c>
      <c r="Q5" t="s">
        <v>525</v>
      </c>
    </row>
    <row r="6" spans="1:17" x14ac:dyDescent="0.2">
      <c r="A6" s="6" t="s">
        <v>526</v>
      </c>
      <c r="B6" s="7" t="s">
        <v>525</v>
      </c>
      <c r="C6" s="7">
        <v>26.2</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1303571964675843.8</v>
      </c>
      <c r="E6">
        <f t="shared" si="0"/>
        <v>1303571964675843.8</v>
      </c>
      <c r="F6" t="b">
        <f>AND(B6&lt;&gt;"(none)",COUNTIF($B$5:B5,B6)=0)</f>
        <v>1</v>
      </c>
      <c r="G6">
        <f>IF(NOT(F6),1,1+E6/Summary!$B$3)</f>
        <v>1.0393984962406042</v>
      </c>
      <c r="I6" s="7" t="s">
        <v>527</v>
      </c>
      <c r="J6" s="7">
        <v>17.399999999999999</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1147658588937167.5</v>
      </c>
      <c r="L6">
        <f t="shared" si="1"/>
        <v>1147658588937167.5</v>
      </c>
      <c r="M6" t="b">
        <f>AND(I6&lt;&gt;"(none)",COUNTIF($I$5:I5,I6)=0)</f>
        <v>1</v>
      </c>
      <c r="N6">
        <f>IF(NOT(M6),1,1+L6/Summary!$B$3)</f>
        <v>1.0346862496486582</v>
      </c>
      <c r="Q6" t="s">
        <v>528</v>
      </c>
    </row>
    <row r="7" spans="1:17" x14ac:dyDescent="0.2">
      <c r="A7" s="6" t="s">
        <v>529</v>
      </c>
      <c r="B7" s="7" t="s">
        <v>530</v>
      </c>
      <c r="C7" s="7">
        <v>18</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1262053871645198.8</v>
      </c>
      <c r="E7">
        <f t="shared" si="0"/>
        <v>1262053871645198.8</v>
      </c>
      <c r="F7" t="b">
        <f>AND(B7&lt;&gt;"(none)",COUNTIF($B$5:B6,B7)=0)</f>
        <v>1</v>
      </c>
      <c r="G7">
        <f>IF(NOT(F7),1,1+E7/Summary!$B$3)</f>
        <v>1.0381436745073125</v>
      </c>
      <c r="I7" s="7" t="s">
        <v>531</v>
      </c>
      <c r="J7" s="7">
        <v>17.399999999999999</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954805850013150</v>
      </c>
      <c r="L7">
        <f t="shared" si="1"/>
        <v>954805850013150</v>
      </c>
      <c r="M7" t="b">
        <f>AND(I7&lt;&gt;"(none)",COUNTIF($I$5:I6,I7)=0)</f>
        <v>1</v>
      </c>
      <c r="N7">
        <f>IF(NOT(M7),1,1+L7/Summary!$B$3)</f>
        <v>1.0288575665261444</v>
      </c>
      <c r="Q7" t="s">
        <v>527</v>
      </c>
    </row>
    <row r="8" spans="1:17" x14ac:dyDescent="0.2">
      <c r="A8" s="6" t="s">
        <v>532</v>
      </c>
      <c r="B8" s="7" t="s">
        <v>79</v>
      </c>
      <c r="C8" s="7">
        <v>18</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1629080168960098.5</v>
      </c>
      <c r="E8">
        <f t="shared" si="0"/>
        <v>1629080168960098.5</v>
      </c>
      <c r="F8" t="b">
        <f>AND(B8&lt;&gt;"(none)",COUNTIF($B$5:B7,B8)=0)</f>
        <v>1</v>
      </c>
      <c r="G8">
        <f>IF(NOT(F8),1,1+E8/Summary!$B$3)</f>
        <v>1.0492364906976022</v>
      </c>
      <c r="I8" s="7" t="s">
        <v>525</v>
      </c>
      <c r="J8" s="7">
        <v>25.8</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1283670102619724</v>
      </c>
      <c r="L8">
        <f t="shared" si="1"/>
        <v>1283670102619724</v>
      </c>
      <c r="M8" t="b">
        <f>AND(I8&lt;&gt;"(none)",COUNTIF($I$5:I7,I8)=0)</f>
        <v>1</v>
      </c>
      <c r="N8">
        <f>IF(NOT(M8),1,1+L8/Summary!$B$3)</f>
        <v>1.0387969924812055</v>
      </c>
      <c r="Q8" t="s">
        <v>530</v>
      </c>
    </row>
    <row r="9" spans="1:17" x14ac:dyDescent="0.2">
      <c r="A9" s="6" t="s">
        <v>533</v>
      </c>
      <c r="B9" s="7" t="s">
        <v>518</v>
      </c>
      <c r="C9" s="7">
        <v>1554</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936559369376481.75</v>
      </c>
      <c r="E9">
        <f t="shared" si="0"/>
        <v>936559369376481.75</v>
      </c>
      <c r="F9" t="b">
        <f>AND(B9&lt;&gt;"(none)",COUNTIF($B$5:B8,B9)=0)</f>
        <v>1</v>
      </c>
      <c r="G9">
        <f>IF(NOT(F9),1,1+E9/Summary!$B$3)</f>
        <v>1.0283060941730651</v>
      </c>
      <c r="I9" s="7" t="s">
        <v>518</v>
      </c>
      <c r="J9" s="7">
        <v>1505</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907028218089835.88</v>
      </c>
      <c r="L9">
        <f t="shared" si="1"/>
        <v>907028218089835.88</v>
      </c>
      <c r="M9" t="b">
        <f>AND(I9&lt;&gt;"(none)",COUNTIF($I$5:I8,I9)=0)</f>
        <v>1</v>
      </c>
      <c r="N9">
        <f>IF(NOT(M9),1,1+L9/Summary!$B$3)</f>
        <v>1.0274135596721126</v>
      </c>
      <c r="Q9" t="s">
        <v>534</v>
      </c>
    </row>
    <row r="10" spans="1:17" x14ac:dyDescent="0.2">
      <c r="A10" s="6" t="s">
        <v>535</v>
      </c>
      <c r="B10" s="7" t="s">
        <v>15</v>
      </c>
      <c r="C10" s="7">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0</v>
      </c>
      <c r="E10">
        <f t="shared" si="0"/>
        <v>0</v>
      </c>
      <c r="F10" t="b">
        <f>AND(B10&lt;&gt;"(none)",COUNTIF($B$5:B9,B10)=0)</f>
        <v>0</v>
      </c>
      <c r="G10">
        <f>IF(NOT(F10),1,1+E10/Summary!$B$3)</f>
        <v>1</v>
      </c>
      <c r="I10" s="7" t="s">
        <v>15</v>
      </c>
      <c r="J10" s="7">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0</v>
      </c>
      <c r="L10">
        <f t="shared" si="1"/>
        <v>0</v>
      </c>
      <c r="M10" t="b">
        <f>AND(I10&lt;&gt;"(none)",COUNTIF($I$5:I9,I10)=0)</f>
        <v>0</v>
      </c>
      <c r="N10">
        <f>IF(NOT(M10),1,1+L10/Summary!$B$3)</f>
        <v>1</v>
      </c>
      <c r="Q10" t="s">
        <v>531</v>
      </c>
    </row>
    <row r="11" spans="1:17" x14ac:dyDescent="0.2">
      <c r="Q11" t="s">
        <v>536</v>
      </c>
    </row>
    <row r="12" spans="1:17" x14ac:dyDescent="0.2">
      <c r="A12" s="6" t="s">
        <v>537</v>
      </c>
      <c r="D12">
        <f>Summary!$B$3*(PRODUCT($G$5:$G$10)-1)</f>
        <v>6177729552736097</v>
      </c>
      <c r="K12">
        <f>Summary!$B$3*(PRODUCT($N$5:$N$10)-1)</f>
        <v>5214030609931326</v>
      </c>
      <c r="Q12" t="s">
        <v>538</v>
      </c>
    </row>
    <row r="13" spans="1:17" x14ac:dyDescent="0.2">
      <c r="A13" s="6" t="s">
        <v>539</v>
      </c>
      <c r="D13" s="13">
        <f>D12/Summary!$B$3*100</f>
        <v>18.671255684719036</v>
      </c>
      <c r="K13" s="13">
        <f>K12/Summary!$B$3*100</f>
        <v>15.758621000633187</v>
      </c>
      <c r="Q13" t="s">
        <v>73</v>
      </c>
    </row>
    <row r="14" spans="1:17" x14ac:dyDescent="0.2">
      <c r="Q14" t="s">
        <v>75</v>
      </c>
    </row>
    <row r="15" spans="1:17" ht="16" x14ac:dyDescent="0.2">
      <c r="A15" s="9" t="s">
        <v>540</v>
      </c>
      <c r="D15" s="14">
        <f>K13-D13</f>
        <v>-2.9126346840858481</v>
      </c>
      <c r="Q15" t="s">
        <v>77</v>
      </c>
    </row>
    <row r="16" spans="1:17" x14ac:dyDescent="0.2">
      <c r="Q16" t="s">
        <v>79</v>
      </c>
    </row>
    <row r="17" spans="17:17" x14ac:dyDescent="0.2">
      <c r="Q17" t="s">
        <v>81</v>
      </c>
    </row>
    <row r="18" spans="17:17" x14ac:dyDescent="0.2">
      <c r="Q18" t="s">
        <v>541</v>
      </c>
    </row>
    <row r="19" spans="17:17" x14ac:dyDescent="0.2">
      <c r="Q19" t="s">
        <v>542</v>
      </c>
    </row>
    <row r="20" spans="17:17" x14ac:dyDescent="0.2">
      <c r="Q20" t="s">
        <v>543</v>
      </c>
    </row>
    <row r="21" spans="17:17" x14ac:dyDescent="0.2">
      <c r="Q21" t="s">
        <v>544</v>
      </c>
    </row>
  </sheetData>
  <dataValidations count="1">
    <dataValidation type="list" sqref="B6 B7 B8 B9 B10 I6 I7 I8 I9 I10" xr:uid="{00000000-0002-0000-0800-000000000000}">
      <formula1>$Q$1:$Q$21</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709"/>
  <sheetViews>
    <sheetView workbookViewId="0">
      <pane ySplit="1" topLeftCell="A426" activePane="bottomLeft" state="frozen"/>
      <selection pane="bottomLeft" activeCell="D450" sqref="D450"/>
    </sheetView>
  </sheetViews>
  <sheetFormatPr baseColWidth="10" defaultColWidth="8.83203125" defaultRowHeight="15" x14ac:dyDescent="0.2"/>
  <cols>
    <col min="1" max="1" width="10" customWidth="1"/>
    <col min="2" max="2" width="12" customWidth="1"/>
    <col min="3" max="3" width="6" customWidth="1"/>
    <col min="4" max="4" width="26" customWidth="1"/>
    <col min="5" max="6" width="9" customWidth="1"/>
    <col min="7" max="7" width="8" customWidth="1"/>
    <col min="8" max="8" width="13" customWidth="1"/>
    <col min="9" max="9" width="2" customWidth="1"/>
    <col min="10" max="10" width="26" customWidth="1"/>
    <col min="11" max="11" width="13" customWidth="1"/>
    <col min="12" max="12" width="2" customWidth="1"/>
    <col min="13" max="13" width="12" customWidth="1"/>
    <col min="14" max="14" width="10" customWidth="1"/>
    <col min="15" max="15" width="9" customWidth="1"/>
    <col min="16" max="16" width="15" customWidth="1"/>
    <col min="17" max="17" width="14" customWidth="1"/>
  </cols>
  <sheetData>
    <row r="1" spans="1:17" x14ac:dyDescent="0.2">
      <c r="A1" s="5" t="s">
        <v>545</v>
      </c>
      <c r="B1" s="5" t="s">
        <v>546</v>
      </c>
      <c r="C1" s="5" t="s">
        <v>547</v>
      </c>
      <c r="D1" s="5" t="s">
        <v>371</v>
      </c>
      <c r="E1" s="5" t="s">
        <v>548</v>
      </c>
      <c r="F1" s="5" t="s">
        <v>549</v>
      </c>
      <c r="G1" s="5" t="s">
        <v>550</v>
      </c>
      <c r="H1" s="5" t="s">
        <v>551</v>
      </c>
      <c r="J1" s="11" t="s">
        <v>371</v>
      </c>
      <c r="K1" s="11" t="s">
        <v>551</v>
      </c>
      <c r="M1" s="11" t="s">
        <v>546</v>
      </c>
      <c r="N1" s="11" t="s">
        <v>552</v>
      </c>
      <c r="O1" s="11" t="s">
        <v>553</v>
      </c>
      <c r="P1" s="11" t="s">
        <v>554</v>
      </c>
      <c r="Q1" s="11" t="s">
        <v>555</v>
      </c>
    </row>
    <row r="2" spans="1:17" x14ac:dyDescent="0.2">
      <c r="A2" t="s">
        <v>556</v>
      </c>
      <c r="B2" t="s">
        <v>557</v>
      </c>
      <c r="C2">
        <v>1</v>
      </c>
      <c r="D2" t="s">
        <v>527</v>
      </c>
      <c r="E2">
        <v>3</v>
      </c>
      <c r="F2">
        <v>2.5</v>
      </c>
      <c r="G2" t="b">
        <v>0</v>
      </c>
      <c r="H2">
        <f>IF(AND(Inputs!$B$9+Artifacts!$B$32&gt;=100,NOT(ArtifactsInput!$M$42),NOT(ArtifactsInput!$M$24)),Sensitivity!H15,Sensitivity!H14)</f>
        <v>65957390168802.742</v>
      </c>
      <c r="J2" t="s">
        <v>15</v>
      </c>
      <c r="K2">
        <v>0</v>
      </c>
      <c r="M2" t="s">
        <v>557</v>
      </c>
      <c r="N2">
        <v>0.06</v>
      </c>
      <c r="O2">
        <v>30</v>
      </c>
      <c r="P2" t="s">
        <v>558</v>
      </c>
      <c r="Q2" t="s">
        <v>559</v>
      </c>
    </row>
    <row r="3" spans="1:17" x14ac:dyDescent="0.2">
      <c r="A3" t="s">
        <v>556</v>
      </c>
      <c r="B3" t="s">
        <v>557</v>
      </c>
      <c r="C3">
        <v>1</v>
      </c>
      <c r="D3" t="s">
        <v>544</v>
      </c>
      <c r="E3">
        <v>3</v>
      </c>
      <c r="F3">
        <v>2.5</v>
      </c>
      <c r="G3" t="b">
        <v>0</v>
      </c>
      <c r="H3">
        <f>Sensitivity!H16</f>
        <v>59664313918494.375</v>
      </c>
      <c r="J3" t="s">
        <v>560</v>
      </c>
      <c r="K3">
        <f>Sensitivity!H24</f>
        <v>149295483983435.78</v>
      </c>
      <c r="M3" t="s">
        <v>561</v>
      </c>
      <c r="N3">
        <v>3.3329999999999999E-2</v>
      </c>
      <c r="O3">
        <v>60</v>
      </c>
      <c r="P3" t="s">
        <v>558</v>
      </c>
      <c r="Q3" t="s">
        <v>562</v>
      </c>
    </row>
    <row r="4" spans="1:17" x14ac:dyDescent="0.2">
      <c r="A4" t="s">
        <v>556</v>
      </c>
      <c r="B4" t="s">
        <v>557</v>
      </c>
      <c r="C4">
        <v>1</v>
      </c>
      <c r="D4" t="s">
        <v>528</v>
      </c>
      <c r="E4">
        <v>5</v>
      </c>
      <c r="F4">
        <v>4</v>
      </c>
      <c r="G4" t="b">
        <v>0</v>
      </c>
      <c r="H4">
        <f>Sensitivity!H7</f>
        <v>32286149168906.172</v>
      </c>
      <c r="J4" t="s">
        <v>544</v>
      </c>
      <c r="K4">
        <f>Sensitivity!H16</f>
        <v>59664313918494.375</v>
      </c>
      <c r="M4" t="s">
        <v>563</v>
      </c>
      <c r="N4">
        <v>1.67E-2</v>
      </c>
      <c r="O4">
        <v>120</v>
      </c>
      <c r="P4" t="s">
        <v>558</v>
      </c>
      <c r="Q4" t="s">
        <v>564</v>
      </c>
    </row>
    <row r="5" spans="1:17" x14ac:dyDescent="0.2">
      <c r="A5" t="s">
        <v>556</v>
      </c>
      <c r="B5" t="s">
        <v>557</v>
      </c>
      <c r="C5">
        <v>1</v>
      </c>
      <c r="D5" t="s">
        <v>565</v>
      </c>
      <c r="E5">
        <v>3</v>
      </c>
      <c r="F5">
        <v>4</v>
      </c>
      <c r="G5" t="b">
        <v>0</v>
      </c>
      <c r="H5">
        <f>Sensitivity!H12</f>
        <v>49754655140299.383</v>
      </c>
      <c r="J5" t="s">
        <v>542</v>
      </c>
      <c r="K5">
        <f>Sensitivity!H18</f>
        <v>60777177905680.719</v>
      </c>
      <c r="M5" t="s">
        <v>566</v>
      </c>
      <c r="N5">
        <v>6.0000000000000001E-3</v>
      </c>
      <c r="O5">
        <v>333</v>
      </c>
      <c r="P5" t="s">
        <v>558</v>
      </c>
      <c r="Q5" t="s">
        <v>567</v>
      </c>
    </row>
    <row r="6" spans="1:17" x14ac:dyDescent="0.2">
      <c r="A6" t="s">
        <v>556</v>
      </c>
      <c r="B6" t="s">
        <v>557</v>
      </c>
      <c r="C6">
        <v>1</v>
      </c>
      <c r="D6" t="s">
        <v>568</v>
      </c>
      <c r="E6">
        <v>3</v>
      </c>
      <c r="F6">
        <v>4</v>
      </c>
      <c r="G6" t="b">
        <v>0</v>
      </c>
      <c r="H6">
        <f>Sensitivity!H13</f>
        <v>49754655140299.383</v>
      </c>
      <c r="J6" t="s">
        <v>569</v>
      </c>
      <c r="K6">
        <f>Sensitivity!H28</f>
        <v>558422459014296</v>
      </c>
      <c r="M6" t="s">
        <v>570</v>
      </c>
      <c r="N6">
        <v>2.0999999999999999E-3</v>
      </c>
      <c r="O6">
        <v>714</v>
      </c>
      <c r="P6" t="s">
        <v>558</v>
      </c>
      <c r="Q6" t="s">
        <v>571</v>
      </c>
    </row>
    <row r="7" spans="1:17" x14ac:dyDescent="0.2">
      <c r="A7" t="s">
        <v>556</v>
      </c>
      <c r="B7" t="s">
        <v>557</v>
      </c>
      <c r="C7">
        <v>1</v>
      </c>
      <c r="D7" t="s">
        <v>572</v>
      </c>
      <c r="E7">
        <v>3</v>
      </c>
      <c r="F7">
        <v>4.5</v>
      </c>
      <c r="G7" t="b">
        <v>0</v>
      </c>
      <c r="H7" t="s">
        <v>573</v>
      </c>
      <c r="J7" t="s">
        <v>90</v>
      </c>
      <c r="K7">
        <f>Sensitivity!H29</f>
        <v>109242831719054.91</v>
      </c>
      <c r="M7" t="s">
        <v>574</v>
      </c>
      <c r="N7">
        <v>0</v>
      </c>
      <c r="O7">
        <v>0</v>
      </c>
      <c r="P7" t="s">
        <v>558</v>
      </c>
      <c r="Q7" t="s">
        <v>575</v>
      </c>
    </row>
    <row r="8" spans="1:17" x14ac:dyDescent="0.2">
      <c r="A8" t="s">
        <v>556</v>
      </c>
      <c r="B8" t="s">
        <v>557</v>
      </c>
      <c r="C8">
        <v>1</v>
      </c>
      <c r="D8" t="s">
        <v>576</v>
      </c>
      <c r="E8">
        <v>3</v>
      </c>
      <c r="F8">
        <v>4.5</v>
      </c>
      <c r="G8" t="b">
        <v>0</v>
      </c>
      <c r="H8" t="s">
        <v>573</v>
      </c>
      <c r="J8" t="s">
        <v>577</v>
      </c>
      <c r="K8">
        <f>Sensitivity!H15</f>
        <v>70114103980288.82</v>
      </c>
      <c r="M8" t="s">
        <v>557</v>
      </c>
      <c r="N8">
        <v>0.06</v>
      </c>
      <c r="O8">
        <v>42</v>
      </c>
      <c r="P8" t="s">
        <v>578</v>
      </c>
      <c r="Q8" t="s">
        <v>579</v>
      </c>
    </row>
    <row r="9" spans="1:17" x14ac:dyDescent="0.2">
      <c r="A9" t="s">
        <v>556</v>
      </c>
      <c r="B9" t="s">
        <v>557</v>
      </c>
      <c r="C9">
        <v>1</v>
      </c>
      <c r="D9" t="s">
        <v>580</v>
      </c>
      <c r="E9">
        <v>3</v>
      </c>
      <c r="F9">
        <v>4.5</v>
      </c>
      <c r="G9" t="b">
        <v>0</v>
      </c>
      <c r="H9">
        <f>Sensitivity!H6</f>
        <v>102956340516479.42</v>
      </c>
      <c r="J9" t="s">
        <v>530</v>
      </c>
      <c r="K9">
        <f>Sensitivity!H15</f>
        <v>70114103980288.82</v>
      </c>
      <c r="M9" t="s">
        <v>561</v>
      </c>
      <c r="N9">
        <v>3.3329999999999999E-2</v>
      </c>
      <c r="O9">
        <v>75</v>
      </c>
      <c r="P9" t="s">
        <v>578</v>
      </c>
      <c r="Q9" t="s">
        <v>581</v>
      </c>
    </row>
    <row r="10" spans="1:17" x14ac:dyDescent="0.2">
      <c r="A10" t="s">
        <v>556</v>
      </c>
      <c r="B10" t="s">
        <v>557</v>
      </c>
      <c r="C10">
        <v>1</v>
      </c>
      <c r="D10" t="s">
        <v>582</v>
      </c>
      <c r="E10">
        <v>3</v>
      </c>
      <c r="F10">
        <v>4.5</v>
      </c>
      <c r="G10" t="b">
        <v>0</v>
      </c>
      <c r="H10" t="s">
        <v>573</v>
      </c>
      <c r="J10" t="s">
        <v>527</v>
      </c>
      <c r="K10">
        <f>IF(AND(Inputs!$B$9+Artifacts!$B$32&gt;=100,NOT(ArtifactsInput!$M$42),NOT(ArtifactsInput!$M$24)),Sensitivity!H15,Sensitivity!H14)</f>
        <v>65957390168802.742</v>
      </c>
      <c r="M10" t="s">
        <v>563</v>
      </c>
      <c r="N10">
        <v>1.67E-2</v>
      </c>
      <c r="O10">
        <v>150</v>
      </c>
      <c r="P10" t="s">
        <v>578</v>
      </c>
      <c r="Q10" t="s">
        <v>583</v>
      </c>
    </row>
    <row r="11" spans="1:17" x14ac:dyDescent="0.2">
      <c r="A11" t="s">
        <v>556</v>
      </c>
      <c r="B11" t="s">
        <v>557</v>
      </c>
      <c r="C11">
        <v>1</v>
      </c>
      <c r="D11" t="s">
        <v>584</v>
      </c>
      <c r="E11">
        <v>3</v>
      </c>
      <c r="F11">
        <v>9</v>
      </c>
      <c r="G11" t="b">
        <v>0</v>
      </c>
      <c r="H11" t="s">
        <v>573</v>
      </c>
      <c r="J11" t="s">
        <v>528</v>
      </c>
      <c r="K11">
        <f>Sensitivity!H7</f>
        <v>32286149168906.172</v>
      </c>
      <c r="M11" t="s">
        <v>566</v>
      </c>
      <c r="N11">
        <v>6.0000000000000001E-3</v>
      </c>
      <c r="O11">
        <v>417</v>
      </c>
      <c r="P11" t="s">
        <v>578</v>
      </c>
      <c r="Q11" t="s">
        <v>585</v>
      </c>
    </row>
    <row r="12" spans="1:17" x14ac:dyDescent="0.2">
      <c r="A12" t="s">
        <v>556</v>
      </c>
      <c r="B12" t="s">
        <v>557</v>
      </c>
      <c r="C12">
        <v>1</v>
      </c>
      <c r="D12" t="s">
        <v>586</v>
      </c>
      <c r="E12">
        <v>6</v>
      </c>
      <c r="F12">
        <v>9</v>
      </c>
      <c r="G12" t="b">
        <v>0</v>
      </c>
      <c r="H12" t="s">
        <v>573</v>
      </c>
      <c r="J12" t="s">
        <v>584</v>
      </c>
      <c r="K12" t="s">
        <v>573</v>
      </c>
      <c r="M12" t="s">
        <v>570</v>
      </c>
      <c r="N12">
        <v>2.0999999999999999E-3</v>
      </c>
      <c r="O12">
        <v>714</v>
      </c>
      <c r="P12" t="s">
        <v>578</v>
      </c>
      <c r="Q12" t="s">
        <v>587</v>
      </c>
    </row>
    <row r="13" spans="1:17" x14ac:dyDescent="0.2">
      <c r="A13" t="s">
        <v>556</v>
      </c>
      <c r="B13" t="s">
        <v>557</v>
      </c>
      <c r="C13">
        <v>1</v>
      </c>
      <c r="D13" t="s">
        <v>588</v>
      </c>
      <c r="E13">
        <v>3</v>
      </c>
      <c r="F13">
        <v>9</v>
      </c>
      <c r="G13" t="b">
        <v>0</v>
      </c>
      <c r="H13" t="s">
        <v>573</v>
      </c>
      <c r="J13" t="s">
        <v>589</v>
      </c>
      <c r="K13">
        <f>Sensitivity!H17</f>
        <v>130798804731813.02</v>
      </c>
      <c r="M13" t="s">
        <v>574</v>
      </c>
      <c r="N13">
        <v>0</v>
      </c>
      <c r="O13">
        <v>0</v>
      </c>
      <c r="P13" t="s">
        <v>578</v>
      </c>
      <c r="Q13" t="s">
        <v>590</v>
      </c>
    </row>
    <row r="14" spans="1:17" x14ac:dyDescent="0.2">
      <c r="A14" t="s">
        <v>556</v>
      </c>
      <c r="B14" t="s">
        <v>557</v>
      </c>
      <c r="C14">
        <v>1</v>
      </c>
      <c r="D14" t="s">
        <v>591</v>
      </c>
      <c r="E14">
        <v>50</v>
      </c>
      <c r="F14">
        <v>9.5</v>
      </c>
      <c r="G14" t="b">
        <v>0</v>
      </c>
      <c r="H14" t="s">
        <v>573</v>
      </c>
      <c r="J14" t="s">
        <v>592</v>
      </c>
      <c r="K14" t="s">
        <v>573</v>
      </c>
      <c r="Q14" t="s">
        <v>593</v>
      </c>
    </row>
    <row r="15" spans="1:17" x14ac:dyDescent="0.2">
      <c r="A15" t="s">
        <v>556</v>
      </c>
      <c r="B15" t="s">
        <v>557</v>
      </c>
      <c r="C15">
        <v>1</v>
      </c>
      <c r="D15" t="s">
        <v>592</v>
      </c>
      <c r="E15">
        <v>50</v>
      </c>
      <c r="F15">
        <v>9.5</v>
      </c>
      <c r="G15" t="b">
        <v>0</v>
      </c>
      <c r="H15" t="s">
        <v>573</v>
      </c>
      <c r="J15" t="s">
        <v>576</v>
      </c>
      <c r="K15" t="s">
        <v>573</v>
      </c>
      <c r="Q15" t="s">
        <v>594</v>
      </c>
    </row>
    <row r="16" spans="1:17" x14ac:dyDescent="0.2">
      <c r="A16" t="s">
        <v>556</v>
      </c>
      <c r="B16" t="s">
        <v>557</v>
      </c>
      <c r="C16">
        <v>1</v>
      </c>
      <c r="D16" t="s">
        <v>595</v>
      </c>
      <c r="E16">
        <v>50</v>
      </c>
      <c r="F16">
        <v>9.5</v>
      </c>
      <c r="G16" t="b">
        <v>0</v>
      </c>
      <c r="H16">
        <f>Sensitivity!H5</f>
        <v>602676556870.32288</v>
      </c>
      <c r="J16" t="s">
        <v>541</v>
      </c>
      <c r="K16">
        <f>Sensitivity!H11</f>
        <v>330868456682976.56</v>
      </c>
      <c r="Q16" t="s">
        <v>596</v>
      </c>
    </row>
    <row r="17" spans="1:11" x14ac:dyDescent="0.2">
      <c r="A17" t="s">
        <v>556</v>
      </c>
      <c r="B17" t="s">
        <v>557</v>
      </c>
      <c r="C17">
        <v>1</v>
      </c>
      <c r="D17" t="s">
        <v>597</v>
      </c>
      <c r="E17">
        <v>50</v>
      </c>
      <c r="F17">
        <v>9.5</v>
      </c>
      <c r="G17" t="b">
        <v>0</v>
      </c>
      <c r="H17" t="s">
        <v>573</v>
      </c>
      <c r="J17" t="s">
        <v>595</v>
      </c>
      <c r="K17">
        <f>Sensitivity!H5</f>
        <v>602676556870.32288</v>
      </c>
    </row>
    <row r="18" spans="1:11" x14ac:dyDescent="0.2">
      <c r="A18" t="s">
        <v>556</v>
      </c>
      <c r="B18" t="s">
        <v>557</v>
      </c>
      <c r="C18">
        <v>2</v>
      </c>
      <c r="D18" t="s">
        <v>527</v>
      </c>
      <c r="E18">
        <v>3</v>
      </c>
      <c r="F18">
        <v>2.5</v>
      </c>
      <c r="G18" t="b">
        <v>0</v>
      </c>
      <c r="H18">
        <f>IF(AND(Inputs!$B$9+Artifacts!$B$32&gt;=100,NOT(ArtifactsInput!$M$42),NOT(ArtifactsInput!$M$24)),Sensitivity!H15,Sensitivity!H14)</f>
        <v>65957390168802.742</v>
      </c>
      <c r="J18" t="s">
        <v>580</v>
      </c>
      <c r="K18">
        <f>Sensitivity!H6</f>
        <v>102956340516479.42</v>
      </c>
    </row>
    <row r="19" spans="1:11" x14ac:dyDescent="0.2">
      <c r="A19" t="s">
        <v>556</v>
      </c>
      <c r="B19" t="s">
        <v>557</v>
      </c>
      <c r="C19">
        <v>2</v>
      </c>
      <c r="D19" t="s">
        <v>544</v>
      </c>
      <c r="E19">
        <v>3</v>
      </c>
      <c r="F19">
        <v>2.5</v>
      </c>
      <c r="G19" t="b">
        <v>0</v>
      </c>
      <c r="H19">
        <f>Sensitivity!H16</f>
        <v>59664313918494.375</v>
      </c>
      <c r="J19" t="s">
        <v>597</v>
      </c>
      <c r="K19" t="s">
        <v>573</v>
      </c>
    </row>
    <row r="20" spans="1:11" x14ac:dyDescent="0.2">
      <c r="A20" t="s">
        <v>556</v>
      </c>
      <c r="B20" t="s">
        <v>557</v>
      </c>
      <c r="C20">
        <v>2</v>
      </c>
      <c r="D20" t="s">
        <v>528</v>
      </c>
      <c r="E20">
        <v>5</v>
      </c>
      <c r="F20">
        <v>4</v>
      </c>
      <c r="G20" t="b">
        <v>0</v>
      </c>
      <c r="H20">
        <f>Sensitivity!H7</f>
        <v>32286149168906.172</v>
      </c>
      <c r="J20" t="s">
        <v>582</v>
      </c>
      <c r="K20" t="s">
        <v>573</v>
      </c>
    </row>
    <row r="21" spans="1:11" x14ac:dyDescent="0.2">
      <c r="A21" t="s">
        <v>556</v>
      </c>
      <c r="B21" t="s">
        <v>557</v>
      </c>
      <c r="C21">
        <v>2</v>
      </c>
      <c r="D21" t="s">
        <v>565</v>
      </c>
      <c r="E21">
        <v>3</v>
      </c>
      <c r="F21">
        <v>4</v>
      </c>
      <c r="G21" t="b">
        <v>0</v>
      </c>
      <c r="H21">
        <f>Sensitivity!H12</f>
        <v>49754655140299.383</v>
      </c>
      <c r="J21" t="s">
        <v>598</v>
      </c>
      <c r="K21">
        <f>Sensitivity!H6*INT(Inputs!$B$3/4)</f>
        <v>2985733874977903</v>
      </c>
    </row>
    <row r="22" spans="1:11" x14ac:dyDescent="0.2">
      <c r="A22" t="s">
        <v>556</v>
      </c>
      <c r="B22" t="s">
        <v>557</v>
      </c>
      <c r="C22">
        <v>2</v>
      </c>
      <c r="D22" t="s">
        <v>568</v>
      </c>
      <c r="E22">
        <v>3</v>
      </c>
      <c r="F22">
        <v>4</v>
      </c>
      <c r="G22" t="b">
        <v>0</v>
      </c>
      <c r="H22">
        <f>Sensitivity!H13</f>
        <v>49754655140299.383</v>
      </c>
      <c r="J22" t="s">
        <v>599</v>
      </c>
      <c r="K22">
        <f>Sensitivity!H5*Inputs!$B$3</f>
        <v>70513157153827.781</v>
      </c>
    </row>
    <row r="23" spans="1:11" x14ac:dyDescent="0.2">
      <c r="A23" t="s">
        <v>556</v>
      </c>
      <c r="B23" t="s">
        <v>557</v>
      </c>
      <c r="C23">
        <v>2</v>
      </c>
      <c r="D23" t="s">
        <v>572</v>
      </c>
      <c r="E23">
        <v>3</v>
      </c>
      <c r="F23">
        <v>4.5</v>
      </c>
      <c r="G23" t="b">
        <v>0</v>
      </c>
      <c r="H23" t="s">
        <v>573</v>
      </c>
      <c r="J23" t="s">
        <v>568</v>
      </c>
      <c r="K23">
        <f>Sensitivity!H13</f>
        <v>49754655140299.383</v>
      </c>
    </row>
    <row r="24" spans="1:11" x14ac:dyDescent="0.2">
      <c r="A24" t="s">
        <v>556</v>
      </c>
      <c r="B24" t="s">
        <v>557</v>
      </c>
      <c r="C24">
        <v>2</v>
      </c>
      <c r="D24" t="s">
        <v>576</v>
      </c>
      <c r="E24">
        <v>3</v>
      </c>
      <c r="F24">
        <v>4.5</v>
      </c>
      <c r="G24" t="b">
        <v>0</v>
      </c>
      <c r="H24" t="s">
        <v>573</v>
      </c>
      <c r="J24" t="s">
        <v>586</v>
      </c>
      <c r="K24" t="s">
        <v>573</v>
      </c>
    </row>
    <row r="25" spans="1:11" x14ac:dyDescent="0.2">
      <c r="A25" t="s">
        <v>556</v>
      </c>
      <c r="B25" t="s">
        <v>557</v>
      </c>
      <c r="C25">
        <v>2</v>
      </c>
      <c r="D25" t="s">
        <v>580</v>
      </c>
      <c r="E25">
        <v>3</v>
      </c>
      <c r="F25">
        <v>4.5</v>
      </c>
      <c r="G25" t="b">
        <v>0</v>
      </c>
      <c r="H25">
        <f>Sensitivity!H6</f>
        <v>102956340516479.42</v>
      </c>
      <c r="J25" t="s">
        <v>588</v>
      </c>
      <c r="K25" t="s">
        <v>573</v>
      </c>
    </row>
    <row r="26" spans="1:11" x14ac:dyDescent="0.2">
      <c r="A26" t="s">
        <v>556</v>
      </c>
      <c r="B26" t="s">
        <v>557</v>
      </c>
      <c r="C26">
        <v>2</v>
      </c>
      <c r="D26" t="s">
        <v>582</v>
      </c>
      <c r="E26">
        <v>3</v>
      </c>
      <c r="F26">
        <v>4.5</v>
      </c>
      <c r="G26" t="b">
        <v>0</v>
      </c>
      <c r="H26" t="s">
        <v>573</v>
      </c>
      <c r="J26" t="s">
        <v>565</v>
      </c>
      <c r="K26">
        <f>Sensitivity!H12</f>
        <v>49754655140299.383</v>
      </c>
    </row>
    <row r="27" spans="1:11" x14ac:dyDescent="0.2">
      <c r="A27" t="s">
        <v>556</v>
      </c>
      <c r="B27" t="s">
        <v>557</v>
      </c>
      <c r="C27">
        <v>2</v>
      </c>
      <c r="D27" t="s">
        <v>584</v>
      </c>
      <c r="E27">
        <v>3</v>
      </c>
      <c r="F27">
        <v>9</v>
      </c>
      <c r="G27" t="b">
        <v>0</v>
      </c>
      <c r="H27" t="s">
        <v>573</v>
      </c>
      <c r="J27" t="s">
        <v>394</v>
      </c>
      <c r="K27">
        <f>Sensitivity!H27</f>
        <v>363350920083618.5</v>
      </c>
    </row>
    <row r="28" spans="1:11" x14ac:dyDescent="0.2">
      <c r="A28" t="s">
        <v>556</v>
      </c>
      <c r="B28" t="s">
        <v>557</v>
      </c>
      <c r="C28">
        <v>2</v>
      </c>
      <c r="D28" t="s">
        <v>586</v>
      </c>
      <c r="E28">
        <v>6</v>
      </c>
      <c r="F28">
        <v>9</v>
      </c>
      <c r="G28" t="b">
        <v>0</v>
      </c>
      <c r="H28" t="s">
        <v>573</v>
      </c>
      <c r="J28" t="s">
        <v>543</v>
      </c>
      <c r="K28">
        <f>Sensitivity!H19</f>
        <v>91087187982857.859</v>
      </c>
    </row>
    <row r="29" spans="1:11" x14ac:dyDescent="0.2">
      <c r="A29" t="s">
        <v>556</v>
      </c>
      <c r="B29" t="s">
        <v>557</v>
      </c>
      <c r="C29">
        <v>2</v>
      </c>
      <c r="D29" t="s">
        <v>588</v>
      </c>
      <c r="E29">
        <v>3</v>
      </c>
      <c r="F29">
        <v>9</v>
      </c>
      <c r="G29" t="b">
        <v>0</v>
      </c>
      <c r="H29" t="s">
        <v>573</v>
      </c>
      <c r="J29" t="s">
        <v>591</v>
      </c>
      <c r="K29" t="s">
        <v>573</v>
      </c>
    </row>
    <row r="30" spans="1:11" x14ac:dyDescent="0.2">
      <c r="A30" t="s">
        <v>556</v>
      </c>
      <c r="B30" t="s">
        <v>557</v>
      </c>
      <c r="C30">
        <v>2</v>
      </c>
      <c r="D30" t="s">
        <v>591</v>
      </c>
      <c r="E30">
        <v>50</v>
      </c>
      <c r="F30">
        <v>9.5</v>
      </c>
      <c r="G30" t="b">
        <v>0</v>
      </c>
      <c r="H30" t="s">
        <v>573</v>
      </c>
      <c r="J30" t="s">
        <v>572</v>
      </c>
      <c r="K30" t="s">
        <v>573</v>
      </c>
    </row>
    <row r="31" spans="1:11" x14ac:dyDescent="0.2">
      <c r="A31" t="s">
        <v>556</v>
      </c>
      <c r="B31" t="s">
        <v>557</v>
      </c>
      <c r="C31">
        <v>2</v>
      </c>
      <c r="D31" t="s">
        <v>592</v>
      </c>
      <c r="E31">
        <v>50</v>
      </c>
      <c r="F31">
        <v>9.5</v>
      </c>
      <c r="G31" t="b">
        <v>0</v>
      </c>
      <c r="H31" t="s">
        <v>573</v>
      </c>
    </row>
    <row r="32" spans="1:11" x14ac:dyDescent="0.2">
      <c r="A32" t="s">
        <v>556</v>
      </c>
      <c r="B32" t="s">
        <v>557</v>
      </c>
      <c r="C32">
        <v>2</v>
      </c>
      <c r="D32" t="s">
        <v>595</v>
      </c>
      <c r="E32">
        <v>50</v>
      </c>
      <c r="F32">
        <v>9.5</v>
      </c>
      <c r="G32" t="b">
        <v>0</v>
      </c>
      <c r="H32">
        <f>Sensitivity!H5</f>
        <v>602676556870.32288</v>
      </c>
    </row>
    <row r="33" spans="1:8" x14ac:dyDescent="0.2">
      <c r="A33" t="s">
        <v>556</v>
      </c>
      <c r="B33" t="s">
        <v>557</v>
      </c>
      <c r="C33">
        <v>2</v>
      </c>
      <c r="D33" t="s">
        <v>597</v>
      </c>
      <c r="E33">
        <v>50</v>
      </c>
      <c r="F33">
        <v>9.5</v>
      </c>
      <c r="G33" t="b">
        <v>0</v>
      </c>
      <c r="H33" t="s">
        <v>573</v>
      </c>
    </row>
    <row r="34" spans="1:8" x14ac:dyDescent="0.2">
      <c r="A34" t="s">
        <v>556</v>
      </c>
      <c r="B34" t="s">
        <v>557</v>
      </c>
      <c r="C34">
        <v>3</v>
      </c>
      <c r="D34" t="s">
        <v>527</v>
      </c>
      <c r="E34">
        <v>3</v>
      </c>
      <c r="F34">
        <v>2.5</v>
      </c>
      <c r="G34" t="b">
        <v>0</v>
      </c>
      <c r="H34">
        <f>IF(AND(Inputs!$B$9+Artifacts!$B$32&gt;=100,NOT(ArtifactsInput!$M$42),NOT(ArtifactsInput!$M$24)),Sensitivity!H15,Sensitivity!H14)</f>
        <v>65957390168802.742</v>
      </c>
    </row>
    <row r="35" spans="1:8" x14ac:dyDescent="0.2">
      <c r="A35" t="s">
        <v>556</v>
      </c>
      <c r="B35" t="s">
        <v>557</v>
      </c>
      <c r="C35">
        <v>3</v>
      </c>
      <c r="D35" t="s">
        <v>544</v>
      </c>
      <c r="E35">
        <v>3</v>
      </c>
      <c r="F35">
        <v>2.5</v>
      </c>
      <c r="G35" t="b">
        <v>0</v>
      </c>
      <c r="H35">
        <f>Sensitivity!H16</f>
        <v>59664313918494.375</v>
      </c>
    </row>
    <row r="36" spans="1:8" x14ac:dyDescent="0.2">
      <c r="A36" t="s">
        <v>556</v>
      </c>
      <c r="B36" t="s">
        <v>557</v>
      </c>
      <c r="C36">
        <v>3</v>
      </c>
      <c r="D36" t="s">
        <v>528</v>
      </c>
      <c r="E36">
        <v>5</v>
      </c>
      <c r="F36">
        <v>4</v>
      </c>
      <c r="G36" t="b">
        <v>0</v>
      </c>
      <c r="H36">
        <f>Sensitivity!H7</f>
        <v>32286149168906.172</v>
      </c>
    </row>
    <row r="37" spans="1:8" x14ac:dyDescent="0.2">
      <c r="A37" t="s">
        <v>556</v>
      </c>
      <c r="B37" t="s">
        <v>557</v>
      </c>
      <c r="C37">
        <v>3</v>
      </c>
      <c r="D37" t="s">
        <v>565</v>
      </c>
      <c r="E37">
        <v>3</v>
      </c>
      <c r="F37">
        <v>4</v>
      </c>
      <c r="G37" t="b">
        <v>0</v>
      </c>
      <c r="H37">
        <f>Sensitivity!H12</f>
        <v>49754655140299.383</v>
      </c>
    </row>
    <row r="38" spans="1:8" x14ac:dyDescent="0.2">
      <c r="A38" t="s">
        <v>556</v>
      </c>
      <c r="B38" t="s">
        <v>557</v>
      </c>
      <c r="C38">
        <v>3</v>
      </c>
      <c r="D38" t="s">
        <v>568</v>
      </c>
      <c r="E38">
        <v>3</v>
      </c>
      <c r="F38">
        <v>4</v>
      </c>
      <c r="G38" t="b">
        <v>0</v>
      </c>
      <c r="H38">
        <f>Sensitivity!H13</f>
        <v>49754655140299.383</v>
      </c>
    </row>
    <row r="39" spans="1:8" x14ac:dyDescent="0.2">
      <c r="A39" t="s">
        <v>556</v>
      </c>
      <c r="B39" t="s">
        <v>557</v>
      </c>
      <c r="C39">
        <v>3</v>
      </c>
      <c r="D39" t="s">
        <v>572</v>
      </c>
      <c r="E39">
        <v>3</v>
      </c>
      <c r="F39">
        <v>4.5</v>
      </c>
      <c r="G39" t="b">
        <v>0</v>
      </c>
      <c r="H39" t="s">
        <v>573</v>
      </c>
    </row>
    <row r="40" spans="1:8" x14ac:dyDescent="0.2">
      <c r="A40" t="s">
        <v>556</v>
      </c>
      <c r="B40" t="s">
        <v>557</v>
      </c>
      <c r="C40">
        <v>3</v>
      </c>
      <c r="D40" t="s">
        <v>576</v>
      </c>
      <c r="E40">
        <v>3</v>
      </c>
      <c r="F40">
        <v>4.5</v>
      </c>
      <c r="G40" t="b">
        <v>0</v>
      </c>
      <c r="H40" t="s">
        <v>573</v>
      </c>
    </row>
    <row r="41" spans="1:8" x14ac:dyDescent="0.2">
      <c r="A41" t="s">
        <v>556</v>
      </c>
      <c r="B41" t="s">
        <v>557</v>
      </c>
      <c r="C41">
        <v>3</v>
      </c>
      <c r="D41" t="s">
        <v>580</v>
      </c>
      <c r="E41">
        <v>3</v>
      </c>
      <c r="F41">
        <v>4.5</v>
      </c>
      <c r="G41" t="b">
        <v>0</v>
      </c>
      <c r="H41">
        <f>Sensitivity!H6</f>
        <v>102956340516479.42</v>
      </c>
    </row>
    <row r="42" spans="1:8" x14ac:dyDescent="0.2">
      <c r="A42" t="s">
        <v>556</v>
      </c>
      <c r="B42" t="s">
        <v>557</v>
      </c>
      <c r="C42">
        <v>3</v>
      </c>
      <c r="D42" t="s">
        <v>582</v>
      </c>
      <c r="E42">
        <v>3</v>
      </c>
      <c r="F42">
        <v>4.5</v>
      </c>
      <c r="G42" t="b">
        <v>0</v>
      </c>
      <c r="H42" t="s">
        <v>573</v>
      </c>
    </row>
    <row r="43" spans="1:8" x14ac:dyDescent="0.2">
      <c r="A43" t="s">
        <v>556</v>
      </c>
      <c r="B43" t="s">
        <v>557</v>
      </c>
      <c r="C43">
        <v>3</v>
      </c>
      <c r="D43" t="s">
        <v>584</v>
      </c>
      <c r="E43">
        <v>3</v>
      </c>
      <c r="F43">
        <v>9</v>
      </c>
      <c r="G43" t="b">
        <v>0</v>
      </c>
      <c r="H43" t="s">
        <v>573</v>
      </c>
    </row>
    <row r="44" spans="1:8" x14ac:dyDescent="0.2">
      <c r="A44" t="s">
        <v>556</v>
      </c>
      <c r="B44" t="s">
        <v>557</v>
      </c>
      <c r="C44">
        <v>3</v>
      </c>
      <c r="D44" t="s">
        <v>586</v>
      </c>
      <c r="E44">
        <v>6</v>
      </c>
      <c r="F44">
        <v>9</v>
      </c>
      <c r="G44" t="b">
        <v>0</v>
      </c>
      <c r="H44" t="s">
        <v>573</v>
      </c>
    </row>
    <row r="45" spans="1:8" x14ac:dyDescent="0.2">
      <c r="A45" t="s">
        <v>556</v>
      </c>
      <c r="B45" t="s">
        <v>557</v>
      </c>
      <c r="C45">
        <v>3</v>
      </c>
      <c r="D45" t="s">
        <v>588</v>
      </c>
      <c r="E45">
        <v>3</v>
      </c>
      <c r="F45">
        <v>9</v>
      </c>
      <c r="G45" t="b">
        <v>0</v>
      </c>
      <c r="H45" t="s">
        <v>573</v>
      </c>
    </row>
    <row r="46" spans="1:8" x14ac:dyDescent="0.2">
      <c r="A46" t="s">
        <v>556</v>
      </c>
      <c r="B46" t="s">
        <v>557</v>
      </c>
      <c r="C46">
        <v>3</v>
      </c>
      <c r="D46" t="s">
        <v>591</v>
      </c>
      <c r="E46">
        <v>50</v>
      </c>
      <c r="F46">
        <v>9.5</v>
      </c>
      <c r="G46" t="b">
        <v>0</v>
      </c>
      <c r="H46" t="s">
        <v>573</v>
      </c>
    </row>
    <row r="47" spans="1:8" x14ac:dyDescent="0.2">
      <c r="A47" t="s">
        <v>556</v>
      </c>
      <c r="B47" t="s">
        <v>557</v>
      </c>
      <c r="C47">
        <v>3</v>
      </c>
      <c r="D47" t="s">
        <v>592</v>
      </c>
      <c r="E47">
        <v>50</v>
      </c>
      <c r="F47">
        <v>9.5</v>
      </c>
      <c r="G47" t="b">
        <v>0</v>
      </c>
      <c r="H47" t="s">
        <v>573</v>
      </c>
    </row>
    <row r="48" spans="1:8" x14ac:dyDescent="0.2">
      <c r="A48" t="s">
        <v>556</v>
      </c>
      <c r="B48" t="s">
        <v>557</v>
      </c>
      <c r="C48">
        <v>3</v>
      </c>
      <c r="D48" t="s">
        <v>595</v>
      </c>
      <c r="E48">
        <v>50</v>
      </c>
      <c r="F48">
        <v>9.5</v>
      </c>
      <c r="G48" t="b">
        <v>0</v>
      </c>
      <c r="H48">
        <f>Sensitivity!H5</f>
        <v>602676556870.32288</v>
      </c>
    </row>
    <row r="49" spans="1:8" x14ac:dyDescent="0.2">
      <c r="A49" t="s">
        <v>556</v>
      </c>
      <c r="B49" t="s">
        <v>557</v>
      </c>
      <c r="C49">
        <v>3</v>
      </c>
      <c r="D49" t="s">
        <v>597</v>
      </c>
      <c r="E49">
        <v>50</v>
      </c>
      <c r="F49">
        <v>9.5</v>
      </c>
      <c r="G49" t="b">
        <v>0</v>
      </c>
      <c r="H49" t="s">
        <v>573</v>
      </c>
    </row>
    <row r="50" spans="1:8" x14ac:dyDescent="0.2">
      <c r="A50" t="s">
        <v>556</v>
      </c>
      <c r="B50" t="s">
        <v>561</v>
      </c>
      <c r="C50">
        <v>1</v>
      </c>
      <c r="D50" t="s">
        <v>527</v>
      </c>
      <c r="E50">
        <v>4.5</v>
      </c>
      <c r="F50">
        <v>2.5</v>
      </c>
      <c r="G50" t="b">
        <v>1</v>
      </c>
      <c r="H50">
        <f>IF(AND(Inputs!$B$9+Artifacts!$B$32&gt;=100,NOT(ArtifactsInput!$M$42),NOT(ArtifactsInput!$M$24)),Sensitivity!H15,Sensitivity!H14)</f>
        <v>65957390168802.742</v>
      </c>
    </row>
    <row r="51" spans="1:8" x14ac:dyDescent="0.2">
      <c r="A51" t="s">
        <v>556</v>
      </c>
      <c r="B51" t="s">
        <v>561</v>
      </c>
      <c r="C51">
        <v>1</v>
      </c>
      <c r="D51" t="s">
        <v>544</v>
      </c>
      <c r="E51">
        <v>3.5</v>
      </c>
      <c r="F51">
        <v>2.5</v>
      </c>
      <c r="G51" t="b">
        <v>1</v>
      </c>
      <c r="H51">
        <f>Sensitivity!H16</f>
        <v>59664313918494.375</v>
      </c>
    </row>
    <row r="52" spans="1:8" x14ac:dyDescent="0.2">
      <c r="A52" t="s">
        <v>556</v>
      </c>
      <c r="B52" t="s">
        <v>561</v>
      </c>
      <c r="C52">
        <v>1</v>
      </c>
      <c r="D52" t="s">
        <v>528</v>
      </c>
      <c r="E52">
        <v>8</v>
      </c>
      <c r="F52">
        <v>4</v>
      </c>
      <c r="G52" t="b">
        <v>1</v>
      </c>
      <c r="H52">
        <f>Sensitivity!H7</f>
        <v>32286149168906.172</v>
      </c>
    </row>
    <row r="53" spans="1:8" x14ac:dyDescent="0.2">
      <c r="A53" t="s">
        <v>556</v>
      </c>
      <c r="B53" t="s">
        <v>561</v>
      </c>
      <c r="C53">
        <v>1</v>
      </c>
      <c r="D53" t="s">
        <v>565</v>
      </c>
      <c r="E53">
        <v>6</v>
      </c>
      <c r="F53">
        <v>4</v>
      </c>
      <c r="G53" t="b">
        <v>1</v>
      </c>
      <c r="H53">
        <f>Sensitivity!H12</f>
        <v>49754655140299.383</v>
      </c>
    </row>
    <row r="54" spans="1:8" x14ac:dyDescent="0.2">
      <c r="A54" t="s">
        <v>556</v>
      </c>
      <c r="B54" t="s">
        <v>561</v>
      </c>
      <c r="C54">
        <v>1</v>
      </c>
      <c r="D54" t="s">
        <v>568</v>
      </c>
      <c r="E54">
        <v>6</v>
      </c>
      <c r="F54">
        <v>4</v>
      </c>
      <c r="G54" t="b">
        <v>1</v>
      </c>
      <c r="H54">
        <f>Sensitivity!H13</f>
        <v>49754655140299.383</v>
      </c>
    </row>
    <row r="55" spans="1:8" x14ac:dyDescent="0.2">
      <c r="A55" t="s">
        <v>556</v>
      </c>
      <c r="B55" t="s">
        <v>561</v>
      </c>
      <c r="C55">
        <v>1</v>
      </c>
      <c r="D55" t="s">
        <v>572</v>
      </c>
      <c r="E55">
        <v>4.5</v>
      </c>
      <c r="F55">
        <v>4.5</v>
      </c>
      <c r="G55" t="b">
        <v>1</v>
      </c>
      <c r="H55" t="s">
        <v>573</v>
      </c>
    </row>
    <row r="56" spans="1:8" x14ac:dyDescent="0.2">
      <c r="A56" t="s">
        <v>556</v>
      </c>
      <c r="B56" t="s">
        <v>561</v>
      </c>
      <c r="C56">
        <v>1</v>
      </c>
      <c r="D56" t="s">
        <v>576</v>
      </c>
      <c r="E56">
        <v>4.5</v>
      </c>
      <c r="F56">
        <v>4.5</v>
      </c>
      <c r="G56" t="b">
        <v>1</v>
      </c>
      <c r="H56" t="s">
        <v>573</v>
      </c>
    </row>
    <row r="57" spans="1:8" x14ac:dyDescent="0.2">
      <c r="A57" t="s">
        <v>556</v>
      </c>
      <c r="B57" t="s">
        <v>561</v>
      </c>
      <c r="C57">
        <v>1</v>
      </c>
      <c r="D57" t="s">
        <v>580</v>
      </c>
      <c r="E57">
        <v>4.5</v>
      </c>
      <c r="F57">
        <v>4.5</v>
      </c>
      <c r="G57" t="b">
        <v>1</v>
      </c>
      <c r="H57">
        <f>Sensitivity!H6</f>
        <v>102956340516479.42</v>
      </c>
    </row>
    <row r="58" spans="1:8" x14ac:dyDescent="0.2">
      <c r="A58" t="s">
        <v>556</v>
      </c>
      <c r="B58" t="s">
        <v>561</v>
      </c>
      <c r="C58">
        <v>1</v>
      </c>
      <c r="D58" t="s">
        <v>582</v>
      </c>
      <c r="E58">
        <v>4.5</v>
      </c>
      <c r="F58">
        <v>4.5</v>
      </c>
      <c r="G58" t="b">
        <v>1</v>
      </c>
      <c r="H58" t="s">
        <v>573</v>
      </c>
    </row>
    <row r="59" spans="1:8" x14ac:dyDescent="0.2">
      <c r="A59" t="s">
        <v>556</v>
      </c>
      <c r="B59" t="s">
        <v>561</v>
      </c>
      <c r="C59">
        <v>1</v>
      </c>
      <c r="D59" t="s">
        <v>584</v>
      </c>
      <c r="E59">
        <v>4.5</v>
      </c>
      <c r="F59">
        <v>9</v>
      </c>
      <c r="G59" t="b">
        <v>1</v>
      </c>
      <c r="H59" t="s">
        <v>573</v>
      </c>
    </row>
    <row r="60" spans="1:8" x14ac:dyDescent="0.2">
      <c r="A60" t="s">
        <v>556</v>
      </c>
      <c r="B60" t="s">
        <v>561</v>
      </c>
      <c r="C60">
        <v>1</v>
      </c>
      <c r="D60" t="s">
        <v>586</v>
      </c>
      <c r="E60">
        <v>9</v>
      </c>
      <c r="F60">
        <v>9</v>
      </c>
      <c r="G60" t="b">
        <v>1</v>
      </c>
      <c r="H60" t="s">
        <v>573</v>
      </c>
    </row>
    <row r="61" spans="1:8" x14ac:dyDescent="0.2">
      <c r="A61" t="s">
        <v>556</v>
      </c>
      <c r="B61" t="s">
        <v>561</v>
      </c>
      <c r="C61">
        <v>1</v>
      </c>
      <c r="D61" t="s">
        <v>588</v>
      </c>
      <c r="E61">
        <v>4.5</v>
      </c>
      <c r="F61">
        <v>9</v>
      </c>
      <c r="G61" t="b">
        <v>1</v>
      </c>
      <c r="H61" t="s">
        <v>573</v>
      </c>
    </row>
    <row r="62" spans="1:8" x14ac:dyDescent="0.2">
      <c r="A62" t="s">
        <v>556</v>
      </c>
      <c r="B62" t="s">
        <v>561</v>
      </c>
      <c r="C62">
        <v>1</v>
      </c>
      <c r="D62" t="s">
        <v>591</v>
      </c>
      <c r="E62">
        <v>100</v>
      </c>
      <c r="F62">
        <v>9.5</v>
      </c>
      <c r="G62" t="b">
        <v>1</v>
      </c>
      <c r="H62" t="s">
        <v>573</v>
      </c>
    </row>
    <row r="63" spans="1:8" x14ac:dyDescent="0.2">
      <c r="A63" t="s">
        <v>556</v>
      </c>
      <c r="B63" t="s">
        <v>561</v>
      </c>
      <c r="C63">
        <v>1</v>
      </c>
      <c r="D63" t="s">
        <v>592</v>
      </c>
      <c r="E63">
        <v>100</v>
      </c>
      <c r="F63">
        <v>9.5</v>
      </c>
      <c r="G63" t="b">
        <v>1</v>
      </c>
      <c r="H63" t="s">
        <v>573</v>
      </c>
    </row>
    <row r="64" spans="1:8" x14ac:dyDescent="0.2">
      <c r="A64" t="s">
        <v>556</v>
      </c>
      <c r="B64" t="s">
        <v>561</v>
      </c>
      <c r="C64">
        <v>1</v>
      </c>
      <c r="D64" t="s">
        <v>595</v>
      </c>
      <c r="E64">
        <v>100</v>
      </c>
      <c r="F64">
        <v>9.5</v>
      </c>
      <c r="G64" t="b">
        <v>1</v>
      </c>
      <c r="H64">
        <f>Sensitivity!H5</f>
        <v>602676556870.32288</v>
      </c>
    </row>
    <row r="65" spans="1:8" x14ac:dyDescent="0.2">
      <c r="A65" t="s">
        <v>556</v>
      </c>
      <c r="B65" t="s">
        <v>561</v>
      </c>
      <c r="C65">
        <v>1</v>
      </c>
      <c r="D65" t="s">
        <v>597</v>
      </c>
      <c r="E65">
        <v>100</v>
      </c>
      <c r="F65">
        <v>9.5</v>
      </c>
      <c r="G65" t="b">
        <v>1</v>
      </c>
      <c r="H65" t="s">
        <v>573</v>
      </c>
    </row>
    <row r="66" spans="1:8" x14ac:dyDescent="0.2">
      <c r="A66" t="s">
        <v>556</v>
      </c>
      <c r="B66" t="s">
        <v>561</v>
      </c>
      <c r="C66">
        <v>2</v>
      </c>
      <c r="D66" t="s">
        <v>527</v>
      </c>
      <c r="E66">
        <v>3</v>
      </c>
      <c r="F66">
        <v>1.9</v>
      </c>
      <c r="G66" t="b">
        <v>0</v>
      </c>
      <c r="H66">
        <f>IF(AND(Inputs!$B$9+Artifacts!$B$32&gt;=100,NOT(ArtifactsInput!$M$42),NOT(ArtifactsInput!$M$24)),Sensitivity!H15,Sensitivity!H14)</f>
        <v>65957390168802.742</v>
      </c>
    </row>
    <row r="67" spans="1:8" x14ac:dyDescent="0.2">
      <c r="A67" t="s">
        <v>556</v>
      </c>
      <c r="B67" t="s">
        <v>561</v>
      </c>
      <c r="C67">
        <v>2</v>
      </c>
      <c r="D67" t="s">
        <v>527</v>
      </c>
      <c r="E67">
        <v>4.5</v>
      </c>
      <c r="F67">
        <v>0.6</v>
      </c>
      <c r="G67" t="b">
        <v>1</v>
      </c>
      <c r="H67">
        <f>IF(AND(Inputs!$B$9+Artifacts!$B$32&gt;=100,NOT(ArtifactsInput!$M$42),NOT(ArtifactsInput!$M$24)),Sensitivity!H15,Sensitivity!H14)</f>
        <v>65957390168802.742</v>
      </c>
    </row>
    <row r="68" spans="1:8" x14ac:dyDescent="0.2">
      <c r="A68" t="s">
        <v>556</v>
      </c>
      <c r="B68" t="s">
        <v>561</v>
      </c>
      <c r="C68">
        <v>2</v>
      </c>
      <c r="D68" t="s">
        <v>544</v>
      </c>
      <c r="E68">
        <v>3</v>
      </c>
      <c r="F68">
        <v>1.9</v>
      </c>
      <c r="G68" t="b">
        <v>0</v>
      </c>
      <c r="H68">
        <f>Sensitivity!H16</f>
        <v>59664313918494.375</v>
      </c>
    </row>
    <row r="69" spans="1:8" x14ac:dyDescent="0.2">
      <c r="A69" t="s">
        <v>556</v>
      </c>
      <c r="B69" t="s">
        <v>561</v>
      </c>
      <c r="C69">
        <v>2</v>
      </c>
      <c r="D69" t="s">
        <v>544</v>
      </c>
      <c r="E69">
        <v>3.5</v>
      </c>
      <c r="F69">
        <v>0.6</v>
      </c>
      <c r="G69" t="b">
        <v>1</v>
      </c>
      <c r="H69">
        <f>Sensitivity!H16</f>
        <v>59664313918494.375</v>
      </c>
    </row>
    <row r="70" spans="1:8" x14ac:dyDescent="0.2">
      <c r="A70" t="s">
        <v>556</v>
      </c>
      <c r="B70" t="s">
        <v>561</v>
      </c>
      <c r="C70">
        <v>2</v>
      </c>
      <c r="D70" t="s">
        <v>528</v>
      </c>
      <c r="E70">
        <v>5</v>
      </c>
      <c r="F70">
        <v>3.04</v>
      </c>
      <c r="G70" t="b">
        <v>0</v>
      </c>
      <c r="H70">
        <f>Sensitivity!H7</f>
        <v>32286149168906.172</v>
      </c>
    </row>
    <row r="71" spans="1:8" x14ac:dyDescent="0.2">
      <c r="A71" t="s">
        <v>556</v>
      </c>
      <c r="B71" t="s">
        <v>561</v>
      </c>
      <c r="C71">
        <v>2</v>
      </c>
      <c r="D71" t="s">
        <v>528</v>
      </c>
      <c r="E71">
        <v>8</v>
      </c>
      <c r="F71">
        <v>0.96</v>
      </c>
      <c r="G71" t="b">
        <v>1</v>
      </c>
      <c r="H71">
        <f>Sensitivity!H7</f>
        <v>32286149168906.172</v>
      </c>
    </row>
    <row r="72" spans="1:8" x14ac:dyDescent="0.2">
      <c r="A72" t="s">
        <v>556</v>
      </c>
      <c r="B72" t="s">
        <v>561</v>
      </c>
      <c r="C72">
        <v>2</v>
      </c>
      <c r="D72" t="s">
        <v>565</v>
      </c>
      <c r="E72">
        <v>3</v>
      </c>
      <c r="F72">
        <v>3.04</v>
      </c>
      <c r="G72" t="b">
        <v>0</v>
      </c>
      <c r="H72">
        <f>Sensitivity!H12</f>
        <v>49754655140299.383</v>
      </c>
    </row>
    <row r="73" spans="1:8" x14ac:dyDescent="0.2">
      <c r="A73" t="s">
        <v>556</v>
      </c>
      <c r="B73" t="s">
        <v>561</v>
      </c>
      <c r="C73">
        <v>2</v>
      </c>
      <c r="D73" t="s">
        <v>565</v>
      </c>
      <c r="E73">
        <v>6</v>
      </c>
      <c r="F73">
        <v>0.96</v>
      </c>
      <c r="G73" t="b">
        <v>1</v>
      </c>
      <c r="H73">
        <f>Sensitivity!H12</f>
        <v>49754655140299.383</v>
      </c>
    </row>
    <row r="74" spans="1:8" x14ac:dyDescent="0.2">
      <c r="A74" t="s">
        <v>556</v>
      </c>
      <c r="B74" t="s">
        <v>561</v>
      </c>
      <c r="C74">
        <v>2</v>
      </c>
      <c r="D74" t="s">
        <v>568</v>
      </c>
      <c r="E74">
        <v>3</v>
      </c>
      <c r="F74">
        <v>3.04</v>
      </c>
      <c r="G74" t="b">
        <v>0</v>
      </c>
      <c r="H74">
        <f>Sensitivity!H13</f>
        <v>49754655140299.383</v>
      </c>
    </row>
    <row r="75" spans="1:8" x14ac:dyDescent="0.2">
      <c r="A75" t="s">
        <v>556</v>
      </c>
      <c r="B75" t="s">
        <v>561</v>
      </c>
      <c r="C75">
        <v>2</v>
      </c>
      <c r="D75" t="s">
        <v>568</v>
      </c>
      <c r="E75">
        <v>6</v>
      </c>
      <c r="F75">
        <v>0.96</v>
      </c>
      <c r="G75" t="b">
        <v>1</v>
      </c>
      <c r="H75">
        <f>Sensitivity!H13</f>
        <v>49754655140299.383</v>
      </c>
    </row>
    <row r="76" spans="1:8" x14ac:dyDescent="0.2">
      <c r="A76" t="s">
        <v>556</v>
      </c>
      <c r="B76" t="s">
        <v>561</v>
      </c>
      <c r="C76">
        <v>2</v>
      </c>
      <c r="D76" t="s">
        <v>572</v>
      </c>
      <c r="E76">
        <v>3</v>
      </c>
      <c r="F76">
        <v>3.42</v>
      </c>
      <c r="G76" t="b">
        <v>0</v>
      </c>
      <c r="H76" t="s">
        <v>573</v>
      </c>
    </row>
    <row r="77" spans="1:8" x14ac:dyDescent="0.2">
      <c r="A77" t="s">
        <v>556</v>
      </c>
      <c r="B77" t="s">
        <v>561</v>
      </c>
      <c r="C77">
        <v>2</v>
      </c>
      <c r="D77" t="s">
        <v>572</v>
      </c>
      <c r="E77">
        <v>4.5</v>
      </c>
      <c r="F77">
        <v>1.08</v>
      </c>
      <c r="G77" t="b">
        <v>1</v>
      </c>
      <c r="H77" t="s">
        <v>573</v>
      </c>
    </row>
    <row r="78" spans="1:8" x14ac:dyDescent="0.2">
      <c r="A78" t="s">
        <v>556</v>
      </c>
      <c r="B78" t="s">
        <v>561</v>
      </c>
      <c r="C78">
        <v>2</v>
      </c>
      <c r="D78" t="s">
        <v>576</v>
      </c>
      <c r="E78">
        <v>3</v>
      </c>
      <c r="F78">
        <v>3.42</v>
      </c>
      <c r="G78" t="b">
        <v>0</v>
      </c>
      <c r="H78" t="s">
        <v>573</v>
      </c>
    </row>
    <row r="79" spans="1:8" x14ac:dyDescent="0.2">
      <c r="A79" t="s">
        <v>556</v>
      </c>
      <c r="B79" t="s">
        <v>561</v>
      </c>
      <c r="C79">
        <v>2</v>
      </c>
      <c r="D79" t="s">
        <v>576</v>
      </c>
      <c r="E79">
        <v>4.5</v>
      </c>
      <c r="F79">
        <v>1.08</v>
      </c>
      <c r="G79" t="b">
        <v>1</v>
      </c>
      <c r="H79" t="s">
        <v>573</v>
      </c>
    </row>
    <row r="80" spans="1:8" x14ac:dyDescent="0.2">
      <c r="A80" t="s">
        <v>556</v>
      </c>
      <c r="B80" t="s">
        <v>561</v>
      </c>
      <c r="C80">
        <v>2</v>
      </c>
      <c r="D80" t="s">
        <v>580</v>
      </c>
      <c r="E80">
        <v>3</v>
      </c>
      <c r="F80">
        <v>3.42</v>
      </c>
      <c r="G80" t="b">
        <v>0</v>
      </c>
      <c r="H80">
        <f>Sensitivity!H6</f>
        <v>102956340516479.42</v>
      </c>
    </row>
    <row r="81" spans="1:8" x14ac:dyDescent="0.2">
      <c r="A81" t="s">
        <v>556</v>
      </c>
      <c r="B81" t="s">
        <v>561</v>
      </c>
      <c r="C81">
        <v>2</v>
      </c>
      <c r="D81" t="s">
        <v>580</v>
      </c>
      <c r="E81">
        <v>4.5</v>
      </c>
      <c r="F81">
        <v>1.08</v>
      </c>
      <c r="G81" t="b">
        <v>1</v>
      </c>
      <c r="H81">
        <f>Sensitivity!H6</f>
        <v>102956340516479.42</v>
      </c>
    </row>
    <row r="82" spans="1:8" x14ac:dyDescent="0.2">
      <c r="A82" t="s">
        <v>556</v>
      </c>
      <c r="B82" t="s">
        <v>561</v>
      </c>
      <c r="C82">
        <v>2</v>
      </c>
      <c r="D82" t="s">
        <v>582</v>
      </c>
      <c r="E82">
        <v>3</v>
      </c>
      <c r="F82">
        <v>3.42</v>
      </c>
      <c r="G82" t="b">
        <v>0</v>
      </c>
      <c r="H82" t="s">
        <v>573</v>
      </c>
    </row>
    <row r="83" spans="1:8" x14ac:dyDescent="0.2">
      <c r="A83" t="s">
        <v>556</v>
      </c>
      <c r="B83" t="s">
        <v>561</v>
      </c>
      <c r="C83">
        <v>2</v>
      </c>
      <c r="D83" t="s">
        <v>582</v>
      </c>
      <c r="E83">
        <v>4.5</v>
      </c>
      <c r="F83">
        <v>1.08</v>
      </c>
      <c r="G83" t="b">
        <v>1</v>
      </c>
      <c r="H83" t="s">
        <v>573</v>
      </c>
    </row>
    <row r="84" spans="1:8" x14ac:dyDescent="0.2">
      <c r="A84" t="s">
        <v>556</v>
      </c>
      <c r="B84" t="s">
        <v>561</v>
      </c>
      <c r="C84">
        <v>2</v>
      </c>
      <c r="D84" t="s">
        <v>584</v>
      </c>
      <c r="E84">
        <v>3</v>
      </c>
      <c r="F84">
        <v>6.84</v>
      </c>
      <c r="G84" t="b">
        <v>0</v>
      </c>
      <c r="H84" t="s">
        <v>573</v>
      </c>
    </row>
    <row r="85" spans="1:8" x14ac:dyDescent="0.2">
      <c r="A85" t="s">
        <v>556</v>
      </c>
      <c r="B85" t="s">
        <v>561</v>
      </c>
      <c r="C85">
        <v>2</v>
      </c>
      <c r="D85" t="s">
        <v>584</v>
      </c>
      <c r="E85">
        <v>4.5</v>
      </c>
      <c r="F85">
        <v>2.16</v>
      </c>
      <c r="G85" t="b">
        <v>1</v>
      </c>
      <c r="H85" t="s">
        <v>573</v>
      </c>
    </row>
    <row r="86" spans="1:8" x14ac:dyDescent="0.2">
      <c r="A86" t="s">
        <v>556</v>
      </c>
      <c r="B86" t="s">
        <v>561</v>
      </c>
      <c r="C86">
        <v>2</v>
      </c>
      <c r="D86" t="s">
        <v>586</v>
      </c>
      <c r="E86">
        <v>6</v>
      </c>
      <c r="F86">
        <v>6.84</v>
      </c>
      <c r="G86" t="b">
        <v>0</v>
      </c>
      <c r="H86" t="s">
        <v>573</v>
      </c>
    </row>
    <row r="87" spans="1:8" x14ac:dyDescent="0.2">
      <c r="A87" t="s">
        <v>556</v>
      </c>
      <c r="B87" t="s">
        <v>561</v>
      </c>
      <c r="C87">
        <v>2</v>
      </c>
      <c r="D87" t="s">
        <v>586</v>
      </c>
      <c r="E87">
        <v>9</v>
      </c>
      <c r="F87">
        <v>2.16</v>
      </c>
      <c r="G87" t="b">
        <v>1</v>
      </c>
      <c r="H87" t="s">
        <v>573</v>
      </c>
    </row>
    <row r="88" spans="1:8" x14ac:dyDescent="0.2">
      <c r="A88" t="s">
        <v>556</v>
      </c>
      <c r="B88" t="s">
        <v>561</v>
      </c>
      <c r="C88">
        <v>2</v>
      </c>
      <c r="D88" t="s">
        <v>588</v>
      </c>
      <c r="E88">
        <v>3</v>
      </c>
      <c r="F88">
        <v>6.84</v>
      </c>
      <c r="G88" t="b">
        <v>0</v>
      </c>
      <c r="H88" t="s">
        <v>573</v>
      </c>
    </row>
    <row r="89" spans="1:8" x14ac:dyDescent="0.2">
      <c r="A89" t="s">
        <v>556</v>
      </c>
      <c r="B89" t="s">
        <v>561</v>
      </c>
      <c r="C89">
        <v>2</v>
      </c>
      <c r="D89" t="s">
        <v>588</v>
      </c>
      <c r="E89">
        <v>4.5</v>
      </c>
      <c r="F89">
        <v>2.16</v>
      </c>
      <c r="G89" t="b">
        <v>1</v>
      </c>
      <c r="H89" t="s">
        <v>573</v>
      </c>
    </row>
    <row r="90" spans="1:8" x14ac:dyDescent="0.2">
      <c r="A90" t="s">
        <v>556</v>
      </c>
      <c r="B90" t="s">
        <v>561</v>
      </c>
      <c r="C90">
        <v>2</v>
      </c>
      <c r="D90" t="s">
        <v>591</v>
      </c>
      <c r="E90">
        <v>50</v>
      </c>
      <c r="F90">
        <v>7.22</v>
      </c>
      <c r="G90" t="b">
        <v>0</v>
      </c>
      <c r="H90" t="s">
        <v>573</v>
      </c>
    </row>
    <row r="91" spans="1:8" x14ac:dyDescent="0.2">
      <c r="A91" t="s">
        <v>556</v>
      </c>
      <c r="B91" t="s">
        <v>561</v>
      </c>
      <c r="C91">
        <v>2</v>
      </c>
      <c r="D91" t="s">
        <v>591</v>
      </c>
      <c r="E91">
        <v>100</v>
      </c>
      <c r="F91">
        <v>2.2799999999999998</v>
      </c>
      <c r="G91" t="b">
        <v>1</v>
      </c>
      <c r="H91" t="s">
        <v>573</v>
      </c>
    </row>
    <row r="92" spans="1:8" x14ac:dyDescent="0.2">
      <c r="A92" t="s">
        <v>556</v>
      </c>
      <c r="B92" t="s">
        <v>561</v>
      </c>
      <c r="C92">
        <v>2</v>
      </c>
      <c r="D92" t="s">
        <v>592</v>
      </c>
      <c r="E92">
        <v>50</v>
      </c>
      <c r="F92">
        <v>7.22</v>
      </c>
      <c r="G92" t="b">
        <v>0</v>
      </c>
      <c r="H92" t="s">
        <v>573</v>
      </c>
    </row>
    <row r="93" spans="1:8" x14ac:dyDescent="0.2">
      <c r="A93" t="s">
        <v>556</v>
      </c>
      <c r="B93" t="s">
        <v>561</v>
      </c>
      <c r="C93">
        <v>2</v>
      </c>
      <c r="D93" t="s">
        <v>592</v>
      </c>
      <c r="E93">
        <v>100</v>
      </c>
      <c r="F93">
        <v>2.2799999999999998</v>
      </c>
      <c r="G93" t="b">
        <v>1</v>
      </c>
      <c r="H93" t="s">
        <v>573</v>
      </c>
    </row>
    <row r="94" spans="1:8" x14ac:dyDescent="0.2">
      <c r="A94" t="s">
        <v>556</v>
      </c>
      <c r="B94" t="s">
        <v>561</v>
      </c>
      <c r="C94">
        <v>2</v>
      </c>
      <c r="D94" t="s">
        <v>595</v>
      </c>
      <c r="E94">
        <v>50</v>
      </c>
      <c r="F94">
        <v>7.22</v>
      </c>
      <c r="G94" t="b">
        <v>0</v>
      </c>
      <c r="H94">
        <f>Sensitivity!H5</f>
        <v>602676556870.32288</v>
      </c>
    </row>
    <row r="95" spans="1:8" x14ac:dyDescent="0.2">
      <c r="A95" t="s">
        <v>556</v>
      </c>
      <c r="B95" t="s">
        <v>561</v>
      </c>
      <c r="C95">
        <v>2</v>
      </c>
      <c r="D95" t="s">
        <v>595</v>
      </c>
      <c r="E95">
        <v>100</v>
      </c>
      <c r="F95">
        <v>2.2799999999999998</v>
      </c>
      <c r="G95" t="b">
        <v>1</v>
      </c>
      <c r="H95">
        <f>Sensitivity!H5</f>
        <v>602676556870.32288</v>
      </c>
    </row>
    <row r="96" spans="1:8" x14ac:dyDescent="0.2">
      <c r="A96" t="s">
        <v>556</v>
      </c>
      <c r="B96" t="s">
        <v>561</v>
      </c>
      <c r="C96">
        <v>2</v>
      </c>
      <c r="D96" t="s">
        <v>597</v>
      </c>
      <c r="E96">
        <v>50</v>
      </c>
      <c r="F96">
        <v>7.22</v>
      </c>
      <c r="G96" t="b">
        <v>0</v>
      </c>
      <c r="H96" t="s">
        <v>573</v>
      </c>
    </row>
    <row r="97" spans="1:8" x14ac:dyDescent="0.2">
      <c r="A97" t="s">
        <v>556</v>
      </c>
      <c r="B97" t="s">
        <v>561</v>
      </c>
      <c r="C97">
        <v>2</v>
      </c>
      <c r="D97" t="s">
        <v>597</v>
      </c>
      <c r="E97">
        <v>100</v>
      </c>
      <c r="F97">
        <v>2.2799999999999998</v>
      </c>
      <c r="G97" t="b">
        <v>1</v>
      </c>
      <c r="H97" t="s">
        <v>573</v>
      </c>
    </row>
    <row r="98" spans="1:8" x14ac:dyDescent="0.2">
      <c r="A98" t="s">
        <v>556</v>
      </c>
      <c r="B98" t="s">
        <v>561</v>
      </c>
      <c r="C98">
        <v>3</v>
      </c>
      <c r="D98" t="s">
        <v>527</v>
      </c>
      <c r="E98">
        <v>3</v>
      </c>
      <c r="F98">
        <v>2.2999999999999998</v>
      </c>
      <c r="G98" t="b">
        <v>0</v>
      </c>
      <c r="H98">
        <f>IF(AND(Inputs!$B$9+Artifacts!$B$32&gt;=100,NOT(ArtifactsInput!$M$42),NOT(ArtifactsInput!$M$24)),Sensitivity!H15,Sensitivity!H14)</f>
        <v>65957390168802.742</v>
      </c>
    </row>
    <row r="99" spans="1:8" x14ac:dyDescent="0.2">
      <c r="A99" t="s">
        <v>556</v>
      </c>
      <c r="B99" t="s">
        <v>561</v>
      </c>
      <c r="C99">
        <v>3</v>
      </c>
      <c r="D99" t="s">
        <v>527</v>
      </c>
      <c r="E99">
        <v>4.5</v>
      </c>
      <c r="F99">
        <v>0.2</v>
      </c>
      <c r="G99" t="b">
        <v>1</v>
      </c>
      <c r="H99">
        <f>IF(AND(Inputs!$B$9+Artifacts!$B$32&gt;=100,NOT(ArtifactsInput!$M$42),NOT(ArtifactsInput!$M$24)),Sensitivity!H15,Sensitivity!H14)</f>
        <v>65957390168802.742</v>
      </c>
    </row>
    <row r="100" spans="1:8" x14ac:dyDescent="0.2">
      <c r="A100" t="s">
        <v>556</v>
      </c>
      <c r="B100" t="s">
        <v>561</v>
      </c>
      <c r="C100">
        <v>3</v>
      </c>
      <c r="D100" t="s">
        <v>544</v>
      </c>
      <c r="E100">
        <v>3</v>
      </c>
      <c r="F100">
        <v>2.2999999999999998</v>
      </c>
      <c r="G100" t="b">
        <v>0</v>
      </c>
      <c r="H100">
        <f>Sensitivity!H16</f>
        <v>59664313918494.375</v>
      </c>
    </row>
    <row r="101" spans="1:8" x14ac:dyDescent="0.2">
      <c r="A101" t="s">
        <v>556</v>
      </c>
      <c r="B101" t="s">
        <v>561</v>
      </c>
      <c r="C101">
        <v>3</v>
      </c>
      <c r="D101" t="s">
        <v>544</v>
      </c>
      <c r="E101">
        <v>3.5</v>
      </c>
      <c r="F101">
        <v>0.2</v>
      </c>
      <c r="G101" t="b">
        <v>1</v>
      </c>
      <c r="H101">
        <f>Sensitivity!H16</f>
        <v>59664313918494.375</v>
      </c>
    </row>
    <row r="102" spans="1:8" x14ac:dyDescent="0.2">
      <c r="A102" t="s">
        <v>556</v>
      </c>
      <c r="B102" t="s">
        <v>561</v>
      </c>
      <c r="C102">
        <v>3</v>
      </c>
      <c r="D102" t="s">
        <v>528</v>
      </c>
      <c r="E102">
        <v>5</v>
      </c>
      <c r="F102">
        <v>3.68</v>
      </c>
      <c r="G102" t="b">
        <v>0</v>
      </c>
      <c r="H102">
        <f>Sensitivity!H7</f>
        <v>32286149168906.172</v>
      </c>
    </row>
    <row r="103" spans="1:8" x14ac:dyDescent="0.2">
      <c r="A103" t="s">
        <v>556</v>
      </c>
      <c r="B103" t="s">
        <v>561</v>
      </c>
      <c r="C103">
        <v>3</v>
      </c>
      <c r="D103" t="s">
        <v>528</v>
      </c>
      <c r="E103">
        <v>8</v>
      </c>
      <c r="F103">
        <v>0.32</v>
      </c>
      <c r="G103" t="b">
        <v>1</v>
      </c>
      <c r="H103">
        <f>Sensitivity!H7</f>
        <v>32286149168906.172</v>
      </c>
    </row>
    <row r="104" spans="1:8" x14ac:dyDescent="0.2">
      <c r="A104" t="s">
        <v>556</v>
      </c>
      <c r="B104" t="s">
        <v>561</v>
      </c>
      <c r="C104">
        <v>3</v>
      </c>
      <c r="D104" t="s">
        <v>565</v>
      </c>
      <c r="E104">
        <v>3</v>
      </c>
      <c r="F104">
        <v>3.68</v>
      </c>
      <c r="G104" t="b">
        <v>0</v>
      </c>
      <c r="H104">
        <f>Sensitivity!H12</f>
        <v>49754655140299.383</v>
      </c>
    </row>
    <row r="105" spans="1:8" x14ac:dyDescent="0.2">
      <c r="A105" t="s">
        <v>556</v>
      </c>
      <c r="B105" t="s">
        <v>561</v>
      </c>
      <c r="C105">
        <v>3</v>
      </c>
      <c r="D105" t="s">
        <v>565</v>
      </c>
      <c r="E105">
        <v>6</v>
      </c>
      <c r="F105">
        <v>0.32</v>
      </c>
      <c r="G105" t="b">
        <v>1</v>
      </c>
      <c r="H105">
        <f>Sensitivity!H12</f>
        <v>49754655140299.383</v>
      </c>
    </row>
    <row r="106" spans="1:8" x14ac:dyDescent="0.2">
      <c r="A106" t="s">
        <v>556</v>
      </c>
      <c r="B106" t="s">
        <v>561</v>
      </c>
      <c r="C106">
        <v>3</v>
      </c>
      <c r="D106" t="s">
        <v>568</v>
      </c>
      <c r="E106">
        <v>3</v>
      </c>
      <c r="F106">
        <v>3.68</v>
      </c>
      <c r="G106" t="b">
        <v>0</v>
      </c>
      <c r="H106">
        <f>Sensitivity!H13</f>
        <v>49754655140299.383</v>
      </c>
    </row>
    <row r="107" spans="1:8" x14ac:dyDescent="0.2">
      <c r="A107" t="s">
        <v>556</v>
      </c>
      <c r="B107" t="s">
        <v>561</v>
      </c>
      <c r="C107">
        <v>3</v>
      </c>
      <c r="D107" t="s">
        <v>568</v>
      </c>
      <c r="E107">
        <v>6</v>
      </c>
      <c r="F107">
        <v>0.32</v>
      </c>
      <c r="G107" t="b">
        <v>1</v>
      </c>
      <c r="H107">
        <f>Sensitivity!H13</f>
        <v>49754655140299.383</v>
      </c>
    </row>
    <row r="108" spans="1:8" x14ac:dyDescent="0.2">
      <c r="A108" t="s">
        <v>556</v>
      </c>
      <c r="B108" t="s">
        <v>561</v>
      </c>
      <c r="C108">
        <v>3</v>
      </c>
      <c r="D108" t="s">
        <v>572</v>
      </c>
      <c r="E108">
        <v>3</v>
      </c>
      <c r="F108">
        <v>4.1399999999999997</v>
      </c>
      <c r="G108" t="b">
        <v>0</v>
      </c>
      <c r="H108" t="s">
        <v>573</v>
      </c>
    </row>
    <row r="109" spans="1:8" x14ac:dyDescent="0.2">
      <c r="A109" t="s">
        <v>556</v>
      </c>
      <c r="B109" t="s">
        <v>561</v>
      </c>
      <c r="C109">
        <v>3</v>
      </c>
      <c r="D109" t="s">
        <v>572</v>
      </c>
      <c r="E109">
        <v>4.5</v>
      </c>
      <c r="F109">
        <v>0.36</v>
      </c>
      <c r="G109" t="b">
        <v>1</v>
      </c>
      <c r="H109" t="s">
        <v>573</v>
      </c>
    </row>
    <row r="110" spans="1:8" x14ac:dyDescent="0.2">
      <c r="A110" t="s">
        <v>556</v>
      </c>
      <c r="B110" t="s">
        <v>561</v>
      </c>
      <c r="C110">
        <v>3</v>
      </c>
      <c r="D110" t="s">
        <v>576</v>
      </c>
      <c r="E110">
        <v>3</v>
      </c>
      <c r="F110">
        <v>4.1399999999999997</v>
      </c>
      <c r="G110" t="b">
        <v>0</v>
      </c>
      <c r="H110" t="s">
        <v>573</v>
      </c>
    </row>
    <row r="111" spans="1:8" x14ac:dyDescent="0.2">
      <c r="A111" t="s">
        <v>556</v>
      </c>
      <c r="B111" t="s">
        <v>561</v>
      </c>
      <c r="C111">
        <v>3</v>
      </c>
      <c r="D111" t="s">
        <v>576</v>
      </c>
      <c r="E111">
        <v>4.5</v>
      </c>
      <c r="F111">
        <v>0.36</v>
      </c>
      <c r="G111" t="b">
        <v>1</v>
      </c>
      <c r="H111" t="s">
        <v>573</v>
      </c>
    </row>
    <row r="112" spans="1:8" x14ac:dyDescent="0.2">
      <c r="A112" t="s">
        <v>556</v>
      </c>
      <c r="B112" t="s">
        <v>561</v>
      </c>
      <c r="C112">
        <v>3</v>
      </c>
      <c r="D112" t="s">
        <v>580</v>
      </c>
      <c r="E112">
        <v>3</v>
      </c>
      <c r="F112">
        <v>4.1399999999999997</v>
      </c>
      <c r="G112" t="b">
        <v>0</v>
      </c>
      <c r="H112">
        <f>Sensitivity!H6</f>
        <v>102956340516479.42</v>
      </c>
    </row>
    <row r="113" spans="1:8" x14ac:dyDescent="0.2">
      <c r="A113" t="s">
        <v>556</v>
      </c>
      <c r="B113" t="s">
        <v>561</v>
      </c>
      <c r="C113">
        <v>3</v>
      </c>
      <c r="D113" t="s">
        <v>580</v>
      </c>
      <c r="E113">
        <v>4.5</v>
      </c>
      <c r="F113">
        <v>0.36</v>
      </c>
      <c r="G113" t="b">
        <v>1</v>
      </c>
      <c r="H113">
        <f>Sensitivity!H6</f>
        <v>102956340516479.42</v>
      </c>
    </row>
    <row r="114" spans="1:8" x14ac:dyDescent="0.2">
      <c r="A114" t="s">
        <v>556</v>
      </c>
      <c r="B114" t="s">
        <v>561</v>
      </c>
      <c r="C114">
        <v>3</v>
      </c>
      <c r="D114" t="s">
        <v>582</v>
      </c>
      <c r="E114">
        <v>3</v>
      </c>
      <c r="F114">
        <v>4.1399999999999997</v>
      </c>
      <c r="G114" t="b">
        <v>0</v>
      </c>
      <c r="H114" t="s">
        <v>573</v>
      </c>
    </row>
    <row r="115" spans="1:8" x14ac:dyDescent="0.2">
      <c r="A115" t="s">
        <v>556</v>
      </c>
      <c r="B115" t="s">
        <v>561</v>
      </c>
      <c r="C115">
        <v>3</v>
      </c>
      <c r="D115" t="s">
        <v>582</v>
      </c>
      <c r="E115">
        <v>4.5</v>
      </c>
      <c r="F115">
        <v>0.36</v>
      </c>
      <c r="G115" t="b">
        <v>1</v>
      </c>
      <c r="H115" t="s">
        <v>573</v>
      </c>
    </row>
    <row r="116" spans="1:8" x14ac:dyDescent="0.2">
      <c r="A116" t="s">
        <v>556</v>
      </c>
      <c r="B116" t="s">
        <v>561</v>
      </c>
      <c r="C116">
        <v>3</v>
      </c>
      <c r="D116" t="s">
        <v>584</v>
      </c>
      <c r="E116">
        <v>3</v>
      </c>
      <c r="F116">
        <v>8.2799999999999994</v>
      </c>
      <c r="G116" t="b">
        <v>0</v>
      </c>
      <c r="H116" t="s">
        <v>573</v>
      </c>
    </row>
    <row r="117" spans="1:8" x14ac:dyDescent="0.2">
      <c r="A117" t="s">
        <v>556</v>
      </c>
      <c r="B117" t="s">
        <v>561</v>
      </c>
      <c r="C117">
        <v>3</v>
      </c>
      <c r="D117" t="s">
        <v>584</v>
      </c>
      <c r="E117">
        <v>4.5</v>
      </c>
      <c r="F117">
        <v>0.72</v>
      </c>
      <c r="G117" t="b">
        <v>1</v>
      </c>
      <c r="H117" t="s">
        <v>573</v>
      </c>
    </row>
    <row r="118" spans="1:8" x14ac:dyDescent="0.2">
      <c r="A118" t="s">
        <v>556</v>
      </c>
      <c r="B118" t="s">
        <v>561</v>
      </c>
      <c r="C118">
        <v>3</v>
      </c>
      <c r="D118" t="s">
        <v>586</v>
      </c>
      <c r="E118">
        <v>6</v>
      </c>
      <c r="F118">
        <v>8.2799999999999994</v>
      </c>
      <c r="G118" t="b">
        <v>0</v>
      </c>
      <c r="H118" t="s">
        <v>573</v>
      </c>
    </row>
    <row r="119" spans="1:8" x14ac:dyDescent="0.2">
      <c r="A119" t="s">
        <v>556</v>
      </c>
      <c r="B119" t="s">
        <v>561</v>
      </c>
      <c r="C119">
        <v>3</v>
      </c>
      <c r="D119" t="s">
        <v>586</v>
      </c>
      <c r="E119">
        <v>9</v>
      </c>
      <c r="F119">
        <v>0.72</v>
      </c>
      <c r="G119" t="b">
        <v>1</v>
      </c>
      <c r="H119" t="s">
        <v>573</v>
      </c>
    </row>
    <row r="120" spans="1:8" x14ac:dyDescent="0.2">
      <c r="A120" t="s">
        <v>556</v>
      </c>
      <c r="B120" t="s">
        <v>561</v>
      </c>
      <c r="C120">
        <v>3</v>
      </c>
      <c r="D120" t="s">
        <v>588</v>
      </c>
      <c r="E120">
        <v>3</v>
      </c>
      <c r="F120">
        <v>8.2799999999999994</v>
      </c>
      <c r="G120" t="b">
        <v>0</v>
      </c>
      <c r="H120" t="s">
        <v>573</v>
      </c>
    </row>
    <row r="121" spans="1:8" x14ac:dyDescent="0.2">
      <c r="A121" t="s">
        <v>556</v>
      </c>
      <c r="B121" t="s">
        <v>561</v>
      </c>
      <c r="C121">
        <v>3</v>
      </c>
      <c r="D121" t="s">
        <v>588</v>
      </c>
      <c r="E121">
        <v>4.5</v>
      </c>
      <c r="F121">
        <v>0.72</v>
      </c>
      <c r="G121" t="b">
        <v>1</v>
      </c>
      <c r="H121" t="s">
        <v>573</v>
      </c>
    </row>
    <row r="122" spans="1:8" x14ac:dyDescent="0.2">
      <c r="A122" t="s">
        <v>556</v>
      </c>
      <c r="B122" t="s">
        <v>561</v>
      </c>
      <c r="C122">
        <v>3</v>
      </c>
      <c r="D122" t="s">
        <v>591</v>
      </c>
      <c r="E122">
        <v>50</v>
      </c>
      <c r="F122">
        <v>8.74</v>
      </c>
      <c r="G122" t="b">
        <v>0</v>
      </c>
      <c r="H122" t="s">
        <v>573</v>
      </c>
    </row>
    <row r="123" spans="1:8" x14ac:dyDescent="0.2">
      <c r="A123" t="s">
        <v>556</v>
      </c>
      <c r="B123" t="s">
        <v>561</v>
      </c>
      <c r="C123">
        <v>3</v>
      </c>
      <c r="D123" t="s">
        <v>591</v>
      </c>
      <c r="E123">
        <v>100</v>
      </c>
      <c r="F123">
        <v>0.76</v>
      </c>
      <c r="G123" t="b">
        <v>1</v>
      </c>
      <c r="H123" t="s">
        <v>573</v>
      </c>
    </row>
    <row r="124" spans="1:8" x14ac:dyDescent="0.2">
      <c r="A124" t="s">
        <v>556</v>
      </c>
      <c r="B124" t="s">
        <v>561</v>
      </c>
      <c r="C124">
        <v>3</v>
      </c>
      <c r="D124" t="s">
        <v>592</v>
      </c>
      <c r="E124">
        <v>50</v>
      </c>
      <c r="F124">
        <v>8.74</v>
      </c>
      <c r="G124" t="b">
        <v>0</v>
      </c>
      <c r="H124" t="s">
        <v>573</v>
      </c>
    </row>
    <row r="125" spans="1:8" x14ac:dyDescent="0.2">
      <c r="A125" t="s">
        <v>556</v>
      </c>
      <c r="B125" t="s">
        <v>561</v>
      </c>
      <c r="C125">
        <v>3</v>
      </c>
      <c r="D125" t="s">
        <v>592</v>
      </c>
      <c r="E125">
        <v>100</v>
      </c>
      <c r="F125">
        <v>0.76</v>
      </c>
      <c r="G125" t="b">
        <v>1</v>
      </c>
      <c r="H125" t="s">
        <v>573</v>
      </c>
    </row>
    <row r="126" spans="1:8" x14ac:dyDescent="0.2">
      <c r="A126" t="s">
        <v>556</v>
      </c>
      <c r="B126" t="s">
        <v>561</v>
      </c>
      <c r="C126">
        <v>3</v>
      </c>
      <c r="D126" t="s">
        <v>595</v>
      </c>
      <c r="E126">
        <v>50</v>
      </c>
      <c r="F126">
        <v>8.74</v>
      </c>
      <c r="G126" t="b">
        <v>0</v>
      </c>
      <c r="H126">
        <f>Sensitivity!H5</f>
        <v>602676556870.32288</v>
      </c>
    </row>
    <row r="127" spans="1:8" x14ac:dyDescent="0.2">
      <c r="A127" t="s">
        <v>556</v>
      </c>
      <c r="B127" t="s">
        <v>561</v>
      </c>
      <c r="C127">
        <v>3</v>
      </c>
      <c r="D127" t="s">
        <v>595</v>
      </c>
      <c r="E127">
        <v>100</v>
      </c>
      <c r="F127">
        <v>0.76</v>
      </c>
      <c r="G127" t="b">
        <v>1</v>
      </c>
      <c r="H127">
        <f>Sensitivity!H5</f>
        <v>602676556870.32288</v>
      </c>
    </row>
    <row r="128" spans="1:8" x14ac:dyDescent="0.2">
      <c r="A128" t="s">
        <v>556</v>
      </c>
      <c r="B128" t="s">
        <v>561</v>
      </c>
      <c r="C128">
        <v>3</v>
      </c>
      <c r="D128" t="s">
        <v>597</v>
      </c>
      <c r="E128">
        <v>50</v>
      </c>
      <c r="F128">
        <v>8.74</v>
      </c>
      <c r="G128" t="b">
        <v>0</v>
      </c>
      <c r="H128" t="s">
        <v>573</v>
      </c>
    </row>
    <row r="129" spans="1:8" x14ac:dyDescent="0.2">
      <c r="A129" t="s">
        <v>556</v>
      </c>
      <c r="B129" t="s">
        <v>561</v>
      </c>
      <c r="C129">
        <v>3</v>
      </c>
      <c r="D129" t="s">
        <v>597</v>
      </c>
      <c r="E129">
        <v>100</v>
      </c>
      <c r="F129">
        <v>0.76</v>
      </c>
      <c r="G129" t="b">
        <v>1</v>
      </c>
      <c r="H129" t="s">
        <v>573</v>
      </c>
    </row>
    <row r="130" spans="1:8" x14ac:dyDescent="0.2">
      <c r="A130" t="s">
        <v>556</v>
      </c>
      <c r="B130" t="s">
        <v>563</v>
      </c>
      <c r="C130">
        <v>1</v>
      </c>
      <c r="D130" t="s">
        <v>527</v>
      </c>
      <c r="E130">
        <v>6</v>
      </c>
      <c r="F130">
        <v>2.5</v>
      </c>
      <c r="G130" t="b">
        <v>1</v>
      </c>
      <c r="H130">
        <f>IF(AND(Inputs!$B$9+Artifacts!$B$32&gt;=100,NOT(ArtifactsInput!$M$42),NOT(ArtifactsInput!$M$24)),Sensitivity!H15,Sensitivity!H14)</f>
        <v>65957390168802.742</v>
      </c>
    </row>
    <row r="131" spans="1:8" x14ac:dyDescent="0.2">
      <c r="A131" t="s">
        <v>556</v>
      </c>
      <c r="B131" t="s">
        <v>563</v>
      </c>
      <c r="C131">
        <v>1</v>
      </c>
      <c r="D131" t="s">
        <v>544</v>
      </c>
      <c r="E131">
        <v>4</v>
      </c>
      <c r="F131">
        <v>2.5</v>
      </c>
      <c r="G131" t="b">
        <v>1</v>
      </c>
      <c r="H131">
        <f>Sensitivity!H16</f>
        <v>59664313918494.375</v>
      </c>
    </row>
    <row r="132" spans="1:8" x14ac:dyDescent="0.2">
      <c r="A132" t="s">
        <v>556</v>
      </c>
      <c r="B132" t="s">
        <v>563</v>
      </c>
      <c r="C132">
        <v>1</v>
      </c>
      <c r="D132" t="s">
        <v>528</v>
      </c>
      <c r="E132">
        <v>12</v>
      </c>
      <c r="F132">
        <v>4</v>
      </c>
      <c r="G132" t="b">
        <v>1</v>
      </c>
      <c r="H132">
        <f>Sensitivity!H7</f>
        <v>32286149168906.172</v>
      </c>
    </row>
    <row r="133" spans="1:8" x14ac:dyDescent="0.2">
      <c r="A133" t="s">
        <v>556</v>
      </c>
      <c r="B133" t="s">
        <v>563</v>
      </c>
      <c r="C133">
        <v>1</v>
      </c>
      <c r="D133" t="s">
        <v>565</v>
      </c>
      <c r="E133">
        <v>8</v>
      </c>
      <c r="F133">
        <v>4</v>
      </c>
      <c r="G133" t="b">
        <v>1</v>
      </c>
      <c r="H133">
        <f>Sensitivity!H12</f>
        <v>49754655140299.383</v>
      </c>
    </row>
    <row r="134" spans="1:8" x14ac:dyDescent="0.2">
      <c r="A134" t="s">
        <v>556</v>
      </c>
      <c r="B134" t="s">
        <v>563</v>
      </c>
      <c r="C134">
        <v>1</v>
      </c>
      <c r="D134" t="s">
        <v>568</v>
      </c>
      <c r="E134">
        <v>8</v>
      </c>
      <c r="F134">
        <v>4</v>
      </c>
      <c r="G134" t="b">
        <v>1</v>
      </c>
      <c r="H134">
        <f>Sensitivity!H13</f>
        <v>49754655140299.383</v>
      </c>
    </row>
    <row r="135" spans="1:8" x14ac:dyDescent="0.2">
      <c r="A135" t="s">
        <v>556</v>
      </c>
      <c r="B135" t="s">
        <v>563</v>
      </c>
      <c r="C135">
        <v>1</v>
      </c>
      <c r="D135" t="s">
        <v>572</v>
      </c>
      <c r="E135">
        <v>6</v>
      </c>
      <c r="F135">
        <v>4.5</v>
      </c>
      <c r="G135" t="b">
        <v>1</v>
      </c>
      <c r="H135" t="s">
        <v>573</v>
      </c>
    </row>
    <row r="136" spans="1:8" x14ac:dyDescent="0.2">
      <c r="A136" t="s">
        <v>556</v>
      </c>
      <c r="B136" t="s">
        <v>563</v>
      </c>
      <c r="C136">
        <v>1</v>
      </c>
      <c r="D136" t="s">
        <v>576</v>
      </c>
      <c r="E136">
        <v>6</v>
      </c>
      <c r="F136">
        <v>4.5</v>
      </c>
      <c r="G136" t="b">
        <v>1</v>
      </c>
      <c r="H136" t="s">
        <v>573</v>
      </c>
    </row>
    <row r="137" spans="1:8" x14ac:dyDescent="0.2">
      <c r="A137" t="s">
        <v>556</v>
      </c>
      <c r="B137" t="s">
        <v>563</v>
      </c>
      <c r="C137">
        <v>1</v>
      </c>
      <c r="D137" t="s">
        <v>580</v>
      </c>
      <c r="E137">
        <v>6</v>
      </c>
      <c r="F137">
        <v>4.5</v>
      </c>
      <c r="G137" t="b">
        <v>1</v>
      </c>
      <c r="H137">
        <f>Sensitivity!H6</f>
        <v>102956340516479.42</v>
      </c>
    </row>
    <row r="138" spans="1:8" x14ac:dyDescent="0.2">
      <c r="A138" t="s">
        <v>556</v>
      </c>
      <c r="B138" t="s">
        <v>563</v>
      </c>
      <c r="C138">
        <v>1</v>
      </c>
      <c r="D138" t="s">
        <v>582</v>
      </c>
      <c r="E138">
        <v>6</v>
      </c>
      <c r="F138">
        <v>4.5</v>
      </c>
      <c r="G138" t="b">
        <v>1</v>
      </c>
      <c r="H138" t="s">
        <v>573</v>
      </c>
    </row>
    <row r="139" spans="1:8" x14ac:dyDescent="0.2">
      <c r="A139" t="s">
        <v>556</v>
      </c>
      <c r="B139" t="s">
        <v>563</v>
      </c>
      <c r="C139">
        <v>1</v>
      </c>
      <c r="D139" t="s">
        <v>584</v>
      </c>
      <c r="E139">
        <v>6</v>
      </c>
      <c r="F139">
        <v>9</v>
      </c>
      <c r="G139" t="b">
        <v>1</v>
      </c>
      <c r="H139" t="s">
        <v>573</v>
      </c>
    </row>
    <row r="140" spans="1:8" x14ac:dyDescent="0.2">
      <c r="A140" t="s">
        <v>556</v>
      </c>
      <c r="B140" t="s">
        <v>563</v>
      </c>
      <c r="C140">
        <v>1</v>
      </c>
      <c r="D140" t="s">
        <v>586</v>
      </c>
      <c r="E140">
        <v>12</v>
      </c>
      <c r="F140">
        <v>9</v>
      </c>
      <c r="G140" t="b">
        <v>1</v>
      </c>
      <c r="H140" t="s">
        <v>573</v>
      </c>
    </row>
    <row r="141" spans="1:8" x14ac:dyDescent="0.2">
      <c r="A141" t="s">
        <v>556</v>
      </c>
      <c r="B141" t="s">
        <v>563</v>
      </c>
      <c r="C141">
        <v>1</v>
      </c>
      <c r="D141" t="s">
        <v>588</v>
      </c>
      <c r="E141">
        <v>6</v>
      </c>
      <c r="F141">
        <v>9</v>
      </c>
      <c r="G141" t="b">
        <v>1</v>
      </c>
      <c r="H141" t="s">
        <v>573</v>
      </c>
    </row>
    <row r="142" spans="1:8" x14ac:dyDescent="0.2">
      <c r="A142" t="s">
        <v>556</v>
      </c>
      <c r="B142" t="s">
        <v>563</v>
      </c>
      <c r="C142">
        <v>1</v>
      </c>
      <c r="D142" t="s">
        <v>591</v>
      </c>
      <c r="E142">
        <v>200</v>
      </c>
      <c r="F142">
        <v>9.25</v>
      </c>
      <c r="G142" t="b">
        <v>1</v>
      </c>
      <c r="H142" t="s">
        <v>573</v>
      </c>
    </row>
    <row r="143" spans="1:8" x14ac:dyDescent="0.2">
      <c r="A143" t="s">
        <v>556</v>
      </c>
      <c r="B143" t="s">
        <v>563</v>
      </c>
      <c r="C143">
        <v>1</v>
      </c>
      <c r="D143" t="s">
        <v>592</v>
      </c>
      <c r="E143">
        <v>200</v>
      </c>
      <c r="F143">
        <v>9.25</v>
      </c>
      <c r="G143" t="b">
        <v>1</v>
      </c>
      <c r="H143" t="s">
        <v>573</v>
      </c>
    </row>
    <row r="144" spans="1:8" x14ac:dyDescent="0.2">
      <c r="A144" t="s">
        <v>556</v>
      </c>
      <c r="B144" t="s">
        <v>563</v>
      </c>
      <c r="C144">
        <v>1</v>
      </c>
      <c r="D144" t="s">
        <v>595</v>
      </c>
      <c r="E144">
        <v>200</v>
      </c>
      <c r="F144">
        <v>9.25</v>
      </c>
      <c r="G144" t="b">
        <v>1</v>
      </c>
      <c r="H144">
        <f>Sensitivity!H5</f>
        <v>602676556870.32288</v>
      </c>
    </row>
    <row r="145" spans="1:8" x14ac:dyDescent="0.2">
      <c r="A145" t="s">
        <v>556</v>
      </c>
      <c r="B145" t="s">
        <v>563</v>
      </c>
      <c r="C145">
        <v>1</v>
      </c>
      <c r="D145" t="s">
        <v>597</v>
      </c>
      <c r="E145">
        <v>200</v>
      </c>
      <c r="F145">
        <v>9.25</v>
      </c>
      <c r="G145" t="b">
        <v>1</v>
      </c>
      <c r="H145" t="s">
        <v>573</v>
      </c>
    </row>
    <row r="146" spans="1:8" x14ac:dyDescent="0.2">
      <c r="A146" t="s">
        <v>556</v>
      </c>
      <c r="B146" t="s">
        <v>563</v>
      </c>
      <c r="C146">
        <v>2</v>
      </c>
      <c r="D146" t="s">
        <v>527</v>
      </c>
      <c r="E146">
        <v>4.5</v>
      </c>
      <c r="F146">
        <v>1.9</v>
      </c>
      <c r="G146" t="b">
        <v>0</v>
      </c>
      <c r="H146">
        <f>IF(AND(Inputs!$B$9+Artifacts!$B$32&gt;=100,NOT(ArtifactsInput!$M$42),NOT(ArtifactsInput!$M$24)),Sensitivity!H15,Sensitivity!H14)</f>
        <v>65957390168802.742</v>
      </c>
    </row>
    <row r="147" spans="1:8" x14ac:dyDescent="0.2">
      <c r="A147" t="s">
        <v>556</v>
      </c>
      <c r="B147" t="s">
        <v>563</v>
      </c>
      <c r="C147">
        <v>2</v>
      </c>
      <c r="D147" t="s">
        <v>527</v>
      </c>
      <c r="E147">
        <v>6</v>
      </c>
      <c r="F147">
        <v>0.6</v>
      </c>
      <c r="G147" t="b">
        <v>1</v>
      </c>
      <c r="H147">
        <f>IF(AND(Inputs!$B$9+Artifacts!$B$32&gt;=100,NOT(ArtifactsInput!$M$42),NOT(ArtifactsInput!$M$24)),Sensitivity!H15,Sensitivity!H14)</f>
        <v>65957390168802.742</v>
      </c>
    </row>
    <row r="148" spans="1:8" x14ac:dyDescent="0.2">
      <c r="A148" t="s">
        <v>556</v>
      </c>
      <c r="B148" t="s">
        <v>563</v>
      </c>
      <c r="C148">
        <v>2</v>
      </c>
      <c r="D148" t="s">
        <v>544</v>
      </c>
      <c r="E148">
        <v>3.5</v>
      </c>
      <c r="F148">
        <v>1.9</v>
      </c>
      <c r="G148" t="b">
        <v>0</v>
      </c>
      <c r="H148">
        <f>Sensitivity!H16</f>
        <v>59664313918494.375</v>
      </c>
    </row>
    <row r="149" spans="1:8" x14ac:dyDescent="0.2">
      <c r="A149" t="s">
        <v>556</v>
      </c>
      <c r="B149" t="s">
        <v>563</v>
      </c>
      <c r="C149">
        <v>2</v>
      </c>
      <c r="D149" t="s">
        <v>544</v>
      </c>
      <c r="E149">
        <v>4</v>
      </c>
      <c r="F149">
        <v>0.6</v>
      </c>
      <c r="G149" t="b">
        <v>1</v>
      </c>
      <c r="H149">
        <f>Sensitivity!H16</f>
        <v>59664313918494.375</v>
      </c>
    </row>
    <row r="150" spans="1:8" x14ac:dyDescent="0.2">
      <c r="A150" t="s">
        <v>556</v>
      </c>
      <c r="B150" t="s">
        <v>563</v>
      </c>
      <c r="C150">
        <v>2</v>
      </c>
      <c r="D150" t="s">
        <v>528</v>
      </c>
      <c r="E150">
        <v>8</v>
      </c>
      <c r="F150">
        <v>3.04</v>
      </c>
      <c r="G150" t="b">
        <v>0</v>
      </c>
      <c r="H150">
        <f>Sensitivity!H7</f>
        <v>32286149168906.172</v>
      </c>
    </row>
    <row r="151" spans="1:8" x14ac:dyDescent="0.2">
      <c r="A151" t="s">
        <v>556</v>
      </c>
      <c r="B151" t="s">
        <v>563</v>
      </c>
      <c r="C151">
        <v>2</v>
      </c>
      <c r="D151" t="s">
        <v>528</v>
      </c>
      <c r="E151">
        <v>12</v>
      </c>
      <c r="F151">
        <v>0.96</v>
      </c>
      <c r="G151" t="b">
        <v>1</v>
      </c>
      <c r="H151">
        <f>Sensitivity!H7</f>
        <v>32286149168906.172</v>
      </c>
    </row>
    <row r="152" spans="1:8" x14ac:dyDescent="0.2">
      <c r="A152" t="s">
        <v>556</v>
      </c>
      <c r="B152" t="s">
        <v>563</v>
      </c>
      <c r="C152">
        <v>2</v>
      </c>
      <c r="D152" t="s">
        <v>565</v>
      </c>
      <c r="E152">
        <v>6</v>
      </c>
      <c r="F152">
        <v>3.04</v>
      </c>
      <c r="G152" t="b">
        <v>0</v>
      </c>
      <c r="H152">
        <f>Sensitivity!H12</f>
        <v>49754655140299.383</v>
      </c>
    </row>
    <row r="153" spans="1:8" x14ac:dyDescent="0.2">
      <c r="A153" t="s">
        <v>556</v>
      </c>
      <c r="B153" t="s">
        <v>563</v>
      </c>
      <c r="C153">
        <v>2</v>
      </c>
      <c r="D153" t="s">
        <v>565</v>
      </c>
      <c r="E153">
        <v>8</v>
      </c>
      <c r="F153">
        <v>0.96</v>
      </c>
      <c r="G153" t="b">
        <v>1</v>
      </c>
      <c r="H153">
        <f>Sensitivity!H12</f>
        <v>49754655140299.383</v>
      </c>
    </row>
    <row r="154" spans="1:8" x14ac:dyDescent="0.2">
      <c r="A154" t="s">
        <v>556</v>
      </c>
      <c r="B154" t="s">
        <v>563</v>
      </c>
      <c r="C154">
        <v>2</v>
      </c>
      <c r="D154" t="s">
        <v>568</v>
      </c>
      <c r="E154">
        <v>6</v>
      </c>
      <c r="F154">
        <v>3.04</v>
      </c>
      <c r="G154" t="b">
        <v>0</v>
      </c>
      <c r="H154">
        <f>Sensitivity!H13</f>
        <v>49754655140299.383</v>
      </c>
    </row>
    <row r="155" spans="1:8" x14ac:dyDescent="0.2">
      <c r="A155" t="s">
        <v>556</v>
      </c>
      <c r="B155" t="s">
        <v>563</v>
      </c>
      <c r="C155">
        <v>2</v>
      </c>
      <c r="D155" t="s">
        <v>568</v>
      </c>
      <c r="E155">
        <v>8</v>
      </c>
      <c r="F155">
        <v>0.96</v>
      </c>
      <c r="G155" t="b">
        <v>1</v>
      </c>
      <c r="H155">
        <f>Sensitivity!H13</f>
        <v>49754655140299.383</v>
      </c>
    </row>
    <row r="156" spans="1:8" x14ac:dyDescent="0.2">
      <c r="A156" t="s">
        <v>556</v>
      </c>
      <c r="B156" t="s">
        <v>563</v>
      </c>
      <c r="C156">
        <v>2</v>
      </c>
      <c r="D156" t="s">
        <v>572</v>
      </c>
      <c r="E156">
        <v>4.5</v>
      </c>
      <c r="F156">
        <v>3.42</v>
      </c>
      <c r="G156" t="b">
        <v>0</v>
      </c>
      <c r="H156" t="s">
        <v>573</v>
      </c>
    </row>
    <row r="157" spans="1:8" x14ac:dyDescent="0.2">
      <c r="A157" t="s">
        <v>556</v>
      </c>
      <c r="B157" t="s">
        <v>563</v>
      </c>
      <c r="C157">
        <v>2</v>
      </c>
      <c r="D157" t="s">
        <v>572</v>
      </c>
      <c r="E157">
        <v>6</v>
      </c>
      <c r="F157">
        <v>1.08</v>
      </c>
      <c r="G157" t="b">
        <v>1</v>
      </c>
      <c r="H157" t="s">
        <v>573</v>
      </c>
    </row>
    <row r="158" spans="1:8" x14ac:dyDescent="0.2">
      <c r="A158" t="s">
        <v>556</v>
      </c>
      <c r="B158" t="s">
        <v>563</v>
      </c>
      <c r="C158">
        <v>2</v>
      </c>
      <c r="D158" t="s">
        <v>576</v>
      </c>
      <c r="E158">
        <v>4.5</v>
      </c>
      <c r="F158">
        <v>3.42</v>
      </c>
      <c r="G158" t="b">
        <v>0</v>
      </c>
      <c r="H158" t="s">
        <v>573</v>
      </c>
    </row>
    <row r="159" spans="1:8" x14ac:dyDescent="0.2">
      <c r="A159" t="s">
        <v>556</v>
      </c>
      <c r="B159" t="s">
        <v>563</v>
      </c>
      <c r="C159">
        <v>2</v>
      </c>
      <c r="D159" t="s">
        <v>576</v>
      </c>
      <c r="E159">
        <v>6</v>
      </c>
      <c r="F159">
        <v>1.08</v>
      </c>
      <c r="G159" t="b">
        <v>1</v>
      </c>
      <c r="H159" t="s">
        <v>573</v>
      </c>
    </row>
    <row r="160" spans="1:8" x14ac:dyDescent="0.2">
      <c r="A160" t="s">
        <v>556</v>
      </c>
      <c r="B160" t="s">
        <v>563</v>
      </c>
      <c r="C160">
        <v>2</v>
      </c>
      <c r="D160" t="s">
        <v>580</v>
      </c>
      <c r="E160">
        <v>4.5</v>
      </c>
      <c r="F160">
        <v>3.42</v>
      </c>
      <c r="G160" t="b">
        <v>0</v>
      </c>
      <c r="H160">
        <f>Sensitivity!H6</f>
        <v>102956340516479.42</v>
      </c>
    </row>
    <row r="161" spans="1:8" x14ac:dyDescent="0.2">
      <c r="A161" t="s">
        <v>556</v>
      </c>
      <c r="B161" t="s">
        <v>563</v>
      </c>
      <c r="C161">
        <v>2</v>
      </c>
      <c r="D161" t="s">
        <v>580</v>
      </c>
      <c r="E161">
        <v>6</v>
      </c>
      <c r="F161">
        <v>1.08</v>
      </c>
      <c r="G161" t="b">
        <v>1</v>
      </c>
      <c r="H161">
        <f>Sensitivity!H6</f>
        <v>102956340516479.42</v>
      </c>
    </row>
    <row r="162" spans="1:8" x14ac:dyDescent="0.2">
      <c r="A162" t="s">
        <v>556</v>
      </c>
      <c r="B162" t="s">
        <v>563</v>
      </c>
      <c r="C162">
        <v>2</v>
      </c>
      <c r="D162" t="s">
        <v>582</v>
      </c>
      <c r="E162">
        <v>4.5</v>
      </c>
      <c r="F162">
        <v>3.42</v>
      </c>
      <c r="G162" t="b">
        <v>0</v>
      </c>
      <c r="H162" t="s">
        <v>573</v>
      </c>
    </row>
    <row r="163" spans="1:8" x14ac:dyDescent="0.2">
      <c r="A163" t="s">
        <v>556</v>
      </c>
      <c r="B163" t="s">
        <v>563</v>
      </c>
      <c r="C163">
        <v>2</v>
      </c>
      <c r="D163" t="s">
        <v>582</v>
      </c>
      <c r="E163">
        <v>6</v>
      </c>
      <c r="F163">
        <v>1.08</v>
      </c>
      <c r="G163" t="b">
        <v>1</v>
      </c>
      <c r="H163" t="s">
        <v>573</v>
      </c>
    </row>
    <row r="164" spans="1:8" x14ac:dyDescent="0.2">
      <c r="A164" t="s">
        <v>556</v>
      </c>
      <c r="B164" t="s">
        <v>563</v>
      </c>
      <c r="C164">
        <v>2</v>
      </c>
      <c r="D164" t="s">
        <v>584</v>
      </c>
      <c r="E164">
        <v>4.5</v>
      </c>
      <c r="F164">
        <v>6.84</v>
      </c>
      <c r="G164" t="b">
        <v>0</v>
      </c>
      <c r="H164" t="s">
        <v>573</v>
      </c>
    </row>
    <row r="165" spans="1:8" x14ac:dyDescent="0.2">
      <c r="A165" t="s">
        <v>556</v>
      </c>
      <c r="B165" t="s">
        <v>563</v>
      </c>
      <c r="C165">
        <v>2</v>
      </c>
      <c r="D165" t="s">
        <v>584</v>
      </c>
      <c r="E165">
        <v>6</v>
      </c>
      <c r="F165">
        <v>2.16</v>
      </c>
      <c r="G165" t="b">
        <v>1</v>
      </c>
      <c r="H165" t="s">
        <v>573</v>
      </c>
    </row>
    <row r="166" spans="1:8" x14ac:dyDescent="0.2">
      <c r="A166" t="s">
        <v>556</v>
      </c>
      <c r="B166" t="s">
        <v>563</v>
      </c>
      <c r="C166">
        <v>2</v>
      </c>
      <c r="D166" t="s">
        <v>586</v>
      </c>
      <c r="E166">
        <v>9</v>
      </c>
      <c r="F166">
        <v>6.84</v>
      </c>
      <c r="G166" t="b">
        <v>0</v>
      </c>
      <c r="H166" t="s">
        <v>573</v>
      </c>
    </row>
    <row r="167" spans="1:8" x14ac:dyDescent="0.2">
      <c r="A167" t="s">
        <v>556</v>
      </c>
      <c r="B167" t="s">
        <v>563</v>
      </c>
      <c r="C167">
        <v>2</v>
      </c>
      <c r="D167" t="s">
        <v>586</v>
      </c>
      <c r="E167">
        <v>12</v>
      </c>
      <c r="F167">
        <v>2.16</v>
      </c>
      <c r="G167" t="b">
        <v>1</v>
      </c>
      <c r="H167" t="s">
        <v>573</v>
      </c>
    </row>
    <row r="168" spans="1:8" x14ac:dyDescent="0.2">
      <c r="A168" t="s">
        <v>556</v>
      </c>
      <c r="B168" t="s">
        <v>563</v>
      </c>
      <c r="C168">
        <v>2</v>
      </c>
      <c r="D168" t="s">
        <v>588</v>
      </c>
      <c r="E168">
        <v>4.5</v>
      </c>
      <c r="F168">
        <v>6.84</v>
      </c>
      <c r="G168" t="b">
        <v>0</v>
      </c>
      <c r="H168" t="s">
        <v>573</v>
      </c>
    </row>
    <row r="169" spans="1:8" x14ac:dyDescent="0.2">
      <c r="A169" t="s">
        <v>556</v>
      </c>
      <c r="B169" t="s">
        <v>563</v>
      </c>
      <c r="C169">
        <v>2</v>
      </c>
      <c r="D169" t="s">
        <v>588</v>
      </c>
      <c r="E169">
        <v>6</v>
      </c>
      <c r="F169">
        <v>2.16</v>
      </c>
      <c r="G169" t="b">
        <v>1</v>
      </c>
      <c r="H169" t="s">
        <v>573</v>
      </c>
    </row>
    <row r="170" spans="1:8" x14ac:dyDescent="0.2">
      <c r="A170" t="s">
        <v>556</v>
      </c>
      <c r="B170" t="s">
        <v>563</v>
      </c>
      <c r="C170">
        <v>2</v>
      </c>
      <c r="D170" t="s">
        <v>591</v>
      </c>
      <c r="E170">
        <v>100</v>
      </c>
      <c r="F170">
        <v>7.22</v>
      </c>
      <c r="G170" t="b">
        <v>0</v>
      </c>
      <c r="H170" t="s">
        <v>573</v>
      </c>
    </row>
    <row r="171" spans="1:8" x14ac:dyDescent="0.2">
      <c r="A171" t="s">
        <v>556</v>
      </c>
      <c r="B171" t="s">
        <v>563</v>
      </c>
      <c r="C171">
        <v>2</v>
      </c>
      <c r="D171" t="s">
        <v>591</v>
      </c>
      <c r="E171">
        <v>200</v>
      </c>
      <c r="F171">
        <v>2.2200000000000002</v>
      </c>
      <c r="G171" t="b">
        <v>1</v>
      </c>
      <c r="H171" t="s">
        <v>573</v>
      </c>
    </row>
    <row r="172" spans="1:8" x14ac:dyDescent="0.2">
      <c r="A172" t="s">
        <v>556</v>
      </c>
      <c r="B172" t="s">
        <v>563</v>
      </c>
      <c r="C172">
        <v>2</v>
      </c>
      <c r="D172" t="s">
        <v>592</v>
      </c>
      <c r="E172">
        <v>100</v>
      </c>
      <c r="F172">
        <v>7.22</v>
      </c>
      <c r="G172" t="b">
        <v>0</v>
      </c>
      <c r="H172" t="s">
        <v>573</v>
      </c>
    </row>
    <row r="173" spans="1:8" x14ac:dyDescent="0.2">
      <c r="A173" t="s">
        <v>556</v>
      </c>
      <c r="B173" t="s">
        <v>563</v>
      </c>
      <c r="C173">
        <v>2</v>
      </c>
      <c r="D173" t="s">
        <v>592</v>
      </c>
      <c r="E173">
        <v>200</v>
      </c>
      <c r="F173">
        <v>2.2200000000000002</v>
      </c>
      <c r="G173" t="b">
        <v>1</v>
      </c>
      <c r="H173" t="s">
        <v>573</v>
      </c>
    </row>
    <row r="174" spans="1:8" x14ac:dyDescent="0.2">
      <c r="A174" t="s">
        <v>556</v>
      </c>
      <c r="B174" t="s">
        <v>563</v>
      </c>
      <c r="C174">
        <v>2</v>
      </c>
      <c r="D174" t="s">
        <v>595</v>
      </c>
      <c r="E174">
        <v>100</v>
      </c>
      <c r="F174">
        <v>7.22</v>
      </c>
      <c r="G174" t="b">
        <v>0</v>
      </c>
      <c r="H174">
        <f>Sensitivity!H5</f>
        <v>602676556870.32288</v>
      </c>
    </row>
    <row r="175" spans="1:8" x14ac:dyDescent="0.2">
      <c r="A175" t="s">
        <v>556</v>
      </c>
      <c r="B175" t="s">
        <v>563</v>
      </c>
      <c r="C175">
        <v>2</v>
      </c>
      <c r="D175" t="s">
        <v>595</v>
      </c>
      <c r="E175">
        <v>200</v>
      </c>
      <c r="F175">
        <v>2.2200000000000002</v>
      </c>
      <c r="G175" t="b">
        <v>1</v>
      </c>
      <c r="H175">
        <f>Sensitivity!H5</f>
        <v>602676556870.32288</v>
      </c>
    </row>
    <row r="176" spans="1:8" x14ac:dyDescent="0.2">
      <c r="A176" t="s">
        <v>556</v>
      </c>
      <c r="B176" t="s">
        <v>563</v>
      </c>
      <c r="C176">
        <v>2</v>
      </c>
      <c r="D176" t="s">
        <v>597</v>
      </c>
      <c r="E176">
        <v>100</v>
      </c>
      <c r="F176">
        <v>7.22</v>
      </c>
      <c r="G176" t="b">
        <v>0</v>
      </c>
      <c r="H176" t="s">
        <v>573</v>
      </c>
    </row>
    <row r="177" spans="1:8" x14ac:dyDescent="0.2">
      <c r="A177" t="s">
        <v>556</v>
      </c>
      <c r="B177" t="s">
        <v>563</v>
      </c>
      <c r="C177">
        <v>2</v>
      </c>
      <c r="D177" t="s">
        <v>597</v>
      </c>
      <c r="E177">
        <v>200</v>
      </c>
      <c r="F177">
        <v>2.2200000000000002</v>
      </c>
      <c r="G177" t="b">
        <v>1</v>
      </c>
      <c r="H177" t="s">
        <v>573</v>
      </c>
    </row>
    <row r="178" spans="1:8" x14ac:dyDescent="0.2">
      <c r="A178" t="s">
        <v>556</v>
      </c>
      <c r="B178" t="s">
        <v>563</v>
      </c>
      <c r="C178">
        <v>3</v>
      </c>
      <c r="D178" t="s">
        <v>527</v>
      </c>
      <c r="E178">
        <v>4.5</v>
      </c>
      <c r="F178">
        <v>2.2999999999999998</v>
      </c>
      <c r="G178" t="b">
        <v>0</v>
      </c>
      <c r="H178">
        <f>IF(AND(Inputs!$B$9+Artifacts!$B$32&gt;=100,NOT(ArtifactsInput!$M$42),NOT(ArtifactsInput!$M$24)),Sensitivity!H15,Sensitivity!H14)</f>
        <v>65957390168802.742</v>
      </c>
    </row>
    <row r="179" spans="1:8" x14ac:dyDescent="0.2">
      <c r="A179" t="s">
        <v>556</v>
      </c>
      <c r="B179" t="s">
        <v>563</v>
      </c>
      <c r="C179">
        <v>3</v>
      </c>
      <c r="D179" t="s">
        <v>527</v>
      </c>
      <c r="E179">
        <v>6</v>
      </c>
      <c r="F179">
        <v>0.2</v>
      </c>
      <c r="G179" t="b">
        <v>1</v>
      </c>
      <c r="H179">
        <f>IF(AND(Inputs!$B$9+Artifacts!$B$32&gt;=100,NOT(ArtifactsInput!$M$42),NOT(ArtifactsInput!$M$24)),Sensitivity!H15,Sensitivity!H14)</f>
        <v>65957390168802.742</v>
      </c>
    </row>
    <row r="180" spans="1:8" x14ac:dyDescent="0.2">
      <c r="A180" t="s">
        <v>556</v>
      </c>
      <c r="B180" t="s">
        <v>563</v>
      </c>
      <c r="C180">
        <v>3</v>
      </c>
      <c r="D180" t="s">
        <v>544</v>
      </c>
      <c r="E180">
        <v>3.5</v>
      </c>
      <c r="F180">
        <v>2.2999999999999998</v>
      </c>
      <c r="G180" t="b">
        <v>0</v>
      </c>
      <c r="H180">
        <f>Sensitivity!H16</f>
        <v>59664313918494.375</v>
      </c>
    </row>
    <row r="181" spans="1:8" x14ac:dyDescent="0.2">
      <c r="A181" t="s">
        <v>556</v>
      </c>
      <c r="B181" t="s">
        <v>563</v>
      </c>
      <c r="C181">
        <v>3</v>
      </c>
      <c r="D181" t="s">
        <v>544</v>
      </c>
      <c r="E181">
        <v>4</v>
      </c>
      <c r="F181">
        <v>0.2</v>
      </c>
      <c r="G181" t="b">
        <v>1</v>
      </c>
      <c r="H181">
        <f>Sensitivity!H16</f>
        <v>59664313918494.375</v>
      </c>
    </row>
    <row r="182" spans="1:8" x14ac:dyDescent="0.2">
      <c r="A182" t="s">
        <v>556</v>
      </c>
      <c r="B182" t="s">
        <v>563</v>
      </c>
      <c r="C182">
        <v>3</v>
      </c>
      <c r="D182" t="s">
        <v>528</v>
      </c>
      <c r="E182">
        <v>8</v>
      </c>
      <c r="F182">
        <v>3.68</v>
      </c>
      <c r="G182" t="b">
        <v>0</v>
      </c>
      <c r="H182">
        <f>Sensitivity!H7</f>
        <v>32286149168906.172</v>
      </c>
    </row>
    <row r="183" spans="1:8" x14ac:dyDescent="0.2">
      <c r="A183" t="s">
        <v>556</v>
      </c>
      <c r="B183" t="s">
        <v>563</v>
      </c>
      <c r="C183">
        <v>3</v>
      </c>
      <c r="D183" t="s">
        <v>528</v>
      </c>
      <c r="E183">
        <v>12</v>
      </c>
      <c r="F183">
        <v>0.32</v>
      </c>
      <c r="G183" t="b">
        <v>1</v>
      </c>
      <c r="H183">
        <f>Sensitivity!H7</f>
        <v>32286149168906.172</v>
      </c>
    </row>
    <row r="184" spans="1:8" x14ac:dyDescent="0.2">
      <c r="A184" t="s">
        <v>556</v>
      </c>
      <c r="B184" t="s">
        <v>563</v>
      </c>
      <c r="C184">
        <v>3</v>
      </c>
      <c r="D184" t="s">
        <v>565</v>
      </c>
      <c r="E184">
        <v>6</v>
      </c>
      <c r="F184">
        <v>3.68</v>
      </c>
      <c r="G184" t="b">
        <v>0</v>
      </c>
      <c r="H184">
        <f>Sensitivity!H12</f>
        <v>49754655140299.383</v>
      </c>
    </row>
    <row r="185" spans="1:8" x14ac:dyDescent="0.2">
      <c r="A185" t="s">
        <v>556</v>
      </c>
      <c r="B185" t="s">
        <v>563</v>
      </c>
      <c r="C185">
        <v>3</v>
      </c>
      <c r="D185" t="s">
        <v>565</v>
      </c>
      <c r="E185">
        <v>8</v>
      </c>
      <c r="F185">
        <v>0.32</v>
      </c>
      <c r="G185" t="b">
        <v>1</v>
      </c>
      <c r="H185">
        <f>Sensitivity!H12</f>
        <v>49754655140299.383</v>
      </c>
    </row>
    <row r="186" spans="1:8" x14ac:dyDescent="0.2">
      <c r="A186" t="s">
        <v>556</v>
      </c>
      <c r="B186" t="s">
        <v>563</v>
      </c>
      <c r="C186">
        <v>3</v>
      </c>
      <c r="D186" t="s">
        <v>568</v>
      </c>
      <c r="E186">
        <v>6</v>
      </c>
      <c r="F186">
        <v>3.68</v>
      </c>
      <c r="G186" t="b">
        <v>0</v>
      </c>
      <c r="H186">
        <f>Sensitivity!H13</f>
        <v>49754655140299.383</v>
      </c>
    </row>
    <row r="187" spans="1:8" x14ac:dyDescent="0.2">
      <c r="A187" t="s">
        <v>556</v>
      </c>
      <c r="B187" t="s">
        <v>563</v>
      </c>
      <c r="C187">
        <v>3</v>
      </c>
      <c r="D187" t="s">
        <v>568</v>
      </c>
      <c r="E187">
        <v>8</v>
      </c>
      <c r="F187">
        <v>0.32</v>
      </c>
      <c r="G187" t="b">
        <v>1</v>
      </c>
      <c r="H187">
        <f>Sensitivity!H13</f>
        <v>49754655140299.383</v>
      </c>
    </row>
    <row r="188" spans="1:8" x14ac:dyDescent="0.2">
      <c r="A188" t="s">
        <v>556</v>
      </c>
      <c r="B188" t="s">
        <v>563</v>
      </c>
      <c r="C188">
        <v>3</v>
      </c>
      <c r="D188" t="s">
        <v>572</v>
      </c>
      <c r="E188">
        <v>4.5</v>
      </c>
      <c r="F188">
        <v>4.1399999999999997</v>
      </c>
      <c r="G188" t="b">
        <v>0</v>
      </c>
      <c r="H188" t="s">
        <v>573</v>
      </c>
    </row>
    <row r="189" spans="1:8" x14ac:dyDescent="0.2">
      <c r="A189" t="s">
        <v>556</v>
      </c>
      <c r="B189" t="s">
        <v>563</v>
      </c>
      <c r="C189">
        <v>3</v>
      </c>
      <c r="D189" t="s">
        <v>572</v>
      </c>
      <c r="E189">
        <v>6</v>
      </c>
      <c r="F189">
        <v>0.36</v>
      </c>
      <c r="G189" t="b">
        <v>1</v>
      </c>
      <c r="H189" t="s">
        <v>573</v>
      </c>
    </row>
    <row r="190" spans="1:8" x14ac:dyDescent="0.2">
      <c r="A190" t="s">
        <v>556</v>
      </c>
      <c r="B190" t="s">
        <v>563</v>
      </c>
      <c r="C190">
        <v>3</v>
      </c>
      <c r="D190" t="s">
        <v>576</v>
      </c>
      <c r="E190">
        <v>4.5</v>
      </c>
      <c r="F190">
        <v>4.1399999999999997</v>
      </c>
      <c r="G190" t="b">
        <v>0</v>
      </c>
      <c r="H190" t="s">
        <v>573</v>
      </c>
    </row>
    <row r="191" spans="1:8" x14ac:dyDescent="0.2">
      <c r="A191" t="s">
        <v>556</v>
      </c>
      <c r="B191" t="s">
        <v>563</v>
      </c>
      <c r="C191">
        <v>3</v>
      </c>
      <c r="D191" t="s">
        <v>576</v>
      </c>
      <c r="E191">
        <v>6</v>
      </c>
      <c r="F191">
        <v>0.36</v>
      </c>
      <c r="G191" t="b">
        <v>1</v>
      </c>
      <c r="H191" t="s">
        <v>573</v>
      </c>
    </row>
    <row r="192" spans="1:8" x14ac:dyDescent="0.2">
      <c r="A192" t="s">
        <v>556</v>
      </c>
      <c r="B192" t="s">
        <v>563</v>
      </c>
      <c r="C192">
        <v>3</v>
      </c>
      <c r="D192" t="s">
        <v>580</v>
      </c>
      <c r="E192">
        <v>4.5</v>
      </c>
      <c r="F192">
        <v>4.1399999999999997</v>
      </c>
      <c r="G192" t="b">
        <v>0</v>
      </c>
      <c r="H192">
        <f>Sensitivity!H6</f>
        <v>102956340516479.42</v>
      </c>
    </row>
    <row r="193" spans="1:8" x14ac:dyDescent="0.2">
      <c r="A193" t="s">
        <v>556</v>
      </c>
      <c r="B193" t="s">
        <v>563</v>
      </c>
      <c r="C193">
        <v>3</v>
      </c>
      <c r="D193" t="s">
        <v>580</v>
      </c>
      <c r="E193">
        <v>6</v>
      </c>
      <c r="F193">
        <v>0.36</v>
      </c>
      <c r="G193" t="b">
        <v>1</v>
      </c>
      <c r="H193">
        <f>Sensitivity!H6</f>
        <v>102956340516479.42</v>
      </c>
    </row>
    <row r="194" spans="1:8" x14ac:dyDescent="0.2">
      <c r="A194" t="s">
        <v>556</v>
      </c>
      <c r="B194" t="s">
        <v>563</v>
      </c>
      <c r="C194">
        <v>3</v>
      </c>
      <c r="D194" t="s">
        <v>582</v>
      </c>
      <c r="E194">
        <v>4.5</v>
      </c>
      <c r="F194">
        <v>4.1399999999999997</v>
      </c>
      <c r="G194" t="b">
        <v>0</v>
      </c>
      <c r="H194" t="s">
        <v>573</v>
      </c>
    </row>
    <row r="195" spans="1:8" x14ac:dyDescent="0.2">
      <c r="A195" t="s">
        <v>556</v>
      </c>
      <c r="B195" t="s">
        <v>563</v>
      </c>
      <c r="C195">
        <v>3</v>
      </c>
      <c r="D195" t="s">
        <v>582</v>
      </c>
      <c r="E195">
        <v>6</v>
      </c>
      <c r="F195">
        <v>0.36</v>
      </c>
      <c r="G195" t="b">
        <v>1</v>
      </c>
      <c r="H195" t="s">
        <v>573</v>
      </c>
    </row>
    <row r="196" spans="1:8" x14ac:dyDescent="0.2">
      <c r="A196" t="s">
        <v>556</v>
      </c>
      <c r="B196" t="s">
        <v>563</v>
      </c>
      <c r="C196">
        <v>3</v>
      </c>
      <c r="D196" t="s">
        <v>584</v>
      </c>
      <c r="E196">
        <v>4.5</v>
      </c>
      <c r="F196">
        <v>8.2799999999999994</v>
      </c>
      <c r="G196" t="b">
        <v>0</v>
      </c>
      <c r="H196" t="s">
        <v>573</v>
      </c>
    </row>
    <row r="197" spans="1:8" x14ac:dyDescent="0.2">
      <c r="A197" t="s">
        <v>556</v>
      </c>
      <c r="B197" t="s">
        <v>563</v>
      </c>
      <c r="C197">
        <v>3</v>
      </c>
      <c r="D197" t="s">
        <v>584</v>
      </c>
      <c r="E197">
        <v>6</v>
      </c>
      <c r="F197">
        <v>0.72</v>
      </c>
      <c r="G197" t="b">
        <v>1</v>
      </c>
      <c r="H197" t="s">
        <v>573</v>
      </c>
    </row>
    <row r="198" spans="1:8" x14ac:dyDescent="0.2">
      <c r="A198" t="s">
        <v>556</v>
      </c>
      <c r="B198" t="s">
        <v>563</v>
      </c>
      <c r="C198">
        <v>3</v>
      </c>
      <c r="D198" t="s">
        <v>586</v>
      </c>
      <c r="E198">
        <v>9</v>
      </c>
      <c r="F198">
        <v>8.2799999999999994</v>
      </c>
      <c r="G198" t="b">
        <v>0</v>
      </c>
      <c r="H198" t="s">
        <v>573</v>
      </c>
    </row>
    <row r="199" spans="1:8" x14ac:dyDescent="0.2">
      <c r="A199" t="s">
        <v>556</v>
      </c>
      <c r="B199" t="s">
        <v>563</v>
      </c>
      <c r="C199">
        <v>3</v>
      </c>
      <c r="D199" t="s">
        <v>586</v>
      </c>
      <c r="E199">
        <v>12</v>
      </c>
      <c r="F199">
        <v>0.72</v>
      </c>
      <c r="G199" t="b">
        <v>1</v>
      </c>
      <c r="H199" t="s">
        <v>573</v>
      </c>
    </row>
    <row r="200" spans="1:8" x14ac:dyDescent="0.2">
      <c r="A200" t="s">
        <v>556</v>
      </c>
      <c r="B200" t="s">
        <v>563</v>
      </c>
      <c r="C200">
        <v>3</v>
      </c>
      <c r="D200" t="s">
        <v>588</v>
      </c>
      <c r="E200">
        <v>4.5</v>
      </c>
      <c r="F200">
        <v>8.2799999999999994</v>
      </c>
      <c r="G200" t="b">
        <v>0</v>
      </c>
      <c r="H200" t="s">
        <v>573</v>
      </c>
    </row>
    <row r="201" spans="1:8" x14ac:dyDescent="0.2">
      <c r="A201" t="s">
        <v>556</v>
      </c>
      <c r="B201" t="s">
        <v>563</v>
      </c>
      <c r="C201">
        <v>3</v>
      </c>
      <c r="D201" t="s">
        <v>588</v>
      </c>
      <c r="E201">
        <v>6</v>
      </c>
      <c r="F201">
        <v>0.72</v>
      </c>
      <c r="G201" t="b">
        <v>1</v>
      </c>
      <c r="H201" t="s">
        <v>573</v>
      </c>
    </row>
    <row r="202" spans="1:8" x14ac:dyDescent="0.2">
      <c r="A202" t="s">
        <v>556</v>
      </c>
      <c r="B202" t="s">
        <v>563</v>
      </c>
      <c r="C202">
        <v>3</v>
      </c>
      <c r="D202" t="s">
        <v>591</v>
      </c>
      <c r="E202">
        <v>100</v>
      </c>
      <c r="F202">
        <v>8.74</v>
      </c>
      <c r="G202" t="b">
        <v>0</v>
      </c>
      <c r="H202" t="s">
        <v>573</v>
      </c>
    </row>
    <row r="203" spans="1:8" x14ac:dyDescent="0.2">
      <c r="A203" t="s">
        <v>556</v>
      </c>
      <c r="B203" t="s">
        <v>563</v>
      </c>
      <c r="C203">
        <v>3</v>
      </c>
      <c r="D203" t="s">
        <v>591</v>
      </c>
      <c r="E203">
        <v>200</v>
      </c>
      <c r="F203">
        <v>0.74</v>
      </c>
      <c r="G203" t="b">
        <v>1</v>
      </c>
      <c r="H203" t="s">
        <v>573</v>
      </c>
    </row>
    <row r="204" spans="1:8" x14ac:dyDescent="0.2">
      <c r="A204" t="s">
        <v>556</v>
      </c>
      <c r="B204" t="s">
        <v>563</v>
      </c>
      <c r="C204">
        <v>3</v>
      </c>
      <c r="D204" t="s">
        <v>592</v>
      </c>
      <c r="E204">
        <v>100</v>
      </c>
      <c r="F204">
        <v>8.74</v>
      </c>
      <c r="G204" t="b">
        <v>0</v>
      </c>
      <c r="H204" t="s">
        <v>573</v>
      </c>
    </row>
    <row r="205" spans="1:8" x14ac:dyDescent="0.2">
      <c r="A205" t="s">
        <v>556</v>
      </c>
      <c r="B205" t="s">
        <v>563</v>
      </c>
      <c r="C205">
        <v>3</v>
      </c>
      <c r="D205" t="s">
        <v>592</v>
      </c>
      <c r="E205">
        <v>200</v>
      </c>
      <c r="F205">
        <v>0.74</v>
      </c>
      <c r="G205" t="b">
        <v>1</v>
      </c>
      <c r="H205" t="s">
        <v>573</v>
      </c>
    </row>
    <row r="206" spans="1:8" x14ac:dyDescent="0.2">
      <c r="A206" t="s">
        <v>556</v>
      </c>
      <c r="B206" t="s">
        <v>563</v>
      </c>
      <c r="C206">
        <v>3</v>
      </c>
      <c r="D206" t="s">
        <v>595</v>
      </c>
      <c r="E206">
        <v>100</v>
      </c>
      <c r="F206">
        <v>8.74</v>
      </c>
      <c r="G206" t="b">
        <v>0</v>
      </c>
      <c r="H206">
        <f>Sensitivity!H5</f>
        <v>602676556870.32288</v>
      </c>
    </row>
    <row r="207" spans="1:8" x14ac:dyDescent="0.2">
      <c r="A207" t="s">
        <v>556</v>
      </c>
      <c r="B207" t="s">
        <v>563</v>
      </c>
      <c r="C207">
        <v>3</v>
      </c>
      <c r="D207" t="s">
        <v>595</v>
      </c>
      <c r="E207">
        <v>200</v>
      </c>
      <c r="F207">
        <v>0.74</v>
      </c>
      <c r="G207" t="b">
        <v>1</v>
      </c>
      <c r="H207">
        <f>Sensitivity!H5</f>
        <v>602676556870.32288</v>
      </c>
    </row>
    <row r="208" spans="1:8" x14ac:dyDescent="0.2">
      <c r="A208" t="s">
        <v>556</v>
      </c>
      <c r="B208" t="s">
        <v>563</v>
      </c>
      <c r="C208">
        <v>3</v>
      </c>
      <c r="D208" t="s">
        <v>597</v>
      </c>
      <c r="E208">
        <v>100</v>
      </c>
      <c r="F208">
        <v>8.74</v>
      </c>
      <c r="G208" t="b">
        <v>0</v>
      </c>
      <c r="H208" t="s">
        <v>573</v>
      </c>
    </row>
    <row r="209" spans="1:8" x14ac:dyDescent="0.2">
      <c r="A209" t="s">
        <v>556</v>
      </c>
      <c r="B209" t="s">
        <v>563</v>
      </c>
      <c r="C209">
        <v>3</v>
      </c>
      <c r="D209" t="s">
        <v>597</v>
      </c>
      <c r="E209">
        <v>200</v>
      </c>
      <c r="F209">
        <v>0.74</v>
      </c>
      <c r="G209" t="b">
        <v>1</v>
      </c>
      <c r="H209" t="s">
        <v>573</v>
      </c>
    </row>
    <row r="210" spans="1:8" x14ac:dyDescent="0.2">
      <c r="A210" t="s">
        <v>556</v>
      </c>
      <c r="B210" t="s">
        <v>566</v>
      </c>
      <c r="C210">
        <v>1</v>
      </c>
      <c r="D210" t="s">
        <v>527</v>
      </c>
      <c r="E210">
        <v>9</v>
      </c>
      <c r="F210">
        <v>2.5</v>
      </c>
      <c r="G210" t="b">
        <v>1</v>
      </c>
      <c r="H210">
        <f>IF(AND(Inputs!$B$9+Artifacts!$B$32&gt;=100,NOT(ArtifactsInput!$M$42),NOT(ArtifactsInput!$M$24)),Sensitivity!H15,Sensitivity!H14)</f>
        <v>65957390168802.742</v>
      </c>
    </row>
    <row r="211" spans="1:8" x14ac:dyDescent="0.2">
      <c r="A211" t="s">
        <v>556</v>
      </c>
      <c r="B211" t="s">
        <v>566</v>
      </c>
      <c r="C211">
        <v>1</v>
      </c>
      <c r="D211" t="s">
        <v>544</v>
      </c>
      <c r="E211">
        <v>5</v>
      </c>
      <c r="F211">
        <v>2.5</v>
      </c>
      <c r="G211" t="b">
        <v>1</v>
      </c>
      <c r="H211">
        <f>Sensitivity!H16</f>
        <v>59664313918494.375</v>
      </c>
    </row>
    <row r="212" spans="1:8" x14ac:dyDescent="0.2">
      <c r="A212" t="s">
        <v>556</v>
      </c>
      <c r="B212" t="s">
        <v>566</v>
      </c>
      <c r="C212">
        <v>1</v>
      </c>
      <c r="D212" t="s">
        <v>528</v>
      </c>
      <c r="E212">
        <v>18</v>
      </c>
      <c r="F212">
        <v>4</v>
      </c>
      <c r="G212" t="b">
        <v>1</v>
      </c>
      <c r="H212">
        <f>Sensitivity!H7</f>
        <v>32286149168906.172</v>
      </c>
    </row>
    <row r="213" spans="1:8" x14ac:dyDescent="0.2">
      <c r="A213" t="s">
        <v>556</v>
      </c>
      <c r="B213" t="s">
        <v>566</v>
      </c>
      <c r="C213">
        <v>1</v>
      </c>
      <c r="D213" t="s">
        <v>565</v>
      </c>
      <c r="E213">
        <v>10</v>
      </c>
      <c r="F213">
        <v>4</v>
      </c>
      <c r="G213" t="b">
        <v>1</v>
      </c>
      <c r="H213">
        <f>Sensitivity!H12</f>
        <v>49754655140299.383</v>
      </c>
    </row>
    <row r="214" spans="1:8" x14ac:dyDescent="0.2">
      <c r="A214" t="s">
        <v>556</v>
      </c>
      <c r="B214" t="s">
        <v>566</v>
      </c>
      <c r="C214">
        <v>1</v>
      </c>
      <c r="D214" t="s">
        <v>568</v>
      </c>
      <c r="E214">
        <v>10</v>
      </c>
      <c r="F214">
        <v>4</v>
      </c>
      <c r="G214" t="b">
        <v>1</v>
      </c>
      <c r="H214">
        <f>Sensitivity!H13</f>
        <v>49754655140299.383</v>
      </c>
    </row>
    <row r="215" spans="1:8" x14ac:dyDescent="0.2">
      <c r="A215" t="s">
        <v>556</v>
      </c>
      <c r="B215" t="s">
        <v>566</v>
      </c>
      <c r="C215">
        <v>1</v>
      </c>
      <c r="D215" t="s">
        <v>572</v>
      </c>
      <c r="E215">
        <v>9</v>
      </c>
      <c r="F215">
        <v>4.5</v>
      </c>
      <c r="G215" t="b">
        <v>1</v>
      </c>
      <c r="H215" t="s">
        <v>573</v>
      </c>
    </row>
    <row r="216" spans="1:8" x14ac:dyDescent="0.2">
      <c r="A216" t="s">
        <v>556</v>
      </c>
      <c r="B216" t="s">
        <v>566</v>
      </c>
      <c r="C216">
        <v>1</v>
      </c>
      <c r="D216" t="s">
        <v>576</v>
      </c>
      <c r="E216">
        <v>9</v>
      </c>
      <c r="F216">
        <v>4.5</v>
      </c>
      <c r="G216" t="b">
        <v>1</v>
      </c>
      <c r="H216" t="s">
        <v>573</v>
      </c>
    </row>
    <row r="217" spans="1:8" x14ac:dyDescent="0.2">
      <c r="A217" t="s">
        <v>556</v>
      </c>
      <c r="B217" t="s">
        <v>566</v>
      </c>
      <c r="C217">
        <v>1</v>
      </c>
      <c r="D217" t="s">
        <v>580</v>
      </c>
      <c r="E217">
        <v>9</v>
      </c>
      <c r="F217">
        <v>4.5</v>
      </c>
      <c r="G217" t="b">
        <v>1</v>
      </c>
      <c r="H217">
        <f>Sensitivity!H6</f>
        <v>102956340516479.42</v>
      </c>
    </row>
    <row r="218" spans="1:8" x14ac:dyDescent="0.2">
      <c r="A218" t="s">
        <v>556</v>
      </c>
      <c r="B218" t="s">
        <v>566</v>
      </c>
      <c r="C218">
        <v>1</v>
      </c>
      <c r="D218" t="s">
        <v>582</v>
      </c>
      <c r="E218">
        <v>9</v>
      </c>
      <c r="F218">
        <v>4.5</v>
      </c>
      <c r="G218" t="b">
        <v>1</v>
      </c>
      <c r="H218" t="s">
        <v>573</v>
      </c>
    </row>
    <row r="219" spans="1:8" x14ac:dyDescent="0.2">
      <c r="A219" t="s">
        <v>556</v>
      </c>
      <c r="B219" t="s">
        <v>566</v>
      </c>
      <c r="C219">
        <v>1</v>
      </c>
      <c r="D219" t="s">
        <v>584</v>
      </c>
      <c r="E219">
        <v>9</v>
      </c>
      <c r="F219">
        <v>9</v>
      </c>
      <c r="G219" t="b">
        <v>1</v>
      </c>
      <c r="H219" t="s">
        <v>573</v>
      </c>
    </row>
    <row r="220" spans="1:8" x14ac:dyDescent="0.2">
      <c r="A220" t="s">
        <v>556</v>
      </c>
      <c r="B220" t="s">
        <v>566</v>
      </c>
      <c r="C220">
        <v>1</v>
      </c>
      <c r="D220" t="s">
        <v>586</v>
      </c>
      <c r="E220">
        <v>15</v>
      </c>
      <c r="F220">
        <v>9</v>
      </c>
      <c r="G220" t="b">
        <v>1</v>
      </c>
      <c r="H220" t="s">
        <v>573</v>
      </c>
    </row>
    <row r="221" spans="1:8" x14ac:dyDescent="0.2">
      <c r="A221" t="s">
        <v>556</v>
      </c>
      <c r="B221" t="s">
        <v>566</v>
      </c>
      <c r="C221">
        <v>1</v>
      </c>
      <c r="D221" t="s">
        <v>588</v>
      </c>
      <c r="E221">
        <v>9</v>
      </c>
      <c r="F221">
        <v>9</v>
      </c>
      <c r="G221" t="b">
        <v>1</v>
      </c>
      <c r="H221" t="s">
        <v>573</v>
      </c>
    </row>
    <row r="222" spans="1:8" x14ac:dyDescent="0.2">
      <c r="A222" t="s">
        <v>556</v>
      </c>
      <c r="B222" t="s">
        <v>566</v>
      </c>
      <c r="C222">
        <v>1</v>
      </c>
      <c r="D222" t="s">
        <v>591</v>
      </c>
      <c r="E222">
        <v>400</v>
      </c>
      <c r="F222">
        <v>9.25</v>
      </c>
      <c r="G222" t="b">
        <v>1</v>
      </c>
      <c r="H222" t="s">
        <v>573</v>
      </c>
    </row>
    <row r="223" spans="1:8" x14ac:dyDescent="0.2">
      <c r="A223" t="s">
        <v>556</v>
      </c>
      <c r="B223" t="s">
        <v>566</v>
      </c>
      <c r="C223">
        <v>1</v>
      </c>
      <c r="D223" t="s">
        <v>592</v>
      </c>
      <c r="E223">
        <v>400</v>
      </c>
      <c r="F223">
        <v>9.25</v>
      </c>
      <c r="G223" t="b">
        <v>1</v>
      </c>
      <c r="H223" t="s">
        <v>573</v>
      </c>
    </row>
    <row r="224" spans="1:8" x14ac:dyDescent="0.2">
      <c r="A224" t="s">
        <v>556</v>
      </c>
      <c r="B224" t="s">
        <v>566</v>
      </c>
      <c r="C224">
        <v>1</v>
      </c>
      <c r="D224" t="s">
        <v>595</v>
      </c>
      <c r="E224">
        <v>400</v>
      </c>
      <c r="F224">
        <v>9.25</v>
      </c>
      <c r="G224" t="b">
        <v>1</v>
      </c>
      <c r="H224">
        <f>Sensitivity!H5</f>
        <v>602676556870.32288</v>
      </c>
    </row>
    <row r="225" spans="1:8" x14ac:dyDescent="0.2">
      <c r="A225" t="s">
        <v>556</v>
      </c>
      <c r="B225" t="s">
        <v>566</v>
      </c>
      <c r="C225">
        <v>1</v>
      </c>
      <c r="D225" t="s">
        <v>597</v>
      </c>
      <c r="E225">
        <v>400</v>
      </c>
      <c r="F225">
        <v>9.25</v>
      </c>
      <c r="G225" t="b">
        <v>1</v>
      </c>
      <c r="H225" t="s">
        <v>573</v>
      </c>
    </row>
    <row r="226" spans="1:8" x14ac:dyDescent="0.2">
      <c r="A226" t="s">
        <v>556</v>
      </c>
      <c r="B226" t="s">
        <v>566</v>
      </c>
      <c r="C226">
        <v>2</v>
      </c>
      <c r="D226" t="s">
        <v>527</v>
      </c>
      <c r="E226">
        <v>6</v>
      </c>
      <c r="F226">
        <v>1.9</v>
      </c>
      <c r="G226" t="b">
        <v>0</v>
      </c>
      <c r="H226">
        <f>IF(AND(Inputs!$B$9+Artifacts!$B$32&gt;=100,NOT(ArtifactsInput!$M$42),NOT(ArtifactsInput!$M$24)),Sensitivity!H15,Sensitivity!H14)</f>
        <v>65957390168802.742</v>
      </c>
    </row>
    <row r="227" spans="1:8" x14ac:dyDescent="0.2">
      <c r="A227" t="s">
        <v>556</v>
      </c>
      <c r="B227" t="s">
        <v>566</v>
      </c>
      <c r="C227">
        <v>2</v>
      </c>
      <c r="D227" t="s">
        <v>527</v>
      </c>
      <c r="E227">
        <v>9</v>
      </c>
      <c r="F227">
        <v>0.6</v>
      </c>
      <c r="G227" t="b">
        <v>1</v>
      </c>
      <c r="H227">
        <f>IF(AND(Inputs!$B$9+Artifacts!$B$32&gt;=100,NOT(ArtifactsInput!$M$42),NOT(ArtifactsInput!$M$24)),Sensitivity!H15,Sensitivity!H14)</f>
        <v>65957390168802.742</v>
      </c>
    </row>
    <row r="228" spans="1:8" x14ac:dyDescent="0.2">
      <c r="A228" t="s">
        <v>556</v>
      </c>
      <c r="B228" t="s">
        <v>566</v>
      </c>
      <c r="C228">
        <v>2</v>
      </c>
      <c r="D228" t="s">
        <v>544</v>
      </c>
      <c r="E228">
        <v>4</v>
      </c>
      <c r="F228">
        <v>1.9</v>
      </c>
      <c r="G228" t="b">
        <v>0</v>
      </c>
      <c r="H228">
        <f>Sensitivity!H16</f>
        <v>59664313918494.375</v>
      </c>
    </row>
    <row r="229" spans="1:8" x14ac:dyDescent="0.2">
      <c r="A229" t="s">
        <v>556</v>
      </c>
      <c r="B229" t="s">
        <v>566</v>
      </c>
      <c r="C229">
        <v>2</v>
      </c>
      <c r="D229" t="s">
        <v>544</v>
      </c>
      <c r="E229">
        <v>5</v>
      </c>
      <c r="F229">
        <v>0.6</v>
      </c>
      <c r="G229" t="b">
        <v>1</v>
      </c>
      <c r="H229">
        <f>Sensitivity!H16</f>
        <v>59664313918494.375</v>
      </c>
    </row>
    <row r="230" spans="1:8" x14ac:dyDescent="0.2">
      <c r="A230" t="s">
        <v>556</v>
      </c>
      <c r="B230" t="s">
        <v>566</v>
      </c>
      <c r="C230">
        <v>2</v>
      </c>
      <c r="D230" t="s">
        <v>528</v>
      </c>
      <c r="E230">
        <v>12</v>
      </c>
      <c r="F230">
        <v>3.04</v>
      </c>
      <c r="G230" t="b">
        <v>0</v>
      </c>
      <c r="H230">
        <f>Sensitivity!H7</f>
        <v>32286149168906.172</v>
      </c>
    </row>
    <row r="231" spans="1:8" x14ac:dyDescent="0.2">
      <c r="A231" t="s">
        <v>556</v>
      </c>
      <c r="B231" t="s">
        <v>566</v>
      </c>
      <c r="C231">
        <v>2</v>
      </c>
      <c r="D231" t="s">
        <v>528</v>
      </c>
      <c r="E231">
        <v>18</v>
      </c>
      <c r="F231">
        <v>0.96</v>
      </c>
      <c r="G231" t="b">
        <v>1</v>
      </c>
      <c r="H231">
        <f>Sensitivity!H7</f>
        <v>32286149168906.172</v>
      </c>
    </row>
    <row r="232" spans="1:8" x14ac:dyDescent="0.2">
      <c r="A232" t="s">
        <v>556</v>
      </c>
      <c r="B232" t="s">
        <v>566</v>
      </c>
      <c r="C232">
        <v>2</v>
      </c>
      <c r="D232" t="s">
        <v>565</v>
      </c>
      <c r="E232">
        <v>8</v>
      </c>
      <c r="F232">
        <v>3.04</v>
      </c>
      <c r="G232" t="b">
        <v>0</v>
      </c>
      <c r="H232">
        <f>Sensitivity!H12</f>
        <v>49754655140299.383</v>
      </c>
    </row>
    <row r="233" spans="1:8" x14ac:dyDescent="0.2">
      <c r="A233" t="s">
        <v>556</v>
      </c>
      <c r="B233" t="s">
        <v>566</v>
      </c>
      <c r="C233">
        <v>2</v>
      </c>
      <c r="D233" t="s">
        <v>565</v>
      </c>
      <c r="E233">
        <v>10</v>
      </c>
      <c r="F233">
        <v>0.96</v>
      </c>
      <c r="G233" t="b">
        <v>1</v>
      </c>
      <c r="H233">
        <f>Sensitivity!H12</f>
        <v>49754655140299.383</v>
      </c>
    </row>
    <row r="234" spans="1:8" x14ac:dyDescent="0.2">
      <c r="A234" t="s">
        <v>556</v>
      </c>
      <c r="B234" t="s">
        <v>566</v>
      </c>
      <c r="C234">
        <v>2</v>
      </c>
      <c r="D234" t="s">
        <v>568</v>
      </c>
      <c r="E234">
        <v>8</v>
      </c>
      <c r="F234">
        <v>3.04</v>
      </c>
      <c r="G234" t="b">
        <v>0</v>
      </c>
      <c r="H234">
        <f>Sensitivity!H13</f>
        <v>49754655140299.383</v>
      </c>
    </row>
    <row r="235" spans="1:8" x14ac:dyDescent="0.2">
      <c r="A235" t="s">
        <v>556</v>
      </c>
      <c r="B235" t="s">
        <v>566</v>
      </c>
      <c r="C235">
        <v>2</v>
      </c>
      <c r="D235" t="s">
        <v>568</v>
      </c>
      <c r="E235">
        <v>10</v>
      </c>
      <c r="F235">
        <v>0.96</v>
      </c>
      <c r="G235" t="b">
        <v>1</v>
      </c>
      <c r="H235">
        <f>Sensitivity!H13</f>
        <v>49754655140299.383</v>
      </c>
    </row>
    <row r="236" spans="1:8" x14ac:dyDescent="0.2">
      <c r="A236" t="s">
        <v>556</v>
      </c>
      <c r="B236" t="s">
        <v>566</v>
      </c>
      <c r="C236">
        <v>2</v>
      </c>
      <c r="D236" t="s">
        <v>572</v>
      </c>
      <c r="E236">
        <v>6</v>
      </c>
      <c r="F236">
        <v>3.42</v>
      </c>
      <c r="G236" t="b">
        <v>0</v>
      </c>
      <c r="H236" t="s">
        <v>573</v>
      </c>
    </row>
    <row r="237" spans="1:8" x14ac:dyDescent="0.2">
      <c r="A237" t="s">
        <v>556</v>
      </c>
      <c r="B237" t="s">
        <v>566</v>
      </c>
      <c r="C237">
        <v>2</v>
      </c>
      <c r="D237" t="s">
        <v>572</v>
      </c>
      <c r="E237">
        <v>9</v>
      </c>
      <c r="F237">
        <v>1.08</v>
      </c>
      <c r="G237" t="b">
        <v>1</v>
      </c>
      <c r="H237" t="s">
        <v>573</v>
      </c>
    </row>
    <row r="238" spans="1:8" x14ac:dyDescent="0.2">
      <c r="A238" t="s">
        <v>556</v>
      </c>
      <c r="B238" t="s">
        <v>566</v>
      </c>
      <c r="C238">
        <v>2</v>
      </c>
      <c r="D238" t="s">
        <v>576</v>
      </c>
      <c r="E238">
        <v>6</v>
      </c>
      <c r="F238">
        <v>3.42</v>
      </c>
      <c r="G238" t="b">
        <v>0</v>
      </c>
      <c r="H238" t="s">
        <v>573</v>
      </c>
    </row>
    <row r="239" spans="1:8" x14ac:dyDescent="0.2">
      <c r="A239" t="s">
        <v>556</v>
      </c>
      <c r="B239" t="s">
        <v>566</v>
      </c>
      <c r="C239">
        <v>2</v>
      </c>
      <c r="D239" t="s">
        <v>576</v>
      </c>
      <c r="E239">
        <v>9</v>
      </c>
      <c r="F239">
        <v>1.08</v>
      </c>
      <c r="G239" t="b">
        <v>1</v>
      </c>
      <c r="H239" t="s">
        <v>573</v>
      </c>
    </row>
    <row r="240" spans="1:8" x14ac:dyDescent="0.2">
      <c r="A240" t="s">
        <v>556</v>
      </c>
      <c r="B240" t="s">
        <v>566</v>
      </c>
      <c r="C240">
        <v>2</v>
      </c>
      <c r="D240" t="s">
        <v>580</v>
      </c>
      <c r="E240">
        <v>6</v>
      </c>
      <c r="F240">
        <v>3.42</v>
      </c>
      <c r="G240" t="b">
        <v>0</v>
      </c>
      <c r="H240">
        <f>Sensitivity!H6</f>
        <v>102956340516479.42</v>
      </c>
    </row>
    <row r="241" spans="1:8" x14ac:dyDescent="0.2">
      <c r="A241" t="s">
        <v>556</v>
      </c>
      <c r="B241" t="s">
        <v>566</v>
      </c>
      <c r="C241">
        <v>2</v>
      </c>
      <c r="D241" t="s">
        <v>580</v>
      </c>
      <c r="E241">
        <v>9</v>
      </c>
      <c r="F241">
        <v>1.08</v>
      </c>
      <c r="G241" t="b">
        <v>1</v>
      </c>
      <c r="H241">
        <f>Sensitivity!H6</f>
        <v>102956340516479.42</v>
      </c>
    </row>
    <row r="242" spans="1:8" x14ac:dyDescent="0.2">
      <c r="A242" t="s">
        <v>556</v>
      </c>
      <c r="B242" t="s">
        <v>566</v>
      </c>
      <c r="C242">
        <v>2</v>
      </c>
      <c r="D242" t="s">
        <v>582</v>
      </c>
      <c r="E242">
        <v>6</v>
      </c>
      <c r="F242">
        <v>3.42</v>
      </c>
      <c r="G242" t="b">
        <v>0</v>
      </c>
      <c r="H242" t="s">
        <v>573</v>
      </c>
    </row>
    <row r="243" spans="1:8" x14ac:dyDescent="0.2">
      <c r="A243" t="s">
        <v>556</v>
      </c>
      <c r="B243" t="s">
        <v>566</v>
      </c>
      <c r="C243">
        <v>2</v>
      </c>
      <c r="D243" t="s">
        <v>582</v>
      </c>
      <c r="E243">
        <v>9</v>
      </c>
      <c r="F243">
        <v>1.08</v>
      </c>
      <c r="G243" t="b">
        <v>1</v>
      </c>
      <c r="H243" t="s">
        <v>573</v>
      </c>
    </row>
    <row r="244" spans="1:8" x14ac:dyDescent="0.2">
      <c r="A244" t="s">
        <v>556</v>
      </c>
      <c r="B244" t="s">
        <v>566</v>
      </c>
      <c r="C244">
        <v>2</v>
      </c>
      <c r="D244" t="s">
        <v>584</v>
      </c>
      <c r="E244">
        <v>6</v>
      </c>
      <c r="F244">
        <v>6.84</v>
      </c>
      <c r="G244" t="b">
        <v>0</v>
      </c>
      <c r="H244" t="s">
        <v>573</v>
      </c>
    </row>
    <row r="245" spans="1:8" x14ac:dyDescent="0.2">
      <c r="A245" t="s">
        <v>556</v>
      </c>
      <c r="B245" t="s">
        <v>566</v>
      </c>
      <c r="C245">
        <v>2</v>
      </c>
      <c r="D245" t="s">
        <v>584</v>
      </c>
      <c r="E245">
        <v>9</v>
      </c>
      <c r="F245">
        <v>2.16</v>
      </c>
      <c r="G245" t="b">
        <v>1</v>
      </c>
      <c r="H245" t="s">
        <v>573</v>
      </c>
    </row>
    <row r="246" spans="1:8" x14ac:dyDescent="0.2">
      <c r="A246" t="s">
        <v>556</v>
      </c>
      <c r="B246" t="s">
        <v>566</v>
      </c>
      <c r="C246">
        <v>2</v>
      </c>
      <c r="D246" t="s">
        <v>586</v>
      </c>
      <c r="E246">
        <v>12</v>
      </c>
      <c r="F246">
        <v>6.84</v>
      </c>
      <c r="G246" t="b">
        <v>0</v>
      </c>
      <c r="H246" t="s">
        <v>573</v>
      </c>
    </row>
    <row r="247" spans="1:8" x14ac:dyDescent="0.2">
      <c r="A247" t="s">
        <v>556</v>
      </c>
      <c r="B247" t="s">
        <v>566</v>
      </c>
      <c r="C247">
        <v>2</v>
      </c>
      <c r="D247" t="s">
        <v>586</v>
      </c>
      <c r="E247">
        <v>15</v>
      </c>
      <c r="F247">
        <v>2.16</v>
      </c>
      <c r="G247" t="b">
        <v>1</v>
      </c>
      <c r="H247" t="s">
        <v>573</v>
      </c>
    </row>
    <row r="248" spans="1:8" x14ac:dyDescent="0.2">
      <c r="A248" t="s">
        <v>556</v>
      </c>
      <c r="B248" t="s">
        <v>566</v>
      </c>
      <c r="C248">
        <v>2</v>
      </c>
      <c r="D248" t="s">
        <v>588</v>
      </c>
      <c r="E248">
        <v>6</v>
      </c>
      <c r="F248">
        <v>6.84</v>
      </c>
      <c r="G248" t="b">
        <v>0</v>
      </c>
      <c r="H248" t="s">
        <v>573</v>
      </c>
    </row>
    <row r="249" spans="1:8" x14ac:dyDescent="0.2">
      <c r="A249" t="s">
        <v>556</v>
      </c>
      <c r="B249" t="s">
        <v>566</v>
      </c>
      <c r="C249">
        <v>2</v>
      </c>
      <c r="D249" t="s">
        <v>588</v>
      </c>
      <c r="E249">
        <v>9</v>
      </c>
      <c r="F249">
        <v>2.16</v>
      </c>
      <c r="G249" t="b">
        <v>1</v>
      </c>
      <c r="H249" t="s">
        <v>573</v>
      </c>
    </row>
    <row r="250" spans="1:8" x14ac:dyDescent="0.2">
      <c r="A250" t="s">
        <v>556</v>
      </c>
      <c r="B250" t="s">
        <v>566</v>
      </c>
      <c r="C250">
        <v>2</v>
      </c>
      <c r="D250" t="s">
        <v>591</v>
      </c>
      <c r="E250">
        <v>200</v>
      </c>
      <c r="F250">
        <v>7.03</v>
      </c>
      <c r="G250" t="b">
        <v>0</v>
      </c>
      <c r="H250" t="s">
        <v>573</v>
      </c>
    </row>
    <row r="251" spans="1:8" x14ac:dyDescent="0.2">
      <c r="A251" t="s">
        <v>556</v>
      </c>
      <c r="B251" t="s">
        <v>566</v>
      </c>
      <c r="C251">
        <v>2</v>
      </c>
      <c r="D251" t="s">
        <v>591</v>
      </c>
      <c r="E251">
        <v>400</v>
      </c>
      <c r="F251">
        <v>2.2200000000000002</v>
      </c>
      <c r="G251" t="b">
        <v>1</v>
      </c>
      <c r="H251" t="s">
        <v>573</v>
      </c>
    </row>
    <row r="252" spans="1:8" x14ac:dyDescent="0.2">
      <c r="A252" t="s">
        <v>556</v>
      </c>
      <c r="B252" t="s">
        <v>566</v>
      </c>
      <c r="C252">
        <v>2</v>
      </c>
      <c r="D252" t="s">
        <v>592</v>
      </c>
      <c r="E252">
        <v>200</v>
      </c>
      <c r="F252">
        <v>7.03</v>
      </c>
      <c r="G252" t="b">
        <v>0</v>
      </c>
      <c r="H252" t="s">
        <v>573</v>
      </c>
    </row>
    <row r="253" spans="1:8" x14ac:dyDescent="0.2">
      <c r="A253" t="s">
        <v>556</v>
      </c>
      <c r="B253" t="s">
        <v>566</v>
      </c>
      <c r="C253">
        <v>2</v>
      </c>
      <c r="D253" t="s">
        <v>592</v>
      </c>
      <c r="E253">
        <v>400</v>
      </c>
      <c r="F253">
        <v>2.2200000000000002</v>
      </c>
      <c r="G253" t="b">
        <v>1</v>
      </c>
      <c r="H253" t="s">
        <v>573</v>
      </c>
    </row>
    <row r="254" spans="1:8" x14ac:dyDescent="0.2">
      <c r="A254" t="s">
        <v>556</v>
      </c>
      <c r="B254" t="s">
        <v>566</v>
      </c>
      <c r="C254">
        <v>2</v>
      </c>
      <c r="D254" t="s">
        <v>595</v>
      </c>
      <c r="E254">
        <v>200</v>
      </c>
      <c r="F254">
        <v>7.03</v>
      </c>
      <c r="G254" t="b">
        <v>0</v>
      </c>
      <c r="H254">
        <f>Sensitivity!H5</f>
        <v>602676556870.32288</v>
      </c>
    </row>
    <row r="255" spans="1:8" x14ac:dyDescent="0.2">
      <c r="A255" t="s">
        <v>556</v>
      </c>
      <c r="B255" t="s">
        <v>566</v>
      </c>
      <c r="C255">
        <v>2</v>
      </c>
      <c r="D255" t="s">
        <v>595</v>
      </c>
      <c r="E255">
        <v>400</v>
      </c>
      <c r="F255">
        <v>2.2200000000000002</v>
      </c>
      <c r="G255" t="b">
        <v>1</v>
      </c>
      <c r="H255">
        <f>Sensitivity!H5</f>
        <v>602676556870.32288</v>
      </c>
    </row>
    <row r="256" spans="1:8" x14ac:dyDescent="0.2">
      <c r="A256" t="s">
        <v>556</v>
      </c>
      <c r="B256" t="s">
        <v>566</v>
      </c>
      <c r="C256">
        <v>2</v>
      </c>
      <c r="D256" t="s">
        <v>597</v>
      </c>
      <c r="E256">
        <v>200</v>
      </c>
      <c r="F256">
        <v>7.03</v>
      </c>
      <c r="G256" t="b">
        <v>0</v>
      </c>
      <c r="H256" t="s">
        <v>573</v>
      </c>
    </row>
    <row r="257" spans="1:8" x14ac:dyDescent="0.2">
      <c r="A257" t="s">
        <v>556</v>
      </c>
      <c r="B257" t="s">
        <v>566</v>
      </c>
      <c r="C257">
        <v>2</v>
      </c>
      <c r="D257" t="s">
        <v>597</v>
      </c>
      <c r="E257">
        <v>400</v>
      </c>
      <c r="F257">
        <v>2.2200000000000002</v>
      </c>
      <c r="G257" t="b">
        <v>1</v>
      </c>
      <c r="H257" t="s">
        <v>573</v>
      </c>
    </row>
    <row r="258" spans="1:8" x14ac:dyDescent="0.2">
      <c r="A258" t="s">
        <v>556</v>
      </c>
      <c r="B258" t="s">
        <v>566</v>
      </c>
      <c r="C258">
        <v>3</v>
      </c>
      <c r="D258" t="s">
        <v>527</v>
      </c>
      <c r="E258">
        <v>6</v>
      </c>
      <c r="F258">
        <v>2.2999999999999998</v>
      </c>
      <c r="G258" t="b">
        <v>0</v>
      </c>
      <c r="H258">
        <f>IF(AND(Inputs!$B$9+Artifacts!$B$32&gt;=100,NOT(ArtifactsInput!$M$42),NOT(ArtifactsInput!$M$24)),Sensitivity!H15,Sensitivity!H14)</f>
        <v>65957390168802.742</v>
      </c>
    </row>
    <row r="259" spans="1:8" x14ac:dyDescent="0.2">
      <c r="A259" t="s">
        <v>556</v>
      </c>
      <c r="B259" t="s">
        <v>566</v>
      </c>
      <c r="C259">
        <v>3</v>
      </c>
      <c r="D259" t="s">
        <v>527</v>
      </c>
      <c r="E259">
        <v>9</v>
      </c>
      <c r="F259">
        <v>0.2</v>
      </c>
      <c r="G259" t="b">
        <v>1</v>
      </c>
      <c r="H259">
        <f>IF(AND(Inputs!$B$9+Artifacts!$B$32&gt;=100,NOT(ArtifactsInput!$M$42),NOT(ArtifactsInput!$M$24)),Sensitivity!H15,Sensitivity!H14)</f>
        <v>65957390168802.742</v>
      </c>
    </row>
    <row r="260" spans="1:8" x14ac:dyDescent="0.2">
      <c r="A260" t="s">
        <v>556</v>
      </c>
      <c r="B260" t="s">
        <v>566</v>
      </c>
      <c r="C260">
        <v>3</v>
      </c>
      <c r="D260" t="s">
        <v>544</v>
      </c>
      <c r="E260">
        <v>4</v>
      </c>
      <c r="F260">
        <v>2.2999999999999998</v>
      </c>
      <c r="G260" t="b">
        <v>0</v>
      </c>
      <c r="H260">
        <f>Sensitivity!H16</f>
        <v>59664313918494.375</v>
      </c>
    </row>
    <row r="261" spans="1:8" x14ac:dyDescent="0.2">
      <c r="A261" t="s">
        <v>556</v>
      </c>
      <c r="B261" t="s">
        <v>566</v>
      </c>
      <c r="C261">
        <v>3</v>
      </c>
      <c r="D261" t="s">
        <v>544</v>
      </c>
      <c r="E261">
        <v>5</v>
      </c>
      <c r="F261">
        <v>0.2</v>
      </c>
      <c r="G261" t="b">
        <v>1</v>
      </c>
      <c r="H261">
        <f>Sensitivity!H16</f>
        <v>59664313918494.375</v>
      </c>
    </row>
    <row r="262" spans="1:8" x14ac:dyDescent="0.2">
      <c r="A262" t="s">
        <v>556</v>
      </c>
      <c r="B262" t="s">
        <v>566</v>
      </c>
      <c r="C262">
        <v>3</v>
      </c>
      <c r="D262" t="s">
        <v>528</v>
      </c>
      <c r="E262">
        <v>12</v>
      </c>
      <c r="F262">
        <v>3.68</v>
      </c>
      <c r="G262" t="b">
        <v>0</v>
      </c>
      <c r="H262">
        <f>Sensitivity!H7</f>
        <v>32286149168906.172</v>
      </c>
    </row>
    <row r="263" spans="1:8" x14ac:dyDescent="0.2">
      <c r="A263" t="s">
        <v>556</v>
      </c>
      <c r="B263" t="s">
        <v>566</v>
      </c>
      <c r="C263">
        <v>3</v>
      </c>
      <c r="D263" t="s">
        <v>528</v>
      </c>
      <c r="E263">
        <v>18</v>
      </c>
      <c r="F263">
        <v>0.32</v>
      </c>
      <c r="G263" t="b">
        <v>1</v>
      </c>
      <c r="H263">
        <f>Sensitivity!H7</f>
        <v>32286149168906.172</v>
      </c>
    </row>
    <row r="264" spans="1:8" x14ac:dyDescent="0.2">
      <c r="A264" t="s">
        <v>556</v>
      </c>
      <c r="B264" t="s">
        <v>566</v>
      </c>
      <c r="C264">
        <v>3</v>
      </c>
      <c r="D264" t="s">
        <v>565</v>
      </c>
      <c r="E264">
        <v>8</v>
      </c>
      <c r="F264">
        <v>3.68</v>
      </c>
      <c r="G264" t="b">
        <v>0</v>
      </c>
      <c r="H264">
        <f>Sensitivity!H12</f>
        <v>49754655140299.383</v>
      </c>
    </row>
    <row r="265" spans="1:8" x14ac:dyDescent="0.2">
      <c r="A265" t="s">
        <v>556</v>
      </c>
      <c r="B265" t="s">
        <v>566</v>
      </c>
      <c r="C265">
        <v>3</v>
      </c>
      <c r="D265" t="s">
        <v>565</v>
      </c>
      <c r="E265">
        <v>10</v>
      </c>
      <c r="F265">
        <v>0.32</v>
      </c>
      <c r="G265" t="b">
        <v>1</v>
      </c>
      <c r="H265">
        <f>Sensitivity!H12</f>
        <v>49754655140299.383</v>
      </c>
    </row>
    <row r="266" spans="1:8" x14ac:dyDescent="0.2">
      <c r="A266" t="s">
        <v>556</v>
      </c>
      <c r="B266" t="s">
        <v>566</v>
      </c>
      <c r="C266">
        <v>3</v>
      </c>
      <c r="D266" t="s">
        <v>568</v>
      </c>
      <c r="E266">
        <v>8</v>
      </c>
      <c r="F266">
        <v>3.68</v>
      </c>
      <c r="G266" t="b">
        <v>0</v>
      </c>
      <c r="H266">
        <f>Sensitivity!H13</f>
        <v>49754655140299.383</v>
      </c>
    </row>
    <row r="267" spans="1:8" x14ac:dyDescent="0.2">
      <c r="A267" t="s">
        <v>556</v>
      </c>
      <c r="B267" t="s">
        <v>566</v>
      </c>
      <c r="C267">
        <v>3</v>
      </c>
      <c r="D267" t="s">
        <v>568</v>
      </c>
      <c r="E267">
        <v>10</v>
      </c>
      <c r="F267">
        <v>0.32</v>
      </c>
      <c r="G267" t="b">
        <v>1</v>
      </c>
      <c r="H267">
        <f>Sensitivity!H13</f>
        <v>49754655140299.383</v>
      </c>
    </row>
    <row r="268" spans="1:8" x14ac:dyDescent="0.2">
      <c r="A268" t="s">
        <v>556</v>
      </c>
      <c r="B268" t="s">
        <v>566</v>
      </c>
      <c r="C268">
        <v>3</v>
      </c>
      <c r="D268" t="s">
        <v>572</v>
      </c>
      <c r="E268">
        <v>6</v>
      </c>
      <c r="F268">
        <v>4.1399999999999997</v>
      </c>
      <c r="G268" t="b">
        <v>0</v>
      </c>
      <c r="H268" t="s">
        <v>573</v>
      </c>
    </row>
    <row r="269" spans="1:8" x14ac:dyDescent="0.2">
      <c r="A269" t="s">
        <v>556</v>
      </c>
      <c r="B269" t="s">
        <v>566</v>
      </c>
      <c r="C269">
        <v>3</v>
      </c>
      <c r="D269" t="s">
        <v>572</v>
      </c>
      <c r="E269">
        <v>9</v>
      </c>
      <c r="F269">
        <v>0.36</v>
      </c>
      <c r="G269" t="b">
        <v>1</v>
      </c>
      <c r="H269" t="s">
        <v>573</v>
      </c>
    </row>
    <row r="270" spans="1:8" x14ac:dyDescent="0.2">
      <c r="A270" t="s">
        <v>556</v>
      </c>
      <c r="B270" t="s">
        <v>566</v>
      </c>
      <c r="C270">
        <v>3</v>
      </c>
      <c r="D270" t="s">
        <v>576</v>
      </c>
      <c r="E270">
        <v>6</v>
      </c>
      <c r="F270">
        <v>4.1399999999999997</v>
      </c>
      <c r="G270" t="b">
        <v>0</v>
      </c>
      <c r="H270" t="s">
        <v>573</v>
      </c>
    </row>
    <row r="271" spans="1:8" x14ac:dyDescent="0.2">
      <c r="A271" t="s">
        <v>556</v>
      </c>
      <c r="B271" t="s">
        <v>566</v>
      </c>
      <c r="C271">
        <v>3</v>
      </c>
      <c r="D271" t="s">
        <v>576</v>
      </c>
      <c r="E271">
        <v>9</v>
      </c>
      <c r="F271">
        <v>0.36</v>
      </c>
      <c r="G271" t="b">
        <v>1</v>
      </c>
      <c r="H271" t="s">
        <v>573</v>
      </c>
    </row>
    <row r="272" spans="1:8" x14ac:dyDescent="0.2">
      <c r="A272" t="s">
        <v>556</v>
      </c>
      <c r="B272" t="s">
        <v>566</v>
      </c>
      <c r="C272">
        <v>3</v>
      </c>
      <c r="D272" t="s">
        <v>580</v>
      </c>
      <c r="E272">
        <v>6</v>
      </c>
      <c r="F272">
        <v>4.1399999999999997</v>
      </c>
      <c r="G272" t="b">
        <v>0</v>
      </c>
      <c r="H272">
        <f>Sensitivity!H6</f>
        <v>102956340516479.42</v>
      </c>
    </row>
    <row r="273" spans="1:8" x14ac:dyDescent="0.2">
      <c r="A273" t="s">
        <v>556</v>
      </c>
      <c r="B273" t="s">
        <v>566</v>
      </c>
      <c r="C273">
        <v>3</v>
      </c>
      <c r="D273" t="s">
        <v>580</v>
      </c>
      <c r="E273">
        <v>9</v>
      </c>
      <c r="F273">
        <v>0.36</v>
      </c>
      <c r="G273" t="b">
        <v>1</v>
      </c>
      <c r="H273">
        <f>Sensitivity!H6</f>
        <v>102956340516479.42</v>
      </c>
    </row>
    <row r="274" spans="1:8" x14ac:dyDescent="0.2">
      <c r="A274" t="s">
        <v>556</v>
      </c>
      <c r="B274" t="s">
        <v>566</v>
      </c>
      <c r="C274">
        <v>3</v>
      </c>
      <c r="D274" t="s">
        <v>582</v>
      </c>
      <c r="E274">
        <v>6</v>
      </c>
      <c r="F274">
        <v>4.1399999999999997</v>
      </c>
      <c r="G274" t="b">
        <v>0</v>
      </c>
      <c r="H274" t="s">
        <v>573</v>
      </c>
    </row>
    <row r="275" spans="1:8" x14ac:dyDescent="0.2">
      <c r="A275" t="s">
        <v>556</v>
      </c>
      <c r="B275" t="s">
        <v>566</v>
      </c>
      <c r="C275">
        <v>3</v>
      </c>
      <c r="D275" t="s">
        <v>582</v>
      </c>
      <c r="E275">
        <v>9</v>
      </c>
      <c r="F275">
        <v>0.36</v>
      </c>
      <c r="G275" t="b">
        <v>1</v>
      </c>
      <c r="H275" t="s">
        <v>573</v>
      </c>
    </row>
    <row r="276" spans="1:8" x14ac:dyDescent="0.2">
      <c r="A276" t="s">
        <v>556</v>
      </c>
      <c r="B276" t="s">
        <v>566</v>
      </c>
      <c r="C276">
        <v>3</v>
      </c>
      <c r="D276" t="s">
        <v>584</v>
      </c>
      <c r="E276">
        <v>6</v>
      </c>
      <c r="F276">
        <v>8.2799999999999994</v>
      </c>
      <c r="G276" t="b">
        <v>0</v>
      </c>
      <c r="H276" t="s">
        <v>573</v>
      </c>
    </row>
    <row r="277" spans="1:8" x14ac:dyDescent="0.2">
      <c r="A277" t="s">
        <v>556</v>
      </c>
      <c r="B277" t="s">
        <v>566</v>
      </c>
      <c r="C277">
        <v>3</v>
      </c>
      <c r="D277" t="s">
        <v>584</v>
      </c>
      <c r="E277">
        <v>9</v>
      </c>
      <c r="F277">
        <v>0.72</v>
      </c>
      <c r="G277" t="b">
        <v>1</v>
      </c>
      <c r="H277" t="s">
        <v>573</v>
      </c>
    </row>
    <row r="278" spans="1:8" x14ac:dyDescent="0.2">
      <c r="A278" t="s">
        <v>556</v>
      </c>
      <c r="B278" t="s">
        <v>566</v>
      </c>
      <c r="C278">
        <v>3</v>
      </c>
      <c r="D278" t="s">
        <v>586</v>
      </c>
      <c r="E278">
        <v>12</v>
      </c>
      <c r="F278">
        <v>8.2799999999999994</v>
      </c>
      <c r="G278" t="b">
        <v>0</v>
      </c>
      <c r="H278" t="s">
        <v>573</v>
      </c>
    </row>
    <row r="279" spans="1:8" x14ac:dyDescent="0.2">
      <c r="A279" t="s">
        <v>556</v>
      </c>
      <c r="B279" t="s">
        <v>566</v>
      </c>
      <c r="C279">
        <v>3</v>
      </c>
      <c r="D279" t="s">
        <v>586</v>
      </c>
      <c r="E279">
        <v>15</v>
      </c>
      <c r="F279">
        <v>0.72</v>
      </c>
      <c r="G279" t="b">
        <v>1</v>
      </c>
      <c r="H279" t="s">
        <v>573</v>
      </c>
    </row>
    <row r="280" spans="1:8" x14ac:dyDescent="0.2">
      <c r="A280" t="s">
        <v>556</v>
      </c>
      <c r="B280" t="s">
        <v>566</v>
      </c>
      <c r="C280">
        <v>3</v>
      </c>
      <c r="D280" t="s">
        <v>588</v>
      </c>
      <c r="E280">
        <v>6</v>
      </c>
      <c r="F280">
        <v>8.2799999999999994</v>
      </c>
      <c r="G280" t="b">
        <v>0</v>
      </c>
      <c r="H280" t="s">
        <v>573</v>
      </c>
    </row>
    <row r="281" spans="1:8" x14ac:dyDescent="0.2">
      <c r="A281" t="s">
        <v>556</v>
      </c>
      <c r="B281" t="s">
        <v>566</v>
      </c>
      <c r="C281">
        <v>3</v>
      </c>
      <c r="D281" t="s">
        <v>588</v>
      </c>
      <c r="E281">
        <v>9</v>
      </c>
      <c r="F281">
        <v>0.72</v>
      </c>
      <c r="G281" t="b">
        <v>1</v>
      </c>
      <c r="H281" t="s">
        <v>573</v>
      </c>
    </row>
    <row r="282" spans="1:8" x14ac:dyDescent="0.2">
      <c r="A282" t="s">
        <v>556</v>
      </c>
      <c r="B282" t="s">
        <v>566</v>
      </c>
      <c r="C282">
        <v>3</v>
      </c>
      <c r="D282" t="s">
        <v>591</v>
      </c>
      <c r="E282">
        <v>200</v>
      </c>
      <c r="F282">
        <v>8.51</v>
      </c>
      <c r="G282" t="b">
        <v>0</v>
      </c>
      <c r="H282" t="s">
        <v>573</v>
      </c>
    </row>
    <row r="283" spans="1:8" x14ac:dyDescent="0.2">
      <c r="A283" t="s">
        <v>556</v>
      </c>
      <c r="B283" t="s">
        <v>566</v>
      </c>
      <c r="C283">
        <v>3</v>
      </c>
      <c r="D283" t="s">
        <v>591</v>
      </c>
      <c r="E283">
        <v>400</v>
      </c>
      <c r="F283">
        <v>0.74</v>
      </c>
      <c r="G283" t="b">
        <v>1</v>
      </c>
      <c r="H283" t="s">
        <v>573</v>
      </c>
    </row>
    <row r="284" spans="1:8" x14ac:dyDescent="0.2">
      <c r="A284" t="s">
        <v>556</v>
      </c>
      <c r="B284" t="s">
        <v>566</v>
      </c>
      <c r="C284">
        <v>3</v>
      </c>
      <c r="D284" t="s">
        <v>592</v>
      </c>
      <c r="E284">
        <v>200</v>
      </c>
      <c r="F284">
        <v>8.51</v>
      </c>
      <c r="G284" t="b">
        <v>0</v>
      </c>
      <c r="H284" t="s">
        <v>573</v>
      </c>
    </row>
    <row r="285" spans="1:8" x14ac:dyDescent="0.2">
      <c r="A285" t="s">
        <v>556</v>
      </c>
      <c r="B285" t="s">
        <v>566</v>
      </c>
      <c r="C285">
        <v>3</v>
      </c>
      <c r="D285" t="s">
        <v>592</v>
      </c>
      <c r="E285">
        <v>400</v>
      </c>
      <c r="F285">
        <v>0.74</v>
      </c>
      <c r="G285" t="b">
        <v>1</v>
      </c>
      <c r="H285" t="s">
        <v>573</v>
      </c>
    </row>
    <row r="286" spans="1:8" x14ac:dyDescent="0.2">
      <c r="A286" t="s">
        <v>556</v>
      </c>
      <c r="B286" t="s">
        <v>566</v>
      </c>
      <c r="C286">
        <v>3</v>
      </c>
      <c r="D286" t="s">
        <v>595</v>
      </c>
      <c r="E286">
        <v>200</v>
      </c>
      <c r="F286">
        <v>8.51</v>
      </c>
      <c r="G286" t="b">
        <v>0</v>
      </c>
      <c r="H286">
        <f>Sensitivity!H5</f>
        <v>602676556870.32288</v>
      </c>
    </row>
    <row r="287" spans="1:8" x14ac:dyDescent="0.2">
      <c r="A287" t="s">
        <v>556</v>
      </c>
      <c r="B287" t="s">
        <v>566</v>
      </c>
      <c r="C287">
        <v>3</v>
      </c>
      <c r="D287" t="s">
        <v>595</v>
      </c>
      <c r="E287">
        <v>400</v>
      </c>
      <c r="F287">
        <v>0.74</v>
      </c>
      <c r="G287" t="b">
        <v>1</v>
      </c>
      <c r="H287">
        <f>Sensitivity!H5</f>
        <v>602676556870.32288</v>
      </c>
    </row>
    <row r="288" spans="1:8" x14ac:dyDescent="0.2">
      <c r="A288" t="s">
        <v>556</v>
      </c>
      <c r="B288" t="s">
        <v>566</v>
      </c>
      <c r="C288">
        <v>3</v>
      </c>
      <c r="D288" t="s">
        <v>597</v>
      </c>
      <c r="E288">
        <v>200</v>
      </c>
      <c r="F288">
        <v>8.51</v>
      </c>
      <c r="G288" t="b">
        <v>0</v>
      </c>
      <c r="H288" t="s">
        <v>573</v>
      </c>
    </row>
    <row r="289" spans="1:8" x14ac:dyDescent="0.2">
      <c r="A289" t="s">
        <v>556</v>
      </c>
      <c r="B289" t="s">
        <v>566</v>
      </c>
      <c r="C289">
        <v>3</v>
      </c>
      <c r="D289" t="s">
        <v>597</v>
      </c>
      <c r="E289">
        <v>400</v>
      </c>
      <c r="F289">
        <v>0.74</v>
      </c>
      <c r="G289" t="b">
        <v>1</v>
      </c>
      <c r="H289" t="s">
        <v>573</v>
      </c>
    </row>
    <row r="290" spans="1:8" x14ac:dyDescent="0.2">
      <c r="A290" t="s">
        <v>556</v>
      </c>
      <c r="B290" t="s">
        <v>570</v>
      </c>
      <c r="C290">
        <v>1</v>
      </c>
      <c r="D290" t="s">
        <v>527</v>
      </c>
      <c r="E290">
        <v>12</v>
      </c>
      <c r="F290">
        <v>2.5</v>
      </c>
      <c r="G290" t="b">
        <v>0</v>
      </c>
      <c r="H290">
        <f>IF(AND(Inputs!$B$9+Artifacts!$B$32&gt;=100,NOT(ArtifactsInput!$M$42),NOT(ArtifactsInput!$M$24)),Sensitivity!H15,Sensitivity!H14)</f>
        <v>65957390168802.742</v>
      </c>
    </row>
    <row r="291" spans="1:8" x14ac:dyDescent="0.2">
      <c r="A291" t="s">
        <v>556</v>
      </c>
      <c r="B291" t="s">
        <v>570</v>
      </c>
      <c r="C291">
        <v>1</v>
      </c>
      <c r="D291" t="s">
        <v>544</v>
      </c>
      <c r="E291">
        <v>7</v>
      </c>
      <c r="F291">
        <v>2.5</v>
      </c>
      <c r="G291" t="b">
        <v>0</v>
      </c>
      <c r="H291">
        <f>Sensitivity!H16</f>
        <v>59664313918494.375</v>
      </c>
    </row>
    <row r="292" spans="1:8" x14ac:dyDescent="0.2">
      <c r="A292" t="s">
        <v>556</v>
      </c>
      <c r="B292" t="s">
        <v>570</v>
      </c>
      <c r="C292">
        <v>1</v>
      </c>
      <c r="D292" t="s">
        <v>528</v>
      </c>
      <c r="E292">
        <v>25</v>
      </c>
      <c r="F292">
        <v>4</v>
      </c>
      <c r="G292" t="b">
        <v>0</v>
      </c>
      <c r="H292">
        <f>Sensitivity!H7</f>
        <v>32286149168906.172</v>
      </c>
    </row>
    <row r="293" spans="1:8" x14ac:dyDescent="0.2">
      <c r="A293" t="s">
        <v>556</v>
      </c>
      <c r="B293" t="s">
        <v>570</v>
      </c>
      <c r="C293">
        <v>1</v>
      </c>
      <c r="D293" t="s">
        <v>565</v>
      </c>
      <c r="E293">
        <v>15</v>
      </c>
      <c r="F293">
        <v>4</v>
      </c>
      <c r="G293" t="b">
        <v>0</v>
      </c>
      <c r="H293">
        <f>Sensitivity!H12</f>
        <v>49754655140299.383</v>
      </c>
    </row>
    <row r="294" spans="1:8" x14ac:dyDescent="0.2">
      <c r="A294" t="s">
        <v>556</v>
      </c>
      <c r="B294" t="s">
        <v>570</v>
      </c>
      <c r="C294">
        <v>1</v>
      </c>
      <c r="D294" t="s">
        <v>568</v>
      </c>
      <c r="E294">
        <v>15</v>
      </c>
      <c r="F294">
        <v>4</v>
      </c>
      <c r="G294" t="b">
        <v>0</v>
      </c>
      <c r="H294">
        <f>Sensitivity!H13</f>
        <v>49754655140299.383</v>
      </c>
    </row>
    <row r="295" spans="1:8" x14ac:dyDescent="0.2">
      <c r="A295" t="s">
        <v>556</v>
      </c>
      <c r="B295" t="s">
        <v>570</v>
      </c>
      <c r="C295">
        <v>1</v>
      </c>
      <c r="D295" t="s">
        <v>572</v>
      </c>
      <c r="E295">
        <v>12</v>
      </c>
      <c r="F295">
        <v>4.5</v>
      </c>
      <c r="G295" t="b">
        <v>0</v>
      </c>
      <c r="H295" t="s">
        <v>573</v>
      </c>
    </row>
    <row r="296" spans="1:8" x14ac:dyDescent="0.2">
      <c r="A296" t="s">
        <v>556</v>
      </c>
      <c r="B296" t="s">
        <v>570</v>
      </c>
      <c r="C296">
        <v>1</v>
      </c>
      <c r="D296" t="s">
        <v>576</v>
      </c>
      <c r="E296">
        <v>12</v>
      </c>
      <c r="F296">
        <v>4.5</v>
      </c>
      <c r="G296" t="b">
        <v>0</v>
      </c>
      <c r="H296" t="s">
        <v>573</v>
      </c>
    </row>
    <row r="297" spans="1:8" x14ac:dyDescent="0.2">
      <c r="A297" t="s">
        <v>556</v>
      </c>
      <c r="B297" t="s">
        <v>570</v>
      </c>
      <c r="C297">
        <v>1</v>
      </c>
      <c r="D297" t="s">
        <v>580</v>
      </c>
      <c r="E297">
        <v>12</v>
      </c>
      <c r="F297">
        <v>4.5</v>
      </c>
      <c r="G297" t="b">
        <v>0</v>
      </c>
      <c r="H297">
        <f>Sensitivity!H6</f>
        <v>102956340516479.42</v>
      </c>
    </row>
    <row r="298" spans="1:8" x14ac:dyDescent="0.2">
      <c r="A298" t="s">
        <v>556</v>
      </c>
      <c r="B298" t="s">
        <v>570</v>
      </c>
      <c r="C298">
        <v>1</v>
      </c>
      <c r="D298" t="s">
        <v>582</v>
      </c>
      <c r="E298">
        <v>12</v>
      </c>
      <c r="F298">
        <v>4.5</v>
      </c>
      <c r="G298" t="b">
        <v>0</v>
      </c>
      <c r="H298" t="s">
        <v>573</v>
      </c>
    </row>
    <row r="299" spans="1:8" x14ac:dyDescent="0.2">
      <c r="A299" t="s">
        <v>556</v>
      </c>
      <c r="B299" t="s">
        <v>570</v>
      </c>
      <c r="C299">
        <v>1</v>
      </c>
      <c r="D299" t="s">
        <v>584</v>
      </c>
      <c r="E299">
        <v>12</v>
      </c>
      <c r="F299">
        <v>9</v>
      </c>
      <c r="G299" t="b">
        <v>0</v>
      </c>
      <c r="H299" t="s">
        <v>573</v>
      </c>
    </row>
    <row r="300" spans="1:8" x14ac:dyDescent="0.2">
      <c r="A300" t="s">
        <v>556</v>
      </c>
      <c r="B300" t="s">
        <v>570</v>
      </c>
      <c r="C300">
        <v>1</v>
      </c>
      <c r="D300" t="s">
        <v>586</v>
      </c>
      <c r="E300">
        <v>20</v>
      </c>
      <c r="F300">
        <v>9</v>
      </c>
      <c r="G300" t="b">
        <v>0</v>
      </c>
      <c r="H300" t="s">
        <v>573</v>
      </c>
    </row>
    <row r="301" spans="1:8" x14ac:dyDescent="0.2">
      <c r="A301" t="s">
        <v>556</v>
      </c>
      <c r="B301" t="s">
        <v>570</v>
      </c>
      <c r="C301">
        <v>1</v>
      </c>
      <c r="D301" t="s">
        <v>588</v>
      </c>
      <c r="E301">
        <v>12</v>
      </c>
      <c r="F301">
        <v>9</v>
      </c>
      <c r="G301" t="b">
        <v>0</v>
      </c>
      <c r="H301" t="s">
        <v>573</v>
      </c>
    </row>
    <row r="302" spans="1:8" x14ac:dyDescent="0.2">
      <c r="A302" t="s">
        <v>556</v>
      </c>
      <c r="B302" t="s">
        <v>570</v>
      </c>
      <c r="C302">
        <v>1</v>
      </c>
      <c r="D302" t="s">
        <v>591</v>
      </c>
      <c r="E302">
        <v>600</v>
      </c>
      <c r="F302">
        <v>9.25</v>
      </c>
      <c r="G302" t="b">
        <v>0</v>
      </c>
      <c r="H302" t="s">
        <v>573</v>
      </c>
    </row>
    <row r="303" spans="1:8" x14ac:dyDescent="0.2">
      <c r="A303" t="s">
        <v>556</v>
      </c>
      <c r="B303" t="s">
        <v>570</v>
      </c>
      <c r="C303">
        <v>1</v>
      </c>
      <c r="D303" t="s">
        <v>592</v>
      </c>
      <c r="E303">
        <v>600</v>
      </c>
      <c r="F303">
        <v>9.25</v>
      </c>
      <c r="G303" t="b">
        <v>0</v>
      </c>
      <c r="H303" t="s">
        <v>573</v>
      </c>
    </row>
    <row r="304" spans="1:8" x14ac:dyDescent="0.2">
      <c r="A304" t="s">
        <v>556</v>
      </c>
      <c r="B304" t="s">
        <v>570</v>
      </c>
      <c r="C304">
        <v>1</v>
      </c>
      <c r="D304" t="s">
        <v>595</v>
      </c>
      <c r="E304">
        <v>600</v>
      </c>
      <c r="F304">
        <v>9.25</v>
      </c>
      <c r="G304" t="b">
        <v>0</v>
      </c>
      <c r="H304">
        <f>Sensitivity!H5</f>
        <v>602676556870.32288</v>
      </c>
    </row>
    <row r="305" spans="1:8" x14ac:dyDescent="0.2">
      <c r="A305" t="s">
        <v>556</v>
      </c>
      <c r="B305" t="s">
        <v>570</v>
      </c>
      <c r="C305">
        <v>1</v>
      </c>
      <c r="D305" t="s">
        <v>597</v>
      </c>
      <c r="E305">
        <v>600</v>
      </c>
      <c r="F305">
        <v>9.25</v>
      </c>
      <c r="G305" t="b">
        <v>0</v>
      </c>
      <c r="H305" t="s">
        <v>573</v>
      </c>
    </row>
    <row r="306" spans="1:8" x14ac:dyDescent="0.2">
      <c r="A306" t="s">
        <v>556</v>
      </c>
      <c r="B306" t="s">
        <v>570</v>
      </c>
      <c r="C306">
        <v>2</v>
      </c>
      <c r="D306" t="s">
        <v>527</v>
      </c>
      <c r="E306">
        <v>9</v>
      </c>
      <c r="F306">
        <v>1.9</v>
      </c>
      <c r="G306" t="b">
        <v>0</v>
      </c>
      <c r="H306">
        <f>IF(AND(Inputs!$B$9+Artifacts!$B$32&gt;=100,NOT(ArtifactsInput!$M$42),NOT(ArtifactsInput!$M$24)),Sensitivity!H15,Sensitivity!H14)</f>
        <v>65957390168802.742</v>
      </c>
    </row>
    <row r="307" spans="1:8" x14ac:dyDescent="0.2">
      <c r="A307" t="s">
        <v>556</v>
      </c>
      <c r="B307" t="s">
        <v>570</v>
      </c>
      <c r="C307">
        <v>2</v>
      </c>
      <c r="D307" t="s">
        <v>527</v>
      </c>
      <c r="E307">
        <v>12</v>
      </c>
      <c r="F307">
        <v>0.6</v>
      </c>
      <c r="G307" t="b">
        <v>1</v>
      </c>
      <c r="H307">
        <f>IF(AND(Inputs!$B$9+Artifacts!$B$32&gt;=100,NOT(ArtifactsInput!$M$42),NOT(ArtifactsInput!$M$24)),Sensitivity!H15,Sensitivity!H14)</f>
        <v>65957390168802.742</v>
      </c>
    </row>
    <row r="308" spans="1:8" x14ac:dyDescent="0.2">
      <c r="A308" t="s">
        <v>556</v>
      </c>
      <c r="B308" t="s">
        <v>570</v>
      </c>
      <c r="C308">
        <v>2</v>
      </c>
      <c r="D308" t="s">
        <v>544</v>
      </c>
      <c r="E308">
        <v>5</v>
      </c>
      <c r="F308">
        <v>1.9</v>
      </c>
      <c r="G308" t="b">
        <v>0</v>
      </c>
      <c r="H308">
        <f>Sensitivity!H16</f>
        <v>59664313918494.375</v>
      </c>
    </row>
    <row r="309" spans="1:8" x14ac:dyDescent="0.2">
      <c r="A309" t="s">
        <v>556</v>
      </c>
      <c r="B309" t="s">
        <v>570</v>
      </c>
      <c r="C309">
        <v>2</v>
      </c>
      <c r="D309" t="s">
        <v>544</v>
      </c>
      <c r="E309">
        <v>7</v>
      </c>
      <c r="F309">
        <v>0.6</v>
      </c>
      <c r="G309" t="b">
        <v>1</v>
      </c>
      <c r="H309">
        <f>Sensitivity!H16</f>
        <v>59664313918494.375</v>
      </c>
    </row>
    <row r="310" spans="1:8" x14ac:dyDescent="0.2">
      <c r="A310" t="s">
        <v>556</v>
      </c>
      <c r="B310" t="s">
        <v>570</v>
      </c>
      <c r="C310">
        <v>2</v>
      </c>
      <c r="D310" t="s">
        <v>528</v>
      </c>
      <c r="E310">
        <v>18</v>
      </c>
      <c r="F310">
        <v>3.04</v>
      </c>
      <c r="G310" t="b">
        <v>0</v>
      </c>
      <c r="H310">
        <f>Sensitivity!H7</f>
        <v>32286149168906.172</v>
      </c>
    </row>
    <row r="311" spans="1:8" x14ac:dyDescent="0.2">
      <c r="A311" t="s">
        <v>556</v>
      </c>
      <c r="B311" t="s">
        <v>570</v>
      </c>
      <c r="C311">
        <v>2</v>
      </c>
      <c r="D311" t="s">
        <v>528</v>
      </c>
      <c r="E311">
        <v>25</v>
      </c>
      <c r="F311">
        <v>0.96</v>
      </c>
      <c r="G311" t="b">
        <v>1</v>
      </c>
      <c r="H311">
        <f>Sensitivity!H7</f>
        <v>32286149168906.172</v>
      </c>
    </row>
    <row r="312" spans="1:8" x14ac:dyDescent="0.2">
      <c r="A312" t="s">
        <v>556</v>
      </c>
      <c r="B312" t="s">
        <v>570</v>
      </c>
      <c r="C312">
        <v>2</v>
      </c>
      <c r="D312" t="s">
        <v>565</v>
      </c>
      <c r="E312">
        <v>10</v>
      </c>
      <c r="F312">
        <v>3.04</v>
      </c>
      <c r="G312" t="b">
        <v>0</v>
      </c>
      <c r="H312">
        <f>Sensitivity!H12</f>
        <v>49754655140299.383</v>
      </c>
    </row>
    <row r="313" spans="1:8" x14ac:dyDescent="0.2">
      <c r="A313" t="s">
        <v>556</v>
      </c>
      <c r="B313" t="s">
        <v>570</v>
      </c>
      <c r="C313">
        <v>2</v>
      </c>
      <c r="D313" t="s">
        <v>565</v>
      </c>
      <c r="E313">
        <v>15</v>
      </c>
      <c r="F313">
        <v>0.96</v>
      </c>
      <c r="G313" t="b">
        <v>1</v>
      </c>
      <c r="H313">
        <f>Sensitivity!H12</f>
        <v>49754655140299.383</v>
      </c>
    </row>
    <row r="314" spans="1:8" x14ac:dyDescent="0.2">
      <c r="A314" t="s">
        <v>556</v>
      </c>
      <c r="B314" t="s">
        <v>570</v>
      </c>
      <c r="C314">
        <v>2</v>
      </c>
      <c r="D314" t="s">
        <v>568</v>
      </c>
      <c r="E314">
        <v>10</v>
      </c>
      <c r="F314">
        <v>3.04</v>
      </c>
      <c r="G314" t="b">
        <v>0</v>
      </c>
      <c r="H314">
        <f>Sensitivity!H13</f>
        <v>49754655140299.383</v>
      </c>
    </row>
    <row r="315" spans="1:8" x14ac:dyDescent="0.2">
      <c r="A315" t="s">
        <v>556</v>
      </c>
      <c r="B315" t="s">
        <v>570</v>
      </c>
      <c r="C315">
        <v>2</v>
      </c>
      <c r="D315" t="s">
        <v>568</v>
      </c>
      <c r="E315">
        <v>15</v>
      </c>
      <c r="F315">
        <v>0.96</v>
      </c>
      <c r="G315" t="b">
        <v>1</v>
      </c>
      <c r="H315">
        <f>Sensitivity!H13</f>
        <v>49754655140299.383</v>
      </c>
    </row>
    <row r="316" spans="1:8" x14ac:dyDescent="0.2">
      <c r="A316" t="s">
        <v>556</v>
      </c>
      <c r="B316" t="s">
        <v>570</v>
      </c>
      <c r="C316">
        <v>2</v>
      </c>
      <c r="D316" t="s">
        <v>572</v>
      </c>
      <c r="E316">
        <v>9</v>
      </c>
      <c r="F316">
        <v>3.42</v>
      </c>
      <c r="G316" t="b">
        <v>0</v>
      </c>
      <c r="H316" t="s">
        <v>573</v>
      </c>
    </row>
    <row r="317" spans="1:8" x14ac:dyDescent="0.2">
      <c r="A317" t="s">
        <v>556</v>
      </c>
      <c r="B317" t="s">
        <v>570</v>
      </c>
      <c r="C317">
        <v>2</v>
      </c>
      <c r="D317" t="s">
        <v>572</v>
      </c>
      <c r="E317">
        <v>12</v>
      </c>
      <c r="F317">
        <v>1.08</v>
      </c>
      <c r="G317" t="b">
        <v>1</v>
      </c>
      <c r="H317" t="s">
        <v>573</v>
      </c>
    </row>
    <row r="318" spans="1:8" x14ac:dyDescent="0.2">
      <c r="A318" t="s">
        <v>556</v>
      </c>
      <c r="B318" t="s">
        <v>570</v>
      </c>
      <c r="C318">
        <v>2</v>
      </c>
      <c r="D318" t="s">
        <v>576</v>
      </c>
      <c r="E318">
        <v>9</v>
      </c>
      <c r="F318">
        <v>3.42</v>
      </c>
      <c r="G318" t="b">
        <v>0</v>
      </c>
      <c r="H318" t="s">
        <v>573</v>
      </c>
    </row>
    <row r="319" spans="1:8" x14ac:dyDescent="0.2">
      <c r="A319" t="s">
        <v>556</v>
      </c>
      <c r="B319" t="s">
        <v>570</v>
      </c>
      <c r="C319">
        <v>2</v>
      </c>
      <c r="D319" t="s">
        <v>576</v>
      </c>
      <c r="E319">
        <v>12</v>
      </c>
      <c r="F319">
        <v>1.08</v>
      </c>
      <c r="G319" t="b">
        <v>1</v>
      </c>
      <c r="H319" t="s">
        <v>573</v>
      </c>
    </row>
    <row r="320" spans="1:8" x14ac:dyDescent="0.2">
      <c r="A320" t="s">
        <v>556</v>
      </c>
      <c r="B320" t="s">
        <v>570</v>
      </c>
      <c r="C320">
        <v>2</v>
      </c>
      <c r="D320" t="s">
        <v>580</v>
      </c>
      <c r="E320">
        <v>9</v>
      </c>
      <c r="F320">
        <v>3.42</v>
      </c>
      <c r="G320" t="b">
        <v>0</v>
      </c>
      <c r="H320">
        <f>Sensitivity!H6</f>
        <v>102956340516479.42</v>
      </c>
    </row>
    <row r="321" spans="1:8" x14ac:dyDescent="0.2">
      <c r="A321" t="s">
        <v>556</v>
      </c>
      <c r="B321" t="s">
        <v>570</v>
      </c>
      <c r="C321">
        <v>2</v>
      </c>
      <c r="D321" t="s">
        <v>580</v>
      </c>
      <c r="E321">
        <v>12</v>
      </c>
      <c r="F321">
        <v>1.08</v>
      </c>
      <c r="G321" t="b">
        <v>1</v>
      </c>
      <c r="H321">
        <f>Sensitivity!H6</f>
        <v>102956340516479.42</v>
      </c>
    </row>
    <row r="322" spans="1:8" x14ac:dyDescent="0.2">
      <c r="A322" t="s">
        <v>556</v>
      </c>
      <c r="B322" t="s">
        <v>570</v>
      </c>
      <c r="C322">
        <v>2</v>
      </c>
      <c r="D322" t="s">
        <v>582</v>
      </c>
      <c r="E322">
        <v>9</v>
      </c>
      <c r="F322">
        <v>3.42</v>
      </c>
      <c r="G322" t="b">
        <v>0</v>
      </c>
      <c r="H322" t="s">
        <v>573</v>
      </c>
    </row>
    <row r="323" spans="1:8" x14ac:dyDescent="0.2">
      <c r="A323" t="s">
        <v>556</v>
      </c>
      <c r="B323" t="s">
        <v>570</v>
      </c>
      <c r="C323">
        <v>2</v>
      </c>
      <c r="D323" t="s">
        <v>582</v>
      </c>
      <c r="E323">
        <v>12</v>
      </c>
      <c r="F323">
        <v>1.08</v>
      </c>
      <c r="G323" t="b">
        <v>1</v>
      </c>
      <c r="H323" t="s">
        <v>573</v>
      </c>
    </row>
    <row r="324" spans="1:8" x14ac:dyDescent="0.2">
      <c r="A324" t="s">
        <v>556</v>
      </c>
      <c r="B324" t="s">
        <v>570</v>
      </c>
      <c r="C324">
        <v>2</v>
      </c>
      <c r="D324" t="s">
        <v>584</v>
      </c>
      <c r="E324">
        <v>9</v>
      </c>
      <c r="F324">
        <v>6.84</v>
      </c>
      <c r="G324" t="b">
        <v>0</v>
      </c>
      <c r="H324" t="s">
        <v>573</v>
      </c>
    </row>
    <row r="325" spans="1:8" x14ac:dyDescent="0.2">
      <c r="A325" t="s">
        <v>556</v>
      </c>
      <c r="B325" t="s">
        <v>570</v>
      </c>
      <c r="C325">
        <v>2</v>
      </c>
      <c r="D325" t="s">
        <v>584</v>
      </c>
      <c r="E325">
        <v>12</v>
      </c>
      <c r="F325">
        <v>2.16</v>
      </c>
      <c r="G325" t="b">
        <v>1</v>
      </c>
      <c r="H325" t="s">
        <v>573</v>
      </c>
    </row>
    <row r="326" spans="1:8" x14ac:dyDescent="0.2">
      <c r="A326" t="s">
        <v>556</v>
      </c>
      <c r="B326" t="s">
        <v>570</v>
      </c>
      <c r="C326">
        <v>2</v>
      </c>
      <c r="D326" t="s">
        <v>586</v>
      </c>
      <c r="E326">
        <v>15</v>
      </c>
      <c r="F326">
        <v>6.84</v>
      </c>
      <c r="G326" t="b">
        <v>0</v>
      </c>
      <c r="H326" t="s">
        <v>573</v>
      </c>
    </row>
    <row r="327" spans="1:8" x14ac:dyDescent="0.2">
      <c r="A327" t="s">
        <v>556</v>
      </c>
      <c r="B327" t="s">
        <v>570</v>
      </c>
      <c r="C327">
        <v>2</v>
      </c>
      <c r="D327" t="s">
        <v>586</v>
      </c>
      <c r="E327">
        <v>20</v>
      </c>
      <c r="F327">
        <v>2.16</v>
      </c>
      <c r="G327" t="b">
        <v>1</v>
      </c>
      <c r="H327" t="s">
        <v>573</v>
      </c>
    </row>
    <row r="328" spans="1:8" x14ac:dyDescent="0.2">
      <c r="A328" t="s">
        <v>556</v>
      </c>
      <c r="B328" t="s">
        <v>570</v>
      </c>
      <c r="C328">
        <v>2</v>
      </c>
      <c r="D328" t="s">
        <v>588</v>
      </c>
      <c r="E328">
        <v>9</v>
      </c>
      <c r="F328">
        <v>6.84</v>
      </c>
      <c r="G328" t="b">
        <v>0</v>
      </c>
      <c r="H328" t="s">
        <v>573</v>
      </c>
    </row>
    <row r="329" spans="1:8" x14ac:dyDescent="0.2">
      <c r="A329" t="s">
        <v>556</v>
      </c>
      <c r="B329" t="s">
        <v>570</v>
      </c>
      <c r="C329">
        <v>2</v>
      </c>
      <c r="D329" t="s">
        <v>588</v>
      </c>
      <c r="E329">
        <v>12</v>
      </c>
      <c r="F329">
        <v>2.16</v>
      </c>
      <c r="G329" t="b">
        <v>1</v>
      </c>
      <c r="H329" t="s">
        <v>573</v>
      </c>
    </row>
    <row r="330" spans="1:8" x14ac:dyDescent="0.2">
      <c r="A330" t="s">
        <v>556</v>
      </c>
      <c r="B330" t="s">
        <v>570</v>
      </c>
      <c r="C330">
        <v>2</v>
      </c>
      <c r="D330" t="s">
        <v>591</v>
      </c>
      <c r="E330">
        <v>400</v>
      </c>
      <c r="F330">
        <v>7.03</v>
      </c>
      <c r="G330" t="b">
        <v>0</v>
      </c>
      <c r="H330" t="s">
        <v>573</v>
      </c>
    </row>
    <row r="331" spans="1:8" x14ac:dyDescent="0.2">
      <c r="A331" t="s">
        <v>556</v>
      </c>
      <c r="B331" t="s">
        <v>570</v>
      </c>
      <c r="C331">
        <v>2</v>
      </c>
      <c r="D331" t="s">
        <v>591</v>
      </c>
      <c r="E331">
        <v>600</v>
      </c>
      <c r="F331">
        <v>2.2200000000000002</v>
      </c>
      <c r="G331" t="b">
        <v>1</v>
      </c>
      <c r="H331" t="s">
        <v>573</v>
      </c>
    </row>
    <row r="332" spans="1:8" x14ac:dyDescent="0.2">
      <c r="A332" t="s">
        <v>556</v>
      </c>
      <c r="B332" t="s">
        <v>570</v>
      </c>
      <c r="C332">
        <v>2</v>
      </c>
      <c r="D332" t="s">
        <v>592</v>
      </c>
      <c r="E332">
        <v>400</v>
      </c>
      <c r="F332">
        <v>7.03</v>
      </c>
      <c r="G332" t="b">
        <v>0</v>
      </c>
      <c r="H332" t="s">
        <v>573</v>
      </c>
    </row>
    <row r="333" spans="1:8" x14ac:dyDescent="0.2">
      <c r="A333" t="s">
        <v>556</v>
      </c>
      <c r="B333" t="s">
        <v>570</v>
      </c>
      <c r="C333">
        <v>2</v>
      </c>
      <c r="D333" t="s">
        <v>592</v>
      </c>
      <c r="E333">
        <v>600</v>
      </c>
      <c r="F333">
        <v>2.2200000000000002</v>
      </c>
      <c r="G333" t="b">
        <v>1</v>
      </c>
      <c r="H333" t="s">
        <v>573</v>
      </c>
    </row>
    <row r="334" spans="1:8" x14ac:dyDescent="0.2">
      <c r="A334" t="s">
        <v>556</v>
      </c>
      <c r="B334" t="s">
        <v>570</v>
      </c>
      <c r="C334">
        <v>2</v>
      </c>
      <c r="D334" t="s">
        <v>595</v>
      </c>
      <c r="E334">
        <v>400</v>
      </c>
      <c r="F334">
        <v>7.03</v>
      </c>
      <c r="G334" t="b">
        <v>0</v>
      </c>
      <c r="H334">
        <f>Sensitivity!H5</f>
        <v>602676556870.32288</v>
      </c>
    </row>
    <row r="335" spans="1:8" x14ac:dyDescent="0.2">
      <c r="A335" t="s">
        <v>556</v>
      </c>
      <c r="B335" t="s">
        <v>570</v>
      </c>
      <c r="C335">
        <v>2</v>
      </c>
      <c r="D335" t="s">
        <v>595</v>
      </c>
      <c r="E335">
        <v>600</v>
      </c>
      <c r="F335">
        <v>2.2200000000000002</v>
      </c>
      <c r="G335" t="b">
        <v>1</v>
      </c>
      <c r="H335">
        <f>Sensitivity!H5</f>
        <v>602676556870.32288</v>
      </c>
    </row>
    <row r="336" spans="1:8" x14ac:dyDescent="0.2">
      <c r="A336" t="s">
        <v>556</v>
      </c>
      <c r="B336" t="s">
        <v>570</v>
      </c>
      <c r="C336">
        <v>2</v>
      </c>
      <c r="D336" t="s">
        <v>597</v>
      </c>
      <c r="E336">
        <v>400</v>
      </c>
      <c r="F336">
        <v>7.03</v>
      </c>
      <c r="G336" t="b">
        <v>0</v>
      </c>
      <c r="H336" t="s">
        <v>573</v>
      </c>
    </row>
    <row r="337" spans="1:8" x14ac:dyDescent="0.2">
      <c r="A337" t="s">
        <v>556</v>
      </c>
      <c r="B337" t="s">
        <v>570</v>
      </c>
      <c r="C337">
        <v>2</v>
      </c>
      <c r="D337" t="s">
        <v>597</v>
      </c>
      <c r="E337">
        <v>600</v>
      </c>
      <c r="F337">
        <v>2.2200000000000002</v>
      </c>
      <c r="G337" t="b">
        <v>1</v>
      </c>
      <c r="H337" t="s">
        <v>573</v>
      </c>
    </row>
    <row r="338" spans="1:8" x14ac:dyDescent="0.2">
      <c r="A338" t="s">
        <v>556</v>
      </c>
      <c r="B338" t="s">
        <v>570</v>
      </c>
      <c r="C338">
        <v>3</v>
      </c>
      <c r="D338" t="s">
        <v>527</v>
      </c>
      <c r="E338">
        <v>9</v>
      </c>
      <c r="F338">
        <v>2.2999999999999998</v>
      </c>
      <c r="G338" t="b">
        <v>0</v>
      </c>
      <c r="H338">
        <f>IF(AND(Inputs!$B$9+Artifacts!$B$32&gt;=100,NOT(ArtifactsInput!$M$42),NOT(ArtifactsInput!$M$24)),Sensitivity!H15,Sensitivity!H14)</f>
        <v>65957390168802.742</v>
      </c>
    </row>
    <row r="339" spans="1:8" x14ac:dyDescent="0.2">
      <c r="A339" t="s">
        <v>556</v>
      </c>
      <c r="B339" t="s">
        <v>570</v>
      </c>
      <c r="C339">
        <v>3</v>
      </c>
      <c r="D339" t="s">
        <v>527</v>
      </c>
      <c r="E339">
        <v>12</v>
      </c>
      <c r="F339">
        <v>0.2</v>
      </c>
      <c r="G339" t="b">
        <v>1</v>
      </c>
      <c r="H339">
        <f>IF(AND(Inputs!$B$9+Artifacts!$B$32&gt;=100,NOT(ArtifactsInput!$M$42),NOT(ArtifactsInput!$M$24)),Sensitivity!H15,Sensitivity!H14)</f>
        <v>65957390168802.742</v>
      </c>
    </row>
    <row r="340" spans="1:8" x14ac:dyDescent="0.2">
      <c r="A340" t="s">
        <v>556</v>
      </c>
      <c r="B340" t="s">
        <v>570</v>
      </c>
      <c r="C340">
        <v>3</v>
      </c>
      <c r="D340" t="s">
        <v>544</v>
      </c>
      <c r="E340">
        <v>5</v>
      </c>
      <c r="F340">
        <v>2.2999999999999998</v>
      </c>
      <c r="G340" t="b">
        <v>0</v>
      </c>
      <c r="H340">
        <f>Sensitivity!H16</f>
        <v>59664313918494.375</v>
      </c>
    </row>
    <row r="341" spans="1:8" x14ac:dyDescent="0.2">
      <c r="A341" t="s">
        <v>556</v>
      </c>
      <c r="B341" t="s">
        <v>570</v>
      </c>
      <c r="C341">
        <v>3</v>
      </c>
      <c r="D341" t="s">
        <v>544</v>
      </c>
      <c r="E341">
        <v>7</v>
      </c>
      <c r="F341">
        <v>0.2</v>
      </c>
      <c r="G341" t="b">
        <v>1</v>
      </c>
      <c r="H341">
        <f>Sensitivity!H16</f>
        <v>59664313918494.375</v>
      </c>
    </row>
    <row r="342" spans="1:8" x14ac:dyDescent="0.2">
      <c r="A342" t="s">
        <v>556</v>
      </c>
      <c r="B342" t="s">
        <v>570</v>
      </c>
      <c r="C342">
        <v>3</v>
      </c>
      <c r="D342" t="s">
        <v>528</v>
      </c>
      <c r="E342">
        <v>18</v>
      </c>
      <c r="F342">
        <v>3.68</v>
      </c>
      <c r="G342" t="b">
        <v>0</v>
      </c>
      <c r="H342">
        <f>Sensitivity!H7</f>
        <v>32286149168906.172</v>
      </c>
    </row>
    <row r="343" spans="1:8" x14ac:dyDescent="0.2">
      <c r="A343" t="s">
        <v>556</v>
      </c>
      <c r="B343" t="s">
        <v>570</v>
      </c>
      <c r="C343">
        <v>3</v>
      </c>
      <c r="D343" t="s">
        <v>528</v>
      </c>
      <c r="E343">
        <v>25</v>
      </c>
      <c r="F343">
        <v>0.32</v>
      </c>
      <c r="G343" t="b">
        <v>1</v>
      </c>
      <c r="H343">
        <f>Sensitivity!H7</f>
        <v>32286149168906.172</v>
      </c>
    </row>
    <row r="344" spans="1:8" x14ac:dyDescent="0.2">
      <c r="A344" t="s">
        <v>556</v>
      </c>
      <c r="B344" t="s">
        <v>570</v>
      </c>
      <c r="C344">
        <v>3</v>
      </c>
      <c r="D344" t="s">
        <v>565</v>
      </c>
      <c r="E344">
        <v>10</v>
      </c>
      <c r="F344">
        <v>3.68</v>
      </c>
      <c r="G344" t="b">
        <v>0</v>
      </c>
      <c r="H344">
        <f>Sensitivity!H12</f>
        <v>49754655140299.383</v>
      </c>
    </row>
    <row r="345" spans="1:8" x14ac:dyDescent="0.2">
      <c r="A345" t="s">
        <v>556</v>
      </c>
      <c r="B345" t="s">
        <v>570</v>
      </c>
      <c r="C345">
        <v>3</v>
      </c>
      <c r="D345" t="s">
        <v>565</v>
      </c>
      <c r="E345">
        <v>15</v>
      </c>
      <c r="F345">
        <v>0.32</v>
      </c>
      <c r="G345" t="b">
        <v>1</v>
      </c>
      <c r="H345">
        <f>Sensitivity!H12</f>
        <v>49754655140299.383</v>
      </c>
    </row>
    <row r="346" spans="1:8" x14ac:dyDescent="0.2">
      <c r="A346" t="s">
        <v>556</v>
      </c>
      <c r="B346" t="s">
        <v>570</v>
      </c>
      <c r="C346">
        <v>3</v>
      </c>
      <c r="D346" t="s">
        <v>568</v>
      </c>
      <c r="E346">
        <v>10</v>
      </c>
      <c r="F346">
        <v>3.68</v>
      </c>
      <c r="G346" t="b">
        <v>0</v>
      </c>
      <c r="H346">
        <f>Sensitivity!H13</f>
        <v>49754655140299.383</v>
      </c>
    </row>
    <row r="347" spans="1:8" x14ac:dyDescent="0.2">
      <c r="A347" t="s">
        <v>556</v>
      </c>
      <c r="B347" t="s">
        <v>570</v>
      </c>
      <c r="C347">
        <v>3</v>
      </c>
      <c r="D347" t="s">
        <v>568</v>
      </c>
      <c r="E347">
        <v>15</v>
      </c>
      <c r="F347">
        <v>0.32</v>
      </c>
      <c r="G347" t="b">
        <v>1</v>
      </c>
      <c r="H347">
        <f>Sensitivity!H13</f>
        <v>49754655140299.383</v>
      </c>
    </row>
    <row r="348" spans="1:8" x14ac:dyDescent="0.2">
      <c r="A348" t="s">
        <v>556</v>
      </c>
      <c r="B348" t="s">
        <v>570</v>
      </c>
      <c r="C348">
        <v>3</v>
      </c>
      <c r="D348" t="s">
        <v>572</v>
      </c>
      <c r="E348">
        <v>9</v>
      </c>
      <c r="F348">
        <v>4.1399999999999997</v>
      </c>
      <c r="G348" t="b">
        <v>0</v>
      </c>
      <c r="H348" t="s">
        <v>573</v>
      </c>
    </row>
    <row r="349" spans="1:8" x14ac:dyDescent="0.2">
      <c r="A349" t="s">
        <v>556</v>
      </c>
      <c r="B349" t="s">
        <v>570</v>
      </c>
      <c r="C349">
        <v>3</v>
      </c>
      <c r="D349" t="s">
        <v>572</v>
      </c>
      <c r="E349">
        <v>12</v>
      </c>
      <c r="F349">
        <v>0.36</v>
      </c>
      <c r="G349" t="b">
        <v>1</v>
      </c>
      <c r="H349" t="s">
        <v>573</v>
      </c>
    </row>
    <row r="350" spans="1:8" x14ac:dyDescent="0.2">
      <c r="A350" t="s">
        <v>556</v>
      </c>
      <c r="B350" t="s">
        <v>570</v>
      </c>
      <c r="C350">
        <v>3</v>
      </c>
      <c r="D350" t="s">
        <v>576</v>
      </c>
      <c r="E350">
        <v>9</v>
      </c>
      <c r="F350">
        <v>4.1399999999999997</v>
      </c>
      <c r="G350" t="b">
        <v>0</v>
      </c>
      <c r="H350" t="s">
        <v>573</v>
      </c>
    </row>
    <row r="351" spans="1:8" x14ac:dyDescent="0.2">
      <c r="A351" t="s">
        <v>556</v>
      </c>
      <c r="B351" t="s">
        <v>570</v>
      </c>
      <c r="C351">
        <v>3</v>
      </c>
      <c r="D351" t="s">
        <v>576</v>
      </c>
      <c r="E351">
        <v>12</v>
      </c>
      <c r="F351">
        <v>0.36</v>
      </c>
      <c r="G351" t="b">
        <v>1</v>
      </c>
      <c r="H351" t="s">
        <v>573</v>
      </c>
    </row>
    <row r="352" spans="1:8" x14ac:dyDescent="0.2">
      <c r="A352" t="s">
        <v>556</v>
      </c>
      <c r="B352" t="s">
        <v>570</v>
      </c>
      <c r="C352">
        <v>3</v>
      </c>
      <c r="D352" t="s">
        <v>580</v>
      </c>
      <c r="E352">
        <v>9</v>
      </c>
      <c r="F352">
        <v>4.1399999999999997</v>
      </c>
      <c r="G352" t="b">
        <v>0</v>
      </c>
      <c r="H352">
        <f>Sensitivity!H6</f>
        <v>102956340516479.42</v>
      </c>
    </row>
    <row r="353" spans="1:8" x14ac:dyDescent="0.2">
      <c r="A353" t="s">
        <v>556</v>
      </c>
      <c r="B353" t="s">
        <v>570</v>
      </c>
      <c r="C353">
        <v>3</v>
      </c>
      <c r="D353" t="s">
        <v>580</v>
      </c>
      <c r="E353">
        <v>12</v>
      </c>
      <c r="F353">
        <v>0.36</v>
      </c>
      <c r="G353" t="b">
        <v>1</v>
      </c>
      <c r="H353">
        <f>Sensitivity!H6</f>
        <v>102956340516479.42</v>
      </c>
    </row>
    <row r="354" spans="1:8" x14ac:dyDescent="0.2">
      <c r="A354" t="s">
        <v>556</v>
      </c>
      <c r="B354" t="s">
        <v>570</v>
      </c>
      <c r="C354">
        <v>3</v>
      </c>
      <c r="D354" t="s">
        <v>582</v>
      </c>
      <c r="E354">
        <v>9</v>
      </c>
      <c r="F354">
        <v>4.1399999999999997</v>
      </c>
      <c r="G354" t="b">
        <v>0</v>
      </c>
      <c r="H354" t="s">
        <v>573</v>
      </c>
    </row>
    <row r="355" spans="1:8" x14ac:dyDescent="0.2">
      <c r="A355" t="s">
        <v>556</v>
      </c>
      <c r="B355" t="s">
        <v>570</v>
      </c>
      <c r="C355">
        <v>3</v>
      </c>
      <c r="D355" t="s">
        <v>582</v>
      </c>
      <c r="E355">
        <v>12</v>
      </c>
      <c r="F355">
        <v>0.36</v>
      </c>
      <c r="G355" t="b">
        <v>1</v>
      </c>
      <c r="H355" t="s">
        <v>573</v>
      </c>
    </row>
    <row r="356" spans="1:8" x14ac:dyDescent="0.2">
      <c r="A356" t="s">
        <v>556</v>
      </c>
      <c r="B356" t="s">
        <v>570</v>
      </c>
      <c r="C356">
        <v>3</v>
      </c>
      <c r="D356" t="s">
        <v>584</v>
      </c>
      <c r="E356">
        <v>9</v>
      </c>
      <c r="F356">
        <v>8.2799999999999994</v>
      </c>
      <c r="G356" t="b">
        <v>0</v>
      </c>
      <c r="H356" t="s">
        <v>573</v>
      </c>
    </row>
    <row r="357" spans="1:8" x14ac:dyDescent="0.2">
      <c r="A357" t="s">
        <v>556</v>
      </c>
      <c r="B357" t="s">
        <v>570</v>
      </c>
      <c r="C357">
        <v>3</v>
      </c>
      <c r="D357" t="s">
        <v>584</v>
      </c>
      <c r="E357">
        <v>12</v>
      </c>
      <c r="F357">
        <v>0.72</v>
      </c>
      <c r="G357" t="b">
        <v>1</v>
      </c>
      <c r="H357" t="s">
        <v>573</v>
      </c>
    </row>
    <row r="358" spans="1:8" x14ac:dyDescent="0.2">
      <c r="A358" t="s">
        <v>556</v>
      </c>
      <c r="B358" t="s">
        <v>570</v>
      </c>
      <c r="C358">
        <v>3</v>
      </c>
      <c r="D358" t="s">
        <v>586</v>
      </c>
      <c r="E358">
        <v>15</v>
      </c>
      <c r="F358">
        <v>8.2799999999999994</v>
      </c>
      <c r="G358" t="b">
        <v>0</v>
      </c>
      <c r="H358" t="s">
        <v>573</v>
      </c>
    </row>
    <row r="359" spans="1:8" x14ac:dyDescent="0.2">
      <c r="A359" t="s">
        <v>556</v>
      </c>
      <c r="B359" t="s">
        <v>570</v>
      </c>
      <c r="C359">
        <v>3</v>
      </c>
      <c r="D359" t="s">
        <v>586</v>
      </c>
      <c r="E359">
        <v>20</v>
      </c>
      <c r="F359">
        <v>0.72</v>
      </c>
      <c r="G359" t="b">
        <v>1</v>
      </c>
      <c r="H359" t="s">
        <v>573</v>
      </c>
    </row>
    <row r="360" spans="1:8" x14ac:dyDescent="0.2">
      <c r="A360" t="s">
        <v>556</v>
      </c>
      <c r="B360" t="s">
        <v>570</v>
      </c>
      <c r="C360">
        <v>3</v>
      </c>
      <c r="D360" t="s">
        <v>588</v>
      </c>
      <c r="E360">
        <v>9</v>
      </c>
      <c r="F360">
        <v>8.2799999999999994</v>
      </c>
      <c r="G360" t="b">
        <v>0</v>
      </c>
      <c r="H360" t="s">
        <v>573</v>
      </c>
    </row>
    <row r="361" spans="1:8" x14ac:dyDescent="0.2">
      <c r="A361" t="s">
        <v>556</v>
      </c>
      <c r="B361" t="s">
        <v>570</v>
      </c>
      <c r="C361">
        <v>3</v>
      </c>
      <c r="D361" t="s">
        <v>588</v>
      </c>
      <c r="E361">
        <v>12</v>
      </c>
      <c r="F361">
        <v>0.72</v>
      </c>
      <c r="G361" t="b">
        <v>1</v>
      </c>
      <c r="H361" t="s">
        <v>573</v>
      </c>
    </row>
    <row r="362" spans="1:8" x14ac:dyDescent="0.2">
      <c r="A362" t="s">
        <v>556</v>
      </c>
      <c r="B362" t="s">
        <v>570</v>
      </c>
      <c r="C362">
        <v>3</v>
      </c>
      <c r="D362" t="s">
        <v>591</v>
      </c>
      <c r="E362">
        <v>400</v>
      </c>
      <c r="F362">
        <v>8.51</v>
      </c>
      <c r="G362" t="b">
        <v>0</v>
      </c>
      <c r="H362" t="s">
        <v>573</v>
      </c>
    </row>
    <row r="363" spans="1:8" x14ac:dyDescent="0.2">
      <c r="A363" t="s">
        <v>556</v>
      </c>
      <c r="B363" t="s">
        <v>570</v>
      </c>
      <c r="C363">
        <v>3</v>
      </c>
      <c r="D363" t="s">
        <v>591</v>
      </c>
      <c r="E363">
        <v>600</v>
      </c>
      <c r="F363">
        <v>0.74</v>
      </c>
      <c r="G363" t="b">
        <v>1</v>
      </c>
      <c r="H363" t="s">
        <v>573</v>
      </c>
    </row>
    <row r="364" spans="1:8" x14ac:dyDescent="0.2">
      <c r="A364" t="s">
        <v>556</v>
      </c>
      <c r="B364" t="s">
        <v>570</v>
      </c>
      <c r="C364">
        <v>3</v>
      </c>
      <c r="D364" t="s">
        <v>592</v>
      </c>
      <c r="E364">
        <v>400</v>
      </c>
      <c r="F364">
        <v>8.51</v>
      </c>
      <c r="G364" t="b">
        <v>0</v>
      </c>
      <c r="H364" t="s">
        <v>573</v>
      </c>
    </row>
    <row r="365" spans="1:8" x14ac:dyDescent="0.2">
      <c r="A365" t="s">
        <v>556</v>
      </c>
      <c r="B365" t="s">
        <v>570</v>
      </c>
      <c r="C365">
        <v>3</v>
      </c>
      <c r="D365" t="s">
        <v>592</v>
      </c>
      <c r="E365">
        <v>600</v>
      </c>
      <c r="F365">
        <v>0.74</v>
      </c>
      <c r="G365" t="b">
        <v>1</v>
      </c>
      <c r="H365" t="s">
        <v>573</v>
      </c>
    </row>
    <row r="366" spans="1:8" x14ac:dyDescent="0.2">
      <c r="A366" t="s">
        <v>556</v>
      </c>
      <c r="B366" t="s">
        <v>570</v>
      </c>
      <c r="C366">
        <v>3</v>
      </c>
      <c r="D366" t="s">
        <v>595</v>
      </c>
      <c r="E366">
        <v>400</v>
      </c>
      <c r="F366">
        <v>8.51</v>
      </c>
      <c r="G366" t="b">
        <v>0</v>
      </c>
      <c r="H366">
        <f>Sensitivity!H5</f>
        <v>602676556870.32288</v>
      </c>
    </row>
    <row r="367" spans="1:8" x14ac:dyDescent="0.2">
      <c r="A367" t="s">
        <v>556</v>
      </c>
      <c r="B367" t="s">
        <v>570</v>
      </c>
      <c r="C367">
        <v>3</v>
      </c>
      <c r="D367" t="s">
        <v>595</v>
      </c>
      <c r="E367">
        <v>600</v>
      </c>
      <c r="F367">
        <v>0.74</v>
      </c>
      <c r="G367" t="b">
        <v>1</v>
      </c>
      <c r="H367">
        <f>Sensitivity!H5</f>
        <v>602676556870.32288</v>
      </c>
    </row>
    <row r="368" spans="1:8" x14ac:dyDescent="0.2">
      <c r="A368" t="s">
        <v>556</v>
      </c>
      <c r="B368" t="s">
        <v>570</v>
      </c>
      <c r="C368">
        <v>3</v>
      </c>
      <c r="D368" t="s">
        <v>597</v>
      </c>
      <c r="E368">
        <v>400</v>
      </c>
      <c r="F368">
        <v>8.51</v>
      </c>
      <c r="G368" t="b">
        <v>0</v>
      </c>
      <c r="H368" t="s">
        <v>573</v>
      </c>
    </row>
    <row r="369" spans="1:8" x14ac:dyDescent="0.2">
      <c r="A369" t="s">
        <v>556</v>
      </c>
      <c r="B369" t="s">
        <v>570</v>
      </c>
      <c r="C369">
        <v>3</v>
      </c>
      <c r="D369" t="s">
        <v>597</v>
      </c>
      <c r="E369">
        <v>600</v>
      </c>
      <c r="F369">
        <v>0.74</v>
      </c>
      <c r="G369" t="b">
        <v>1</v>
      </c>
      <c r="H369" t="s">
        <v>573</v>
      </c>
    </row>
    <row r="370" spans="1:8" x14ac:dyDescent="0.2">
      <c r="A370" t="s">
        <v>556</v>
      </c>
      <c r="B370" t="s">
        <v>574</v>
      </c>
      <c r="C370">
        <v>1</v>
      </c>
      <c r="D370" t="s">
        <v>527</v>
      </c>
      <c r="E370">
        <v>15</v>
      </c>
      <c r="F370">
        <v>2.5</v>
      </c>
      <c r="G370" t="b">
        <v>0</v>
      </c>
      <c r="H370">
        <f>IF(AND(Inputs!$B$9+Artifacts!$B$32&gt;=100,NOT(ArtifactsInput!$M$42),NOT(ArtifactsInput!$M$24)),Sensitivity!H15,Sensitivity!H14)</f>
        <v>65957390168802.742</v>
      </c>
    </row>
    <row r="371" spans="1:8" x14ac:dyDescent="0.2">
      <c r="A371" t="s">
        <v>556</v>
      </c>
      <c r="B371" t="s">
        <v>574</v>
      </c>
      <c r="C371">
        <v>1</v>
      </c>
      <c r="D371" t="s">
        <v>544</v>
      </c>
      <c r="E371">
        <v>10</v>
      </c>
      <c r="F371">
        <v>2.5</v>
      </c>
      <c r="G371" t="b">
        <v>0</v>
      </c>
      <c r="H371">
        <f>Sensitivity!H16</f>
        <v>59664313918494.375</v>
      </c>
    </row>
    <row r="372" spans="1:8" x14ac:dyDescent="0.2">
      <c r="A372" t="s">
        <v>556</v>
      </c>
      <c r="B372" t="s">
        <v>574</v>
      </c>
      <c r="C372">
        <v>1</v>
      </c>
      <c r="D372" t="s">
        <v>528</v>
      </c>
      <c r="E372">
        <v>35</v>
      </c>
      <c r="F372">
        <v>4</v>
      </c>
      <c r="G372" t="b">
        <v>0</v>
      </c>
      <c r="H372">
        <f>Sensitivity!H7</f>
        <v>32286149168906.172</v>
      </c>
    </row>
    <row r="373" spans="1:8" x14ac:dyDescent="0.2">
      <c r="A373" t="s">
        <v>556</v>
      </c>
      <c r="B373" t="s">
        <v>574</v>
      </c>
      <c r="C373">
        <v>1</v>
      </c>
      <c r="D373" t="s">
        <v>565</v>
      </c>
      <c r="E373">
        <v>25</v>
      </c>
      <c r="F373">
        <v>4</v>
      </c>
      <c r="G373" t="b">
        <v>0</v>
      </c>
      <c r="H373">
        <f>Sensitivity!H12</f>
        <v>49754655140299.383</v>
      </c>
    </row>
    <row r="374" spans="1:8" x14ac:dyDescent="0.2">
      <c r="A374" t="s">
        <v>556</v>
      </c>
      <c r="B374" t="s">
        <v>574</v>
      </c>
      <c r="C374">
        <v>1</v>
      </c>
      <c r="D374" t="s">
        <v>568</v>
      </c>
      <c r="E374">
        <v>25</v>
      </c>
      <c r="F374">
        <v>4</v>
      </c>
      <c r="G374" t="b">
        <v>0</v>
      </c>
      <c r="H374">
        <f>Sensitivity!H13</f>
        <v>49754655140299.383</v>
      </c>
    </row>
    <row r="375" spans="1:8" x14ac:dyDescent="0.2">
      <c r="A375" t="s">
        <v>556</v>
      </c>
      <c r="B375" t="s">
        <v>574</v>
      </c>
      <c r="C375">
        <v>1</v>
      </c>
      <c r="D375" t="s">
        <v>572</v>
      </c>
      <c r="E375">
        <v>15</v>
      </c>
      <c r="F375">
        <v>4.5</v>
      </c>
      <c r="G375" t="b">
        <v>0</v>
      </c>
      <c r="H375" t="s">
        <v>573</v>
      </c>
    </row>
    <row r="376" spans="1:8" x14ac:dyDescent="0.2">
      <c r="A376" t="s">
        <v>556</v>
      </c>
      <c r="B376" t="s">
        <v>574</v>
      </c>
      <c r="C376">
        <v>1</v>
      </c>
      <c r="D376" t="s">
        <v>576</v>
      </c>
      <c r="E376">
        <v>15</v>
      </c>
      <c r="F376">
        <v>4.5</v>
      </c>
      <c r="G376" t="b">
        <v>0</v>
      </c>
      <c r="H376" t="s">
        <v>573</v>
      </c>
    </row>
    <row r="377" spans="1:8" x14ac:dyDescent="0.2">
      <c r="A377" t="s">
        <v>556</v>
      </c>
      <c r="B377" t="s">
        <v>574</v>
      </c>
      <c r="C377">
        <v>1</v>
      </c>
      <c r="D377" t="s">
        <v>580</v>
      </c>
      <c r="E377">
        <v>15</v>
      </c>
      <c r="F377">
        <v>4.5</v>
      </c>
      <c r="G377" t="b">
        <v>0</v>
      </c>
      <c r="H377">
        <f>Sensitivity!H6</f>
        <v>102956340516479.42</v>
      </c>
    </row>
    <row r="378" spans="1:8" x14ac:dyDescent="0.2">
      <c r="A378" t="s">
        <v>556</v>
      </c>
      <c r="B378" t="s">
        <v>574</v>
      </c>
      <c r="C378">
        <v>1</v>
      </c>
      <c r="D378" t="s">
        <v>582</v>
      </c>
      <c r="E378">
        <v>15</v>
      </c>
      <c r="F378">
        <v>4.5</v>
      </c>
      <c r="G378" t="b">
        <v>0</v>
      </c>
      <c r="H378" t="s">
        <v>573</v>
      </c>
    </row>
    <row r="379" spans="1:8" x14ac:dyDescent="0.2">
      <c r="A379" t="s">
        <v>556</v>
      </c>
      <c r="B379" t="s">
        <v>574</v>
      </c>
      <c r="C379">
        <v>1</v>
      </c>
      <c r="D379" t="s">
        <v>584</v>
      </c>
      <c r="E379">
        <v>15</v>
      </c>
      <c r="F379">
        <v>9</v>
      </c>
      <c r="G379" t="b">
        <v>0</v>
      </c>
      <c r="H379" t="s">
        <v>573</v>
      </c>
    </row>
    <row r="380" spans="1:8" x14ac:dyDescent="0.2">
      <c r="A380" t="s">
        <v>556</v>
      </c>
      <c r="B380" t="s">
        <v>574</v>
      </c>
      <c r="C380">
        <v>1</v>
      </c>
      <c r="D380" t="s">
        <v>586</v>
      </c>
      <c r="E380">
        <v>25</v>
      </c>
      <c r="F380">
        <v>9</v>
      </c>
      <c r="G380" t="b">
        <v>0</v>
      </c>
      <c r="H380" t="s">
        <v>573</v>
      </c>
    </row>
    <row r="381" spans="1:8" x14ac:dyDescent="0.2">
      <c r="A381" t="s">
        <v>556</v>
      </c>
      <c r="B381" t="s">
        <v>574</v>
      </c>
      <c r="C381">
        <v>1</v>
      </c>
      <c r="D381" t="s">
        <v>588</v>
      </c>
      <c r="E381">
        <v>15</v>
      </c>
      <c r="F381">
        <v>9</v>
      </c>
      <c r="G381" t="b">
        <v>0</v>
      </c>
      <c r="H381" t="s">
        <v>573</v>
      </c>
    </row>
    <row r="382" spans="1:8" x14ac:dyDescent="0.2">
      <c r="A382" t="s">
        <v>556</v>
      </c>
      <c r="B382" t="s">
        <v>574</v>
      </c>
      <c r="C382">
        <v>1</v>
      </c>
      <c r="D382" t="s">
        <v>591</v>
      </c>
      <c r="E382">
        <v>1000</v>
      </c>
      <c r="F382">
        <v>9.25</v>
      </c>
      <c r="G382" t="b">
        <v>0</v>
      </c>
      <c r="H382" t="s">
        <v>573</v>
      </c>
    </row>
    <row r="383" spans="1:8" x14ac:dyDescent="0.2">
      <c r="A383" t="s">
        <v>556</v>
      </c>
      <c r="B383" t="s">
        <v>574</v>
      </c>
      <c r="C383">
        <v>1</v>
      </c>
      <c r="D383" t="s">
        <v>592</v>
      </c>
      <c r="E383">
        <v>1000</v>
      </c>
      <c r="F383">
        <v>9.25</v>
      </c>
      <c r="G383" t="b">
        <v>0</v>
      </c>
      <c r="H383" t="s">
        <v>573</v>
      </c>
    </row>
    <row r="384" spans="1:8" x14ac:dyDescent="0.2">
      <c r="A384" t="s">
        <v>556</v>
      </c>
      <c r="B384" t="s">
        <v>574</v>
      </c>
      <c r="C384">
        <v>1</v>
      </c>
      <c r="D384" t="s">
        <v>595</v>
      </c>
      <c r="E384">
        <v>1000</v>
      </c>
      <c r="F384">
        <v>9.25</v>
      </c>
      <c r="G384" t="b">
        <v>0</v>
      </c>
      <c r="H384">
        <f>Sensitivity!H5</f>
        <v>602676556870.32288</v>
      </c>
    </row>
    <row r="385" spans="1:8" x14ac:dyDescent="0.2">
      <c r="A385" t="s">
        <v>556</v>
      </c>
      <c r="B385" t="s">
        <v>574</v>
      </c>
      <c r="C385">
        <v>1</v>
      </c>
      <c r="D385" t="s">
        <v>597</v>
      </c>
      <c r="E385">
        <v>1000</v>
      </c>
      <c r="F385">
        <v>9.25</v>
      </c>
      <c r="G385" t="b">
        <v>0</v>
      </c>
      <c r="H385" t="s">
        <v>573</v>
      </c>
    </row>
    <row r="386" spans="1:8" x14ac:dyDescent="0.2">
      <c r="A386" t="s">
        <v>556</v>
      </c>
      <c r="B386" t="s">
        <v>574</v>
      </c>
      <c r="C386">
        <v>2</v>
      </c>
      <c r="D386" t="s">
        <v>527</v>
      </c>
      <c r="E386">
        <v>12</v>
      </c>
      <c r="F386">
        <v>1.9</v>
      </c>
      <c r="G386" t="b">
        <v>0</v>
      </c>
      <c r="H386">
        <f>IF(AND(Inputs!$B$9+Artifacts!$B$32&gt;=100,NOT(ArtifactsInput!$M$42),NOT(ArtifactsInput!$M$24)),Sensitivity!H15,Sensitivity!H14)</f>
        <v>65957390168802.742</v>
      </c>
    </row>
    <row r="387" spans="1:8" x14ac:dyDescent="0.2">
      <c r="A387" t="s">
        <v>556</v>
      </c>
      <c r="B387" t="s">
        <v>574</v>
      </c>
      <c r="C387">
        <v>2</v>
      </c>
      <c r="D387" t="s">
        <v>527</v>
      </c>
      <c r="E387">
        <v>15</v>
      </c>
      <c r="F387">
        <v>0.6</v>
      </c>
      <c r="G387" t="b">
        <v>1</v>
      </c>
      <c r="H387">
        <f>IF(AND(Inputs!$B$9+Artifacts!$B$32&gt;=100,NOT(ArtifactsInput!$M$42),NOT(ArtifactsInput!$M$24)),Sensitivity!H15,Sensitivity!H14)</f>
        <v>65957390168802.742</v>
      </c>
    </row>
    <row r="388" spans="1:8" x14ac:dyDescent="0.2">
      <c r="A388" t="s">
        <v>556</v>
      </c>
      <c r="B388" t="s">
        <v>574</v>
      </c>
      <c r="C388">
        <v>2</v>
      </c>
      <c r="D388" t="s">
        <v>544</v>
      </c>
      <c r="E388">
        <v>7</v>
      </c>
      <c r="F388">
        <v>1.9</v>
      </c>
      <c r="G388" t="b">
        <v>0</v>
      </c>
      <c r="H388">
        <f>Sensitivity!H16</f>
        <v>59664313918494.375</v>
      </c>
    </row>
    <row r="389" spans="1:8" x14ac:dyDescent="0.2">
      <c r="A389" t="s">
        <v>556</v>
      </c>
      <c r="B389" t="s">
        <v>574</v>
      </c>
      <c r="C389">
        <v>2</v>
      </c>
      <c r="D389" t="s">
        <v>544</v>
      </c>
      <c r="E389">
        <v>10</v>
      </c>
      <c r="F389">
        <v>0.6</v>
      </c>
      <c r="G389" t="b">
        <v>1</v>
      </c>
      <c r="H389">
        <f>Sensitivity!H16</f>
        <v>59664313918494.375</v>
      </c>
    </row>
    <row r="390" spans="1:8" x14ac:dyDescent="0.2">
      <c r="A390" t="s">
        <v>556</v>
      </c>
      <c r="B390" t="s">
        <v>574</v>
      </c>
      <c r="C390">
        <v>2</v>
      </c>
      <c r="D390" t="s">
        <v>528</v>
      </c>
      <c r="E390">
        <v>25</v>
      </c>
      <c r="F390">
        <v>3.04</v>
      </c>
      <c r="G390" t="b">
        <v>0</v>
      </c>
      <c r="H390">
        <f>Sensitivity!H7</f>
        <v>32286149168906.172</v>
      </c>
    </row>
    <row r="391" spans="1:8" x14ac:dyDescent="0.2">
      <c r="A391" t="s">
        <v>556</v>
      </c>
      <c r="B391" t="s">
        <v>574</v>
      </c>
      <c r="C391">
        <v>2</v>
      </c>
      <c r="D391" t="s">
        <v>528</v>
      </c>
      <c r="E391">
        <v>35</v>
      </c>
      <c r="F391">
        <v>0.96</v>
      </c>
      <c r="G391" t="b">
        <v>1</v>
      </c>
      <c r="H391">
        <f>Sensitivity!H7</f>
        <v>32286149168906.172</v>
      </c>
    </row>
    <row r="392" spans="1:8" x14ac:dyDescent="0.2">
      <c r="A392" t="s">
        <v>556</v>
      </c>
      <c r="B392" t="s">
        <v>574</v>
      </c>
      <c r="C392">
        <v>2</v>
      </c>
      <c r="D392" t="s">
        <v>565</v>
      </c>
      <c r="E392">
        <v>15</v>
      </c>
      <c r="F392">
        <v>3.04</v>
      </c>
      <c r="G392" t="b">
        <v>0</v>
      </c>
      <c r="H392">
        <f>Sensitivity!H12</f>
        <v>49754655140299.383</v>
      </c>
    </row>
    <row r="393" spans="1:8" x14ac:dyDescent="0.2">
      <c r="A393" t="s">
        <v>556</v>
      </c>
      <c r="B393" t="s">
        <v>574</v>
      </c>
      <c r="C393">
        <v>2</v>
      </c>
      <c r="D393" t="s">
        <v>565</v>
      </c>
      <c r="E393">
        <v>25</v>
      </c>
      <c r="F393">
        <v>0.96</v>
      </c>
      <c r="G393" t="b">
        <v>1</v>
      </c>
      <c r="H393">
        <f>Sensitivity!H12</f>
        <v>49754655140299.383</v>
      </c>
    </row>
    <row r="394" spans="1:8" x14ac:dyDescent="0.2">
      <c r="A394" t="s">
        <v>556</v>
      </c>
      <c r="B394" t="s">
        <v>574</v>
      </c>
      <c r="C394">
        <v>2</v>
      </c>
      <c r="D394" t="s">
        <v>568</v>
      </c>
      <c r="E394">
        <v>15</v>
      </c>
      <c r="F394">
        <v>3.04</v>
      </c>
      <c r="G394" t="b">
        <v>0</v>
      </c>
      <c r="H394">
        <f>Sensitivity!H13</f>
        <v>49754655140299.383</v>
      </c>
    </row>
    <row r="395" spans="1:8" x14ac:dyDescent="0.2">
      <c r="A395" t="s">
        <v>556</v>
      </c>
      <c r="B395" t="s">
        <v>574</v>
      </c>
      <c r="C395">
        <v>2</v>
      </c>
      <c r="D395" t="s">
        <v>568</v>
      </c>
      <c r="E395">
        <v>25</v>
      </c>
      <c r="F395">
        <v>0.96</v>
      </c>
      <c r="G395" t="b">
        <v>1</v>
      </c>
      <c r="H395">
        <f>Sensitivity!H13</f>
        <v>49754655140299.383</v>
      </c>
    </row>
    <row r="396" spans="1:8" x14ac:dyDescent="0.2">
      <c r="A396" t="s">
        <v>556</v>
      </c>
      <c r="B396" t="s">
        <v>574</v>
      </c>
      <c r="C396">
        <v>2</v>
      </c>
      <c r="D396" t="s">
        <v>572</v>
      </c>
      <c r="E396">
        <v>12</v>
      </c>
      <c r="F396">
        <v>3.42</v>
      </c>
      <c r="G396" t="b">
        <v>0</v>
      </c>
      <c r="H396" t="s">
        <v>573</v>
      </c>
    </row>
    <row r="397" spans="1:8" x14ac:dyDescent="0.2">
      <c r="A397" t="s">
        <v>556</v>
      </c>
      <c r="B397" t="s">
        <v>574</v>
      </c>
      <c r="C397">
        <v>2</v>
      </c>
      <c r="D397" t="s">
        <v>572</v>
      </c>
      <c r="E397">
        <v>15</v>
      </c>
      <c r="F397">
        <v>1.08</v>
      </c>
      <c r="G397" t="b">
        <v>1</v>
      </c>
      <c r="H397" t="s">
        <v>573</v>
      </c>
    </row>
    <row r="398" spans="1:8" x14ac:dyDescent="0.2">
      <c r="A398" t="s">
        <v>556</v>
      </c>
      <c r="B398" t="s">
        <v>574</v>
      </c>
      <c r="C398">
        <v>2</v>
      </c>
      <c r="D398" t="s">
        <v>576</v>
      </c>
      <c r="E398">
        <v>12</v>
      </c>
      <c r="F398">
        <v>3.42</v>
      </c>
      <c r="G398" t="b">
        <v>0</v>
      </c>
      <c r="H398" t="s">
        <v>573</v>
      </c>
    </row>
    <row r="399" spans="1:8" x14ac:dyDescent="0.2">
      <c r="A399" t="s">
        <v>556</v>
      </c>
      <c r="B399" t="s">
        <v>574</v>
      </c>
      <c r="C399">
        <v>2</v>
      </c>
      <c r="D399" t="s">
        <v>576</v>
      </c>
      <c r="E399">
        <v>15</v>
      </c>
      <c r="F399">
        <v>1.08</v>
      </c>
      <c r="G399" t="b">
        <v>1</v>
      </c>
      <c r="H399" t="s">
        <v>573</v>
      </c>
    </row>
    <row r="400" spans="1:8" x14ac:dyDescent="0.2">
      <c r="A400" t="s">
        <v>556</v>
      </c>
      <c r="B400" t="s">
        <v>574</v>
      </c>
      <c r="C400">
        <v>2</v>
      </c>
      <c r="D400" t="s">
        <v>580</v>
      </c>
      <c r="E400">
        <v>12</v>
      </c>
      <c r="F400">
        <v>3.42</v>
      </c>
      <c r="G400" t="b">
        <v>0</v>
      </c>
      <c r="H400">
        <f>Sensitivity!H6</f>
        <v>102956340516479.42</v>
      </c>
    </row>
    <row r="401" spans="1:8" x14ac:dyDescent="0.2">
      <c r="A401" t="s">
        <v>556</v>
      </c>
      <c r="B401" t="s">
        <v>574</v>
      </c>
      <c r="C401">
        <v>2</v>
      </c>
      <c r="D401" t="s">
        <v>580</v>
      </c>
      <c r="E401">
        <v>15</v>
      </c>
      <c r="F401">
        <v>1.08</v>
      </c>
      <c r="G401" t="b">
        <v>1</v>
      </c>
      <c r="H401">
        <f>Sensitivity!H6</f>
        <v>102956340516479.42</v>
      </c>
    </row>
    <row r="402" spans="1:8" x14ac:dyDescent="0.2">
      <c r="A402" t="s">
        <v>556</v>
      </c>
      <c r="B402" t="s">
        <v>574</v>
      </c>
      <c r="C402">
        <v>2</v>
      </c>
      <c r="D402" t="s">
        <v>582</v>
      </c>
      <c r="E402">
        <v>12</v>
      </c>
      <c r="F402">
        <v>3.42</v>
      </c>
      <c r="G402" t="b">
        <v>0</v>
      </c>
      <c r="H402" t="s">
        <v>573</v>
      </c>
    </row>
    <row r="403" spans="1:8" x14ac:dyDescent="0.2">
      <c r="A403" t="s">
        <v>556</v>
      </c>
      <c r="B403" t="s">
        <v>574</v>
      </c>
      <c r="C403">
        <v>2</v>
      </c>
      <c r="D403" t="s">
        <v>582</v>
      </c>
      <c r="E403">
        <v>15</v>
      </c>
      <c r="F403">
        <v>1.08</v>
      </c>
      <c r="G403" t="b">
        <v>1</v>
      </c>
      <c r="H403" t="s">
        <v>573</v>
      </c>
    </row>
    <row r="404" spans="1:8" x14ac:dyDescent="0.2">
      <c r="A404" t="s">
        <v>556</v>
      </c>
      <c r="B404" t="s">
        <v>574</v>
      </c>
      <c r="C404">
        <v>2</v>
      </c>
      <c r="D404" t="s">
        <v>584</v>
      </c>
      <c r="E404">
        <v>12</v>
      </c>
      <c r="F404">
        <v>6.84</v>
      </c>
      <c r="G404" t="b">
        <v>0</v>
      </c>
      <c r="H404" t="s">
        <v>573</v>
      </c>
    </row>
    <row r="405" spans="1:8" x14ac:dyDescent="0.2">
      <c r="A405" t="s">
        <v>556</v>
      </c>
      <c r="B405" t="s">
        <v>574</v>
      </c>
      <c r="C405">
        <v>2</v>
      </c>
      <c r="D405" t="s">
        <v>584</v>
      </c>
      <c r="E405">
        <v>15</v>
      </c>
      <c r="F405">
        <v>2.16</v>
      </c>
      <c r="G405" t="b">
        <v>1</v>
      </c>
      <c r="H405" t="s">
        <v>573</v>
      </c>
    </row>
    <row r="406" spans="1:8" x14ac:dyDescent="0.2">
      <c r="A406" t="s">
        <v>556</v>
      </c>
      <c r="B406" t="s">
        <v>574</v>
      </c>
      <c r="C406">
        <v>2</v>
      </c>
      <c r="D406" t="s">
        <v>586</v>
      </c>
      <c r="E406">
        <v>20</v>
      </c>
      <c r="F406">
        <v>6.84</v>
      </c>
      <c r="G406" t="b">
        <v>0</v>
      </c>
      <c r="H406" t="s">
        <v>573</v>
      </c>
    </row>
    <row r="407" spans="1:8" x14ac:dyDescent="0.2">
      <c r="A407" t="s">
        <v>556</v>
      </c>
      <c r="B407" t="s">
        <v>574</v>
      </c>
      <c r="C407">
        <v>2</v>
      </c>
      <c r="D407" t="s">
        <v>586</v>
      </c>
      <c r="E407">
        <v>25</v>
      </c>
      <c r="F407">
        <v>2.16</v>
      </c>
      <c r="G407" t="b">
        <v>1</v>
      </c>
      <c r="H407" t="s">
        <v>573</v>
      </c>
    </row>
    <row r="408" spans="1:8" x14ac:dyDescent="0.2">
      <c r="A408" t="s">
        <v>556</v>
      </c>
      <c r="B408" t="s">
        <v>574</v>
      </c>
      <c r="C408">
        <v>2</v>
      </c>
      <c r="D408" t="s">
        <v>588</v>
      </c>
      <c r="E408">
        <v>12</v>
      </c>
      <c r="F408">
        <v>6.84</v>
      </c>
      <c r="G408" t="b">
        <v>0</v>
      </c>
      <c r="H408" t="s">
        <v>573</v>
      </c>
    </row>
    <row r="409" spans="1:8" x14ac:dyDescent="0.2">
      <c r="A409" t="s">
        <v>556</v>
      </c>
      <c r="B409" t="s">
        <v>574</v>
      </c>
      <c r="C409">
        <v>2</v>
      </c>
      <c r="D409" t="s">
        <v>588</v>
      </c>
      <c r="E409">
        <v>15</v>
      </c>
      <c r="F409">
        <v>2.16</v>
      </c>
      <c r="G409" t="b">
        <v>1</v>
      </c>
      <c r="H409" t="s">
        <v>573</v>
      </c>
    </row>
    <row r="410" spans="1:8" x14ac:dyDescent="0.2">
      <c r="A410" t="s">
        <v>556</v>
      </c>
      <c r="B410" t="s">
        <v>574</v>
      </c>
      <c r="C410">
        <v>2</v>
      </c>
      <c r="D410" t="s">
        <v>591</v>
      </c>
      <c r="E410">
        <v>600</v>
      </c>
      <c r="F410">
        <v>7.03</v>
      </c>
      <c r="G410" t="b">
        <v>0</v>
      </c>
      <c r="H410" t="s">
        <v>573</v>
      </c>
    </row>
    <row r="411" spans="1:8" x14ac:dyDescent="0.2">
      <c r="A411" t="s">
        <v>556</v>
      </c>
      <c r="B411" t="s">
        <v>574</v>
      </c>
      <c r="C411">
        <v>2</v>
      </c>
      <c r="D411" t="s">
        <v>591</v>
      </c>
      <c r="E411">
        <v>1000</v>
      </c>
      <c r="F411">
        <v>2.2200000000000002</v>
      </c>
      <c r="G411" t="b">
        <v>1</v>
      </c>
      <c r="H411" t="s">
        <v>573</v>
      </c>
    </row>
    <row r="412" spans="1:8" x14ac:dyDescent="0.2">
      <c r="A412" t="s">
        <v>556</v>
      </c>
      <c r="B412" t="s">
        <v>574</v>
      </c>
      <c r="C412">
        <v>2</v>
      </c>
      <c r="D412" t="s">
        <v>592</v>
      </c>
      <c r="E412">
        <v>600</v>
      </c>
      <c r="F412">
        <v>7.03</v>
      </c>
      <c r="G412" t="b">
        <v>0</v>
      </c>
      <c r="H412" t="s">
        <v>573</v>
      </c>
    </row>
    <row r="413" spans="1:8" x14ac:dyDescent="0.2">
      <c r="A413" t="s">
        <v>556</v>
      </c>
      <c r="B413" t="s">
        <v>574</v>
      </c>
      <c r="C413">
        <v>2</v>
      </c>
      <c r="D413" t="s">
        <v>592</v>
      </c>
      <c r="E413">
        <v>1000</v>
      </c>
      <c r="F413">
        <v>2.2200000000000002</v>
      </c>
      <c r="G413" t="b">
        <v>1</v>
      </c>
      <c r="H413" t="s">
        <v>573</v>
      </c>
    </row>
    <row r="414" spans="1:8" x14ac:dyDescent="0.2">
      <c r="A414" t="s">
        <v>556</v>
      </c>
      <c r="B414" t="s">
        <v>574</v>
      </c>
      <c r="C414">
        <v>2</v>
      </c>
      <c r="D414" t="s">
        <v>595</v>
      </c>
      <c r="E414">
        <v>600</v>
      </c>
      <c r="F414">
        <v>7.03</v>
      </c>
      <c r="G414" t="b">
        <v>0</v>
      </c>
      <c r="H414">
        <f>Sensitivity!H5</f>
        <v>602676556870.32288</v>
      </c>
    </row>
    <row r="415" spans="1:8" x14ac:dyDescent="0.2">
      <c r="A415" t="s">
        <v>556</v>
      </c>
      <c r="B415" t="s">
        <v>574</v>
      </c>
      <c r="C415">
        <v>2</v>
      </c>
      <c r="D415" t="s">
        <v>595</v>
      </c>
      <c r="E415">
        <v>1000</v>
      </c>
      <c r="F415">
        <v>2.2200000000000002</v>
      </c>
      <c r="G415" t="b">
        <v>1</v>
      </c>
      <c r="H415">
        <f>Sensitivity!H5</f>
        <v>602676556870.32288</v>
      </c>
    </row>
    <row r="416" spans="1:8" x14ac:dyDescent="0.2">
      <c r="A416" t="s">
        <v>556</v>
      </c>
      <c r="B416" t="s">
        <v>574</v>
      </c>
      <c r="C416">
        <v>2</v>
      </c>
      <c r="D416" t="s">
        <v>597</v>
      </c>
      <c r="E416">
        <v>600</v>
      </c>
      <c r="F416">
        <v>7.03</v>
      </c>
      <c r="G416" t="b">
        <v>0</v>
      </c>
      <c r="H416" t="s">
        <v>573</v>
      </c>
    </row>
    <row r="417" spans="1:8" x14ac:dyDescent="0.2">
      <c r="A417" t="s">
        <v>556</v>
      </c>
      <c r="B417" t="s">
        <v>574</v>
      </c>
      <c r="C417">
        <v>2</v>
      </c>
      <c r="D417" t="s">
        <v>597</v>
      </c>
      <c r="E417">
        <v>1000</v>
      </c>
      <c r="F417">
        <v>2.2200000000000002</v>
      </c>
      <c r="G417" t="b">
        <v>1</v>
      </c>
      <c r="H417" t="s">
        <v>573</v>
      </c>
    </row>
    <row r="418" spans="1:8" x14ac:dyDescent="0.2">
      <c r="A418" t="s">
        <v>556</v>
      </c>
      <c r="B418" t="s">
        <v>574</v>
      </c>
      <c r="C418">
        <v>3</v>
      </c>
      <c r="D418" t="s">
        <v>527</v>
      </c>
      <c r="E418">
        <v>12</v>
      </c>
      <c r="F418">
        <v>2.2999999999999998</v>
      </c>
      <c r="G418" t="b">
        <v>0</v>
      </c>
      <c r="H418">
        <f>IF(AND(Inputs!$B$9+Artifacts!$B$32&gt;=100,NOT(ArtifactsInput!$M$42),NOT(ArtifactsInput!$M$24)),Sensitivity!H15,Sensitivity!H14)</f>
        <v>65957390168802.742</v>
      </c>
    </row>
    <row r="419" spans="1:8" x14ac:dyDescent="0.2">
      <c r="A419" t="s">
        <v>556</v>
      </c>
      <c r="B419" t="s">
        <v>574</v>
      </c>
      <c r="C419">
        <v>3</v>
      </c>
      <c r="D419" t="s">
        <v>527</v>
      </c>
      <c r="E419">
        <v>15</v>
      </c>
      <c r="F419">
        <v>0.2</v>
      </c>
      <c r="G419" t="b">
        <v>1</v>
      </c>
      <c r="H419">
        <f>IF(AND(Inputs!$B$9+Artifacts!$B$32&gt;=100,NOT(ArtifactsInput!$M$42),NOT(ArtifactsInput!$M$24)),Sensitivity!H15,Sensitivity!H14)</f>
        <v>65957390168802.742</v>
      </c>
    </row>
    <row r="420" spans="1:8" x14ac:dyDescent="0.2">
      <c r="A420" t="s">
        <v>556</v>
      </c>
      <c r="B420" t="s">
        <v>574</v>
      </c>
      <c r="C420">
        <v>3</v>
      </c>
      <c r="D420" t="s">
        <v>544</v>
      </c>
      <c r="E420">
        <v>7</v>
      </c>
      <c r="F420">
        <v>2.2999999999999998</v>
      </c>
      <c r="G420" t="b">
        <v>0</v>
      </c>
      <c r="H420">
        <f>Sensitivity!H16</f>
        <v>59664313918494.375</v>
      </c>
    </row>
    <row r="421" spans="1:8" x14ac:dyDescent="0.2">
      <c r="A421" t="s">
        <v>556</v>
      </c>
      <c r="B421" t="s">
        <v>574</v>
      </c>
      <c r="C421">
        <v>3</v>
      </c>
      <c r="D421" t="s">
        <v>544</v>
      </c>
      <c r="E421">
        <v>10</v>
      </c>
      <c r="F421">
        <v>0.2</v>
      </c>
      <c r="G421" t="b">
        <v>1</v>
      </c>
      <c r="H421">
        <f>Sensitivity!H16</f>
        <v>59664313918494.375</v>
      </c>
    </row>
    <row r="422" spans="1:8" x14ac:dyDescent="0.2">
      <c r="A422" t="s">
        <v>556</v>
      </c>
      <c r="B422" t="s">
        <v>574</v>
      </c>
      <c r="C422">
        <v>3</v>
      </c>
      <c r="D422" t="s">
        <v>528</v>
      </c>
      <c r="E422">
        <v>25</v>
      </c>
      <c r="F422">
        <v>3.68</v>
      </c>
      <c r="G422" t="b">
        <v>0</v>
      </c>
      <c r="H422">
        <f>Sensitivity!H7</f>
        <v>32286149168906.172</v>
      </c>
    </row>
    <row r="423" spans="1:8" x14ac:dyDescent="0.2">
      <c r="A423" t="s">
        <v>556</v>
      </c>
      <c r="B423" t="s">
        <v>574</v>
      </c>
      <c r="C423">
        <v>3</v>
      </c>
      <c r="D423" t="s">
        <v>528</v>
      </c>
      <c r="E423">
        <v>35</v>
      </c>
      <c r="F423">
        <v>0.32</v>
      </c>
      <c r="G423" t="b">
        <v>1</v>
      </c>
      <c r="H423">
        <f>Sensitivity!H7</f>
        <v>32286149168906.172</v>
      </c>
    </row>
    <row r="424" spans="1:8" x14ac:dyDescent="0.2">
      <c r="A424" t="s">
        <v>556</v>
      </c>
      <c r="B424" t="s">
        <v>574</v>
      </c>
      <c r="C424">
        <v>3</v>
      </c>
      <c r="D424" t="s">
        <v>565</v>
      </c>
      <c r="E424">
        <v>15</v>
      </c>
      <c r="F424">
        <v>3.68</v>
      </c>
      <c r="G424" t="b">
        <v>0</v>
      </c>
      <c r="H424">
        <f>Sensitivity!H12</f>
        <v>49754655140299.383</v>
      </c>
    </row>
    <row r="425" spans="1:8" x14ac:dyDescent="0.2">
      <c r="A425" t="s">
        <v>556</v>
      </c>
      <c r="B425" t="s">
        <v>574</v>
      </c>
      <c r="C425">
        <v>3</v>
      </c>
      <c r="D425" t="s">
        <v>565</v>
      </c>
      <c r="E425">
        <v>25</v>
      </c>
      <c r="F425">
        <v>0.32</v>
      </c>
      <c r="G425" t="b">
        <v>1</v>
      </c>
      <c r="H425">
        <f>Sensitivity!H12</f>
        <v>49754655140299.383</v>
      </c>
    </row>
    <row r="426" spans="1:8" x14ac:dyDescent="0.2">
      <c r="A426" t="s">
        <v>556</v>
      </c>
      <c r="B426" t="s">
        <v>574</v>
      </c>
      <c r="C426">
        <v>3</v>
      </c>
      <c r="D426" t="s">
        <v>568</v>
      </c>
      <c r="E426">
        <v>15</v>
      </c>
      <c r="F426">
        <v>3.68</v>
      </c>
      <c r="G426" t="b">
        <v>0</v>
      </c>
      <c r="H426">
        <f>Sensitivity!H13</f>
        <v>49754655140299.383</v>
      </c>
    </row>
    <row r="427" spans="1:8" x14ac:dyDescent="0.2">
      <c r="A427" t="s">
        <v>556</v>
      </c>
      <c r="B427" t="s">
        <v>574</v>
      </c>
      <c r="C427">
        <v>3</v>
      </c>
      <c r="D427" t="s">
        <v>568</v>
      </c>
      <c r="E427">
        <v>25</v>
      </c>
      <c r="F427">
        <v>0.32</v>
      </c>
      <c r="G427" t="b">
        <v>1</v>
      </c>
      <c r="H427">
        <f>Sensitivity!H13</f>
        <v>49754655140299.383</v>
      </c>
    </row>
    <row r="428" spans="1:8" x14ac:dyDescent="0.2">
      <c r="A428" t="s">
        <v>556</v>
      </c>
      <c r="B428" t="s">
        <v>574</v>
      </c>
      <c r="C428">
        <v>3</v>
      </c>
      <c r="D428" t="s">
        <v>572</v>
      </c>
      <c r="E428">
        <v>12</v>
      </c>
      <c r="F428">
        <v>4.1399999999999997</v>
      </c>
      <c r="G428" t="b">
        <v>0</v>
      </c>
      <c r="H428" t="s">
        <v>573</v>
      </c>
    </row>
    <row r="429" spans="1:8" x14ac:dyDescent="0.2">
      <c r="A429" t="s">
        <v>556</v>
      </c>
      <c r="B429" t="s">
        <v>574</v>
      </c>
      <c r="C429">
        <v>3</v>
      </c>
      <c r="D429" t="s">
        <v>572</v>
      </c>
      <c r="E429">
        <v>15</v>
      </c>
      <c r="F429">
        <v>0.36</v>
      </c>
      <c r="G429" t="b">
        <v>1</v>
      </c>
      <c r="H429" t="s">
        <v>573</v>
      </c>
    </row>
    <row r="430" spans="1:8" x14ac:dyDescent="0.2">
      <c r="A430" t="s">
        <v>556</v>
      </c>
      <c r="B430" t="s">
        <v>574</v>
      </c>
      <c r="C430">
        <v>3</v>
      </c>
      <c r="D430" t="s">
        <v>576</v>
      </c>
      <c r="E430">
        <v>12</v>
      </c>
      <c r="F430">
        <v>4.1399999999999997</v>
      </c>
      <c r="G430" t="b">
        <v>0</v>
      </c>
      <c r="H430" t="s">
        <v>573</v>
      </c>
    </row>
    <row r="431" spans="1:8" x14ac:dyDescent="0.2">
      <c r="A431" t="s">
        <v>556</v>
      </c>
      <c r="B431" t="s">
        <v>574</v>
      </c>
      <c r="C431">
        <v>3</v>
      </c>
      <c r="D431" t="s">
        <v>576</v>
      </c>
      <c r="E431">
        <v>15</v>
      </c>
      <c r="F431">
        <v>0.36</v>
      </c>
      <c r="G431" t="b">
        <v>1</v>
      </c>
      <c r="H431" t="s">
        <v>573</v>
      </c>
    </row>
    <row r="432" spans="1:8" x14ac:dyDescent="0.2">
      <c r="A432" t="s">
        <v>556</v>
      </c>
      <c r="B432" t="s">
        <v>574</v>
      </c>
      <c r="C432">
        <v>3</v>
      </c>
      <c r="D432" t="s">
        <v>580</v>
      </c>
      <c r="E432">
        <v>12</v>
      </c>
      <c r="F432">
        <v>4.1399999999999997</v>
      </c>
      <c r="G432" t="b">
        <v>0</v>
      </c>
      <c r="H432">
        <f>Sensitivity!H6</f>
        <v>102956340516479.42</v>
      </c>
    </row>
    <row r="433" spans="1:8" x14ac:dyDescent="0.2">
      <c r="A433" t="s">
        <v>556</v>
      </c>
      <c r="B433" t="s">
        <v>574</v>
      </c>
      <c r="C433">
        <v>3</v>
      </c>
      <c r="D433" t="s">
        <v>580</v>
      </c>
      <c r="E433">
        <v>15</v>
      </c>
      <c r="F433">
        <v>0.36</v>
      </c>
      <c r="G433" t="b">
        <v>1</v>
      </c>
      <c r="H433">
        <f>Sensitivity!H6</f>
        <v>102956340516479.42</v>
      </c>
    </row>
    <row r="434" spans="1:8" x14ac:dyDescent="0.2">
      <c r="A434" t="s">
        <v>556</v>
      </c>
      <c r="B434" t="s">
        <v>574</v>
      </c>
      <c r="C434">
        <v>3</v>
      </c>
      <c r="D434" t="s">
        <v>582</v>
      </c>
      <c r="E434">
        <v>12</v>
      </c>
      <c r="F434">
        <v>4.1399999999999997</v>
      </c>
      <c r="G434" t="b">
        <v>0</v>
      </c>
      <c r="H434" t="s">
        <v>573</v>
      </c>
    </row>
    <row r="435" spans="1:8" x14ac:dyDescent="0.2">
      <c r="A435" t="s">
        <v>556</v>
      </c>
      <c r="B435" t="s">
        <v>574</v>
      </c>
      <c r="C435">
        <v>3</v>
      </c>
      <c r="D435" t="s">
        <v>582</v>
      </c>
      <c r="E435">
        <v>15</v>
      </c>
      <c r="F435">
        <v>0.36</v>
      </c>
      <c r="G435" t="b">
        <v>1</v>
      </c>
      <c r="H435" t="s">
        <v>573</v>
      </c>
    </row>
    <row r="436" spans="1:8" x14ac:dyDescent="0.2">
      <c r="A436" t="s">
        <v>556</v>
      </c>
      <c r="B436" t="s">
        <v>574</v>
      </c>
      <c r="C436">
        <v>3</v>
      </c>
      <c r="D436" t="s">
        <v>584</v>
      </c>
      <c r="E436">
        <v>12</v>
      </c>
      <c r="F436">
        <v>8.2799999999999994</v>
      </c>
      <c r="G436" t="b">
        <v>0</v>
      </c>
      <c r="H436" t="s">
        <v>573</v>
      </c>
    </row>
    <row r="437" spans="1:8" x14ac:dyDescent="0.2">
      <c r="A437" t="s">
        <v>556</v>
      </c>
      <c r="B437" t="s">
        <v>574</v>
      </c>
      <c r="C437">
        <v>3</v>
      </c>
      <c r="D437" t="s">
        <v>584</v>
      </c>
      <c r="E437">
        <v>15</v>
      </c>
      <c r="F437">
        <v>0.72</v>
      </c>
      <c r="G437" t="b">
        <v>1</v>
      </c>
      <c r="H437" t="s">
        <v>573</v>
      </c>
    </row>
    <row r="438" spans="1:8" x14ac:dyDescent="0.2">
      <c r="A438" t="s">
        <v>556</v>
      </c>
      <c r="B438" t="s">
        <v>574</v>
      </c>
      <c r="C438">
        <v>3</v>
      </c>
      <c r="D438" t="s">
        <v>586</v>
      </c>
      <c r="E438">
        <v>20</v>
      </c>
      <c r="F438">
        <v>8.2799999999999994</v>
      </c>
      <c r="G438" t="b">
        <v>0</v>
      </c>
      <c r="H438" t="s">
        <v>573</v>
      </c>
    </row>
    <row r="439" spans="1:8" x14ac:dyDescent="0.2">
      <c r="A439" t="s">
        <v>556</v>
      </c>
      <c r="B439" t="s">
        <v>574</v>
      </c>
      <c r="C439">
        <v>3</v>
      </c>
      <c r="D439" t="s">
        <v>586</v>
      </c>
      <c r="E439">
        <v>25</v>
      </c>
      <c r="F439">
        <v>0.72</v>
      </c>
      <c r="G439" t="b">
        <v>1</v>
      </c>
      <c r="H439" t="s">
        <v>573</v>
      </c>
    </row>
    <row r="440" spans="1:8" x14ac:dyDescent="0.2">
      <c r="A440" t="s">
        <v>556</v>
      </c>
      <c r="B440" t="s">
        <v>574</v>
      </c>
      <c r="C440">
        <v>3</v>
      </c>
      <c r="D440" t="s">
        <v>588</v>
      </c>
      <c r="E440">
        <v>12</v>
      </c>
      <c r="F440">
        <v>8.2799999999999994</v>
      </c>
      <c r="G440" t="b">
        <v>0</v>
      </c>
      <c r="H440" t="s">
        <v>573</v>
      </c>
    </row>
    <row r="441" spans="1:8" x14ac:dyDescent="0.2">
      <c r="A441" t="s">
        <v>556</v>
      </c>
      <c r="B441" t="s">
        <v>574</v>
      </c>
      <c r="C441">
        <v>3</v>
      </c>
      <c r="D441" t="s">
        <v>588</v>
      </c>
      <c r="E441">
        <v>15</v>
      </c>
      <c r="F441">
        <v>0.72</v>
      </c>
      <c r="G441" t="b">
        <v>1</v>
      </c>
      <c r="H441" t="s">
        <v>573</v>
      </c>
    </row>
    <row r="442" spans="1:8" x14ac:dyDescent="0.2">
      <c r="A442" t="s">
        <v>556</v>
      </c>
      <c r="B442" t="s">
        <v>574</v>
      </c>
      <c r="C442">
        <v>3</v>
      </c>
      <c r="D442" t="s">
        <v>591</v>
      </c>
      <c r="E442">
        <v>600</v>
      </c>
      <c r="F442">
        <v>8.51</v>
      </c>
      <c r="G442" t="b">
        <v>0</v>
      </c>
      <c r="H442" t="s">
        <v>573</v>
      </c>
    </row>
    <row r="443" spans="1:8" x14ac:dyDescent="0.2">
      <c r="A443" t="s">
        <v>556</v>
      </c>
      <c r="B443" t="s">
        <v>574</v>
      </c>
      <c r="C443">
        <v>3</v>
      </c>
      <c r="D443" t="s">
        <v>591</v>
      </c>
      <c r="E443">
        <v>1000</v>
      </c>
      <c r="F443">
        <v>0.74</v>
      </c>
      <c r="G443" t="b">
        <v>1</v>
      </c>
      <c r="H443" t="s">
        <v>573</v>
      </c>
    </row>
    <row r="444" spans="1:8" x14ac:dyDescent="0.2">
      <c r="A444" t="s">
        <v>556</v>
      </c>
      <c r="B444" t="s">
        <v>574</v>
      </c>
      <c r="C444">
        <v>3</v>
      </c>
      <c r="D444" t="s">
        <v>592</v>
      </c>
      <c r="E444">
        <v>600</v>
      </c>
      <c r="F444">
        <v>8.51</v>
      </c>
      <c r="G444" t="b">
        <v>0</v>
      </c>
      <c r="H444" t="s">
        <v>573</v>
      </c>
    </row>
    <row r="445" spans="1:8" x14ac:dyDescent="0.2">
      <c r="A445" t="s">
        <v>556</v>
      </c>
      <c r="B445" t="s">
        <v>574</v>
      </c>
      <c r="C445">
        <v>3</v>
      </c>
      <c r="D445" t="s">
        <v>592</v>
      </c>
      <c r="E445">
        <v>1000</v>
      </c>
      <c r="F445">
        <v>0.74</v>
      </c>
      <c r="G445" t="b">
        <v>1</v>
      </c>
      <c r="H445" t="s">
        <v>573</v>
      </c>
    </row>
    <row r="446" spans="1:8" x14ac:dyDescent="0.2">
      <c r="A446" t="s">
        <v>556</v>
      </c>
      <c r="B446" t="s">
        <v>574</v>
      </c>
      <c r="C446">
        <v>3</v>
      </c>
      <c r="D446" t="s">
        <v>595</v>
      </c>
      <c r="E446">
        <v>600</v>
      </c>
      <c r="F446">
        <v>8.51</v>
      </c>
      <c r="G446" t="b">
        <v>0</v>
      </c>
      <c r="H446">
        <f>Sensitivity!H5</f>
        <v>602676556870.32288</v>
      </c>
    </row>
    <row r="447" spans="1:8" x14ac:dyDescent="0.2">
      <c r="A447" t="s">
        <v>556</v>
      </c>
      <c r="B447" t="s">
        <v>574</v>
      </c>
      <c r="C447">
        <v>3</v>
      </c>
      <c r="D447" t="s">
        <v>595</v>
      </c>
      <c r="E447">
        <v>1000</v>
      </c>
      <c r="F447">
        <v>0.74</v>
      </c>
      <c r="G447" t="b">
        <v>1</v>
      </c>
      <c r="H447">
        <f>Sensitivity!H5</f>
        <v>602676556870.32288</v>
      </c>
    </row>
    <row r="448" spans="1:8" x14ac:dyDescent="0.2">
      <c r="A448" t="s">
        <v>556</v>
      </c>
      <c r="B448" t="s">
        <v>574</v>
      </c>
      <c r="C448">
        <v>3</v>
      </c>
      <c r="D448" t="s">
        <v>597</v>
      </c>
      <c r="E448">
        <v>600</v>
      </c>
      <c r="F448">
        <v>8.51</v>
      </c>
      <c r="G448" t="b">
        <v>0</v>
      </c>
      <c r="H448" t="s">
        <v>573</v>
      </c>
    </row>
    <row r="449" spans="1:8" x14ac:dyDescent="0.2">
      <c r="A449" t="s">
        <v>556</v>
      </c>
      <c r="B449" t="s">
        <v>574</v>
      </c>
      <c r="C449">
        <v>3</v>
      </c>
      <c r="D449" t="s">
        <v>597</v>
      </c>
      <c r="E449">
        <v>1000</v>
      </c>
      <c r="F449">
        <v>0.74</v>
      </c>
      <c r="G449" t="b">
        <v>1</v>
      </c>
      <c r="H449" t="s">
        <v>573</v>
      </c>
    </row>
    <row r="450" spans="1:8" x14ac:dyDescent="0.2">
      <c r="A450" t="s">
        <v>559</v>
      </c>
      <c r="B450" t="s">
        <v>563</v>
      </c>
      <c r="C450">
        <v>1</v>
      </c>
      <c r="D450" t="s">
        <v>394</v>
      </c>
      <c r="E450">
        <v>0.5</v>
      </c>
      <c r="F450">
        <v>1</v>
      </c>
      <c r="G450" t="b">
        <v>1</v>
      </c>
      <c r="H450">
        <f>Sensitivity!H27</f>
        <v>363350920083618.5</v>
      </c>
    </row>
    <row r="451" spans="1:8" x14ac:dyDescent="0.2">
      <c r="A451" t="s">
        <v>559</v>
      </c>
      <c r="B451" t="s">
        <v>563</v>
      </c>
      <c r="C451">
        <v>2</v>
      </c>
      <c r="D451" t="s">
        <v>394</v>
      </c>
      <c r="E451">
        <v>0.5</v>
      </c>
      <c r="F451">
        <v>0.24</v>
      </c>
      <c r="G451" t="b">
        <v>1</v>
      </c>
      <c r="H451">
        <f>Sensitivity!H27</f>
        <v>363350920083618.5</v>
      </c>
    </row>
    <row r="452" spans="1:8" x14ac:dyDescent="0.2">
      <c r="A452" t="s">
        <v>559</v>
      </c>
      <c r="B452" t="s">
        <v>563</v>
      </c>
      <c r="C452">
        <v>3</v>
      </c>
      <c r="D452" t="s">
        <v>394</v>
      </c>
      <c r="E452">
        <v>0.5</v>
      </c>
      <c r="F452">
        <v>0.08</v>
      </c>
      <c r="G452" t="b">
        <v>1</v>
      </c>
      <c r="H452">
        <f>Sensitivity!H27</f>
        <v>363350920083618.5</v>
      </c>
    </row>
    <row r="453" spans="1:8" x14ac:dyDescent="0.2">
      <c r="A453" t="s">
        <v>559</v>
      </c>
      <c r="B453" t="s">
        <v>566</v>
      </c>
      <c r="C453">
        <v>1</v>
      </c>
      <c r="D453" t="s">
        <v>394</v>
      </c>
      <c r="E453">
        <v>1</v>
      </c>
      <c r="F453">
        <v>1</v>
      </c>
      <c r="G453" t="b">
        <v>1</v>
      </c>
      <c r="H453">
        <f>Sensitivity!H27</f>
        <v>363350920083618.5</v>
      </c>
    </row>
    <row r="454" spans="1:8" x14ac:dyDescent="0.2">
      <c r="A454" t="s">
        <v>559</v>
      </c>
      <c r="B454" t="s">
        <v>566</v>
      </c>
      <c r="C454">
        <v>2</v>
      </c>
      <c r="D454" t="s">
        <v>394</v>
      </c>
      <c r="E454">
        <v>1</v>
      </c>
      <c r="F454">
        <v>0.24</v>
      </c>
      <c r="G454" t="b">
        <v>1</v>
      </c>
      <c r="H454">
        <f>Sensitivity!H27</f>
        <v>363350920083618.5</v>
      </c>
    </row>
    <row r="455" spans="1:8" x14ac:dyDescent="0.2">
      <c r="A455" t="s">
        <v>559</v>
      </c>
      <c r="B455" t="s">
        <v>566</v>
      </c>
      <c r="C455">
        <v>2</v>
      </c>
      <c r="D455" t="s">
        <v>394</v>
      </c>
      <c r="E455">
        <v>0.5</v>
      </c>
      <c r="F455">
        <v>0.76</v>
      </c>
      <c r="G455" t="b">
        <v>0</v>
      </c>
      <c r="H455">
        <f>Sensitivity!H27</f>
        <v>363350920083618.5</v>
      </c>
    </row>
    <row r="456" spans="1:8" x14ac:dyDescent="0.2">
      <c r="A456" t="s">
        <v>559</v>
      </c>
      <c r="B456" t="s">
        <v>566</v>
      </c>
      <c r="C456">
        <v>3</v>
      </c>
      <c r="D456" t="s">
        <v>394</v>
      </c>
      <c r="E456">
        <v>1</v>
      </c>
      <c r="F456">
        <v>0.08</v>
      </c>
      <c r="G456" t="b">
        <v>1</v>
      </c>
      <c r="H456">
        <f>Sensitivity!H27</f>
        <v>363350920083618.5</v>
      </c>
    </row>
    <row r="457" spans="1:8" x14ac:dyDescent="0.2">
      <c r="A457" t="s">
        <v>559</v>
      </c>
      <c r="B457" t="s">
        <v>566</v>
      </c>
      <c r="C457">
        <v>3</v>
      </c>
      <c r="D457" t="s">
        <v>394</v>
      </c>
      <c r="E457">
        <v>0.5</v>
      </c>
      <c r="F457">
        <v>0.92</v>
      </c>
      <c r="G457" t="b">
        <v>0</v>
      </c>
      <c r="H457">
        <f>Sensitivity!H27</f>
        <v>363350920083618.5</v>
      </c>
    </row>
    <row r="458" spans="1:8" x14ac:dyDescent="0.2">
      <c r="A458" t="s">
        <v>559</v>
      </c>
      <c r="B458" t="s">
        <v>570</v>
      </c>
      <c r="C458">
        <v>1</v>
      </c>
      <c r="D458" t="s">
        <v>394</v>
      </c>
      <c r="E458">
        <v>1.5</v>
      </c>
      <c r="F458">
        <v>1</v>
      </c>
      <c r="G458" t="b">
        <v>1</v>
      </c>
      <c r="H458">
        <f>Sensitivity!H27</f>
        <v>363350920083618.5</v>
      </c>
    </row>
    <row r="459" spans="1:8" x14ac:dyDescent="0.2">
      <c r="A459" t="s">
        <v>559</v>
      </c>
      <c r="B459" t="s">
        <v>570</v>
      </c>
      <c r="C459">
        <v>2</v>
      </c>
      <c r="D459" t="s">
        <v>394</v>
      </c>
      <c r="E459">
        <v>1.5</v>
      </c>
      <c r="F459">
        <v>0.24</v>
      </c>
      <c r="G459" t="b">
        <v>1</v>
      </c>
      <c r="H459">
        <f>Sensitivity!H27</f>
        <v>363350920083618.5</v>
      </c>
    </row>
    <row r="460" spans="1:8" x14ac:dyDescent="0.2">
      <c r="A460" t="s">
        <v>559</v>
      </c>
      <c r="B460" t="s">
        <v>570</v>
      </c>
      <c r="C460">
        <v>2</v>
      </c>
      <c r="D460" t="s">
        <v>394</v>
      </c>
      <c r="E460">
        <v>1</v>
      </c>
      <c r="F460">
        <v>0.76</v>
      </c>
      <c r="G460" t="b">
        <v>0</v>
      </c>
      <c r="H460">
        <f>Sensitivity!H27</f>
        <v>363350920083618.5</v>
      </c>
    </row>
    <row r="461" spans="1:8" x14ac:dyDescent="0.2">
      <c r="A461" t="s">
        <v>559</v>
      </c>
      <c r="B461" t="s">
        <v>570</v>
      </c>
      <c r="C461">
        <v>3</v>
      </c>
      <c r="D461" t="s">
        <v>394</v>
      </c>
      <c r="E461">
        <v>1.5</v>
      </c>
      <c r="F461">
        <v>0.08</v>
      </c>
      <c r="G461" t="b">
        <v>1</v>
      </c>
      <c r="H461">
        <f>Sensitivity!H27</f>
        <v>363350920083618.5</v>
      </c>
    </row>
    <row r="462" spans="1:8" x14ac:dyDescent="0.2">
      <c r="A462" t="s">
        <v>559</v>
      </c>
      <c r="B462" t="s">
        <v>570</v>
      </c>
      <c r="C462">
        <v>3</v>
      </c>
      <c r="D462" t="s">
        <v>394</v>
      </c>
      <c r="E462">
        <v>1</v>
      </c>
      <c r="F462">
        <v>0.92</v>
      </c>
      <c r="G462" t="b">
        <v>0</v>
      </c>
      <c r="H462">
        <f>Sensitivity!H27</f>
        <v>363350920083618.5</v>
      </c>
    </row>
    <row r="463" spans="1:8" x14ac:dyDescent="0.2">
      <c r="A463" t="s">
        <v>559</v>
      </c>
      <c r="B463" t="s">
        <v>574</v>
      </c>
      <c r="C463">
        <v>1</v>
      </c>
      <c r="D463" t="s">
        <v>394</v>
      </c>
      <c r="E463">
        <v>2</v>
      </c>
      <c r="F463">
        <v>1</v>
      </c>
      <c r="G463" t="b">
        <v>1</v>
      </c>
      <c r="H463">
        <f>Sensitivity!H27</f>
        <v>363350920083618.5</v>
      </c>
    </row>
    <row r="464" spans="1:8" x14ac:dyDescent="0.2">
      <c r="A464" t="s">
        <v>559</v>
      </c>
      <c r="B464" t="s">
        <v>574</v>
      </c>
      <c r="C464">
        <v>2</v>
      </c>
      <c r="D464" t="s">
        <v>394</v>
      </c>
      <c r="E464">
        <v>2</v>
      </c>
      <c r="F464">
        <v>0.24</v>
      </c>
      <c r="G464" t="b">
        <v>1</v>
      </c>
      <c r="H464">
        <f>Sensitivity!H27</f>
        <v>363350920083618.5</v>
      </c>
    </row>
    <row r="465" spans="1:8" x14ac:dyDescent="0.2">
      <c r="A465" t="s">
        <v>559</v>
      </c>
      <c r="B465" t="s">
        <v>574</v>
      </c>
      <c r="C465">
        <v>2</v>
      </c>
      <c r="D465" t="s">
        <v>394</v>
      </c>
      <c r="E465">
        <v>1.5</v>
      </c>
      <c r="F465">
        <v>0.76</v>
      </c>
      <c r="G465" t="b">
        <v>0</v>
      </c>
      <c r="H465">
        <f>Sensitivity!H27</f>
        <v>363350920083618.5</v>
      </c>
    </row>
    <row r="466" spans="1:8" x14ac:dyDescent="0.2">
      <c r="A466" t="s">
        <v>559</v>
      </c>
      <c r="B466" t="s">
        <v>574</v>
      </c>
      <c r="C466">
        <v>3</v>
      </c>
      <c r="D466" t="s">
        <v>394</v>
      </c>
      <c r="E466">
        <v>2</v>
      </c>
      <c r="F466">
        <v>0.08</v>
      </c>
      <c r="G466" t="b">
        <v>1</v>
      </c>
      <c r="H466">
        <f>Sensitivity!H27</f>
        <v>363350920083618.5</v>
      </c>
    </row>
    <row r="467" spans="1:8" x14ac:dyDescent="0.2">
      <c r="A467" t="s">
        <v>559</v>
      </c>
      <c r="B467" t="s">
        <v>574</v>
      </c>
      <c r="C467">
        <v>3</v>
      </c>
      <c r="D467" t="s">
        <v>394</v>
      </c>
      <c r="E467">
        <v>1.5</v>
      </c>
      <c r="F467">
        <v>0.92</v>
      </c>
      <c r="G467" t="b">
        <v>0</v>
      </c>
      <c r="H467">
        <f>Sensitivity!H27</f>
        <v>363350920083618.5</v>
      </c>
    </row>
    <row r="468" spans="1:8" x14ac:dyDescent="0.2">
      <c r="A468" t="s">
        <v>562</v>
      </c>
      <c r="B468" t="s">
        <v>563</v>
      </c>
      <c r="C468">
        <v>1</v>
      </c>
      <c r="D468" t="s">
        <v>541</v>
      </c>
      <c r="E468">
        <v>3</v>
      </c>
      <c r="F468">
        <v>1</v>
      </c>
      <c r="G468" t="b">
        <v>1</v>
      </c>
      <c r="H468">
        <f>Sensitivity!H11</f>
        <v>330868456682976.56</v>
      </c>
    </row>
    <row r="469" spans="1:8" x14ac:dyDescent="0.2">
      <c r="A469" t="s">
        <v>562</v>
      </c>
      <c r="B469" t="s">
        <v>563</v>
      </c>
      <c r="C469">
        <v>2</v>
      </c>
      <c r="D469" t="s">
        <v>541</v>
      </c>
      <c r="E469">
        <v>3</v>
      </c>
      <c r="F469">
        <v>0.24</v>
      </c>
      <c r="G469" t="b">
        <v>1</v>
      </c>
      <c r="H469">
        <f>Sensitivity!H11</f>
        <v>330868456682976.56</v>
      </c>
    </row>
    <row r="470" spans="1:8" x14ac:dyDescent="0.2">
      <c r="A470" t="s">
        <v>562</v>
      </c>
      <c r="B470" t="s">
        <v>563</v>
      </c>
      <c r="C470">
        <v>3</v>
      </c>
      <c r="D470" t="s">
        <v>541</v>
      </c>
      <c r="E470">
        <v>3</v>
      </c>
      <c r="F470">
        <v>0.08</v>
      </c>
      <c r="G470" t="b">
        <v>1</v>
      </c>
      <c r="H470">
        <f>Sensitivity!H11</f>
        <v>330868456682976.56</v>
      </c>
    </row>
    <row r="471" spans="1:8" x14ac:dyDescent="0.2">
      <c r="A471" t="s">
        <v>562</v>
      </c>
      <c r="B471" t="s">
        <v>566</v>
      </c>
      <c r="C471">
        <v>1</v>
      </c>
      <c r="D471" t="s">
        <v>541</v>
      </c>
      <c r="E471">
        <v>5</v>
      </c>
      <c r="F471">
        <v>1</v>
      </c>
      <c r="G471" t="b">
        <v>1</v>
      </c>
      <c r="H471">
        <f>Sensitivity!H11</f>
        <v>330868456682976.56</v>
      </c>
    </row>
    <row r="472" spans="1:8" x14ac:dyDescent="0.2">
      <c r="A472" t="s">
        <v>562</v>
      </c>
      <c r="B472" t="s">
        <v>566</v>
      </c>
      <c r="C472">
        <v>2</v>
      </c>
      <c r="D472" t="s">
        <v>541</v>
      </c>
      <c r="E472">
        <v>5</v>
      </c>
      <c r="F472">
        <v>0.24</v>
      </c>
      <c r="G472" t="b">
        <v>1</v>
      </c>
      <c r="H472">
        <f>Sensitivity!H11</f>
        <v>330868456682976.56</v>
      </c>
    </row>
    <row r="473" spans="1:8" x14ac:dyDescent="0.2">
      <c r="A473" t="s">
        <v>562</v>
      </c>
      <c r="B473" t="s">
        <v>566</v>
      </c>
      <c r="C473">
        <v>2</v>
      </c>
      <c r="D473" t="s">
        <v>541</v>
      </c>
      <c r="E473">
        <v>3</v>
      </c>
      <c r="F473">
        <v>0.76</v>
      </c>
      <c r="G473" t="b">
        <v>0</v>
      </c>
      <c r="H473">
        <f>Sensitivity!H11</f>
        <v>330868456682976.56</v>
      </c>
    </row>
    <row r="474" spans="1:8" x14ac:dyDescent="0.2">
      <c r="A474" t="s">
        <v>562</v>
      </c>
      <c r="B474" t="s">
        <v>566</v>
      </c>
      <c r="C474">
        <v>3</v>
      </c>
      <c r="D474" t="s">
        <v>541</v>
      </c>
      <c r="E474">
        <v>5</v>
      </c>
      <c r="F474">
        <v>0.08</v>
      </c>
      <c r="G474" t="b">
        <v>1</v>
      </c>
      <c r="H474">
        <f>Sensitivity!H11</f>
        <v>330868456682976.56</v>
      </c>
    </row>
    <row r="475" spans="1:8" x14ac:dyDescent="0.2">
      <c r="A475" t="s">
        <v>562</v>
      </c>
      <c r="B475" t="s">
        <v>566</v>
      </c>
      <c r="C475">
        <v>3</v>
      </c>
      <c r="D475" t="s">
        <v>541</v>
      </c>
      <c r="E475">
        <v>3</v>
      </c>
      <c r="F475">
        <v>0.92</v>
      </c>
      <c r="G475" t="b">
        <v>0</v>
      </c>
      <c r="H475">
        <f>Sensitivity!H11</f>
        <v>330868456682976.56</v>
      </c>
    </row>
    <row r="476" spans="1:8" x14ac:dyDescent="0.2">
      <c r="A476" t="s">
        <v>562</v>
      </c>
      <c r="B476" t="s">
        <v>570</v>
      </c>
      <c r="C476">
        <v>1</v>
      </c>
      <c r="D476" t="s">
        <v>541</v>
      </c>
      <c r="E476">
        <v>8</v>
      </c>
      <c r="F476">
        <v>1</v>
      </c>
      <c r="G476" t="b">
        <v>1</v>
      </c>
      <c r="H476">
        <f>Sensitivity!H11</f>
        <v>330868456682976.56</v>
      </c>
    </row>
    <row r="477" spans="1:8" x14ac:dyDescent="0.2">
      <c r="A477" t="s">
        <v>562</v>
      </c>
      <c r="B477" t="s">
        <v>570</v>
      </c>
      <c r="C477">
        <v>2</v>
      </c>
      <c r="D477" t="s">
        <v>541</v>
      </c>
      <c r="E477">
        <v>8</v>
      </c>
      <c r="F477">
        <v>0.24</v>
      </c>
      <c r="G477" t="b">
        <v>1</v>
      </c>
      <c r="H477">
        <f>Sensitivity!H11</f>
        <v>330868456682976.56</v>
      </c>
    </row>
    <row r="478" spans="1:8" x14ac:dyDescent="0.2">
      <c r="A478" t="s">
        <v>562</v>
      </c>
      <c r="B478" t="s">
        <v>570</v>
      </c>
      <c r="C478">
        <v>2</v>
      </c>
      <c r="D478" t="s">
        <v>541</v>
      </c>
      <c r="E478">
        <v>5</v>
      </c>
      <c r="F478">
        <v>0.76</v>
      </c>
      <c r="G478" t="b">
        <v>0</v>
      </c>
      <c r="H478">
        <f>Sensitivity!H11</f>
        <v>330868456682976.56</v>
      </c>
    </row>
    <row r="479" spans="1:8" x14ac:dyDescent="0.2">
      <c r="A479" t="s">
        <v>562</v>
      </c>
      <c r="B479" t="s">
        <v>570</v>
      </c>
      <c r="C479">
        <v>3</v>
      </c>
      <c r="D479" t="s">
        <v>541</v>
      </c>
      <c r="E479">
        <v>8</v>
      </c>
      <c r="F479">
        <v>0.08</v>
      </c>
      <c r="G479" t="b">
        <v>1</v>
      </c>
      <c r="H479">
        <f>Sensitivity!H11</f>
        <v>330868456682976.56</v>
      </c>
    </row>
    <row r="480" spans="1:8" x14ac:dyDescent="0.2">
      <c r="A480" t="s">
        <v>562</v>
      </c>
      <c r="B480" t="s">
        <v>570</v>
      </c>
      <c r="C480">
        <v>3</v>
      </c>
      <c r="D480" t="s">
        <v>541</v>
      </c>
      <c r="E480">
        <v>5</v>
      </c>
      <c r="F480">
        <v>0.92</v>
      </c>
      <c r="G480" t="b">
        <v>0</v>
      </c>
      <c r="H480">
        <f>Sensitivity!H11</f>
        <v>330868456682976.56</v>
      </c>
    </row>
    <row r="481" spans="1:8" x14ac:dyDescent="0.2">
      <c r="A481" t="s">
        <v>562</v>
      </c>
      <c r="B481" t="s">
        <v>574</v>
      </c>
      <c r="C481">
        <v>1</v>
      </c>
      <c r="D481" t="s">
        <v>541</v>
      </c>
      <c r="E481">
        <v>12</v>
      </c>
      <c r="F481">
        <v>1</v>
      </c>
      <c r="G481" t="b">
        <v>1</v>
      </c>
      <c r="H481">
        <f>Sensitivity!H11</f>
        <v>330868456682976.56</v>
      </c>
    </row>
    <row r="482" spans="1:8" x14ac:dyDescent="0.2">
      <c r="A482" t="s">
        <v>562</v>
      </c>
      <c r="B482" t="s">
        <v>574</v>
      </c>
      <c r="C482">
        <v>2</v>
      </c>
      <c r="D482" t="s">
        <v>541</v>
      </c>
      <c r="E482">
        <v>12</v>
      </c>
      <c r="F482">
        <v>0.24</v>
      </c>
      <c r="G482" t="b">
        <v>1</v>
      </c>
      <c r="H482">
        <f>Sensitivity!H11</f>
        <v>330868456682976.56</v>
      </c>
    </row>
    <row r="483" spans="1:8" x14ac:dyDescent="0.2">
      <c r="A483" t="s">
        <v>562</v>
      </c>
      <c r="B483" t="s">
        <v>574</v>
      </c>
      <c r="C483">
        <v>2</v>
      </c>
      <c r="D483" t="s">
        <v>541</v>
      </c>
      <c r="E483">
        <v>8</v>
      </c>
      <c r="F483">
        <v>0.76</v>
      </c>
      <c r="G483" t="b">
        <v>0</v>
      </c>
      <c r="H483">
        <f>Sensitivity!H11</f>
        <v>330868456682976.56</v>
      </c>
    </row>
    <row r="484" spans="1:8" x14ac:dyDescent="0.2">
      <c r="A484" t="s">
        <v>562</v>
      </c>
      <c r="B484" t="s">
        <v>574</v>
      </c>
      <c r="C484">
        <v>3</v>
      </c>
      <c r="D484" t="s">
        <v>541</v>
      </c>
      <c r="E484">
        <v>12</v>
      </c>
      <c r="F484">
        <v>0.08</v>
      </c>
      <c r="G484" t="b">
        <v>1</v>
      </c>
      <c r="H484">
        <f>Sensitivity!H11</f>
        <v>330868456682976.56</v>
      </c>
    </row>
    <row r="485" spans="1:8" x14ac:dyDescent="0.2">
      <c r="A485" t="s">
        <v>562</v>
      </c>
      <c r="B485" t="s">
        <v>574</v>
      </c>
      <c r="C485">
        <v>3</v>
      </c>
      <c r="D485" t="s">
        <v>541</v>
      </c>
      <c r="E485">
        <v>8</v>
      </c>
      <c r="F485">
        <v>0.92</v>
      </c>
      <c r="G485" t="b">
        <v>0</v>
      </c>
      <c r="H485">
        <f>Sensitivity!H11</f>
        <v>330868456682976.56</v>
      </c>
    </row>
    <row r="486" spans="1:8" x14ac:dyDescent="0.2">
      <c r="A486" t="s">
        <v>564</v>
      </c>
      <c r="B486" t="s">
        <v>566</v>
      </c>
      <c r="C486">
        <v>1</v>
      </c>
      <c r="D486" t="s">
        <v>569</v>
      </c>
      <c r="E486">
        <v>1</v>
      </c>
      <c r="F486">
        <v>1</v>
      </c>
      <c r="G486" t="b">
        <v>1</v>
      </c>
      <c r="H486">
        <f>Sensitivity!H28</f>
        <v>558422459014296</v>
      </c>
    </row>
    <row r="487" spans="1:8" x14ac:dyDescent="0.2">
      <c r="A487" t="s">
        <v>564</v>
      </c>
      <c r="B487" t="s">
        <v>566</v>
      </c>
      <c r="C487">
        <v>2</v>
      </c>
      <c r="D487" t="s">
        <v>569</v>
      </c>
      <c r="E487">
        <v>1</v>
      </c>
      <c r="F487">
        <v>0.24</v>
      </c>
      <c r="G487" t="b">
        <v>1</v>
      </c>
      <c r="H487">
        <f>Sensitivity!H28</f>
        <v>558422459014296</v>
      </c>
    </row>
    <row r="488" spans="1:8" x14ac:dyDescent="0.2">
      <c r="A488" t="s">
        <v>564</v>
      </c>
      <c r="B488" t="s">
        <v>566</v>
      </c>
      <c r="C488">
        <v>3</v>
      </c>
      <c r="D488" t="s">
        <v>569</v>
      </c>
      <c r="E488">
        <v>1</v>
      </c>
      <c r="F488">
        <v>0.08</v>
      </c>
      <c r="G488" t="b">
        <v>1</v>
      </c>
      <c r="H488">
        <f>Sensitivity!H28</f>
        <v>558422459014296</v>
      </c>
    </row>
    <row r="489" spans="1:8" x14ac:dyDescent="0.2">
      <c r="A489" t="s">
        <v>564</v>
      </c>
      <c r="B489" t="s">
        <v>570</v>
      </c>
      <c r="C489">
        <v>1</v>
      </c>
      <c r="D489" t="s">
        <v>569</v>
      </c>
      <c r="E489">
        <v>2</v>
      </c>
      <c r="F489">
        <v>1</v>
      </c>
      <c r="G489" t="b">
        <v>1</v>
      </c>
      <c r="H489">
        <f>Sensitivity!H28</f>
        <v>558422459014296</v>
      </c>
    </row>
    <row r="490" spans="1:8" x14ac:dyDescent="0.2">
      <c r="A490" t="s">
        <v>564</v>
      </c>
      <c r="B490" t="s">
        <v>570</v>
      </c>
      <c r="C490">
        <v>2</v>
      </c>
      <c r="D490" t="s">
        <v>569</v>
      </c>
      <c r="E490">
        <v>2</v>
      </c>
      <c r="F490">
        <v>0.24</v>
      </c>
      <c r="G490" t="b">
        <v>1</v>
      </c>
      <c r="H490">
        <f>Sensitivity!H28</f>
        <v>558422459014296</v>
      </c>
    </row>
    <row r="491" spans="1:8" x14ac:dyDescent="0.2">
      <c r="A491" t="s">
        <v>564</v>
      </c>
      <c r="B491" t="s">
        <v>570</v>
      </c>
      <c r="C491">
        <v>2</v>
      </c>
      <c r="D491" t="s">
        <v>569</v>
      </c>
      <c r="E491">
        <v>1</v>
      </c>
      <c r="F491">
        <v>0.76</v>
      </c>
      <c r="G491" t="b">
        <v>0</v>
      </c>
      <c r="H491">
        <f>Sensitivity!H28</f>
        <v>558422459014296</v>
      </c>
    </row>
    <row r="492" spans="1:8" x14ac:dyDescent="0.2">
      <c r="A492" t="s">
        <v>564</v>
      </c>
      <c r="B492" t="s">
        <v>570</v>
      </c>
      <c r="C492">
        <v>3</v>
      </c>
      <c r="D492" t="s">
        <v>569</v>
      </c>
      <c r="E492">
        <v>2</v>
      </c>
      <c r="F492">
        <v>0.08</v>
      </c>
      <c r="G492" t="b">
        <v>1</v>
      </c>
      <c r="H492">
        <f>Sensitivity!H28</f>
        <v>558422459014296</v>
      </c>
    </row>
    <row r="493" spans="1:8" x14ac:dyDescent="0.2">
      <c r="A493" t="s">
        <v>564</v>
      </c>
      <c r="B493" t="s">
        <v>570</v>
      </c>
      <c r="C493">
        <v>3</v>
      </c>
      <c r="D493" t="s">
        <v>569</v>
      </c>
      <c r="E493">
        <v>1</v>
      </c>
      <c r="F493">
        <v>0.92</v>
      </c>
      <c r="G493" t="b">
        <v>0</v>
      </c>
      <c r="H493">
        <f>Sensitivity!H28</f>
        <v>558422459014296</v>
      </c>
    </row>
    <row r="494" spans="1:8" x14ac:dyDescent="0.2">
      <c r="A494" t="s">
        <v>564</v>
      </c>
      <c r="B494" t="s">
        <v>574</v>
      </c>
      <c r="C494">
        <v>1</v>
      </c>
      <c r="D494" t="s">
        <v>569</v>
      </c>
      <c r="E494">
        <v>3</v>
      </c>
      <c r="F494">
        <v>1</v>
      </c>
      <c r="G494" t="b">
        <v>1</v>
      </c>
      <c r="H494">
        <f>Sensitivity!H28</f>
        <v>558422459014296</v>
      </c>
    </row>
    <row r="495" spans="1:8" x14ac:dyDescent="0.2">
      <c r="A495" t="s">
        <v>564</v>
      </c>
      <c r="B495" t="s">
        <v>574</v>
      </c>
      <c r="C495">
        <v>2</v>
      </c>
      <c r="D495" t="s">
        <v>569</v>
      </c>
      <c r="E495">
        <v>3</v>
      </c>
      <c r="F495">
        <v>0.24</v>
      </c>
      <c r="G495" t="b">
        <v>1</v>
      </c>
      <c r="H495">
        <f>Sensitivity!H28</f>
        <v>558422459014296</v>
      </c>
    </row>
    <row r="496" spans="1:8" x14ac:dyDescent="0.2">
      <c r="A496" t="s">
        <v>564</v>
      </c>
      <c r="B496" t="s">
        <v>574</v>
      </c>
      <c r="C496">
        <v>2</v>
      </c>
      <c r="D496" t="s">
        <v>569</v>
      </c>
      <c r="E496">
        <v>2</v>
      </c>
      <c r="F496">
        <v>0.76</v>
      </c>
      <c r="G496" t="b">
        <v>0</v>
      </c>
      <c r="H496">
        <f>Sensitivity!H28</f>
        <v>558422459014296</v>
      </c>
    </row>
    <row r="497" spans="1:8" x14ac:dyDescent="0.2">
      <c r="A497" t="s">
        <v>564</v>
      </c>
      <c r="B497" t="s">
        <v>574</v>
      </c>
      <c r="C497">
        <v>3</v>
      </c>
      <c r="D497" t="s">
        <v>569</v>
      </c>
      <c r="E497">
        <v>3</v>
      </c>
      <c r="F497">
        <v>0.08</v>
      </c>
      <c r="G497" t="b">
        <v>1</v>
      </c>
      <c r="H497">
        <f>Sensitivity!H28</f>
        <v>558422459014296</v>
      </c>
    </row>
    <row r="498" spans="1:8" x14ac:dyDescent="0.2">
      <c r="A498" t="s">
        <v>564</v>
      </c>
      <c r="B498" t="s">
        <v>574</v>
      </c>
      <c r="C498">
        <v>3</v>
      </c>
      <c r="D498" t="s">
        <v>569</v>
      </c>
      <c r="E498">
        <v>2</v>
      </c>
      <c r="F498">
        <v>0.92</v>
      </c>
      <c r="G498" t="b">
        <v>0</v>
      </c>
      <c r="H498">
        <f>Sensitivity!H28</f>
        <v>558422459014296</v>
      </c>
    </row>
    <row r="499" spans="1:8" x14ac:dyDescent="0.2">
      <c r="A499" t="s">
        <v>567</v>
      </c>
      <c r="B499" t="s">
        <v>566</v>
      </c>
      <c r="C499">
        <v>1</v>
      </c>
      <c r="D499" t="s">
        <v>589</v>
      </c>
      <c r="E499">
        <v>8</v>
      </c>
      <c r="F499">
        <v>1</v>
      </c>
      <c r="G499" t="b">
        <v>1</v>
      </c>
      <c r="H499">
        <f>Sensitivity!H17</f>
        <v>130798804731813.02</v>
      </c>
    </row>
    <row r="500" spans="1:8" x14ac:dyDescent="0.2">
      <c r="A500" t="s">
        <v>567</v>
      </c>
      <c r="B500" t="s">
        <v>566</v>
      </c>
      <c r="C500">
        <v>2</v>
      </c>
      <c r="D500" t="s">
        <v>589</v>
      </c>
      <c r="E500">
        <v>8</v>
      </c>
      <c r="F500">
        <v>0.24</v>
      </c>
      <c r="G500" t="b">
        <v>1</v>
      </c>
      <c r="H500">
        <f>Sensitivity!H17</f>
        <v>130798804731813.02</v>
      </c>
    </row>
    <row r="501" spans="1:8" x14ac:dyDescent="0.2">
      <c r="A501" t="s">
        <v>567</v>
      </c>
      <c r="B501" t="s">
        <v>566</v>
      </c>
      <c r="C501">
        <v>3</v>
      </c>
      <c r="D501" t="s">
        <v>589</v>
      </c>
      <c r="E501">
        <v>8</v>
      </c>
      <c r="F501">
        <v>0.08</v>
      </c>
      <c r="G501" t="b">
        <v>1</v>
      </c>
      <c r="H501">
        <f>Sensitivity!H17</f>
        <v>130798804731813.02</v>
      </c>
    </row>
    <row r="502" spans="1:8" x14ac:dyDescent="0.2">
      <c r="A502" t="s">
        <v>567</v>
      </c>
      <c r="B502" t="s">
        <v>570</v>
      </c>
      <c r="C502">
        <v>1</v>
      </c>
      <c r="D502" t="s">
        <v>589</v>
      </c>
      <c r="E502">
        <v>12</v>
      </c>
      <c r="F502">
        <v>1</v>
      </c>
      <c r="G502" t="b">
        <v>1</v>
      </c>
      <c r="H502">
        <f>Sensitivity!H17</f>
        <v>130798804731813.02</v>
      </c>
    </row>
    <row r="503" spans="1:8" x14ac:dyDescent="0.2">
      <c r="A503" t="s">
        <v>567</v>
      </c>
      <c r="B503" t="s">
        <v>570</v>
      </c>
      <c r="C503">
        <v>2</v>
      </c>
      <c r="D503" t="s">
        <v>589</v>
      </c>
      <c r="E503">
        <v>12</v>
      </c>
      <c r="F503">
        <v>0.24</v>
      </c>
      <c r="G503" t="b">
        <v>1</v>
      </c>
      <c r="H503">
        <f>Sensitivity!H17</f>
        <v>130798804731813.02</v>
      </c>
    </row>
    <row r="504" spans="1:8" x14ac:dyDescent="0.2">
      <c r="A504" t="s">
        <v>567</v>
      </c>
      <c r="B504" t="s">
        <v>570</v>
      </c>
      <c r="C504">
        <v>2</v>
      </c>
      <c r="D504" t="s">
        <v>589</v>
      </c>
      <c r="E504">
        <v>8</v>
      </c>
      <c r="F504">
        <v>0.76</v>
      </c>
      <c r="G504" t="b">
        <v>0</v>
      </c>
      <c r="H504">
        <f>Sensitivity!H17</f>
        <v>130798804731813.02</v>
      </c>
    </row>
    <row r="505" spans="1:8" x14ac:dyDescent="0.2">
      <c r="A505" t="s">
        <v>567</v>
      </c>
      <c r="B505" t="s">
        <v>570</v>
      </c>
      <c r="C505">
        <v>3</v>
      </c>
      <c r="D505" t="s">
        <v>589</v>
      </c>
      <c r="E505">
        <v>12</v>
      </c>
      <c r="F505">
        <v>0.08</v>
      </c>
      <c r="G505" t="b">
        <v>1</v>
      </c>
      <c r="H505">
        <f>Sensitivity!H17</f>
        <v>130798804731813.02</v>
      </c>
    </row>
    <row r="506" spans="1:8" x14ac:dyDescent="0.2">
      <c r="A506" t="s">
        <v>567</v>
      </c>
      <c r="B506" t="s">
        <v>570</v>
      </c>
      <c r="C506">
        <v>3</v>
      </c>
      <c r="D506" t="s">
        <v>589</v>
      </c>
      <c r="E506">
        <v>8</v>
      </c>
      <c r="F506">
        <v>0.92</v>
      </c>
      <c r="G506" t="b">
        <v>0</v>
      </c>
      <c r="H506">
        <f>Sensitivity!H17</f>
        <v>130798804731813.02</v>
      </c>
    </row>
    <row r="507" spans="1:8" x14ac:dyDescent="0.2">
      <c r="A507" t="s">
        <v>567</v>
      </c>
      <c r="B507" t="s">
        <v>574</v>
      </c>
      <c r="C507">
        <v>1</v>
      </c>
      <c r="D507" t="s">
        <v>589</v>
      </c>
      <c r="E507">
        <v>20</v>
      </c>
      <c r="F507">
        <v>1</v>
      </c>
      <c r="G507" t="b">
        <v>1</v>
      </c>
      <c r="H507">
        <f>Sensitivity!H17</f>
        <v>130798804731813.02</v>
      </c>
    </row>
    <row r="508" spans="1:8" x14ac:dyDescent="0.2">
      <c r="A508" t="s">
        <v>567</v>
      </c>
      <c r="B508" t="s">
        <v>574</v>
      </c>
      <c r="C508">
        <v>2</v>
      </c>
      <c r="D508" t="s">
        <v>589</v>
      </c>
      <c r="E508">
        <v>20</v>
      </c>
      <c r="F508">
        <v>0.24</v>
      </c>
      <c r="G508" t="b">
        <v>1</v>
      </c>
      <c r="H508">
        <f>Sensitivity!H17</f>
        <v>130798804731813.02</v>
      </c>
    </row>
    <row r="509" spans="1:8" x14ac:dyDescent="0.2">
      <c r="A509" t="s">
        <v>567</v>
      </c>
      <c r="B509" t="s">
        <v>574</v>
      </c>
      <c r="C509">
        <v>2</v>
      </c>
      <c r="D509" t="s">
        <v>589</v>
      </c>
      <c r="E509">
        <v>12</v>
      </c>
      <c r="F509">
        <v>0.76</v>
      </c>
      <c r="G509" t="b">
        <v>0</v>
      </c>
      <c r="H509">
        <f>Sensitivity!H17</f>
        <v>130798804731813.02</v>
      </c>
    </row>
    <row r="510" spans="1:8" x14ac:dyDescent="0.2">
      <c r="A510" t="s">
        <v>567</v>
      </c>
      <c r="B510" t="s">
        <v>574</v>
      </c>
      <c r="C510">
        <v>3</v>
      </c>
      <c r="D510" t="s">
        <v>589</v>
      </c>
      <c r="E510">
        <v>20</v>
      </c>
      <c r="F510">
        <v>0.08</v>
      </c>
      <c r="G510" t="b">
        <v>1</v>
      </c>
      <c r="H510">
        <f>Sensitivity!H17</f>
        <v>130798804731813.02</v>
      </c>
    </row>
    <row r="511" spans="1:8" x14ac:dyDescent="0.2">
      <c r="A511" t="s">
        <v>567</v>
      </c>
      <c r="B511" t="s">
        <v>574</v>
      </c>
      <c r="C511">
        <v>3</v>
      </c>
      <c r="D511" t="s">
        <v>589</v>
      </c>
      <c r="E511">
        <v>12</v>
      </c>
      <c r="F511">
        <v>0.92</v>
      </c>
      <c r="G511" t="b">
        <v>0</v>
      </c>
      <c r="H511">
        <f>Sensitivity!H17</f>
        <v>130798804731813.02</v>
      </c>
    </row>
    <row r="512" spans="1:8" x14ac:dyDescent="0.2">
      <c r="A512" t="s">
        <v>571</v>
      </c>
      <c r="B512" t="s">
        <v>563</v>
      </c>
      <c r="C512">
        <v>1</v>
      </c>
      <c r="D512" t="s">
        <v>541</v>
      </c>
      <c r="E512">
        <v>3</v>
      </c>
      <c r="F512">
        <v>1</v>
      </c>
      <c r="G512" t="b">
        <v>1</v>
      </c>
      <c r="H512">
        <f>Sensitivity!H11</f>
        <v>330868456682976.56</v>
      </c>
    </row>
    <row r="513" spans="1:8" x14ac:dyDescent="0.2">
      <c r="A513" t="s">
        <v>571</v>
      </c>
      <c r="B513" t="s">
        <v>563</v>
      </c>
      <c r="C513">
        <v>2</v>
      </c>
      <c r="D513" t="s">
        <v>541</v>
      </c>
      <c r="E513">
        <v>3</v>
      </c>
      <c r="F513">
        <v>0.24</v>
      </c>
      <c r="G513" t="b">
        <v>1</v>
      </c>
      <c r="H513">
        <f>Sensitivity!H11</f>
        <v>330868456682976.56</v>
      </c>
    </row>
    <row r="514" spans="1:8" x14ac:dyDescent="0.2">
      <c r="A514" t="s">
        <v>571</v>
      </c>
      <c r="B514" t="s">
        <v>563</v>
      </c>
      <c r="C514">
        <v>3</v>
      </c>
      <c r="D514" t="s">
        <v>541</v>
      </c>
      <c r="E514">
        <v>3</v>
      </c>
      <c r="F514">
        <v>0.08</v>
      </c>
      <c r="G514" t="b">
        <v>1</v>
      </c>
      <c r="H514">
        <f>Sensitivity!H11</f>
        <v>330868456682976.56</v>
      </c>
    </row>
    <row r="515" spans="1:8" x14ac:dyDescent="0.2">
      <c r="A515" t="s">
        <v>571</v>
      </c>
      <c r="B515" t="s">
        <v>566</v>
      </c>
      <c r="C515">
        <v>1</v>
      </c>
      <c r="D515" t="s">
        <v>541</v>
      </c>
      <c r="E515">
        <v>5</v>
      </c>
      <c r="F515">
        <v>1</v>
      </c>
      <c r="G515" t="b">
        <v>1</v>
      </c>
      <c r="H515">
        <f>Sensitivity!H11</f>
        <v>330868456682976.56</v>
      </c>
    </row>
    <row r="516" spans="1:8" x14ac:dyDescent="0.2">
      <c r="A516" t="s">
        <v>571</v>
      </c>
      <c r="B516" t="s">
        <v>566</v>
      </c>
      <c r="C516">
        <v>2</v>
      </c>
      <c r="D516" t="s">
        <v>541</v>
      </c>
      <c r="E516">
        <v>5</v>
      </c>
      <c r="F516">
        <v>0.24</v>
      </c>
      <c r="G516" t="b">
        <v>1</v>
      </c>
      <c r="H516">
        <f>Sensitivity!H11</f>
        <v>330868456682976.56</v>
      </c>
    </row>
    <row r="517" spans="1:8" x14ac:dyDescent="0.2">
      <c r="A517" t="s">
        <v>571</v>
      </c>
      <c r="B517" t="s">
        <v>566</v>
      </c>
      <c r="C517">
        <v>2</v>
      </c>
      <c r="D517" t="s">
        <v>541</v>
      </c>
      <c r="E517">
        <v>3</v>
      </c>
      <c r="F517">
        <v>0.76</v>
      </c>
      <c r="G517" t="b">
        <v>0</v>
      </c>
      <c r="H517">
        <f>Sensitivity!H11</f>
        <v>330868456682976.56</v>
      </c>
    </row>
    <row r="518" spans="1:8" x14ac:dyDescent="0.2">
      <c r="A518" t="s">
        <v>571</v>
      </c>
      <c r="B518" t="s">
        <v>566</v>
      </c>
      <c r="C518">
        <v>3</v>
      </c>
      <c r="D518" t="s">
        <v>541</v>
      </c>
      <c r="E518">
        <v>5</v>
      </c>
      <c r="F518">
        <v>0.08</v>
      </c>
      <c r="G518" t="b">
        <v>1</v>
      </c>
      <c r="H518">
        <f>Sensitivity!H11</f>
        <v>330868456682976.56</v>
      </c>
    </row>
    <row r="519" spans="1:8" x14ac:dyDescent="0.2">
      <c r="A519" t="s">
        <v>571</v>
      </c>
      <c r="B519" t="s">
        <v>566</v>
      </c>
      <c r="C519">
        <v>3</v>
      </c>
      <c r="D519" t="s">
        <v>541</v>
      </c>
      <c r="E519">
        <v>3</v>
      </c>
      <c r="F519">
        <v>0.92</v>
      </c>
      <c r="G519" t="b">
        <v>0</v>
      </c>
      <c r="H519">
        <f>Sensitivity!H11</f>
        <v>330868456682976.56</v>
      </c>
    </row>
    <row r="520" spans="1:8" x14ac:dyDescent="0.2">
      <c r="A520" t="s">
        <v>571</v>
      </c>
      <c r="B520" t="s">
        <v>570</v>
      </c>
      <c r="C520">
        <v>1</v>
      </c>
      <c r="D520" t="s">
        <v>541</v>
      </c>
      <c r="E520">
        <v>8</v>
      </c>
      <c r="F520">
        <v>1</v>
      </c>
      <c r="G520" t="b">
        <v>1</v>
      </c>
      <c r="H520">
        <f>Sensitivity!H11</f>
        <v>330868456682976.56</v>
      </c>
    </row>
    <row r="521" spans="1:8" x14ac:dyDescent="0.2">
      <c r="A521" t="s">
        <v>571</v>
      </c>
      <c r="B521" t="s">
        <v>570</v>
      </c>
      <c r="C521">
        <v>2</v>
      </c>
      <c r="D521" t="s">
        <v>541</v>
      </c>
      <c r="E521">
        <v>8</v>
      </c>
      <c r="F521">
        <v>0.24</v>
      </c>
      <c r="G521" t="b">
        <v>1</v>
      </c>
      <c r="H521">
        <f>Sensitivity!H11</f>
        <v>330868456682976.56</v>
      </c>
    </row>
    <row r="522" spans="1:8" x14ac:dyDescent="0.2">
      <c r="A522" t="s">
        <v>571</v>
      </c>
      <c r="B522" t="s">
        <v>570</v>
      </c>
      <c r="C522">
        <v>2</v>
      </c>
      <c r="D522" t="s">
        <v>541</v>
      </c>
      <c r="E522">
        <v>5</v>
      </c>
      <c r="F522">
        <v>0.76</v>
      </c>
      <c r="G522" t="b">
        <v>0</v>
      </c>
      <c r="H522">
        <f>Sensitivity!H11</f>
        <v>330868456682976.56</v>
      </c>
    </row>
    <row r="523" spans="1:8" x14ac:dyDescent="0.2">
      <c r="A523" t="s">
        <v>571</v>
      </c>
      <c r="B523" t="s">
        <v>570</v>
      </c>
      <c r="C523">
        <v>3</v>
      </c>
      <c r="D523" t="s">
        <v>541</v>
      </c>
      <c r="E523">
        <v>8</v>
      </c>
      <c r="F523">
        <v>0.08</v>
      </c>
      <c r="G523" t="b">
        <v>1</v>
      </c>
      <c r="H523">
        <f>Sensitivity!H11</f>
        <v>330868456682976.56</v>
      </c>
    </row>
    <row r="524" spans="1:8" x14ac:dyDescent="0.2">
      <c r="A524" t="s">
        <v>571</v>
      </c>
      <c r="B524" t="s">
        <v>570</v>
      </c>
      <c r="C524">
        <v>3</v>
      </c>
      <c r="D524" t="s">
        <v>541</v>
      </c>
      <c r="E524">
        <v>5</v>
      </c>
      <c r="F524">
        <v>0.92</v>
      </c>
      <c r="G524" t="b">
        <v>0</v>
      </c>
      <c r="H524">
        <f>Sensitivity!H11</f>
        <v>330868456682976.56</v>
      </c>
    </row>
    <row r="525" spans="1:8" x14ac:dyDescent="0.2">
      <c r="A525" t="s">
        <v>571</v>
      </c>
      <c r="B525" t="s">
        <v>574</v>
      </c>
      <c r="C525">
        <v>1</v>
      </c>
      <c r="D525" t="s">
        <v>541</v>
      </c>
      <c r="E525">
        <v>12</v>
      </c>
      <c r="F525">
        <v>1</v>
      </c>
      <c r="G525" t="b">
        <v>1</v>
      </c>
      <c r="H525">
        <f>Sensitivity!H11</f>
        <v>330868456682976.56</v>
      </c>
    </row>
    <row r="526" spans="1:8" x14ac:dyDescent="0.2">
      <c r="A526" t="s">
        <v>571</v>
      </c>
      <c r="B526" t="s">
        <v>574</v>
      </c>
      <c r="C526">
        <v>2</v>
      </c>
      <c r="D526" t="s">
        <v>541</v>
      </c>
      <c r="E526">
        <v>12</v>
      </c>
      <c r="F526">
        <v>0.24</v>
      </c>
      <c r="G526" t="b">
        <v>1</v>
      </c>
      <c r="H526">
        <f>Sensitivity!H11</f>
        <v>330868456682976.56</v>
      </c>
    </row>
    <row r="527" spans="1:8" x14ac:dyDescent="0.2">
      <c r="A527" t="s">
        <v>571</v>
      </c>
      <c r="B527" t="s">
        <v>574</v>
      </c>
      <c r="C527">
        <v>2</v>
      </c>
      <c r="D527" t="s">
        <v>541</v>
      </c>
      <c r="E527">
        <v>8</v>
      </c>
      <c r="F527">
        <v>0.76</v>
      </c>
      <c r="G527" t="b">
        <v>0</v>
      </c>
      <c r="H527">
        <f>Sensitivity!H11</f>
        <v>330868456682976.56</v>
      </c>
    </row>
    <row r="528" spans="1:8" x14ac:dyDescent="0.2">
      <c r="A528" t="s">
        <v>571</v>
      </c>
      <c r="B528" t="s">
        <v>574</v>
      </c>
      <c r="C528">
        <v>3</v>
      </c>
      <c r="D528" t="s">
        <v>541</v>
      </c>
      <c r="E528">
        <v>12</v>
      </c>
      <c r="F528">
        <v>0.08</v>
      </c>
      <c r="G528" t="b">
        <v>1</v>
      </c>
      <c r="H528">
        <f>Sensitivity!H11</f>
        <v>330868456682976.56</v>
      </c>
    </row>
    <row r="529" spans="1:8" x14ac:dyDescent="0.2">
      <c r="A529" t="s">
        <v>571</v>
      </c>
      <c r="B529" t="s">
        <v>574</v>
      </c>
      <c r="C529">
        <v>3</v>
      </c>
      <c r="D529" t="s">
        <v>541</v>
      </c>
      <c r="E529">
        <v>8</v>
      </c>
      <c r="F529">
        <v>0.92</v>
      </c>
      <c r="G529" t="b">
        <v>0</v>
      </c>
      <c r="H529">
        <f>Sensitivity!H11</f>
        <v>330868456682976.56</v>
      </c>
    </row>
    <row r="530" spans="1:8" x14ac:dyDescent="0.2">
      <c r="A530" t="s">
        <v>575</v>
      </c>
      <c r="B530" t="s">
        <v>563</v>
      </c>
      <c r="C530">
        <v>1</v>
      </c>
      <c r="D530" t="s">
        <v>90</v>
      </c>
      <c r="E530">
        <v>5</v>
      </c>
      <c r="F530">
        <v>1</v>
      </c>
      <c r="G530" t="b">
        <v>1</v>
      </c>
      <c r="H530">
        <f>Sensitivity!H29</f>
        <v>109242831719054.91</v>
      </c>
    </row>
    <row r="531" spans="1:8" x14ac:dyDescent="0.2">
      <c r="A531" t="s">
        <v>575</v>
      </c>
      <c r="B531" t="s">
        <v>563</v>
      </c>
      <c r="C531">
        <v>2</v>
      </c>
      <c r="D531" t="s">
        <v>90</v>
      </c>
      <c r="E531">
        <v>5</v>
      </c>
      <c r="F531">
        <v>0.24</v>
      </c>
      <c r="G531" t="b">
        <v>1</v>
      </c>
      <c r="H531">
        <f>Sensitivity!H29</f>
        <v>109242831719054.91</v>
      </c>
    </row>
    <row r="532" spans="1:8" x14ac:dyDescent="0.2">
      <c r="A532" t="s">
        <v>575</v>
      </c>
      <c r="B532" t="s">
        <v>563</v>
      </c>
      <c r="C532">
        <v>3</v>
      </c>
      <c r="D532" t="s">
        <v>90</v>
      </c>
      <c r="E532">
        <v>5</v>
      </c>
      <c r="F532">
        <v>0.08</v>
      </c>
      <c r="G532" t="b">
        <v>1</v>
      </c>
      <c r="H532">
        <f>Sensitivity!H29</f>
        <v>109242831719054.91</v>
      </c>
    </row>
    <row r="533" spans="1:8" x14ac:dyDescent="0.2">
      <c r="A533" t="s">
        <v>575</v>
      </c>
      <c r="B533" t="s">
        <v>566</v>
      </c>
      <c r="C533">
        <v>1</v>
      </c>
      <c r="D533" t="s">
        <v>90</v>
      </c>
      <c r="E533">
        <v>8</v>
      </c>
      <c r="F533">
        <v>1</v>
      </c>
      <c r="G533" t="b">
        <v>1</v>
      </c>
      <c r="H533">
        <f>Sensitivity!H29</f>
        <v>109242831719054.91</v>
      </c>
    </row>
    <row r="534" spans="1:8" x14ac:dyDescent="0.2">
      <c r="A534" t="s">
        <v>575</v>
      </c>
      <c r="B534" t="s">
        <v>566</v>
      </c>
      <c r="C534">
        <v>2</v>
      </c>
      <c r="D534" t="s">
        <v>90</v>
      </c>
      <c r="E534">
        <v>8</v>
      </c>
      <c r="F534">
        <v>0.24</v>
      </c>
      <c r="G534" t="b">
        <v>1</v>
      </c>
      <c r="H534">
        <f>Sensitivity!H29</f>
        <v>109242831719054.91</v>
      </c>
    </row>
    <row r="535" spans="1:8" x14ac:dyDescent="0.2">
      <c r="A535" t="s">
        <v>575</v>
      </c>
      <c r="B535" t="s">
        <v>566</v>
      </c>
      <c r="C535">
        <v>2</v>
      </c>
      <c r="D535" t="s">
        <v>90</v>
      </c>
      <c r="E535">
        <v>5</v>
      </c>
      <c r="F535">
        <v>0.76</v>
      </c>
      <c r="G535" t="b">
        <v>0</v>
      </c>
      <c r="H535">
        <f>Sensitivity!H29</f>
        <v>109242831719054.91</v>
      </c>
    </row>
    <row r="536" spans="1:8" x14ac:dyDescent="0.2">
      <c r="A536" t="s">
        <v>575</v>
      </c>
      <c r="B536" t="s">
        <v>566</v>
      </c>
      <c r="C536">
        <v>3</v>
      </c>
      <c r="D536" t="s">
        <v>90</v>
      </c>
      <c r="E536">
        <v>8</v>
      </c>
      <c r="F536">
        <v>0.08</v>
      </c>
      <c r="G536" t="b">
        <v>1</v>
      </c>
      <c r="H536">
        <f>Sensitivity!H29</f>
        <v>109242831719054.91</v>
      </c>
    </row>
    <row r="537" spans="1:8" x14ac:dyDescent="0.2">
      <c r="A537" t="s">
        <v>575</v>
      </c>
      <c r="B537" t="s">
        <v>566</v>
      </c>
      <c r="C537">
        <v>3</v>
      </c>
      <c r="D537" t="s">
        <v>90</v>
      </c>
      <c r="E537">
        <v>5</v>
      </c>
      <c r="F537">
        <v>0.92</v>
      </c>
      <c r="G537" t="b">
        <v>0</v>
      </c>
      <c r="H537">
        <f>Sensitivity!H29</f>
        <v>109242831719054.91</v>
      </c>
    </row>
    <row r="538" spans="1:8" x14ac:dyDescent="0.2">
      <c r="A538" t="s">
        <v>575</v>
      </c>
      <c r="B538" t="s">
        <v>570</v>
      </c>
      <c r="C538">
        <v>1</v>
      </c>
      <c r="D538" t="s">
        <v>90</v>
      </c>
      <c r="E538">
        <v>12</v>
      </c>
      <c r="F538">
        <v>1</v>
      </c>
      <c r="G538" t="b">
        <v>1</v>
      </c>
      <c r="H538">
        <f>Sensitivity!H29</f>
        <v>109242831719054.91</v>
      </c>
    </row>
    <row r="539" spans="1:8" x14ac:dyDescent="0.2">
      <c r="A539" t="s">
        <v>575</v>
      </c>
      <c r="B539" t="s">
        <v>570</v>
      </c>
      <c r="C539">
        <v>2</v>
      </c>
      <c r="D539" t="s">
        <v>90</v>
      </c>
      <c r="E539">
        <v>12</v>
      </c>
      <c r="F539">
        <v>0.24</v>
      </c>
      <c r="G539" t="b">
        <v>1</v>
      </c>
      <c r="H539">
        <f>Sensitivity!H29</f>
        <v>109242831719054.91</v>
      </c>
    </row>
    <row r="540" spans="1:8" x14ac:dyDescent="0.2">
      <c r="A540" t="s">
        <v>575</v>
      </c>
      <c r="B540" t="s">
        <v>570</v>
      </c>
      <c r="C540">
        <v>2</v>
      </c>
      <c r="D540" t="s">
        <v>90</v>
      </c>
      <c r="E540">
        <v>8</v>
      </c>
      <c r="F540">
        <v>0.76</v>
      </c>
      <c r="G540" t="b">
        <v>0</v>
      </c>
      <c r="H540">
        <f>Sensitivity!H29</f>
        <v>109242831719054.91</v>
      </c>
    </row>
    <row r="541" spans="1:8" x14ac:dyDescent="0.2">
      <c r="A541" t="s">
        <v>575</v>
      </c>
      <c r="B541" t="s">
        <v>570</v>
      </c>
      <c r="C541">
        <v>3</v>
      </c>
      <c r="D541" t="s">
        <v>90</v>
      </c>
      <c r="E541">
        <v>12</v>
      </c>
      <c r="F541">
        <v>0.08</v>
      </c>
      <c r="G541" t="b">
        <v>1</v>
      </c>
      <c r="H541">
        <f>Sensitivity!H29</f>
        <v>109242831719054.91</v>
      </c>
    </row>
    <row r="542" spans="1:8" x14ac:dyDescent="0.2">
      <c r="A542" t="s">
        <v>575</v>
      </c>
      <c r="B542" t="s">
        <v>570</v>
      </c>
      <c r="C542">
        <v>3</v>
      </c>
      <c r="D542" t="s">
        <v>90</v>
      </c>
      <c r="E542">
        <v>8</v>
      </c>
      <c r="F542">
        <v>0.92</v>
      </c>
      <c r="G542" t="b">
        <v>0</v>
      </c>
      <c r="H542">
        <f>Sensitivity!H29</f>
        <v>109242831719054.91</v>
      </c>
    </row>
    <row r="543" spans="1:8" x14ac:dyDescent="0.2">
      <c r="A543" t="s">
        <v>575</v>
      </c>
      <c r="B543" t="s">
        <v>574</v>
      </c>
      <c r="C543">
        <v>1</v>
      </c>
      <c r="D543" t="s">
        <v>90</v>
      </c>
      <c r="E543">
        <v>20</v>
      </c>
      <c r="F543">
        <v>1</v>
      </c>
      <c r="G543" t="b">
        <v>1</v>
      </c>
      <c r="H543">
        <f>Sensitivity!H29</f>
        <v>109242831719054.91</v>
      </c>
    </row>
    <row r="544" spans="1:8" x14ac:dyDescent="0.2">
      <c r="A544" t="s">
        <v>575</v>
      </c>
      <c r="B544" t="s">
        <v>574</v>
      </c>
      <c r="C544">
        <v>2</v>
      </c>
      <c r="D544" t="s">
        <v>90</v>
      </c>
      <c r="E544">
        <v>20</v>
      </c>
      <c r="F544">
        <v>0.24</v>
      </c>
      <c r="G544" t="b">
        <v>1</v>
      </c>
      <c r="H544">
        <f>Sensitivity!H29</f>
        <v>109242831719054.91</v>
      </c>
    </row>
    <row r="545" spans="1:8" x14ac:dyDescent="0.2">
      <c r="A545" t="s">
        <v>575</v>
      </c>
      <c r="B545" t="s">
        <v>574</v>
      </c>
      <c r="C545">
        <v>2</v>
      </c>
      <c r="D545" t="s">
        <v>90</v>
      </c>
      <c r="E545">
        <v>12</v>
      </c>
      <c r="F545">
        <v>0.76</v>
      </c>
      <c r="G545" t="b">
        <v>0</v>
      </c>
      <c r="H545">
        <f>Sensitivity!H29</f>
        <v>109242831719054.91</v>
      </c>
    </row>
    <row r="546" spans="1:8" x14ac:dyDescent="0.2">
      <c r="A546" t="s">
        <v>575</v>
      </c>
      <c r="B546" t="s">
        <v>574</v>
      </c>
      <c r="C546">
        <v>3</v>
      </c>
      <c r="D546" t="s">
        <v>90</v>
      </c>
      <c r="E546">
        <v>20</v>
      </c>
      <c r="F546">
        <v>0.08</v>
      </c>
      <c r="G546" t="b">
        <v>1</v>
      </c>
      <c r="H546">
        <f>Sensitivity!H29</f>
        <v>109242831719054.91</v>
      </c>
    </row>
    <row r="547" spans="1:8" x14ac:dyDescent="0.2">
      <c r="A547" t="s">
        <v>575</v>
      </c>
      <c r="B547" t="s">
        <v>574</v>
      </c>
      <c r="C547">
        <v>3</v>
      </c>
      <c r="D547" t="s">
        <v>90</v>
      </c>
      <c r="E547">
        <v>12</v>
      </c>
      <c r="F547">
        <v>0.92</v>
      </c>
      <c r="G547" t="b">
        <v>0</v>
      </c>
      <c r="H547">
        <f>Sensitivity!H29</f>
        <v>109242831719054.91</v>
      </c>
    </row>
    <row r="548" spans="1:8" x14ac:dyDescent="0.2">
      <c r="A548" t="s">
        <v>579</v>
      </c>
      <c r="B548" t="s">
        <v>563</v>
      </c>
      <c r="C548">
        <v>1</v>
      </c>
      <c r="D548" t="s">
        <v>530</v>
      </c>
      <c r="E548">
        <v>10</v>
      </c>
      <c r="F548">
        <v>1</v>
      </c>
      <c r="G548" t="b">
        <v>1</v>
      </c>
      <c r="H548">
        <f>Sensitivity!H15</f>
        <v>70114103980288.82</v>
      </c>
    </row>
    <row r="549" spans="1:8" x14ac:dyDescent="0.2">
      <c r="A549" t="s">
        <v>579</v>
      </c>
      <c r="B549" t="s">
        <v>563</v>
      </c>
      <c r="C549">
        <v>2</v>
      </c>
      <c r="D549" t="s">
        <v>530</v>
      </c>
      <c r="E549">
        <v>10</v>
      </c>
      <c r="F549">
        <v>0.24</v>
      </c>
      <c r="G549" t="b">
        <v>1</v>
      </c>
      <c r="H549">
        <f>Sensitivity!H15</f>
        <v>70114103980288.82</v>
      </c>
    </row>
    <row r="550" spans="1:8" x14ac:dyDescent="0.2">
      <c r="A550" t="s">
        <v>579</v>
      </c>
      <c r="B550" t="s">
        <v>563</v>
      </c>
      <c r="C550">
        <v>3</v>
      </c>
      <c r="D550" t="s">
        <v>530</v>
      </c>
      <c r="E550">
        <v>10</v>
      </c>
      <c r="F550">
        <v>0.08</v>
      </c>
      <c r="G550" t="b">
        <v>1</v>
      </c>
      <c r="H550">
        <f>Sensitivity!H15</f>
        <v>70114103980288.82</v>
      </c>
    </row>
    <row r="551" spans="1:8" x14ac:dyDescent="0.2">
      <c r="A551" t="s">
        <v>579</v>
      </c>
      <c r="B551" t="s">
        <v>566</v>
      </c>
      <c r="C551">
        <v>1</v>
      </c>
      <c r="D551" t="s">
        <v>530</v>
      </c>
      <c r="E551">
        <v>20</v>
      </c>
      <c r="F551">
        <v>1</v>
      </c>
      <c r="G551" t="b">
        <v>1</v>
      </c>
      <c r="H551">
        <f>Sensitivity!H15</f>
        <v>70114103980288.82</v>
      </c>
    </row>
    <row r="552" spans="1:8" x14ac:dyDescent="0.2">
      <c r="A552" t="s">
        <v>579</v>
      </c>
      <c r="B552" t="s">
        <v>566</v>
      </c>
      <c r="C552">
        <v>2</v>
      </c>
      <c r="D552" t="s">
        <v>530</v>
      </c>
      <c r="E552">
        <v>20</v>
      </c>
      <c r="F552">
        <v>0.24</v>
      </c>
      <c r="G552" t="b">
        <v>1</v>
      </c>
      <c r="H552">
        <f>Sensitivity!H15</f>
        <v>70114103980288.82</v>
      </c>
    </row>
    <row r="553" spans="1:8" x14ac:dyDescent="0.2">
      <c r="A553" t="s">
        <v>579</v>
      </c>
      <c r="B553" t="s">
        <v>566</v>
      </c>
      <c r="C553">
        <v>2</v>
      </c>
      <c r="D553" t="s">
        <v>530</v>
      </c>
      <c r="E553">
        <v>10</v>
      </c>
      <c r="F553">
        <v>0.76</v>
      </c>
      <c r="G553" t="b">
        <v>0</v>
      </c>
      <c r="H553">
        <f>Sensitivity!H15</f>
        <v>70114103980288.82</v>
      </c>
    </row>
    <row r="554" spans="1:8" x14ac:dyDescent="0.2">
      <c r="A554" t="s">
        <v>579</v>
      </c>
      <c r="B554" t="s">
        <v>566</v>
      </c>
      <c r="C554">
        <v>3</v>
      </c>
      <c r="D554" t="s">
        <v>530</v>
      </c>
      <c r="E554">
        <v>20</v>
      </c>
      <c r="F554">
        <v>0.08</v>
      </c>
      <c r="G554" t="b">
        <v>1</v>
      </c>
      <c r="H554">
        <f>Sensitivity!H15</f>
        <v>70114103980288.82</v>
      </c>
    </row>
    <row r="555" spans="1:8" x14ac:dyDescent="0.2">
      <c r="A555" t="s">
        <v>579</v>
      </c>
      <c r="B555" t="s">
        <v>566</v>
      </c>
      <c r="C555">
        <v>3</v>
      </c>
      <c r="D555" t="s">
        <v>530</v>
      </c>
      <c r="E555">
        <v>10</v>
      </c>
      <c r="F555">
        <v>0.92</v>
      </c>
      <c r="G555" t="b">
        <v>0</v>
      </c>
      <c r="H555">
        <f>Sensitivity!H15</f>
        <v>70114103980288.82</v>
      </c>
    </row>
    <row r="556" spans="1:8" x14ac:dyDescent="0.2">
      <c r="A556" t="s">
        <v>579</v>
      </c>
      <c r="B556" t="s">
        <v>570</v>
      </c>
      <c r="C556">
        <v>1</v>
      </c>
      <c r="D556" t="s">
        <v>530</v>
      </c>
      <c r="E556">
        <v>30</v>
      </c>
      <c r="F556">
        <v>1</v>
      </c>
      <c r="G556" t="b">
        <v>1</v>
      </c>
      <c r="H556">
        <f>Sensitivity!H15</f>
        <v>70114103980288.82</v>
      </c>
    </row>
    <row r="557" spans="1:8" x14ac:dyDescent="0.2">
      <c r="A557" t="s">
        <v>579</v>
      </c>
      <c r="B557" t="s">
        <v>570</v>
      </c>
      <c r="C557">
        <v>2</v>
      </c>
      <c r="D557" t="s">
        <v>530</v>
      </c>
      <c r="E557">
        <v>30</v>
      </c>
      <c r="F557">
        <v>0.24</v>
      </c>
      <c r="G557" t="b">
        <v>1</v>
      </c>
      <c r="H557">
        <f>Sensitivity!H15</f>
        <v>70114103980288.82</v>
      </c>
    </row>
    <row r="558" spans="1:8" x14ac:dyDescent="0.2">
      <c r="A558" t="s">
        <v>579</v>
      </c>
      <c r="B558" t="s">
        <v>570</v>
      </c>
      <c r="C558">
        <v>2</v>
      </c>
      <c r="D558" t="s">
        <v>530</v>
      </c>
      <c r="E558">
        <v>20</v>
      </c>
      <c r="F558">
        <v>0.76</v>
      </c>
      <c r="G558" t="b">
        <v>0</v>
      </c>
      <c r="H558">
        <f>Sensitivity!H15</f>
        <v>70114103980288.82</v>
      </c>
    </row>
    <row r="559" spans="1:8" x14ac:dyDescent="0.2">
      <c r="A559" t="s">
        <v>579</v>
      </c>
      <c r="B559" t="s">
        <v>570</v>
      </c>
      <c r="C559">
        <v>3</v>
      </c>
      <c r="D559" t="s">
        <v>530</v>
      </c>
      <c r="E559">
        <v>30</v>
      </c>
      <c r="F559">
        <v>0.08</v>
      </c>
      <c r="G559" t="b">
        <v>1</v>
      </c>
      <c r="H559">
        <f>Sensitivity!H15</f>
        <v>70114103980288.82</v>
      </c>
    </row>
    <row r="560" spans="1:8" x14ac:dyDescent="0.2">
      <c r="A560" t="s">
        <v>579</v>
      </c>
      <c r="B560" t="s">
        <v>570</v>
      </c>
      <c r="C560">
        <v>3</v>
      </c>
      <c r="D560" t="s">
        <v>530</v>
      </c>
      <c r="E560">
        <v>20</v>
      </c>
      <c r="F560">
        <v>0.92</v>
      </c>
      <c r="G560" t="b">
        <v>0</v>
      </c>
      <c r="H560">
        <f>Sensitivity!H15</f>
        <v>70114103980288.82</v>
      </c>
    </row>
    <row r="561" spans="1:8" x14ac:dyDescent="0.2">
      <c r="A561" t="s">
        <v>579</v>
      </c>
      <c r="B561" t="s">
        <v>574</v>
      </c>
      <c r="C561">
        <v>1</v>
      </c>
      <c r="D561" t="s">
        <v>530</v>
      </c>
      <c r="E561">
        <v>50</v>
      </c>
      <c r="F561">
        <v>1</v>
      </c>
      <c r="G561" t="b">
        <v>1</v>
      </c>
      <c r="H561">
        <f>Sensitivity!H15</f>
        <v>70114103980288.82</v>
      </c>
    </row>
    <row r="562" spans="1:8" x14ac:dyDescent="0.2">
      <c r="A562" t="s">
        <v>579</v>
      </c>
      <c r="B562" t="s">
        <v>574</v>
      </c>
      <c r="C562">
        <v>2</v>
      </c>
      <c r="D562" t="s">
        <v>530</v>
      </c>
      <c r="E562">
        <v>50</v>
      </c>
      <c r="F562">
        <v>0.24</v>
      </c>
      <c r="G562" t="b">
        <v>1</v>
      </c>
      <c r="H562">
        <f>Sensitivity!H15</f>
        <v>70114103980288.82</v>
      </c>
    </row>
    <row r="563" spans="1:8" x14ac:dyDescent="0.2">
      <c r="A563" t="s">
        <v>579</v>
      </c>
      <c r="B563" t="s">
        <v>574</v>
      </c>
      <c r="C563">
        <v>2</v>
      </c>
      <c r="D563" t="s">
        <v>530</v>
      </c>
      <c r="E563">
        <v>30</v>
      </c>
      <c r="F563">
        <v>0.76</v>
      </c>
      <c r="G563" t="b">
        <v>0</v>
      </c>
      <c r="H563">
        <f>Sensitivity!H15</f>
        <v>70114103980288.82</v>
      </c>
    </row>
    <row r="564" spans="1:8" x14ac:dyDescent="0.2">
      <c r="A564" t="s">
        <v>579</v>
      </c>
      <c r="B564" t="s">
        <v>574</v>
      </c>
      <c r="C564">
        <v>3</v>
      </c>
      <c r="D564" t="s">
        <v>530</v>
      </c>
      <c r="E564">
        <v>50</v>
      </c>
      <c r="F564">
        <v>0.08</v>
      </c>
      <c r="G564" t="b">
        <v>1</v>
      </c>
      <c r="H564">
        <f>Sensitivity!H15</f>
        <v>70114103980288.82</v>
      </c>
    </row>
    <row r="565" spans="1:8" x14ac:dyDescent="0.2">
      <c r="A565" t="s">
        <v>579</v>
      </c>
      <c r="B565" t="s">
        <v>574</v>
      </c>
      <c r="C565">
        <v>3</v>
      </c>
      <c r="D565" t="s">
        <v>530</v>
      </c>
      <c r="E565">
        <v>30</v>
      </c>
      <c r="F565">
        <v>0.92</v>
      </c>
      <c r="G565" t="b">
        <v>0</v>
      </c>
      <c r="H565">
        <f>Sensitivity!H15</f>
        <v>70114103980288.82</v>
      </c>
    </row>
    <row r="566" spans="1:8" x14ac:dyDescent="0.2">
      <c r="A566" t="s">
        <v>581</v>
      </c>
      <c r="B566" t="s">
        <v>563</v>
      </c>
      <c r="C566">
        <v>1</v>
      </c>
      <c r="D566" t="s">
        <v>577</v>
      </c>
      <c r="E566">
        <v>5</v>
      </c>
      <c r="F566">
        <v>1</v>
      </c>
      <c r="G566" t="b">
        <v>1</v>
      </c>
      <c r="H566">
        <f>Sensitivity!H15</f>
        <v>70114103980288.82</v>
      </c>
    </row>
    <row r="567" spans="1:8" x14ac:dyDescent="0.2">
      <c r="A567" t="s">
        <v>581</v>
      </c>
      <c r="B567" t="s">
        <v>563</v>
      </c>
      <c r="C567">
        <v>2</v>
      </c>
      <c r="D567" t="s">
        <v>577</v>
      </c>
      <c r="E567">
        <v>5</v>
      </c>
      <c r="F567">
        <v>0.24</v>
      </c>
      <c r="G567" t="b">
        <v>1</v>
      </c>
      <c r="H567">
        <f>Sensitivity!H15</f>
        <v>70114103980288.82</v>
      </c>
    </row>
    <row r="568" spans="1:8" x14ac:dyDescent="0.2">
      <c r="A568" t="s">
        <v>581</v>
      </c>
      <c r="B568" t="s">
        <v>563</v>
      </c>
      <c r="C568">
        <v>3</v>
      </c>
      <c r="D568" t="s">
        <v>577</v>
      </c>
      <c r="E568">
        <v>5</v>
      </c>
      <c r="F568">
        <v>0.08</v>
      </c>
      <c r="G568" t="b">
        <v>1</v>
      </c>
      <c r="H568">
        <f>Sensitivity!H15</f>
        <v>70114103980288.82</v>
      </c>
    </row>
    <row r="569" spans="1:8" x14ac:dyDescent="0.2">
      <c r="A569" t="s">
        <v>581</v>
      </c>
      <c r="B569" t="s">
        <v>566</v>
      </c>
      <c r="C569">
        <v>1</v>
      </c>
      <c r="D569" t="s">
        <v>577</v>
      </c>
      <c r="E569">
        <v>8</v>
      </c>
      <c r="F569">
        <v>1</v>
      </c>
      <c r="G569" t="b">
        <v>1</v>
      </c>
      <c r="H569">
        <f>Sensitivity!H15</f>
        <v>70114103980288.82</v>
      </c>
    </row>
    <row r="570" spans="1:8" x14ac:dyDescent="0.2">
      <c r="A570" t="s">
        <v>581</v>
      </c>
      <c r="B570" t="s">
        <v>566</v>
      </c>
      <c r="C570">
        <v>2</v>
      </c>
      <c r="D570" t="s">
        <v>577</v>
      </c>
      <c r="E570">
        <v>8</v>
      </c>
      <c r="F570">
        <v>0.24</v>
      </c>
      <c r="G570" t="b">
        <v>1</v>
      </c>
      <c r="H570">
        <f>Sensitivity!H15</f>
        <v>70114103980288.82</v>
      </c>
    </row>
    <row r="571" spans="1:8" x14ac:dyDescent="0.2">
      <c r="A571" t="s">
        <v>581</v>
      </c>
      <c r="B571" t="s">
        <v>566</v>
      </c>
      <c r="C571">
        <v>2</v>
      </c>
      <c r="D571" t="s">
        <v>577</v>
      </c>
      <c r="E571">
        <v>5</v>
      </c>
      <c r="F571">
        <v>0.76</v>
      </c>
      <c r="G571" t="b">
        <v>0</v>
      </c>
      <c r="H571">
        <f>Sensitivity!H15</f>
        <v>70114103980288.82</v>
      </c>
    </row>
    <row r="572" spans="1:8" x14ac:dyDescent="0.2">
      <c r="A572" t="s">
        <v>581</v>
      </c>
      <c r="B572" t="s">
        <v>566</v>
      </c>
      <c r="C572">
        <v>3</v>
      </c>
      <c r="D572" t="s">
        <v>577</v>
      </c>
      <c r="E572">
        <v>8</v>
      </c>
      <c r="F572">
        <v>0.08</v>
      </c>
      <c r="G572" t="b">
        <v>1</v>
      </c>
      <c r="H572">
        <f>Sensitivity!H15</f>
        <v>70114103980288.82</v>
      </c>
    </row>
    <row r="573" spans="1:8" x14ac:dyDescent="0.2">
      <c r="A573" t="s">
        <v>581</v>
      </c>
      <c r="B573" t="s">
        <v>566</v>
      </c>
      <c r="C573">
        <v>3</v>
      </c>
      <c r="D573" t="s">
        <v>577</v>
      </c>
      <c r="E573">
        <v>5</v>
      </c>
      <c r="F573">
        <v>0.92</v>
      </c>
      <c r="G573" t="b">
        <v>0</v>
      </c>
      <c r="H573">
        <f>Sensitivity!H15</f>
        <v>70114103980288.82</v>
      </c>
    </row>
    <row r="574" spans="1:8" x14ac:dyDescent="0.2">
      <c r="A574" t="s">
        <v>581</v>
      </c>
      <c r="B574" t="s">
        <v>570</v>
      </c>
      <c r="C574">
        <v>1</v>
      </c>
      <c r="D574" t="s">
        <v>577</v>
      </c>
      <c r="E574">
        <v>12</v>
      </c>
      <c r="F574">
        <v>1</v>
      </c>
      <c r="G574" t="b">
        <v>1</v>
      </c>
      <c r="H574">
        <f>Sensitivity!H15</f>
        <v>70114103980288.82</v>
      </c>
    </row>
    <row r="575" spans="1:8" x14ac:dyDescent="0.2">
      <c r="A575" t="s">
        <v>581</v>
      </c>
      <c r="B575" t="s">
        <v>570</v>
      </c>
      <c r="C575">
        <v>2</v>
      </c>
      <c r="D575" t="s">
        <v>577</v>
      </c>
      <c r="E575">
        <v>12</v>
      </c>
      <c r="F575">
        <v>0.24</v>
      </c>
      <c r="G575" t="b">
        <v>1</v>
      </c>
      <c r="H575">
        <f>Sensitivity!H15</f>
        <v>70114103980288.82</v>
      </c>
    </row>
    <row r="576" spans="1:8" x14ac:dyDescent="0.2">
      <c r="A576" t="s">
        <v>581</v>
      </c>
      <c r="B576" t="s">
        <v>570</v>
      </c>
      <c r="C576">
        <v>2</v>
      </c>
      <c r="D576" t="s">
        <v>577</v>
      </c>
      <c r="E576">
        <v>8</v>
      </c>
      <c r="F576">
        <v>0.76</v>
      </c>
      <c r="G576" t="b">
        <v>0</v>
      </c>
      <c r="H576">
        <f>Sensitivity!H15</f>
        <v>70114103980288.82</v>
      </c>
    </row>
    <row r="577" spans="1:8" x14ac:dyDescent="0.2">
      <c r="A577" t="s">
        <v>581</v>
      </c>
      <c r="B577" t="s">
        <v>570</v>
      </c>
      <c r="C577">
        <v>3</v>
      </c>
      <c r="D577" t="s">
        <v>577</v>
      </c>
      <c r="E577">
        <v>12</v>
      </c>
      <c r="F577">
        <v>0.08</v>
      </c>
      <c r="G577" t="b">
        <v>1</v>
      </c>
      <c r="H577">
        <f>Sensitivity!H15</f>
        <v>70114103980288.82</v>
      </c>
    </row>
    <row r="578" spans="1:8" x14ac:dyDescent="0.2">
      <c r="A578" t="s">
        <v>581</v>
      </c>
      <c r="B578" t="s">
        <v>570</v>
      </c>
      <c r="C578">
        <v>3</v>
      </c>
      <c r="D578" t="s">
        <v>577</v>
      </c>
      <c r="E578">
        <v>8</v>
      </c>
      <c r="F578">
        <v>0.92</v>
      </c>
      <c r="G578" t="b">
        <v>0</v>
      </c>
      <c r="H578">
        <f>Sensitivity!H15</f>
        <v>70114103980288.82</v>
      </c>
    </row>
    <row r="579" spans="1:8" x14ac:dyDescent="0.2">
      <c r="A579" t="s">
        <v>581</v>
      </c>
      <c r="B579" t="s">
        <v>574</v>
      </c>
      <c r="C579">
        <v>1</v>
      </c>
      <c r="D579" t="s">
        <v>577</v>
      </c>
      <c r="E579">
        <v>20</v>
      </c>
      <c r="F579">
        <v>1</v>
      </c>
      <c r="G579" t="b">
        <v>1</v>
      </c>
      <c r="H579">
        <f>Sensitivity!H15</f>
        <v>70114103980288.82</v>
      </c>
    </row>
    <row r="580" spans="1:8" x14ac:dyDescent="0.2">
      <c r="A580" t="s">
        <v>581</v>
      </c>
      <c r="B580" t="s">
        <v>574</v>
      </c>
      <c r="C580">
        <v>2</v>
      </c>
      <c r="D580" t="s">
        <v>577</v>
      </c>
      <c r="E580">
        <v>20</v>
      </c>
      <c r="F580">
        <v>0.24</v>
      </c>
      <c r="G580" t="b">
        <v>1</v>
      </c>
      <c r="H580">
        <f>Sensitivity!H15</f>
        <v>70114103980288.82</v>
      </c>
    </row>
    <row r="581" spans="1:8" x14ac:dyDescent="0.2">
      <c r="A581" t="s">
        <v>581</v>
      </c>
      <c r="B581" t="s">
        <v>574</v>
      </c>
      <c r="C581">
        <v>2</v>
      </c>
      <c r="D581" t="s">
        <v>577</v>
      </c>
      <c r="E581">
        <v>12</v>
      </c>
      <c r="F581">
        <v>0.76</v>
      </c>
      <c r="G581" t="b">
        <v>0</v>
      </c>
      <c r="H581">
        <f>Sensitivity!H15</f>
        <v>70114103980288.82</v>
      </c>
    </row>
    <row r="582" spans="1:8" x14ac:dyDescent="0.2">
      <c r="A582" t="s">
        <v>581</v>
      </c>
      <c r="B582" t="s">
        <v>574</v>
      </c>
      <c r="C582">
        <v>3</v>
      </c>
      <c r="D582" t="s">
        <v>577</v>
      </c>
      <c r="E582">
        <v>20</v>
      </c>
      <c r="F582">
        <v>0.08</v>
      </c>
      <c r="G582" t="b">
        <v>1</v>
      </c>
      <c r="H582">
        <f>Sensitivity!H15</f>
        <v>70114103980288.82</v>
      </c>
    </row>
    <row r="583" spans="1:8" x14ac:dyDescent="0.2">
      <c r="A583" t="s">
        <v>581</v>
      </c>
      <c r="B583" t="s">
        <v>574</v>
      </c>
      <c r="C583">
        <v>3</v>
      </c>
      <c r="D583" t="s">
        <v>577</v>
      </c>
      <c r="E583">
        <v>12</v>
      </c>
      <c r="F583">
        <v>0.92</v>
      </c>
      <c r="G583" t="b">
        <v>0</v>
      </c>
      <c r="H583">
        <f>Sensitivity!H15</f>
        <v>70114103980288.82</v>
      </c>
    </row>
    <row r="584" spans="1:8" x14ac:dyDescent="0.2">
      <c r="A584" t="s">
        <v>583</v>
      </c>
      <c r="B584" t="s">
        <v>563</v>
      </c>
      <c r="C584">
        <v>1</v>
      </c>
      <c r="D584" t="s">
        <v>560</v>
      </c>
      <c r="E584">
        <v>5</v>
      </c>
      <c r="F584">
        <v>1</v>
      </c>
      <c r="G584" t="b">
        <v>1</v>
      </c>
      <c r="H584">
        <f>Sensitivity!H24</f>
        <v>149295483983435.78</v>
      </c>
    </row>
    <row r="585" spans="1:8" x14ac:dyDescent="0.2">
      <c r="A585" t="s">
        <v>583</v>
      </c>
      <c r="B585" t="s">
        <v>563</v>
      </c>
      <c r="C585">
        <v>2</v>
      </c>
      <c r="D585" t="s">
        <v>560</v>
      </c>
      <c r="E585">
        <v>5</v>
      </c>
      <c r="F585">
        <v>0.24</v>
      </c>
      <c r="G585" t="b">
        <v>1</v>
      </c>
      <c r="H585">
        <f>Sensitivity!H24</f>
        <v>149295483983435.78</v>
      </c>
    </row>
    <row r="586" spans="1:8" x14ac:dyDescent="0.2">
      <c r="A586" t="s">
        <v>583</v>
      </c>
      <c r="B586" t="s">
        <v>563</v>
      </c>
      <c r="C586">
        <v>3</v>
      </c>
      <c r="D586" t="s">
        <v>560</v>
      </c>
      <c r="E586">
        <v>5</v>
      </c>
      <c r="F586">
        <v>0.08</v>
      </c>
      <c r="G586" t="b">
        <v>1</v>
      </c>
      <c r="H586">
        <f>Sensitivity!H24</f>
        <v>149295483983435.78</v>
      </c>
    </row>
    <row r="587" spans="1:8" x14ac:dyDescent="0.2">
      <c r="A587" t="s">
        <v>583</v>
      </c>
      <c r="B587" t="s">
        <v>566</v>
      </c>
      <c r="C587">
        <v>1</v>
      </c>
      <c r="D587" t="s">
        <v>560</v>
      </c>
      <c r="E587">
        <v>8</v>
      </c>
      <c r="F587">
        <v>1</v>
      </c>
      <c r="G587" t="b">
        <v>1</v>
      </c>
      <c r="H587">
        <f>Sensitivity!H24</f>
        <v>149295483983435.78</v>
      </c>
    </row>
    <row r="588" spans="1:8" x14ac:dyDescent="0.2">
      <c r="A588" t="s">
        <v>583</v>
      </c>
      <c r="B588" t="s">
        <v>566</v>
      </c>
      <c r="C588">
        <v>2</v>
      </c>
      <c r="D588" t="s">
        <v>560</v>
      </c>
      <c r="E588">
        <v>8</v>
      </c>
      <c r="F588">
        <v>0.24</v>
      </c>
      <c r="G588" t="b">
        <v>1</v>
      </c>
      <c r="H588">
        <f>Sensitivity!H24</f>
        <v>149295483983435.78</v>
      </c>
    </row>
    <row r="589" spans="1:8" x14ac:dyDescent="0.2">
      <c r="A589" t="s">
        <v>583</v>
      </c>
      <c r="B589" t="s">
        <v>566</v>
      </c>
      <c r="C589">
        <v>2</v>
      </c>
      <c r="D589" t="s">
        <v>560</v>
      </c>
      <c r="E589">
        <v>5</v>
      </c>
      <c r="F589">
        <v>0.76</v>
      </c>
      <c r="G589" t="b">
        <v>0</v>
      </c>
      <c r="H589">
        <f>Sensitivity!H24</f>
        <v>149295483983435.78</v>
      </c>
    </row>
    <row r="590" spans="1:8" x14ac:dyDescent="0.2">
      <c r="A590" t="s">
        <v>583</v>
      </c>
      <c r="B590" t="s">
        <v>566</v>
      </c>
      <c r="C590">
        <v>3</v>
      </c>
      <c r="D590" t="s">
        <v>560</v>
      </c>
      <c r="E590">
        <v>8</v>
      </c>
      <c r="F590">
        <v>0.08</v>
      </c>
      <c r="G590" t="b">
        <v>1</v>
      </c>
      <c r="H590">
        <f>Sensitivity!H24</f>
        <v>149295483983435.78</v>
      </c>
    </row>
    <row r="591" spans="1:8" x14ac:dyDescent="0.2">
      <c r="A591" t="s">
        <v>583</v>
      </c>
      <c r="B591" t="s">
        <v>566</v>
      </c>
      <c r="C591">
        <v>3</v>
      </c>
      <c r="D591" t="s">
        <v>560</v>
      </c>
      <c r="E591">
        <v>5</v>
      </c>
      <c r="F591">
        <v>0.92</v>
      </c>
      <c r="G591" t="b">
        <v>0</v>
      </c>
      <c r="H591">
        <f>Sensitivity!H24</f>
        <v>149295483983435.78</v>
      </c>
    </row>
    <row r="592" spans="1:8" x14ac:dyDescent="0.2">
      <c r="A592" t="s">
        <v>583</v>
      </c>
      <c r="B592" t="s">
        <v>570</v>
      </c>
      <c r="C592">
        <v>1</v>
      </c>
      <c r="D592" t="s">
        <v>560</v>
      </c>
      <c r="E592">
        <v>12</v>
      </c>
      <c r="F592">
        <v>1</v>
      </c>
      <c r="G592" t="b">
        <v>1</v>
      </c>
      <c r="H592">
        <f>Sensitivity!H24</f>
        <v>149295483983435.78</v>
      </c>
    </row>
    <row r="593" spans="1:8" x14ac:dyDescent="0.2">
      <c r="A593" t="s">
        <v>583</v>
      </c>
      <c r="B593" t="s">
        <v>570</v>
      </c>
      <c r="C593">
        <v>2</v>
      </c>
      <c r="D593" t="s">
        <v>560</v>
      </c>
      <c r="E593">
        <v>12</v>
      </c>
      <c r="F593">
        <v>0.24</v>
      </c>
      <c r="G593" t="b">
        <v>1</v>
      </c>
      <c r="H593">
        <f>Sensitivity!H24</f>
        <v>149295483983435.78</v>
      </c>
    </row>
    <row r="594" spans="1:8" x14ac:dyDescent="0.2">
      <c r="A594" t="s">
        <v>583</v>
      </c>
      <c r="B594" t="s">
        <v>570</v>
      </c>
      <c r="C594">
        <v>2</v>
      </c>
      <c r="D594" t="s">
        <v>560</v>
      </c>
      <c r="E594">
        <v>8</v>
      </c>
      <c r="F594">
        <v>0.76</v>
      </c>
      <c r="G594" t="b">
        <v>0</v>
      </c>
      <c r="H594">
        <f>Sensitivity!H24</f>
        <v>149295483983435.78</v>
      </c>
    </row>
    <row r="595" spans="1:8" x14ac:dyDescent="0.2">
      <c r="A595" t="s">
        <v>583</v>
      </c>
      <c r="B595" t="s">
        <v>570</v>
      </c>
      <c r="C595">
        <v>3</v>
      </c>
      <c r="D595" t="s">
        <v>560</v>
      </c>
      <c r="E595">
        <v>12</v>
      </c>
      <c r="F595">
        <v>0.08</v>
      </c>
      <c r="G595" t="b">
        <v>1</v>
      </c>
      <c r="H595">
        <f>Sensitivity!H24</f>
        <v>149295483983435.78</v>
      </c>
    </row>
    <row r="596" spans="1:8" x14ac:dyDescent="0.2">
      <c r="A596" t="s">
        <v>583</v>
      </c>
      <c r="B596" t="s">
        <v>570</v>
      </c>
      <c r="C596">
        <v>3</v>
      </c>
      <c r="D596" t="s">
        <v>560</v>
      </c>
      <c r="E596">
        <v>8</v>
      </c>
      <c r="F596">
        <v>0.92</v>
      </c>
      <c r="G596" t="b">
        <v>0</v>
      </c>
      <c r="H596">
        <f>Sensitivity!H24</f>
        <v>149295483983435.78</v>
      </c>
    </row>
    <row r="597" spans="1:8" x14ac:dyDescent="0.2">
      <c r="A597" t="s">
        <v>583</v>
      </c>
      <c r="B597" t="s">
        <v>574</v>
      </c>
      <c r="C597">
        <v>1</v>
      </c>
      <c r="D597" t="s">
        <v>560</v>
      </c>
      <c r="E597">
        <v>16</v>
      </c>
      <c r="F597">
        <v>1</v>
      </c>
      <c r="G597" t="b">
        <v>1</v>
      </c>
      <c r="H597">
        <f>Sensitivity!H24</f>
        <v>149295483983435.78</v>
      </c>
    </row>
    <row r="598" spans="1:8" x14ac:dyDescent="0.2">
      <c r="A598" t="s">
        <v>583</v>
      </c>
      <c r="B598" t="s">
        <v>574</v>
      </c>
      <c r="C598">
        <v>2</v>
      </c>
      <c r="D598" t="s">
        <v>560</v>
      </c>
      <c r="E598">
        <v>16</v>
      </c>
      <c r="F598">
        <v>0.24</v>
      </c>
      <c r="G598" t="b">
        <v>1</v>
      </c>
      <c r="H598">
        <f>Sensitivity!H24</f>
        <v>149295483983435.78</v>
      </c>
    </row>
    <row r="599" spans="1:8" x14ac:dyDescent="0.2">
      <c r="A599" t="s">
        <v>583</v>
      </c>
      <c r="B599" t="s">
        <v>574</v>
      </c>
      <c r="C599">
        <v>2</v>
      </c>
      <c r="D599" t="s">
        <v>560</v>
      </c>
      <c r="E599">
        <v>12</v>
      </c>
      <c r="F599">
        <v>0.76</v>
      </c>
      <c r="G599" t="b">
        <v>0</v>
      </c>
      <c r="H599">
        <f>Sensitivity!H24</f>
        <v>149295483983435.78</v>
      </c>
    </row>
    <row r="600" spans="1:8" x14ac:dyDescent="0.2">
      <c r="A600" t="s">
        <v>583</v>
      </c>
      <c r="B600" t="s">
        <v>574</v>
      </c>
      <c r="C600">
        <v>3</v>
      </c>
      <c r="D600" t="s">
        <v>560</v>
      </c>
      <c r="E600">
        <v>16</v>
      </c>
      <c r="F600">
        <v>0.08</v>
      </c>
      <c r="G600" t="b">
        <v>1</v>
      </c>
      <c r="H600">
        <f>Sensitivity!H24</f>
        <v>149295483983435.78</v>
      </c>
    </row>
    <row r="601" spans="1:8" x14ac:dyDescent="0.2">
      <c r="A601" t="s">
        <v>583</v>
      </c>
      <c r="B601" t="s">
        <v>574</v>
      </c>
      <c r="C601">
        <v>3</v>
      </c>
      <c r="D601" t="s">
        <v>560</v>
      </c>
      <c r="E601">
        <v>12</v>
      </c>
      <c r="F601">
        <v>0.92</v>
      </c>
      <c r="G601" t="b">
        <v>0</v>
      </c>
      <c r="H601">
        <f>Sensitivity!H24</f>
        <v>149295483983435.78</v>
      </c>
    </row>
    <row r="602" spans="1:8" x14ac:dyDescent="0.2">
      <c r="A602" t="s">
        <v>585</v>
      </c>
      <c r="B602" t="s">
        <v>563</v>
      </c>
      <c r="C602">
        <v>1</v>
      </c>
      <c r="D602" t="s">
        <v>560</v>
      </c>
      <c r="E602">
        <v>5</v>
      </c>
      <c r="F602">
        <v>1</v>
      </c>
      <c r="G602" t="b">
        <v>1</v>
      </c>
      <c r="H602">
        <f>Sensitivity!H24</f>
        <v>149295483983435.78</v>
      </c>
    </row>
    <row r="603" spans="1:8" x14ac:dyDescent="0.2">
      <c r="A603" t="s">
        <v>585</v>
      </c>
      <c r="B603" t="s">
        <v>563</v>
      </c>
      <c r="C603">
        <v>2</v>
      </c>
      <c r="D603" t="s">
        <v>560</v>
      </c>
      <c r="E603">
        <v>5</v>
      </c>
      <c r="F603">
        <v>0.24</v>
      </c>
      <c r="G603" t="b">
        <v>1</v>
      </c>
      <c r="H603">
        <f>Sensitivity!H24</f>
        <v>149295483983435.78</v>
      </c>
    </row>
    <row r="604" spans="1:8" x14ac:dyDescent="0.2">
      <c r="A604" t="s">
        <v>585</v>
      </c>
      <c r="B604" t="s">
        <v>563</v>
      </c>
      <c r="C604">
        <v>3</v>
      </c>
      <c r="D604" t="s">
        <v>560</v>
      </c>
      <c r="E604">
        <v>5</v>
      </c>
      <c r="F604">
        <v>0.08</v>
      </c>
      <c r="G604" t="b">
        <v>1</v>
      </c>
      <c r="H604">
        <f>Sensitivity!H24</f>
        <v>149295483983435.78</v>
      </c>
    </row>
    <row r="605" spans="1:8" x14ac:dyDescent="0.2">
      <c r="A605" t="s">
        <v>585</v>
      </c>
      <c r="B605" t="s">
        <v>566</v>
      </c>
      <c r="C605">
        <v>1</v>
      </c>
      <c r="D605" t="s">
        <v>560</v>
      </c>
      <c r="E605">
        <v>8</v>
      </c>
      <c r="F605">
        <v>1</v>
      </c>
      <c r="G605" t="b">
        <v>1</v>
      </c>
      <c r="H605">
        <f>Sensitivity!H24</f>
        <v>149295483983435.78</v>
      </c>
    </row>
    <row r="606" spans="1:8" x14ac:dyDescent="0.2">
      <c r="A606" t="s">
        <v>585</v>
      </c>
      <c r="B606" t="s">
        <v>566</v>
      </c>
      <c r="C606">
        <v>2</v>
      </c>
      <c r="D606" t="s">
        <v>560</v>
      </c>
      <c r="E606">
        <v>8</v>
      </c>
      <c r="F606">
        <v>0.24</v>
      </c>
      <c r="G606" t="b">
        <v>1</v>
      </c>
      <c r="H606">
        <f>Sensitivity!H24</f>
        <v>149295483983435.78</v>
      </c>
    </row>
    <row r="607" spans="1:8" x14ac:dyDescent="0.2">
      <c r="A607" t="s">
        <v>585</v>
      </c>
      <c r="B607" t="s">
        <v>566</v>
      </c>
      <c r="C607">
        <v>2</v>
      </c>
      <c r="D607" t="s">
        <v>560</v>
      </c>
      <c r="E607">
        <v>5</v>
      </c>
      <c r="F607">
        <v>0.76</v>
      </c>
      <c r="G607" t="b">
        <v>0</v>
      </c>
      <c r="H607">
        <f>Sensitivity!H24</f>
        <v>149295483983435.78</v>
      </c>
    </row>
    <row r="608" spans="1:8" x14ac:dyDescent="0.2">
      <c r="A608" t="s">
        <v>585</v>
      </c>
      <c r="B608" t="s">
        <v>566</v>
      </c>
      <c r="C608">
        <v>3</v>
      </c>
      <c r="D608" t="s">
        <v>560</v>
      </c>
      <c r="E608">
        <v>8</v>
      </c>
      <c r="F608">
        <v>0.08</v>
      </c>
      <c r="G608" t="b">
        <v>1</v>
      </c>
      <c r="H608">
        <f>Sensitivity!H24</f>
        <v>149295483983435.78</v>
      </c>
    </row>
    <row r="609" spans="1:8" x14ac:dyDescent="0.2">
      <c r="A609" t="s">
        <v>585</v>
      </c>
      <c r="B609" t="s">
        <v>566</v>
      </c>
      <c r="C609">
        <v>3</v>
      </c>
      <c r="D609" t="s">
        <v>560</v>
      </c>
      <c r="E609">
        <v>5</v>
      </c>
      <c r="F609">
        <v>0.92</v>
      </c>
      <c r="G609" t="b">
        <v>0</v>
      </c>
      <c r="H609">
        <f>Sensitivity!H24</f>
        <v>149295483983435.78</v>
      </c>
    </row>
    <row r="610" spans="1:8" x14ac:dyDescent="0.2">
      <c r="A610" t="s">
        <v>585</v>
      </c>
      <c r="B610" t="s">
        <v>570</v>
      </c>
      <c r="C610">
        <v>1</v>
      </c>
      <c r="D610" t="s">
        <v>560</v>
      </c>
      <c r="E610">
        <v>12</v>
      </c>
      <c r="F610">
        <v>1</v>
      </c>
      <c r="G610" t="b">
        <v>1</v>
      </c>
      <c r="H610">
        <f>Sensitivity!H24</f>
        <v>149295483983435.78</v>
      </c>
    </row>
    <row r="611" spans="1:8" x14ac:dyDescent="0.2">
      <c r="A611" t="s">
        <v>585</v>
      </c>
      <c r="B611" t="s">
        <v>570</v>
      </c>
      <c r="C611">
        <v>2</v>
      </c>
      <c r="D611" t="s">
        <v>560</v>
      </c>
      <c r="E611">
        <v>12</v>
      </c>
      <c r="F611">
        <v>0.24</v>
      </c>
      <c r="G611" t="b">
        <v>1</v>
      </c>
      <c r="H611">
        <f>Sensitivity!H24</f>
        <v>149295483983435.78</v>
      </c>
    </row>
    <row r="612" spans="1:8" x14ac:dyDescent="0.2">
      <c r="A612" t="s">
        <v>585</v>
      </c>
      <c r="B612" t="s">
        <v>570</v>
      </c>
      <c r="C612">
        <v>2</v>
      </c>
      <c r="D612" t="s">
        <v>560</v>
      </c>
      <c r="E612">
        <v>8</v>
      </c>
      <c r="F612">
        <v>0.76</v>
      </c>
      <c r="G612" t="b">
        <v>0</v>
      </c>
      <c r="H612">
        <f>Sensitivity!H24</f>
        <v>149295483983435.78</v>
      </c>
    </row>
    <row r="613" spans="1:8" x14ac:dyDescent="0.2">
      <c r="A613" t="s">
        <v>585</v>
      </c>
      <c r="B613" t="s">
        <v>570</v>
      </c>
      <c r="C613">
        <v>3</v>
      </c>
      <c r="D613" t="s">
        <v>560</v>
      </c>
      <c r="E613">
        <v>12</v>
      </c>
      <c r="F613">
        <v>0.08</v>
      </c>
      <c r="G613" t="b">
        <v>1</v>
      </c>
      <c r="H613">
        <f>Sensitivity!H24</f>
        <v>149295483983435.78</v>
      </c>
    </row>
    <row r="614" spans="1:8" x14ac:dyDescent="0.2">
      <c r="A614" t="s">
        <v>585</v>
      </c>
      <c r="B614" t="s">
        <v>570</v>
      </c>
      <c r="C614">
        <v>3</v>
      </c>
      <c r="D614" t="s">
        <v>560</v>
      </c>
      <c r="E614">
        <v>8</v>
      </c>
      <c r="F614">
        <v>0.92</v>
      </c>
      <c r="G614" t="b">
        <v>0</v>
      </c>
      <c r="H614">
        <f>Sensitivity!H24</f>
        <v>149295483983435.78</v>
      </c>
    </row>
    <row r="615" spans="1:8" x14ac:dyDescent="0.2">
      <c r="A615" t="s">
        <v>585</v>
      </c>
      <c r="B615" t="s">
        <v>574</v>
      </c>
      <c r="C615">
        <v>1</v>
      </c>
      <c r="D615" t="s">
        <v>560</v>
      </c>
      <c r="E615">
        <v>16</v>
      </c>
      <c r="F615">
        <v>1</v>
      </c>
      <c r="G615" t="b">
        <v>1</v>
      </c>
      <c r="H615">
        <f>Sensitivity!H24</f>
        <v>149295483983435.78</v>
      </c>
    </row>
    <row r="616" spans="1:8" x14ac:dyDescent="0.2">
      <c r="A616" t="s">
        <v>585</v>
      </c>
      <c r="B616" t="s">
        <v>574</v>
      </c>
      <c r="C616">
        <v>2</v>
      </c>
      <c r="D616" t="s">
        <v>560</v>
      </c>
      <c r="E616">
        <v>16</v>
      </c>
      <c r="F616">
        <v>0.24</v>
      </c>
      <c r="G616" t="b">
        <v>1</v>
      </c>
      <c r="H616">
        <f>Sensitivity!H24</f>
        <v>149295483983435.78</v>
      </c>
    </row>
    <row r="617" spans="1:8" x14ac:dyDescent="0.2">
      <c r="A617" t="s">
        <v>585</v>
      </c>
      <c r="B617" t="s">
        <v>574</v>
      </c>
      <c r="C617">
        <v>2</v>
      </c>
      <c r="D617" t="s">
        <v>560</v>
      </c>
      <c r="E617">
        <v>12</v>
      </c>
      <c r="F617">
        <v>0.76</v>
      </c>
      <c r="G617" t="b">
        <v>0</v>
      </c>
      <c r="H617">
        <f>Sensitivity!H24</f>
        <v>149295483983435.78</v>
      </c>
    </row>
    <row r="618" spans="1:8" x14ac:dyDescent="0.2">
      <c r="A618" t="s">
        <v>585</v>
      </c>
      <c r="B618" t="s">
        <v>574</v>
      </c>
      <c r="C618">
        <v>3</v>
      </c>
      <c r="D618" t="s">
        <v>560</v>
      </c>
      <c r="E618">
        <v>16</v>
      </c>
      <c r="F618">
        <v>0.08</v>
      </c>
      <c r="G618" t="b">
        <v>1</v>
      </c>
      <c r="H618">
        <f>Sensitivity!H24</f>
        <v>149295483983435.78</v>
      </c>
    </row>
    <row r="619" spans="1:8" x14ac:dyDescent="0.2">
      <c r="A619" t="s">
        <v>585</v>
      </c>
      <c r="B619" t="s">
        <v>574</v>
      </c>
      <c r="C619">
        <v>3</v>
      </c>
      <c r="D619" t="s">
        <v>560</v>
      </c>
      <c r="E619">
        <v>12</v>
      </c>
      <c r="F619">
        <v>0.92</v>
      </c>
      <c r="G619" t="b">
        <v>0</v>
      </c>
      <c r="H619">
        <f>Sensitivity!H24</f>
        <v>149295483983435.78</v>
      </c>
    </row>
    <row r="620" spans="1:8" x14ac:dyDescent="0.2">
      <c r="A620" t="s">
        <v>587</v>
      </c>
      <c r="B620" t="s">
        <v>563</v>
      </c>
      <c r="C620">
        <v>1</v>
      </c>
      <c r="D620" t="s">
        <v>599</v>
      </c>
      <c r="E620">
        <v>10</v>
      </c>
      <c r="F620">
        <v>1</v>
      </c>
      <c r="G620" t="b">
        <v>1</v>
      </c>
      <c r="H620">
        <f>Sensitivity!H5*Inputs!$B$3</f>
        <v>70513157153827.781</v>
      </c>
    </row>
    <row r="621" spans="1:8" x14ac:dyDescent="0.2">
      <c r="A621" t="s">
        <v>587</v>
      </c>
      <c r="B621" t="s">
        <v>563</v>
      </c>
      <c r="C621">
        <v>2</v>
      </c>
      <c r="D621" t="s">
        <v>599</v>
      </c>
      <c r="E621">
        <v>10</v>
      </c>
      <c r="F621">
        <v>0.24</v>
      </c>
      <c r="G621" t="b">
        <v>1</v>
      </c>
      <c r="H621">
        <f>Sensitivity!H5*Inputs!$B$3</f>
        <v>70513157153827.781</v>
      </c>
    </row>
    <row r="622" spans="1:8" x14ac:dyDescent="0.2">
      <c r="A622" t="s">
        <v>587</v>
      </c>
      <c r="B622" t="s">
        <v>563</v>
      </c>
      <c r="C622">
        <v>3</v>
      </c>
      <c r="D622" t="s">
        <v>599</v>
      </c>
      <c r="E622">
        <v>10</v>
      </c>
      <c r="F622">
        <v>0.08</v>
      </c>
      <c r="G622" t="b">
        <v>1</v>
      </c>
      <c r="H622">
        <f>Sensitivity!H5*Inputs!$B$3</f>
        <v>70513157153827.781</v>
      </c>
    </row>
    <row r="623" spans="1:8" x14ac:dyDescent="0.2">
      <c r="A623" t="s">
        <v>587</v>
      </c>
      <c r="B623" t="s">
        <v>566</v>
      </c>
      <c r="C623">
        <v>1</v>
      </c>
      <c r="D623" t="s">
        <v>599</v>
      </c>
      <c r="E623">
        <v>20</v>
      </c>
      <c r="F623">
        <v>1</v>
      </c>
      <c r="G623" t="b">
        <v>1</v>
      </c>
      <c r="H623">
        <f>Sensitivity!H5*Inputs!$B$3</f>
        <v>70513157153827.781</v>
      </c>
    </row>
    <row r="624" spans="1:8" x14ac:dyDescent="0.2">
      <c r="A624" t="s">
        <v>587</v>
      </c>
      <c r="B624" t="s">
        <v>566</v>
      </c>
      <c r="C624">
        <v>2</v>
      </c>
      <c r="D624" t="s">
        <v>599</v>
      </c>
      <c r="E624">
        <v>20</v>
      </c>
      <c r="F624">
        <v>0.24</v>
      </c>
      <c r="G624" t="b">
        <v>1</v>
      </c>
      <c r="H624">
        <f>Sensitivity!H5*Inputs!$B$3</f>
        <v>70513157153827.781</v>
      </c>
    </row>
    <row r="625" spans="1:8" x14ac:dyDescent="0.2">
      <c r="A625" t="s">
        <v>587</v>
      </c>
      <c r="B625" t="s">
        <v>566</v>
      </c>
      <c r="C625">
        <v>2</v>
      </c>
      <c r="D625" t="s">
        <v>599</v>
      </c>
      <c r="E625">
        <v>10</v>
      </c>
      <c r="F625">
        <v>0.76</v>
      </c>
      <c r="G625" t="b">
        <v>0</v>
      </c>
      <c r="H625">
        <f>Sensitivity!H5*Inputs!$B$3</f>
        <v>70513157153827.781</v>
      </c>
    </row>
    <row r="626" spans="1:8" x14ac:dyDescent="0.2">
      <c r="A626" t="s">
        <v>587</v>
      </c>
      <c r="B626" t="s">
        <v>566</v>
      </c>
      <c r="C626">
        <v>3</v>
      </c>
      <c r="D626" t="s">
        <v>599</v>
      </c>
      <c r="E626">
        <v>20</v>
      </c>
      <c r="F626">
        <v>0.08</v>
      </c>
      <c r="G626" t="b">
        <v>1</v>
      </c>
      <c r="H626">
        <f>Sensitivity!H5*Inputs!$B$3</f>
        <v>70513157153827.781</v>
      </c>
    </row>
    <row r="627" spans="1:8" x14ac:dyDescent="0.2">
      <c r="A627" t="s">
        <v>587</v>
      </c>
      <c r="B627" t="s">
        <v>566</v>
      </c>
      <c r="C627">
        <v>3</v>
      </c>
      <c r="D627" t="s">
        <v>599</v>
      </c>
      <c r="E627">
        <v>10</v>
      </c>
      <c r="F627">
        <v>0.92</v>
      </c>
      <c r="G627" t="b">
        <v>0</v>
      </c>
      <c r="H627">
        <f>Sensitivity!H5*Inputs!$B$3</f>
        <v>70513157153827.781</v>
      </c>
    </row>
    <row r="628" spans="1:8" x14ac:dyDescent="0.2">
      <c r="A628" t="s">
        <v>587</v>
      </c>
      <c r="B628" t="s">
        <v>570</v>
      </c>
      <c r="C628">
        <v>1</v>
      </c>
      <c r="D628" t="s">
        <v>599</v>
      </c>
      <c r="E628">
        <v>35</v>
      </c>
      <c r="F628">
        <v>1</v>
      </c>
      <c r="G628" t="b">
        <v>1</v>
      </c>
      <c r="H628">
        <f>Sensitivity!H5*Inputs!$B$3</f>
        <v>70513157153827.781</v>
      </c>
    </row>
    <row r="629" spans="1:8" x14ac:dyDescent="0.2">
      <c r="A629" t="s">
        <v>587</v>
      </c>
      <c r="B629" t="s">
        <v>570</v>
      </c>
      <c r="C629">
        <v>2</v>
      </c>
      <c r="D629" t="s">
        <v>599</v>
      </c>
      <c r="E629">
        <v>35</v>
      </c>
      <c r="F629">
        <v>0.24</v>
      </c>
      <c r="G629" t="b">
        <v>1</v>
      </c>
      <c r="H629">
        <f>Sensitivity!H5*Inputs!$B$3</f>
        <v>70513157153827.781</v>
      </c>
    </row>
    <row r="630" spans="1:8" x14ac:dyDescent="0.2">
      <c r="A630" t="s">
        <v>587</v>
      </c>
      <c r="B630" t="s">
        <v>570</v>
      </c>
      <c r="C630">
        <v>2</v>
      </c>
      <c r="D630" t="s">
        <v>599</v>
      </c>
      <c r="E630">
        <v>20</v>
      </c>
      <c r="F630">
        <v>0.76</v>
      </c>
      <c r="G630" t="b">
        <v>0</v>
      </c>
      <c r="H630">
        <f>Sensitivity!H5*Inputs!$B$3</f>
        <v>70513157153827.781</v>
      </c>
    </row>
    <row r="631" spans="1:8" x14ac:dyDescent="0.2">
      <c r="A631" t="s">
        <v>587</v>
      </c>
      <c r="B631" t="s">
        <v>570</v>
      </c>
      <c r="C631">
        <v>3</v>
      </c>
      <c r="D631" t="s">
        <v>599</v>
      </c>
      <c r="E631">
        <v>35</v>
      </c>
      <c r="F631">
        <v>0.08</v>
      </c>
      <c r="G631" t="b">
        <v>1</v>
      </c>
      <c r="H631">
        <f>Sensitivity!H5*Inputs!$B$3</f>
        <v>70513157153827.781</v>
      </c>
    </row>
    <row r="632" spans="1:8" x14ac:dyDescent="0.2">
      <c r="A632" t="s">
        <v>587</v>
      </c>
      <c r="B632" t="s">
        <v>570</v>
      </c>
      <c r="C632">
        <v>3</v>
      </c>
      <c r="D632" t="s">
        <v>599</v>
      </c>
      <c r="E632">
        <v>20</v>
      </c>
      <c r="F632">
        <v>0.92</v>
      </c>
      <c r="G632" t="b">
        <v>0</v>
      </c>
      <c r="H632">
        <f>Sensitivity!H5*Inputs!$B$3</f>
        <v>70513157153827.781</v>
      </c>
    </row>
    <row r="633" spans="1:8" x14ac:dyDescent="0.2">
      <c r="A633" t="s">
        <v>587</v>
      </c>
      <c r="B633" t="s">
        <v>574</v>
      </c>
      <c r="C633">
        <v>1</v>
      </c>
      <c r="D633" t="s">
        <v>599</v>
      </c>
      <c r="E633">
        <v>50</v>
      </c>
      <c r="F633">
        <v>1</v>
      </c>
      <c r="G633" t="b">
        <v>1</v>
      </c>
      <c r="H633">
        <f>Sensitivity!H5*Inputs!$B$3</f>
        <v>70513157153827.781</v>
      </c>
    </row>
    <row r="634" spans="1:8" x14ac:dyDescent="0.2">
      <c r="A634" t="s">
        <v>587</v>
      </c>
      <c r="B634" t="s">
        <v>574</v>
      </c>
      <c r="C634">
        <v>2</v>
      </c>
      <c r="D634" t="s">
        <v>599</v>
      </c>
      <c r="E634">
        <v>50</v>
      </c>
      <c r="F634">
        <v>0.24</v>
      </c>
      <c r="G634" t="b">
        <v>1</v>
      </c>
      <c r="H634">
        <f>Sensitivity!H5*Inputs!$B$3</f>
        <v>70513157153827.781</v>
      </c>
    </row>
    <row r="635" spans="1:8" x14ac:dyDescent="0.2">
      <c r="A635" t="s">
        <v>587</v>
      </c>
      <c r="B635" t="s">
        <v>574</v>
      </c>
      <c r="C635">
        <v>2</v>
      </c>
      <c r="D635" t="s">
        <v>599</v>
      </c>
      <c r="E635">
        <v>35</v>
      </c>
      <c r="F635">
        <v>0.76</v>
      </c>
      <c r="G635" t="b">
        <v>0</v>
      </c>
      <c r="H635">
        <f>Sensitivity!H5*Inputs!$B$3</f>
        <v>70513157153827.781</v>
      </c>
    </row>
    <row r="636" spans="1:8" x14ac:dyDescent="0.2">
      <c r="A636" t="s">
        <v>587</v>
      </c>
      <c r="B636" t="s">
        <v>574</v>
      </c>
      <c r="C636">
        <v>3</v>
      </c>
      <c r="D636" t="s">
        <v>599</v>
      </c>
      <c r="E636">
        <v>50</v>
      </c>
      <c r="F636">
        <v>0.08</v>
      </c>
      <c r="G636" t="b">
        <v>1</v>
      </c>
      <c r="H636">
        <f>Sensitivity!H5*Inputs!$B$3</f>
        <v>70513157153827.781</v>
      </c>
    </row>
    <row r="637" spans="1:8" x14ac:dyDescent="0.2">
      <c r="A637" t="s">
        <v>587</v>
      </c>
      <c r="B637" t="s">
        <v>574</v>
      </c>
      <c r="C637">
        <v>3</v>
      </c>
      <c r="D637" t="s">
        <v>599</v>
      </c>
      <c r="E637">
        <v>35</v>
      </c>
      <c r="F637">
        <v>0.92</v>
      </c>
      <c r="G637" t="b">
        <v>0</v>
      </c>
      <c r="H637">
        <f>Sensitivity!H5*Inputs!$B$3</f>
        <v>70513157153827.781</v>
      </c>
    </row>
    <row r="638" spans="1:8" x14ac:dyDescent="0.2">
      <c r="A638" t="s">
        <v>590</v>
      </c>
      <c r="B638" t="s">
        <v>563</v>
      </c>
      <c r="C638">
        <v>1</v>
      </c>
      <c r="D638" t="s">
        <v>542</v>
      </c>
      <c r="E638">
        <v>8</v>
      </c>
      <c r="F638">
        <v>1</v>
      </c>
      <c r="G638" t="b">
        <v>1</v>
      </c>
      <c r="H638">
        <f>Sensitivity!H18</f>
        <v>60777177905680.719</v>
      </c>
    </row>
    <row r="639" spans="1:8" x14ac:dyDescent="0.2">
      <c r="A639" t="s">
        <v>590</v>
      </c>
      <c r="B639" t="s">
        <v>563</v>
      </c>
      <c r="C639">
        <v>2</v>
      </c>
      <c r="D639" t="s">
        <v>542</v>
      </c>
      <c r="E639">
        <v>8</v>
      </c>
      <c r="F639">
        <v>0.24</v>
      </c>
      <c r="G639" t="b">
        <v>1</v>
      </c>
      <c r="H639">
        <f>Sensitivity!H18</f>
        <v>60777177905680.719</v>
      </c>
    </row>
    <row r="640" spans="1:8" x14ac:dyDescent="0.2">
      <c r="A640" t="s">
        <v>590</v>
      </c>
      <c r="B640" t="s">
        <v>563</v>
      </c>
      <c r="C640">
        <v>3</v>
      </c>
      <c r="D640" t="s">
        <v>542</v>
      </c>
      <c r="E640">
        <v>8</v>
      </c>
      <c r="F640">
        <v>0.08</v>
      </c>
      <c r="G640" t="b">
        <v>1</v>
      </c>
      <c r="H640">
        <f>Sensitivity!H18</f>
        <v>60777177905680.719</v>
      </c>
    </row>
    <row r="641" spans="1:8" x14ac:dyDescent="0.2">
      <c r="A641" t="s">
        <v>590</v>
      </c>
      <c r="B641" t="s">
        <v>566</v>
      </c>
      <c r="C641">
        <v>1</v>
      </c>
      <c r="D641" t="s">
        <v>542</v>
      </c>
      <c r="E641">
        <v>14</v>
      </c>
      <c r="F641">
        <v>1</v>
      </c>
      <c r="G641" t="b">
        <v>1</v>
      </c>
      <c r="H641">
        <f>Sensitivity!H18</f>
        <v>60777177905680.719</v>
      </c>
    </row>
    <row r="642" spans="1:8" x14ac:dyDescent="0.2">
      <c r="A642" t="s">
        <v>590</v>
      </c>
      <c r="B642" t="s">
        <v>566</v>
      </c>
      <c r="C642">
        <v>2</v>
      </c>
      <c r="D642" t="s">
        <v>542</v>
      </c>
      <c r="E642">
        <v>14</v>
      </c>
      <c r="F642">
        <v>0.24</v>
      </c>
      <c r="G642" t="b">
        <v>1</v>
      </c>
      <c r="H642">
        <f>Sensitivity!H18</f>
        <v>60777177905680.719</v>
      </c>
    </row>
    <row r="643" spans="1:8" x14ac:dyDescent="0.2">
      <c r="A643" t="s">
        <v>590</v>
      </c>
      <c r="B643" t="s">
        <v>566</v>
      </c>
      <c r="C643">
        <v>2</v>
      </c>
      <c r="D643" t="s">
        <v>542</v>
      </c>
      <c r="E643">
        <v>8</v>
      </c>
      <c r="F643">
        <v>0.76</v>
      </c>
      <c r="G643" t="b">
        <v>0</v>
      </c>
      <c r="H643">
        <f>Sensitivity!H18</f>
        <v>60777177905680.719</v>
      </c>
    </row>
    <row r="644" spans="1:8" x14ac:dyDescent="0.2">
      <c r="A644" t="s">
        <v>590</v>
      </c>
      <c r="B644" t="s">
        <v>566</v>
      </c>
      <c r="C644">
        <v>3</v>
      </c>
      <c r="D644" t="s">
        <v>542</v>
      </c>
      <c r="E644">
        <v>14</v>
      </c>
      <c r="F644">
        <v>0.08</v>
      </c>
      <c r="G644" t="b">
        <v>1</v>
      </c>
      <c r="H644">
        <f>Sensitivity!H18</f>
        <v>60777177905680.719</v>
      </c>
    </row>
    <row r="645" spans="1:8" x14ac:dyDescent="0.2">
      <c r="A645" t="s">
        <v>590</v>
      </c>
      <c r="B645" t="s">
        <v>566</v>
      </c>
      <c r="C645">
        <v>3</v>
      </c>
      <c r="D645" t="s">
        <v>542</v>
      </c>
      <c r="E645">
        <v>8</v>
      </c>
      <c r="F645">
        <v>0.92</v>
      </c>
      <c r="G645" t="b">
        <v>0</v>
      </c>
      <c r="H645">
        <f>Sensitivity!H18</f>
        <v>60777177905680.719</v>
      </c>
    </row>
    <row r="646" spans="1:8" x14ac:dyDescent="0.2">
      <c r="A646" t="s">
        <v>590</v>
      </c>
      <c r="B646" t="s">
        <v>570</v>
      </c>
      <c r="C646">
        <v>1</v>
      </c>
      <c r="D646" t="s">
        <v>542</v>
      </c>
      <c r="E646">
        <v>21</v>
      </c>
      <c r="F646">
        <v>1</v>
      </c>
      <c r="G646" t="b">
        <v>1</v>
      </c>
      <c r="H646">
        <f>Sensitivity!H18</f>
        <v>60777177905680.719</v>
      </c>
    </row>
    <row r="647" spans="1:8" x14ac:dyDescent="0.2">
      <c r="A647" t="s">
        <v>590</v>
      </c>
      <c r="B647" t="s">
        <v>570</v>
      </c>
      <c r="C647">
        <v>2</v>
      </c>
      <c r="D647" t="s">
        <v>542</v>
      </c>
      <c r="E647">
        <v>21</v>
      </c>
      <c r="F647">
        <v>0.24</v>
      </c>
      <c r="G647" t="b">
        <v>1</v>
      </c>
      <c r="H647">
        <f>Sensitivity!H18</f>
        <v>60777177905680.719</v>
      </c>
    </row>
    <row r="648" spans="1:8" x14ac:dyDescent="0.2">
      <c r="A648" t="s">
        <v>590</v>
      </c>
      <c r="B648" t="s">
        <v>570</v>
      </c>
      <c r="C648">
        <v>2</v>
      </c>
      <c r="D648" t="s">
        <v>542</v>
      </c>
      <c r="E648">
        <v>14</v>
      </c>
      <c r="F648">
        <v>0.76</v>
      </c>
      <c r="G648" t="b">
        <v>0</v>
      </c>
      <c r="H648">
        <f>Sensitivity!H18</f>
        <v>60777177905680.719</v>
      </c>
    </row>
    <row r="649" spans="1:8" x14ac:dyDescent="0.2">
      <c r="A649" t="s">
        <v>590</v>
      </c>
      <c r="B649" t="s">
        <v>570</v>
      </c>
      <c r="C649">
        <v>3</v>
      </c>
      <c r="D649" t="s">
        <v>542</v>
      </c>
      <c r="E649">
        <v>21</v>
      </c>
      <c r="F649">
        <v>0.08</v>
      </c>
      <c r="G649" t="b">
        <v>1</v>
      </c>
      <c r="H649">
        <f>Sensitivity!H18</f>
        <v>60777177905680.719</v>
      </c>
    </row>
    <row r="650" spans="1:8" x14ac:dyDescent="0.2">
      <c r="A650" t="s">
        <v>590</v>
      </c>
      <c r="B650" t="s">
        <v>570</v>
      </c>
      <c r="C650">
        <v>3</v>
      </c>
      <c r="D650" t="s">
        <v>542</v>
      </c>
      <c r="E650">
        <v>14</v>
      </c>
      <c r="F650">
        <v>0.92</v>
      </c>
      <c r="G650" t="b">
        <v>0</v>
      </c>
      <c r="H650">
        <f>Sensitivity!H18</f>
        <v>60777177905680.719</v>
      </c>
    </row>
    <row r="651" spans="1:8" x14ac:dyDescent="0.2">
      <c r="A651" t="s">
        <v>590</v>
      </c>
      <c r="B651" t="s">
        <v>574</v>
      </c>
      <c r="C651">
        <v>1</v>
      </c>
      <c r="D651" t="s">
        <v>542</v>
      </c>
      <c r="E651">
        <v>30</v>
      </c>
      <c r="F651">
        <v>1</v>
      </c>
      <c r="G651" t="b">
        <v>1</v>
      </c>
      <c r="H651">
        <f>Sensitivity!H18</f>
        <v>60777177905680.719</v>
      </c>
    </row>
    <row r="652" spans="1:8" x14ac:dyDescent="0.2">
      <c r="A652" t="s">
        <v>590</v>
      </c>
      <c r="B652" t="s">
        <v>574</v>
      </c>
      <c r="C652">
        <v>2</v>
      </c>
      <c r="D652" t="s">
        <v>542</v>
      </c>
      <c r="E652">
        <v>30</v>
      </c>
      <c r="F652">
        <v>0.24</v>
      </c>
      <c r="G652" t="b">
        <v>1</v>
      </c>
      <c r="H652">
        <f>Sensitivity!H18</f>
        <v>60777177905680.719</v>
      </c>
    </row>
    <row r="653" spans="1:8" x14ac:dyDescent="0.2">
      <c r="A653" t="s">
        <v>590</v>
      </c>
      <c r="B653" t="s">
        <v>574</v>
      </c>
      <c r="C653">
        <v>2</v>
      </c>
      <c r="D653" t="s">
        <v>542</v>
      </c>
      <c r="E653">
        <v>21</v>
      </c>
      <c r="F653">
        <v>0.76</v>
      </c>
      <c r="G653" t="b">
        <v>0</v>
      </c>
      <c r="H653">
        <f>Sensitivity!H18</f>
        <v>60777177905680.719</v>
      </c>
    </row>
    <row r="654" spans="1:8" x14ac:dyDescent="0.2">
      <c r="A654" t="s">
        <v>590</v>
      </c>
      <c r="B654" t="s">
        <v>574</v>
      </c>
      <c r="C654">
        <v>3</v>
      </c>
      <c r="D654" t="s">
        <v>542</v>
      </c>
      <c r="E654">
        <v>30</v>
      </c>
      <c r="F654">
        <v>0.08</v>
      </c>
      <c r="G654" t="b">
        <v>1</v>
      </c>
      <c r="H654">
        <f>Sensitivity!H18</f>
        <v>60777177905680.719</v>
      </c>
    </row>
    <row r="655" spans="1:8" x14ac:dyDescent="0.2">
      <c r="A655" t="s">
        <v>590</v>
      </c>
      <c r="B655" t="s">
        <v>574</v>
      </c>
      <c r="C655">
        <v>3</v>
      </c>
      <c r="D655" t="s">
        <v>542</v>
      </c>
      <c r="E655">
        <v>21</v>
      </c>
      <c r="F655">
        <v>0.92</v>
      </c>
      <c r="G655" t="b">
        <v>0</v>
      </c>
      <c r="H655">
        <f>Sensitivity!H18</f>
        <v>60777177905680.719</v>
      </c>
    </row>
    <row r="656" spans="1:8" x14ac:dyDescent="0.2">
      <c r="A656" t="s">
        <v>593</v>
      </c>
      <c r="B656" t="s">
        <v>563</v>
      </c>
      <c r="C656">
        <v>1</v>
      </c>
      <c r="D656" t="s">
        <v>541</v>
      </c>
      <c r="E656">
        <v>3</v>
      </c>
      <c r="F656">
        <v>1</v>
      </c>
      <c r="G656" t="b">
        <v>1</v>
      </c>
      <c r="H656">
        <f>Sensitivity!H11</f>
        <v>330868456682976.56</v>
      </c>
    </row>
    <row r="657" spans="1:8" x14ac:dyDescent="0.2">
      <c r="A657" t="s">
        <v>593</v>
      </c>
      <c r="B657" t="s">
        <v>563</v>
      </c>
      <c r="C657">
        <v>2</v>
      </c>
      <c r="D657" t="s">
        <v>541</v>
      </c>
      <c r="E657">
        <v>3</v>
      </c>
      <c r="F657">
        <v>0.24</v>
      </c>
      <c r="G657" t="b">
        <v>1</v>
      </c>
      <c r="H657">
        <f>Sensitivity!H11</f>
        <v>330868456682976.56</v>
      </c>
    </row>
    <row r="658" spans="1:8" x14ac:dyDescent="0.2">
      <c r="A658" t="s">
        <v>593</v>
      </c>
      <c r="B658" t="s">
        <v>563</v>
      </c>
      <c r="C658">
        <v>3</v>
      </c>
      <c r="D658" t="s">
        <v>541</v>
      </c>
      <c r="E658">
        <v>3</v>
      </c>
      <c r="F658">
        <v>0.08</v>
      </c>
      <c r="G658" t="b">
        <v>1</v>
      </c>
      <c r="H658">
        <f>Sensitivity!H11</f>
        <v>330868456682976.56</v>
      </c>
    </row>
    <row r="659" spans="1:8" x14ac:dyDescent="0.2">
      <c r="A659" t="s">
        <v>593</v>
      </c>
      <c r="B659" t="s">
        <v>566</v>
      </c>
      <c r="C659">
        <v>1</v>
      </c>
      <c r="D659" t="s">
        <v>541</v>
      </c>
      <c r="E659">
        <v>5</v>
      </c>
      <c r="F659">
        <v>1</v>
      </c>
      <c r="G659" t="b">
        <v>1</v>
      </c>
      <c r="H659">
        <f>Sensitivity!H11</f>
        <v>330868456682976.56</v>
      </c>
    </row>
    <row r="660" spans="1:8" x14ac:dyDescent="0.2">
      <c r="A660" t="s">
        <v>593</v>
      </c>
      <c r="B660" t="s">
        <v>566</v>
      </c>
      <c r="C660">
        <v>2</v>
      </c>
      <c r="D660" t="s">
        <v>541</v>
      </c>
      <c r="E660">
        <v>5</v>
      </c>
      <c r="F660">
        <v>0.24</v>
      </c>
      <c r="G660" t="b">
        <v>1</v>
      </c>
      <c r="H660">
        <f>Sensitivity!H11</f>
        <v>330868456682976.56</v>
      </c>
    </row>
    <row r="661" spans="1:8" x14ac:dyDescent="0.2">
      <c r="A661" t="s">
        <v>593</v>
      </c>
      <c r="B661" t="s">
        <v>566</v>
      </c>
      <c r="C661">
        <v>2</v>
      </c>
      <c r="D661" t="s">
        <v>541</v>
      </c>
      <c r="E661">
        <v>3</v>
      </c>
      <c r="F661">
        <v>0.76</v>
      </c>
      <c r="G661" t="b">
        <v>0</v>
      </c>
      <c r="H661">
        <f>Sensitivity!H11</f>
        <v>330868456682976.56</v>
      </c>
    </row>
    <row r="662" spans="1:8" x14ac:dyDescent="0.2">
      <c r="A662" t="s">
        <v>593</v>
      </c>
      <c r="B662" t="s">
        <v>566</v>
      </c>
      <c r="C662">
        <v>3</v>
      </c>
      <c r="D662" t="s">
        <v>541</v>
      </c>
      <c r="E662">
        <v>5</v>
      </c>
      <c r="F662">
        <v>0.08</v>
      </c>
      <c r="G662" t="b">
        <v>1</v>
      </c>
      <c r="H662">
        <f>Sensitivity!H11</f>
        <v>330868456682976.56</v>
      </c>
    </row>
    <row r="663" spans="1:8" x14ac:dyDescent="0.2">
      <c r="A663" t="s">
        <v>593</v>
      </c>
      <c r="B663" t="s">
        <v>566</v>
      </c>
      <c r="C663">
        <v>3</v>
      </c>
      <c r="D663" t="s">
        <v>541</v>
      </c>
      <c r="E663">
        <v>3</v>
      </c>
      <c r="F663">
        <v>0.92</v>
      </c>
      <c r="G663" t="b">
        <v>0</v>
      </c>
      <c r="H663">
        <f>Sensitivity!H11</f>
        <v>330868456682976.56</v>
      </c>
    </row>
    <row r="664" spans="1:8" x14ac:dyDescent="0.2">
      <c r="A664" t="s">
        <v>593</v>
      </c>
      <c r="B664" t="s">
        <v>570</v>
      </c>
      <c r="C664">
        <v>1</v>
      </c>
      <c r="D664" t="s">
        <v>541</v>
      </c>
      <c r="E664">
        <v>8</v>
      </c>
      <c r="F664">
        <v>1</v>
      </c>
      <c r="G664" t="b">
        <v>1</v>
      </c>
      <c r="H664">
        <f>Sensitivity!H11</f>
        <v>330868456682976.56</v>
      </c>
    </row>
    <row r="665" spans="1:8" x14ac:dyDescent="0.2">
      <c r="A665" t="s">
        <v>593</v>
      </c>
      <c r="B665" t="s">
        <v>570</v>
      </c>
      <c r="C665">
        <v>2</v>
      </c>
      <c r="D665" t="s">
        <v>541</v>
      </c>
      <c r="E665">
        <v>8</v>
      </c>
      <c r="F665">
        <v>0.24</v>
      </c>
      <c r="G665" t="b">
        <v>1</v>
      </c>
      <c r="H665">
        <f>Sensitivity!H11</f>
        <v>330868456682976.56</v>
      </c>
    </row>
    <row r="666" spans="1:8" x14ac:dyDescent="0.2">
      <c r="A666" t="s">
        <v>593</v>
      </c>
      <c r="B666" t="s">
        <v>570</v>
      </c>
      <c r="C666">
        <v>2</v>
      </c>
      <c r="D666" t="s">
        <v>541</v>
      </c>
      <c r="E666">
        <v>5</v>
      </c>
      <c r="F666">
        <v>0.76</v>
      </c>
      <c r="G666" t="b">
        <v>0</v>
      </c>
      <c r="H666">
        <f>Sensitivity!H11</f>
        <v>330868456682976.56</v>
      </c>
    </row>
    <row r="667" spans="1:8" x14ac:dyDescent="0.2">
      <c r="A667" t="s">
        <v>593</v>
      </c>
      <c r="B667" t="s">
        <v>570</v>
      </c>
      <c r="C667">
        <v>3</v>
      </c>
      <c r="D667" t="s">
        <v>541</v>
      </c>
      <c r="E667">
        <v>8</v>
      </c>
      <c r="F667">
        <v>0.08</v>
      </c>
      <c r="G667" t="b">
        <v>1</v>
      </c>
      <c r="H667">
        <f>Sensitivity!H11</f>
        <v>330868456682976.56</v>
      </c>
    </row>
    <row r="668" spans="1:8" x14ac:dyDescent="0.2">
      <c r="A668" t="s">
        <v>593</v>
      </c>
      <c r="B668" t="s">
        <v>570</v>
      </c>
      <c r="C668">
        <v>3</v>
      </c>
      <c r="D668" t="s">
        <v>541</v>
      </c>
      <c r="E668">
        <v>5</v>
      </c>
      <c r="F668">
        <v>0.92</v>
      </c>
      <c r="G668" t="b">
        <v>0</v>
      </c>
      <c r="H668">
        <f>Sensitivity!H11</f>
        <v>330868456682976.56</v>
      </c>
    </row>
    <row r="669" spans="1:8" x14ac:dyDescent="0.2">
      <c r="A669" t="s">
        <v>593</v>
      </c>
      <c r="B669" t="s">
        <v>574</v>
      </c>
      <c r="C669">
        <v>1</v>
      </c>
      <c r="D669" t="s">
        <v>541</v>
      </c>
      <c r="E669">
        <v>12</v>
      </c>
      <c r="F669">
        <v>1</v>
      </c>
      <c r="G669" t="b">
        <v>1</v>
      </c>
      <c r="H669">
        <f>Sensitivity!H11</f>
        <v>330868456682976.56</v>
      </c>
    </row>
    <row r="670" spans="1:8" x14ac:dyDescent="0.2">
      <c r="A670" t="s">
        <v>593</v>
      </c>
      <c r="B670" t="s">
        <v>574</v>
      </c>
      <c r="C670">
        <v>2</v>
      </c>
      <c r="D670" t="s">
        <v>541</v>
      </c>
      <c r="E670">
        <v>12</v>
      </c>
      <c r="F670">
        <v>0.24</v>
      </c>
      <c r="G670" t="b">
        <v>1</v>
      </c>
      <c r="H670">
        <f>Sensitivity!H11</f>
        <v>330868456682976.56</v>
      </c>
    </row>
    <row r="671" spans="1:8" x14ac:dyDescent="0.2">
      <c r="A671" t="s">
        <v>593</v>
      </c>
      <c r="B671" t="s">
        <v>574</v>
      </c>
      <c r="C671">
        <v>2</v>
      </c>
      <c r="D671" t="s">
        <v>541</v>
      </c>
      <c r="E671">
        <v>8</v>
      </c>
      <c r="F671">
        <v>0.76</v>
      </c>
      <c r="G671" t="b">
        <v>0</v>
      </c>
      <c r="H671">
        <f>Sensitivity!H11</f>
        <v>330868456682976.56</v>
      </c>
    </row>
    <row r="672" spans="1:8" x14ac:dyDescent="0.2">
      <c r="A672" t="s">
        <v>593</v>
      </c>
      <c r="B672" t="s">
        <v>574</v>
      </c>
      <c r="C672">
        <v>3</v>
      </c>
      <c r="D672" t="s">
        <v>541</v>
      </c>
      <c r="E672">
        <v>12</v>
      </c>
      <c r="F672">
        <v>0.08</v>
      </c>
      <c r="G672" t="b">
        <v>1</v>
      </c>
      <c r="H672">
        <f>Sensitivity!H11</f>
        <v>330868456682976.56</v>
      </c>
    </row>
    <row r="673" spans="1:8" x14ac:dyDescent="0.2">
      <c r="A673" t="s">
        <v>593</v>
      </c>
      <c r="B673" t="s">
        <v>574</v>
      </c>
      <c r="C673">
        <v>3</v>
      </c>
      <c r="D673" t="s">
        <v>541</v>
      </c>
      <c r="E673">
        <v>8</v>
      </c>
      <c r="F673">
        <v>0.92</v>
      </c>
      <c r="G673" t="b">
        <v>0</v>
      </c>
      <c r="H673">
        <f>Sensitivity!H11</f>
        <v>330868456682976.56</v>
      </c>
    </row>
    <row r="674" spans="1:8" x14ac:dyDescent="0.2">
      <c r="A674" t="s">
        <v>594</v>
      </c>
      <c r="B674" t="s">
        <v>563</v>
      </c>
      <c r="C674">
        <v>1</v>
      </c>
      <c r="D674" t="s">
        <v>543</v>
      </c>
      <c r="E674">
        <v>8</v>
      </c>
      <c r="F674">
        <v>1</v>
      </c>
      <c r="G674" t="b">
        <v>1</v>
      </c>
      <c r="H674">
        <f>Sensitivity!H19</f>
        <v>91087187982857.859</v>
      </c>
    </row>
    <row r="675" spans="1:8" x14ac:dyDescent="0.2">
      <c r="A675" t="s">
        <v>594</v>
      </c>
      <c r="B675" t="s">
        <v>563</v>
      </c>
      <c r="C675">
        <v>2</v>
      </c>
      <c r="D675" t="s">
        <v>543</v>
      </c>
      <c r="E675">
        <v>8</v>
      </c>
      <c r="F675">
        <v>0.24</v>
      </c>
      <c r="G675" t="b">
        <v>1</v>
      </c>
      <c r="H675">
        <f>Sensitivity!H19</f>
        <v>91087187982857.859</v>
      </c>
    </row>
    <row r="676" spans="1:8" x14ac:dyDescent="0.2">
      <c r="A676" t="s">
        <v>594</v>
      </c>
      <c r="B676" t="s">
        <v>563</v>
      </c>
      <c r="C676">
        <v>3</v>
      </c>
      <c r="D676" t="s">
        <v>543</v>
      </c>
      <c r="E676">
        <v>8</v>
      </c>
      <c r="F676">
        <v>0.08</v>
      </c>
      <c r="G676" t="b">
        <v>1</v>
      </c>
      <c r="H676">
        <f>Sensitivity!H19</f>
        <v>91087187982857.859</v>
      </c>
    </row>
    <row r="677" spans="1:8" x14ac:dyDescent="0.2">
      <c r="A677" t="s">
        <v>594</v>
      </c>
      <c r="B677" t="s">
        <v>566</v>
      </c>
      <c r="C677">
        <v>1</v>
      </c>
      <c r="D677" t="s">
        <v>543</v>
      </c>
      <c r="E677">
        <v>14</v>
      </c>
      <c r="F677">
        <v>1</v>
      </c>
      <c r="G677" t="b">
        <v>1</v>
      </c>
      <c r="H677">
        <f>Sensitivity!H19</f>
        <v>91087187982857.859</v>
      </c>
    </row>
    <row r="678" spans="1:8" x14ac:dyDescent="0.2">
      <c r="A678" t="s">
        <v>594</v>
      </c>
      <c r="B678" t="s">
        <v>566</v>
      </c>
      <c r="C678">
        <v>2</v>
      </c>
      <c r="D678" t="s">
        <v>543</v>
      </c>
      <c r="E678">
        <v>14</v>
      </c>
      <c r="F678">
        <v>0.24</v>
      </c>
      <c r="G678" t="b">
        <v>1</v>
      </c>
      <c r="H678">
        <f>Sensitivity!H19</f>
        <v>91087187982857.859</v>
      </c>
    </row>
    <row r="679" spans="1:8" x14ac:dyDescent="0.2">
      <c r="A679" t="s">
        <v>594</v>
      </c>
      <c r="B679" t="s">
        <v>566</v>
      </c>
      <c r="C679">
        <v>2</v>
      </c>
      <c r="D679" t="s">
        <v>543</v>
      </c>
      <c r="E679">
        <v>8</v>
      </c>
      <c r="F679">
        <v>0.76</v>
      </c>
      <c r="G679" t="b">
        <v>0</v>
      </c>
      <c r="H679">
        <f>Sensitivity!H19</f>
        <v>91087187982857.859</v>
      </c>
    </row>
    <row r="680" spans="1:8" x14ac:dyDescent="0.2">
      <c r="A680" t="s">
        <v>594</v>
      </c>
      <c r="B680" t="s">
        <v>566</v>
      </c>
      <c r="C680">
        <v>3</v>
      </c>
      <c r="D680" t="s">
        <v>543</v>
      </c>
      <c r="E680">
        <v>14</v>
      </c>
      <c r="F680">
        <v>0.08</v>
      </c>
      <c r="G680" t="b">
        <v>1</v>
      </c>
      <c r="H680">
        <f>Sensitivity!H19</f>
        <v>91087187982857.859</v>
      </c>
    </row>
    <row r="681" spans="1:8" x14ac:dyDescent="0.2">
      <c r="A681" t="s">
        <v>594</v>
      </c>
      <c r="B681" t="s">
        <v>566</v>
      </c>
      <c r="C681">
        <v>3</v>
      </c>
      <c r="D681" t="s">
        <v>543</v>
      </c>
      <c r="E681">
        <v>8</v>
      </c>
      <c r="F681">
        <v>0.92</v>
      </c>
      <c r="G681" t="b">
        <v>0</v>
      </c>
      <c r="H681">
        <f>Sensitivity!H19</f>
        <v>91087187982857.859</v>
      </c>
    </row>
    <row r="682" spans="1:8" x14ac:dyDescent="0.2">
      <c r="A682" t="s">
        <v>594</v>
      </c>
      <c r="B682" t="s">
        <v>570</v>
      </c>
      <c r="C682">
        <v>1</v>
      </c>
      <c r="D682" t="s">
        <v>543</v>
      </c>
      <c r="E682">
        <v>21</v>
      </c>
      <c r="F682">
        <v>1</v>
      </c>
      <c r="G682" t="b">
        <v>1</v>
      </c>
      <c r="H682">
        <f>Sensitivity!H19</f>
        <v>91087187982857.859</v>
      </c>
    </row>
    <row r="683" spans="1:8" x14ac:dyDescent="0.2">
      <c r="A683" t="s">
        <v>594</v>
      </c>
      <c r="B683" t="s">
        <v>570</v>
      </c>
      <c r="C683">
        <v>2</v>
      </c>
      <c r="D683" t="s">
        <v>543</v>
      </c>
      <c r="E683">
        <v>21</v>
      </c>
      <c r="F683">
        <v>0.24</v>
      </c>
      <c r="G683" t="b">
        <v>1</v>
      </c>
      <c r="H683">
        <f>Sensitivity!H19</f>
        <v>91087187982857.859</v>
      </c>
    </row>
    <row r="684" spans="1:8" x14ac:dyDescent="0.2">
      <c r="A684" t="s">
        <v>594</v>
      </c>
      <c r="B684" t="s">
        <v>570</v>
      </c>
      <c r="C684">
        <v>2</v>
      </c>
      <c r="D684" t="s">
        <v>543</v>
      </c>
      <c r="E684">
        <v>14</v>
      </c>
      <c r="F684">
        <v>0.76</v>
      </c>
      <c r="G684" t="b">
        <v>0</v>
      </c>
      <c r="H684">
        <f>Sensitivity!H19</f>
        <v>91087187982857.859</v>
      </c>
    </row>
    <row r="685" spans="1:8" x14ac:dyDescent="0.2">
      <c r="A685" t="s">
        <v>594</v>
      </c>
      <c r="B685" t="s">
        <v>570</v>
      </c>
      <c r="C685">
        <v>3</v>
      </c>
      <c r="D685" t="s">
        <v>543</v>
      </c>
      <c r="E685">
        <v>21</v>
      </c>
      <c r="F685">
        <v>0.08</v>
      </c>
      <c r="G685" t="b">
        <v>1</v>
      </c>
      <c r="H685">
        <f>Sensitivity!H19</f>
        <v>91087187982857.859</v>
      </c>
    </row>
    <row r="686" spans="1:8" x14ac:dyDescent="0.2">
      <c r="A686" t="s">
        <v>594</v>
      </c>
      <c r="B686" t="s">
        <v>570</v>
      </c>
      <c r="C686">
        <v>3</v>
      </c>
      <c r="D686" t="s">
        <v>543</v>
      </c>
      <c r="E686">
        <v>14</v>
      </c>
      <c r="F686">
        <v>0.92</v>
      </c>
      <c r="G686" t="b">
        <v>0</v>
      </c>
      <c r="H686">
        <f>Sensitivity!H19</f>
        <v>91087187982857.859</v>
      </c>
    </row>
    <row r="687" spans="1:8" x14ac:dyDescent="0.2">
      <c r="A687" t="s">
        <v>594</v>
      </c>
      <c r="B687" t="s">
        <v>574</v>
      </c>
      <c r="C687">
        <v>1</v>
      </c>
      <c r="D687" t="s">
        <v>543</v>
      </c>
      <c r="E687">
        <v>30</v>
      </c>
      <c r="F687">
        <v>1</v>
      </c>
      <c r="G687" t="b">
        <v>1</v>
      </c>
      <c r="H687">
        <f>Sensitivity!H19</f>
        <v>91087187982857.859</v>
      </c>
    </row>
    <row r="688" spans="1:8" x14ac:dyDescent="0.2">
      <c r="A688" t="s">
        <v>594</v>
      </c>
      <c r="B688" t="s">
        <v>574</v>
      </c>
      <c r="C688">
        <v>2</v>
      </c>
      <c r="D688" t="s">
        <v>543</v>
      </c>
      <c r="E688">
        <v>30</v>
      </c>
      <c r="F688">
        <v>0.24</v>
      </c>
      <c r="G688" t="b">
        <v>1</v>
      </c>
      <c r="H688">
        <f>Sensitivity!H19</f>
        <v>91087187982857.859</v>
      </c>
    </row>
    <row r="689" spans="1:8" x14ac:dyDescent="0.2">
      <c r="A689" t="s">
        <v>594</v>
      </c>
      <c r="B689" t="s">
        <v>574</v>
      </c>
      <c r="C689">
        <v>2</v>
      </c>
      <c r="D689" t="s">
        <v>543</v>
      </c>
      <c r="E689">
        <v>21</v>
      </c>
      <c r="F689">
        <v>0.76</v>
      </c>
      <c r="G689" t="b">
        <v>0</v>
      </c>
      <c r="H689">
        <f>Sensitivity!H19</f>
        <v>91087187982857.859</v>
      </c>
    </row>
    <row r="690" spans="1:8" x14ac:dyDescent="0.2">
      <c r="A690" t="s">
        <v>594</v>
      </c>
      <c r="B690" t="s">
        <v>574</v>
      </c>
      <c r="C690">
        <v>3</v>
      </c>
      <c r="D690" t="s">
        <v>543</v>
      </c>
      <c r="E690">
        <v>30</v>
      </c>
      <c r="F690">
        <v>0.08</v>
      </c>
      <c r="G690" t="b">
        <v>1</v>
      </c>
      <c r="H690">
        <f>Sensitivity!H19</f>
        <v>91087187982857.859</v>
      </c>
    </row>
    <row r="691" spans="1:8" x14ac:dyDescent="0.2">
      <c r="A691" t="s">
        <v>594</v>
      </c>
      <c r="B691" t="s">
        <v>574</v>
      </c>
      <c r="C691">
        <v>3</v>
      </c>
      <c r="D691" t="s">
        <v>543</v>
      </c>
      <c r="E691">
        <v>21</v>
      </c>
      <c r="F691">
        <v>0.92</v>
      </c>
      <c r="G691" t="b">
        <v>0</v>
      </c>
      <c r="H691">
        <f>Sensitivity!H19</f>
        <v>91087187982857.859</v>
      </c>
    </row>
    <row r="692" spans="1:8" x14ac:dyDescent="0.2">
      <c r="A692" t="s">
        <v>596</v>
      </c>
      <c r="B692" t="s">
        <v>563</v>
      </c>
      <c r="C692">
        <v>1</v>
      </c>
      <c r="D692" t="s">
        <v>598</v>
      </c>
      <c r="E692">
        <v>0.4</v>
      </c>
      <c r="F692">
        <v>1</v>
      </c>
      <c r="G692" t="b">
        <v>1</v>
      </c>
      <c r="H692">
        <f>Sensitivity!H6*INT(Inputs!$B$3/4)</f>
        <v>2985733874977903</v>
      </c>
    </row>
    <row r="693" spans="1:8" x14ac:dyDescent="0.2">
      <c r="A693" t="s">
        <v>596</v>
      </c>
      <c r="B693" t="s">
        <v>563</v>
      </c>
      <c r="C693">
        <v>2</v>
      </c>
      <c r="D693" t="s">
        <v>598</v>
      </c>
      <c r="E693">
        <v>0.4</v>
      </c>
      <c r="F693">
        <v>0.24</v>
      </c>
      <c r="G693" t="b">
        <v>1</v>
      </c>
      <c r="H693">
        <f>Sensitivity!H6*INT(Inputs!$B$3/4)</f>
        <v>2985733874977903</v>
      </c>
    </row>
    <row r="694" spans="1:8" x14ac:dyDescent="0.2">
      <c r="A694" t="s">
        <v>596</v>
      </c>
      <c r="B694" t="s">
        <v>563</v>
      </c>
      <c r="C694">
        <v>3</v>
      </c>
      <c r="D694" t="s">
        <v>598</v>
      </c>
      <c r="E694">
        <v>0.4</v>
      </c>
      <c r="F694">
        <v>0.08</v>
      </c>
      <c r="G694" t="b">
        <v>1</v>
      </c>
      <c r="H694">
        <f>Sensitivity!H6*INT(Inputs!$B$3/4)</f>
        <v>2985733874977903</v>
      </c>
    </row>
    <row r="695" spans="1:8" x14ac:dyDescent="0.2">
      <c r="A695" t="s">
        <v>596</v>
      </c>
      <c r="B695" t="s">
        <v>566</v>
      </c>
      <c r="C695">
        <v>1</v>
      </c>
      <c r="D695" t="s">
        <v>598</v>
      </c>
      <c r="E695">
        <v>0.6</v>
      </c>
      <c r="F695">
        <v>1</v>
      </c>
      <c r="G695" t="b">
        <v>1</v>
      </c>
      <c r="H695">
        <f>Sensitivity!H6*INT(Inputs!$B$3/4)</f>
        <v>2985733874977903</v>
      </c>
    </row>
    <row r="696" spans="1:8" x14ac:dyDescent="0.2">
      <c r="A696" t="s">
        <v>596</v>
      </c>
      <c r="B696" t="s">
        <v>566</v>
      </c>
      <c r="C696">
        <v>2</v>
      </c>
      <c r="D696" t="s">
        <v>598</v>
      </c>
      <c r="E696">
        <v>0.6</v>
      </c>
      <c r="F696">
        <v>0.24</v>
      </c>
      <c r="G696" t="b">
        <v>1</v>
      </c>
      <c r="H696">
        <f>Sensitivity!H6*INT(Inputs!$B$3/4)</f>
        <v>2985733874977903</v>
      </c>
    </row>
    <row r="697" spans="1:8" x14ac:dyDescent="0.2">
      <c r="A697" t="s">
        <v>596</v>
      </c>
      <c r="B697" t="s">
        <v>566</v>
      </c>
      <c r="C697">
        <v>2</v>
      </c>
      <c r="D697" t="s">
        <v>598</v>
      </c>
      <c r="E697">
        <v>0.4</v>
      </c>
      <c r="F697">
        <v>0.76</v>
      </c>
      <c r="G697" t="b">
        <v>0</v>
      </c>
      <c r="H697">
        <f>Sensitivity!H6*INT(Inputs!$B$3/4)</f>
        <v>2985733874977903</v>
      </c>
    </row>
    <row r="698" spans="1:8" x14ac:dyDescent="0.2">
      <c r="A698" t="s">
        <v>596</v>
      </c>
      <c r="B698" t="s">
        <v>566</v>
      </c>
      <c r="C698">
        <v>3</v>
      </c>
      <c r="D698" t="s">
        <v>598</v>
      </c>
      <c r="E698">
        <v>0.6</v>
      </c>
      <c r="F698">
        <v>0.08</v>
      </c>
      <c r="G698" t="b">
        <v>1</v>
      </c>
      <c r="H698">
        <f>Sensitivity!H6*INT(Inputs!$B$3/4)</f>
        <v>2985733874977903</v>
      </c>
    </row>
    <row r="699" spans="1:8" x14ac:dyDescent="0.2">
      <c r="A699" t="s">
        <v>596</v>
      </c>
      <c r="B699" t="s">
        <v>566</v>
      </c>
      <c r="C699">
        <v>3</v>
      </c>
      <c r="D699" t="s">
        <v>598</v>
      </c>
      <c r="E699">
        <v>0.4</v>
      </c>
      <c r="F699">
        <v>0.92</v>
      </c>
      <c r="G699" t="b">
        <v>0</v>
      </c>
      <c r="H699">
        <f>Sensitivity!H6*INT(Inputs!$B$3/4)</f>
        <v>2985733874977903</v>
      </c>
    </row>
    <row r="700" spans="1:8" x14ac:dyDescent="0.2">
      <c r="A700" t="s">
        <v>596</v>
      </c>
      <c r="B700" t="s">
        <v>570</v>
      </c>
      <c r="C700">
        <v>1</v>
      </c>
      <c r="D700" t="s">
        <v>598</v>
      </c>
      <c r="E700">
        <v>0.8</v>
      </c>
      <c r="F700">
        <v>1</v>
      </c>
      <c r="G700" t="b">
        <v>1</v>
      </c>
      <c r="H700">
        <f>Sensitivity!H6*INT(Inputs!$B$3/4)</f>
        <v>2985733874977903</v>
      </c>
    </row>
    <row r="701" spans="1:8" x14ac:dyDescent="0.2">
      <c r="A701" t="s">
        <v>596</v>
      </c>
      <c r="B701" t="s">
        <v>570</v>
      </c>
      <c r="C701">
        <v>2</v>
      </c>
      <c r="D701" t="s">
        <v>598</v>
      </c>
      <c r="E701">
        <v>0.8</v>
      </c>
      <c r="F701">
        <v>0.24</v>
      </c>
      <c r="G701" t="b">
        <v>1</v>
      </c>
      <c r="H701">
        <f>Sensitivity!H6*INT(Inputs!$B$3/4)</f>
        <v>2985733874977903</v>
      </c>
    </row>
    <row r="702" spans="1:8" x14ac:dyDescent="0.2">
      <c r="A702" t="s">
        <v>596</v>
      </c>
      <c r="B702" t="s">
        <v>570</v>
      </c>
      <c r="C702">
        <v>2</v>
      </c>
      <c r="D702" t="s">
        <v>598</v>
      </c>
      <c r="E702">
        <v>0.6</v>
      </c>
      <c r="F702">
        <v>0.76</v>
      </c>
      <c r="G702" t="b">
        <v>0</v>
      </c>
      <c r="H702">
        <f>Sensitivity!H6*INT(Inputs!$B$3/4)</f>
        <v>2985733874977903</v>
      </c>
    </row>
    <row r="703" spans="1:8" x14ac:dyDescent="0.2">
      <c r="A703" t="s">
        <v>596</v>
      </c>
      <c r="B703" t="s">
        <v>570</v>
      </c>
      <c r="C703">
        <v>3</v>
      </c>
      <c r="D703" t="s">
        <v>598</v>
      </c>
      <c r="E703">
        <v>0.8</v>
      </c>
      <c r="F703">
        <v>0.08</v>
      </c>
      <c r="G703" t="b">
        <v>1</v>
      </c>
      <c r="H703">
        <f>Sensitivity!H6*INT(Inputs!$B$3/4)</f>
        <v>2985733874977903</v>
      </c>
    </row>
    <row r="704" spans="1:8" x14ac:dyDescent="0.2">
      <c r="A704" t="s">
        <v>596</v>
      </c>
      <c r="B704" t="s">
        <v>570</v>
      </c>
      <c r="C704">
        <v>3</v>
      </c>
      <c r="D704" t="s">
        <v>598</v>
      </c>
      <c r="E704">
        <v>0.6</v>
      </c>
      <c r="F704">
        <v>0.92</v>
      </c>
      <c r="G704" t="b">
        <v>0</v>
      </c>
      <c r="H704">
        <f>Sensitivity!H6*INT(Inputs!$B$3/4)</f>
        <v>2985733874977903</v>
      </c>
    </row>
    <row r="705" spans="1:8" x14ac:dyDescent="0.2">
      <c r="A705" t="s">
        <v>596</v>
      </c>
      <c r="B705" t="s">
        <v>574</v>
      </c>
      <c r="C705">
        <v>1</v>
      </c>
      <c r="D705" t="s">
        <v>598</v>
      </c>
      <c r="E705">
        <v>1.2</v>
      </c>
      <c r="F705">
        <v>1</v>
      </c>
      <c r="G705" t="b">
        <v>1</v>
      </c>
      <c r="H705">
        <f>Sensitivity!H6*INT(Inputs!$B$3/4)</f>
        <v>2985733874977903</v>
      </c>
    </row>
    <row r="706" spans="1:8" x14ac:dyDescent="0.2">
      <c r="A706" t="s">
        <v>596</v>
      </c>
      <c r="B706" t="s">
        <v>574</v>
      </c>
      <c r="C706">
        <v>2</v>
      </c>
      <c r="D706" t="s">
        <v>598</v>
      </c>
      <c r="E706">
        <v>1.2</v>
      </c>
      <c r="F706">
        <v>0.24</v>
      </c>
      <c r="G706" t="b">
        <v>1</v>
      </c>
      <c r="H706">
        <f>Sensitivity!H6*INT(Inputs!$B$3/4)</f>
        <v>2985733874977903</v>
      </c>
    </row>
    <row r="707" spans="1:8" x14ac:dyDescent="0.2">
      <c r="A707" t="s">
        <v>596</v>
      </c>
      <c r="B707" t="s">
        <v>574</v>
      </c>
      <c r="C707">
        <v>2</v>
      </c>
      <c r="D707" t="s">
        <v>598</v>
      </c>
      <c r="E707">
        <v>0.8</v>
      </c>
      <c r="F707">
        <v>0.76</v>
      </c>
      <c r="G707" t="b">
        <v>0</v>
      </c>
      <c r="H707">
        <f>Sensitivity!H6*INT(Inputs!$B$3/4)</f>
        <v>2985733874977903</v>
      </c>
    </row>
    <row r="708" spans="1:8" x14ac:dyDescent="0.2">
      <c r="A708" t="s">
        <v>596</v>
      </c>
      <c r="B708" t="s">
        <v>574</v>
      </c>
      <c r="C708">
        <v>3</v>
      </c>
      <c r="D708" t="s">
        <v>598</v>
      </c>
      <c r="E708">
        <v>1.2</v>
      </c>
      <c r="F708">
        <v>0.08</v>
      </c>
      <c r="G708" t="b">
        <v>1</v>
      </c>
      <c r="H708">
        <f>Sensitivity!H6*INT(Inputs!$B$3/4)</f>
        <v>2985733874977903</v>
      </c>
    </row>
    <row r="709" spans="1:8" x14ac:dyDescent="0.2">
      <c r="A709" t="s">
        <v>596</v>
      </c>
      <c r="B709" t="s">
        <v>574</v>
      </c>
      <c r="C709">
        <v>3</v>
      </c>
      <c r="D709" t="s">
        <v>598</v>
      </c>
      <c r="E709">
        <v>0.8</v>
      </c>
      <c r="F709">
        <v>0.92</v>
      </c>
      <c r="G709" t="b">
        <v>0</v>
      </c>
      <c r="H709">
        <f>Sensitivity!H6*INT(Inputs!$B$3/4)</f>
        <v>2985733874977903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2"/>
  <sheetViews>
    <sheetView workbookViewId="0">
      <pane ySplit="4" topLeftCell="A5" activePane="bottomLeft" state="frozen"/>
      <selection pane="bottomLeft"/>
    </sheetView>
  </sheetViews>
  <sheetFormatPr baseColWidth="10" defaultColWidth="8.83203125" defaultRowHeight="15" x14ac:dyDescent="0.2"/>
  <cols>
    <col min="1" max="1" width="42" customWidth="1"/>
    <col min="2" max="3" width="12" customWidth="1"/>
    <col min="4" max="4" width="26" customWidth="1"/>
    <col min="5" max="5" width="14" customWidth="1"/>
    <col min="6" max="6" width="12" customWidth="1"/>
    <col min="7" max="7" width="26" customWidth="1"/>
    <col min="8" max="8" width="14" customWidth="1"/>
    <col min="9" max="9" width="12" customWidth="1"/>
    <col min="10" max="10" width="26" customWidth="1"/>
    <col min="11" max="11" width="14" customWidth="1"/>
    <col min="12" max="12" width="16" customWidth="1"/>
    <col min="13" max="13" width="18" customWidth="1"/>
    <col min="14" max="14" width="20" customWidth="1"/>
  </cols>
  <sheetData>
    <row r="1" spans="1:14" ht="19" x14ac:dyDescent="0.25">
      <c r="A1" s="4" t="s">
        <v>600</v>
      </c>
    </row>
    <row r="2" spans="1:14" x14ac:dyDescent="0.2">
      <c r="A2" t="s">
        <v>601</v>
      </c>
    </row>
    <row r="3" spans="1:14" ht="16" x14ac:dyDescent="0.2">
      <c r="A3" s="9" t="s">
        <v>602</v>
      </c>
    </row>
    <row r="4" spans="1:14" x14ac:dyDescent="0.2">
      <c r="A4" s="5" t="s">
        <v>375</v>
      </c>
      <c r="B4" s="5" t="s">
        <v>603</v>
      </c>
      <c r="C4" s="5" t="s">
        <v>604</v>
      </c>
      <c r="D4" s="5" t="s">
        <v>605</v>
      </c>
      <c r="E4" s="5" t="s">
        <v>606</v>
      </c>
      <c r="F4" s="5" t="s">
        <v>607</v>
      </c>
      <c r="G4" s="5" t="s">
        <v>608</v>
      </c>
      <c r="H4" s="5" t="s">
        <v>609</v>
      </c>
      <c r="I4" s="5" t="s">
        <v>610</v>
      </c>
      <c r="J4" s="5" t="s">
        <v>611</v>
      </c>
      <c r="K4" s="5" t="s">
        <v>612</v>
      </c>
      <c r="L4" s="5" t="s">
        <v>613</v>
      </c>
      <c r="M4" s="5" t="s">
        <v>614</v>
      </c>
      <c r="N4" s="5" t="s">
        <v>615</v>
      </c>
    </row>
    <row r="5" spans="1:14" x14ac:dyDescent="0.2">
      <c r="A5" s="6" t="s">
        <v>26</v>
      </c>
      <c r="B5" s="7">
        <v>5</v>
      </c>
      <c r="C5" s="7" t="s">
        <v>616</v>
      </c>
      <c r="D5" s="7" t="s">
        <v>527</v>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461701731181619.19</v>
      </c>
      <c r="F5" s="7" t="s">
        <v>617</v>
      </c>
      <c r="G5" s="7" t="s">
        <v>527</v>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197872170506408.22</v>
      </c>
      <c r="L5">
        <f>Summary!$B$3*((IF(D5="(none)",1,1+(E5+IF(G5=D5,H5,0)+IF(J5=D5,K5,0))/Summary!$B$3))*(IF(OR(G5="(none)",G5=D5),1,1+(H5+IF(D5=G5,E5,0)+IF(J5=G5,K5,0))/Summary!$B$3))*(IF(OR(J5="",J5="(none)",J5=D5,J5=G5),1,1+(K5+IF(D5=J5,E5,0)+IF(G5=J5,H5,0))/Summary!$B$3))-1)</f>
        <v>659573901688027.38</v>
      </c>
      <c r="M5" t="b">
        <f>OR(Inputs!$B$47="Charm of the Undead",Inputs!$B$48="Charm of the Undead",Inputs!$B$49="Charm of the Undead",Inputs!$B$50="Charm of the Undead")</f>
        <v>0</v>
      </c>
      <c r="N5">
        <f>IF(B5="Not Unlocked",0,B5)</f>
        <v>5</v>
      </c>
    </row>
    <row r="6" spans="1:14" x14ac:dyDescent="0.2">
      <c r="A6" s="6" t="s">
        <v>28</v>
      </c>
      <c r="B6" s="7">
        <v>5</v>
      </c>
      <c r="C6" s="7" t="s">
        <v>618</v>
      </c>
      <c r="D6" s="7" t="s">
        <v>584</v>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0</v>
      </c>
      <c r="F6" s="7" t="s">
        <v>618</v>
      </c>
      <c r="G6" s="7" t="s">
        <v>528</v>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129144596675624.69</v>
      </c>
      <c r="L6">
        <f>Summary!$B$3*((IF(D6="(none)",1,1+(E6+IF(G6=D6,H6,0)+IF(J6=D6,K6,0))/Summary!$B$3))*(IF(OR(G6="(none)",G6=D6),1,1+(H6+IF(D6=G6,E6,0)+IF(J6=G6,K6,0))/Summary!$B$3))*(IF(OR(J6="",J6="(none)",J6=D6,J6=G6),1,1+(K6+IF(D6=J6,E6,0)+IF(G6=J6,H6,0))/Summary!$B$3))-1)</f>
        <v>129144596675624.69</v>
      </c>
      <c r="M6" t="b">
        <f>OR(Inputs!$B$47="Pig's Ribbon",Inputs!$B$48="Pig's Ribbon",Inputs!$B$49="Pig's Ribbon",Inputs!$B$50="Pig's Ribbon")</f>
        <v>0</v>
      </c>
      <c r="N6">
        <f>IF(B6="Not Unlocked",0,B6)</f>
        <v>5</v>
      </c>
    </row>
    <row r="7" spans="1:14" x14ac:dyDescent="0.2">
      <c r="A7" s="6" t="s">
        <v>30</v>
      </c>
      <c r="B7" s="7">
        <v>5</v>
      </c>
      <c r="C7" s="7" t="s">
        <v>618</v>
      </c>
      <c r="D7" s="7" t="s">
        <v>534</v>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207356227487343.31</v>
      </c>
      <c r="F7" s="7" t="s">
        <v>618</v>
      </c>
      <c r="G7" s="7" t="s">
        <v>619</v>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0</v>
      </c>
      <c r="L7">
        <f>Summary!$B$3*((IF(D7="(none)",1,1+(E7+IF(G7=D7,H7,0)+IF(J7=D7,K7,0))/Summary!$B$3))*(IF(OR(G7="(none)",G7=D7),1,1+(H7+IF(D7=G7,E7,0)+IF(J7=G7,K7,0))/Summary!$B$3))*(IF(OR(J7="",J7="(none)",J7=D7,J7=G7),1,1+(K7+IF(D7=J7,E7,0)+IF(G7=J7,H7,0))/Summary!$B$3))-1)</f>
        <v>207356227487343.31</v>
      </c>
      <c r="M7" t="b">
        <f>OR(Inputs!$B$47="Shamaness Marble",Inputs!$B$48="Shamaness Marble",Inputs!$B$49="Shamaness Marble",Inputs!$B$50="Shamaness Marble")</f>
        <v>0</v>
      </c>
      <c r="N7">
        <f>IF(B7="Not Unlocked",0,B7)</f>
        <v>5</v>
      </c>
    </row>
    <row r="8" spans="1:14" x14ac:dyDescent="0.2">
      <c r="A8" s="6" t="s">
        <v>34</v>
      </c>
      <c r="B8" s="7">
        <v>5</v>
      </c>
      <c r="C8" s="7" t="s">
        <v>620</v>
      </c>
      <c r="D8" s="7" t="s">
        <v>527</v>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659573901688027.38</v>
      </c>
      <c r="F8" s="7" t="s">
        <v>618</v>
      </c>
      <c r="G8" s="7" t="s">
        <v>621</v>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0</v>
      </c>
      <c r="L8">
        <f>Summary!$B$3*((IF(D8="(none)",1,1+(E8+IF(G8=D8,H8,0)+IF(J8=D8,K8,0))/Summary!$B$3))*(IF(OR(G8="(none)",G8=D8),1,1+(H8+IF(D8=G8,E8,0)+IF(J8=G8,K8,0))/Summary!$B$3))*(IF(OR(J8="",J8="(none)",J8=D8,J8=G8),1,1+(K8+IF(D8=J8,E8,0)+IF(G8=J8,H8,0))/Summary!$B$3))-1)</f>
        <v>659573901688027.38</v>
      </c>
      <c r="M8" t="b">
        <f>OR(Inputs!$B$47="The Contract of Darkness",Inputs!$B$48="The Contract of Darkness",Inputs!$B$49="The Contract of Darkness",Inputs!$B$50="The Contract of Darkness")</f>
        <v>0</v>
      </c>
      <c r="N8">
        <f>IF(B8="Not Unlocked",0,B8)</f>
        <v>5</v>
      </c>
    </row>
    <row r="10" spans="1:14" x14ac:dyDescent="0.2">
      <c r="A10" s="6" t="s">
        <v>36</v>
      </c>
      <c r="B10" s="7">
        <v>4</v>
      </c>
      <c r="C10" s="7" t="s">
        <v>622</v>
      </c>
      <c r="D10" s="7" t="s">
        <v>565</v>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597055861683592.62</v>
      </c>
      <c r="F10" s="7" t="s">
        <v>623</v>
      </c>
      <c r="G10" s="7" t="s">
        <v>568</v>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223895948131347.22</v>
      </c>
      <c r="L10">
        <f>Summary!$B$3*((IF(D10="(none)",1,1+(E10+IF(G10=D10,H10,0)+IF(J10=D10,K10,0))/Summary!$B$3))*(IF(OR(G10="(none)",G10=D10),1,1+(H10+IF(D10=G10,E10,0)+IF(J10=G10,K10,0))/Summary!$B$3))*(IF(OR(J10="",J10="(none)",J10=D10,J10=G10),1,1+(K10+IF(D10=J10,E10,0)+IF(G10=J10,H10,0))/Summary!$B$3))-1)</f>
        <v>824992037450400.12</v>
      </c>
      <c r="M10" t="b">
        <f>OR(Inputs!$B$47="Rainbow-colored Snail Shell",Inputs!$B$48="Rainbow-colored Snail Shell",Inputs!$B$49="Rainbow-colored Snail Shell",Inputs!$B$50="Rainbow-colored Snail Shell")</f>
        <v>0</v>
      </c>
      <c r="N10">
        <f t="shared" ref="N10:N18" si="0">IF(B10="Not Unlocked",0,B10)</f>
        <v>4</v>
      </c>
    </row>
    <row r="11" spans="1:14" x14ac:dyDescent="0.2">
      <c r="A11" s="6" t="s">
        <v>38</v>
      </c>
      <c r="B11" s="7">
        <v>4</v>
      </c>
      <c r="C11" s="7" t="s">
        <v>620</v>
      </c>
      <c r="D11" s="7" t="s">
        <v>520</v>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1029563405164794.2</v>
      </c>
      <c r="F11" s="7" t="s">
        <v>616</v>
      </c>
      <c r="G11" s="7" t="s">
        <v>527</v>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461701731181619.19</v>
      </c>
      <c r="L11">
        <f>Summary!$B$3*((IF(D11="(none)",1,1+(E11+IF(G11=D11,H11,0)+IF(J11=D11,K11,0))/Summary!$B$3))*(IF(OR(G11="(none)",G11=D11),1,1+(H11+IF(D11=G11,E11,0)+IF(J11=G11,K11,0))/Summary!$B$3))*(IF(OR(J11="",J11="(none)",J11=D11,J11=G11),1,1+(K11+IF(D11=J11,E11,0)+IF(G11=J11,H11,0))/Summary!$B$3))-1)</f>
        <v>1505631909513347</v>
      </c>
      <c r="M11" t="b">
        <f>OR(Inputs!$B$47="Hexagon Necklace",Inputs!$B$48="Hexagon Necklace",Inputs!$B$49="Hexagon Necklace",Inputs!$B$50="Hexagon Necklace")</f>
        <v>1</v>
      </c>
      <c r="N11">
        <f t="shared" si="0"/>
        <v>4</v>
      </c>
    </row>
    <row r="12" spans="1:14" x14ac:dyDescent="0.2">
      <c r="A12" s="6" t="s">
        <v>40</v>
      </c>
      <c r="B12" s="7">
        <v>5</v>
      </c>
      <c r="C12" s="7" t="s">
        <v>618</v>
      </c>
      <c r="D12" s="7" t="s">
        <v>568</v>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99509310280598.766</v>
      </c>
      <c r="F12" s="7" t="s">
        <v>616</v>
      </c>
      <c r="G12" s="7" t="s">
        <v>520</v>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720694383615356</v>
      </c>
      <c r="L12">
        <f>Summary!$B$3*((IF(D12="(none)",1,1+(E12+IF(G12=D12,H12,0)+IF(J12=D12,K12,0))/Summary!$B$3))*(IF(OR(G12="(none)",G12=D12),1,1+(H12+IF(D12=G12,E12,0)+IF(J12=G12,K12,0))/Summary!$B$3))*(IF(OR(J12="",J12="(none)",J12=D12,J12=G12),1,1+(K12+IF(D12=J12,E12,0)+IF(G12=J12,H12,0))/Summary!$B$3))-1)</f>
        <v>822371195801567.88</v>
      </c>
      <c r="M12" t="b">
        <f>OR(Inputs!$B$47="Arwen's Glass Shoes",Inputs!$B$48="Arwen's Glass Shoes",Inputs!$B$49="Arwen's Glass Shoes",Inputs!$B$50="Arwen's Glass Shoes")</f>
        <v>0</v>
      </c>
      <c r="N12">
        <f t="shared" si="0"/>
        <v>5</v>
      </c>
    </row>
    <row r="13" spans="1:14" x14ac:dyDescent="0.2">
      <c r="A13" s="6" t="s">
        <v>42</v>
      </c>
      <c r="B13" s="7">
        <v>4</v>
      </c>
      <c r="C13" s="7" t="s">
        <v>623</v>
      </c>
      <c r="D13" s="7" t="s">
        <v>534</v>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466551511846522.44</v>
      </c>
      <c r="F13" s="7" t="s">
        <v>618</v>
      </c>
      <c r="G13" s="7" t="s">
        <v>624</v>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0</v>
      </c>
      <c r="L13">
        <f>Summary!$B$3*((IF(D13="(none)",1,1+(E13+IF(G13=D13,H13,0)+IF(J13=D13,K13,0))/Summary!$B$3))*(IF(OR(G13="(none)",G13=D13),1,1+(H13+IF(D13=G13,E13,0)+IF(J13=G13,K13,0))/Summary!$B$3))*(IF(OR(J13="",J13="(none)",J13=D13,J13=G13),1,1+(K13+IF(D13=J13,E13,0)+IF(G13=J13,H13,0))/Summary!$B$3))-1)</f>
        <v>466551511846522.44</v>
      </c>
      <c r="M13" t="b">
        <f>OR(Inputs!$B$47="Mushmom's Cap",Inputs!$B$48="Mushmom's Cap",Inputs!$B$49="Mushmom's Cap",Inputs!$B$50="Mushmom's Cap")</f>
        <v>0</v>
      </c>
      <c r="N13">
        <f t="shared" si="0"/>
        <v>4</v>
      </c>
    </row>
    <row r="14" spans="1:14" x14ac:dyDescent="0.2">
      <c r="A14" s="6" t="s">
        <v>44</v>
      </c>
      <c r="B14" s="7">
        <v>4</v>
      </c>
      <c r="C14" s="7" t="s">
        <v>616</v>
      </c>
      <c r="D14" s="7" t="s">
        <v>531</v>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768234591964603.5</v>
      </c>
      <c r="F14" s="7" t="s">
        <v>617</v>
      </c>
      <c r="G14" s="7" t="s">
        <v>531</v>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329243396556258.62</v>
      </c>
      <c r="L14">
        <f>Summary!$B$3*((IF(D14="(none)",1,1+(E14+IF(G14=D14,H14,0)+IF(J14=D14,K14,0))/Summary!$B$3))*(IF(OR(G14="(none)",G14=D14),1,1+(H14+IF(D14=G14,E14,0)+IF(J14=G14,K14,0))/Summary!$B$3))*(IF(OR(J14="",J14="(none)",J14=D14,J14=G14),1,1+(K14+IF(D14=J14,E14,0)+IF(G14=J14,H14,0))/Summary!$B$3))-1)</f>
        <v>1097477988520862.1</v>
      </c>
      <c r="M14" t="b">
        <f>OR(Inputs!$B$47="Clear Spring Water",Inputs!$B$48="Clear Spring Water",Inputs!$B$49="Clear Spring Water",Inputs!$B$50="Clear Spring Water")</f>
        <v>0</v>
      </c>
      <c r="N14">
        <f t="shared" si="0"/>
        <v>4</v>
      </c>
    </row>
    <row r="15" spans="1:14" x14ac:dyDescent="0.2">
      <c r="A15" s="6" t="s">
        <v>46</v>
      </c>
      <c r="B15" s="7">
        <v>4</v>
      </c>
      <c r="C15" s="7" t="s">
        <v>623</v>
      </c>
      <c r="D15" s="7" t="s">
        <v>520</v>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463303532324157.38</v>
      </c>
      <c r="F15" s="7" t="s">
        <v>622</v>
      </c>
      <c r="G15" s="7" t="s">
        <v>520</v>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1235476086197753</v>
      </c>
      <c r="L15">
        <f>Summary!$B$3*((IF(D15="(none)",1,1+(E15+IF(G15=D15,H15,0)+IF(J15=D15,K15,0))/Summary!$B$3))*(IF(OR(G15="(none)",G15=D15),1,1+(H15+IF(D15=G15,E15,0)+IF(J15=G15,K15,0))/Summary!$B$3))*(IF(OR(J15="",J15="(none)",J15=D15,J15=G15),1,1+(K15+IF(D15=J15,E15,0)+IF(G15=J15,H15,0))/Summary!$B$3))-1)</f>
        <v>1698779618521914</v>
      </c>
      <c r="M15" t="b">
        <f>OR(Inputs!$B$47="Athena Pierce's Old Gloves",Inputs!$B$48="Athena Pierce's Old Gloves",Inputs!$B$49="Athena Pierce's Old Gloves",Inputs!$B$50="Athena Pierce's Old Gloves")</f>
        <v>1</v>
      </c>
      <c r="N15">
        <f t="shared" si="0"/>
        <v>4</v>
      </c>
    </row>
    <row r="16" spans="1:14" x14ac:dyDescent="0.2">
      <c r="A16" s="6" t="s">
        <v>48</v>
      </c>
      <c r="B16" s="7">
        <v>4</v>
      </c>
      <c r="C16" s="7" t="s">
        <v>623</v>
      </c>
      <c r="D16" s="7" t="s">
        <v>520</v>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463303532324157.38</v>
      </c>
      <c r="F16" s="7" t="s">
        <v>616</v>
      </c>
      <c r="G16" s="7" t="s">
        <v>534</v>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725746796205701.62</v>
      </c>
      <c r="L16">
        <f>Summary!$B$3*((IF(D16="(none)",1,1+(E16+IF(G16=D16,H16,0)+IF(J16=D16,K16,0))/Summary!$B$3))*(IF(OR(G16="(none)",G16=D16),1,1+(H16+IF(D16=G16,E16,0)+IF(J16=G16,K16,0))/Summary!$B$3))*(IF(OR(J16="",J16="(none)",J16=D16,J16=G16),1,1+(K16+IF(D16=J16,E16,0)+IF(G16=J16,H16,0))/Summary!$B$3))-1)</f>
        <v>1199212707187110</v>
      </c>
      <c r="M16" t="b">
        <f>OR(Inputs!$B$47="Zakum's Stone Piece",Inputs!$B$48="Zakum's Stone Piece",Inputs!$B$49="Zakum's Stone Piece",Inputs!$B$50="Zakum's Stone Piece")</f>
        <v>0</v>
      </c>
      <c r="N16">
        <f t="shared" si="0"/>
        <v>4</v>
      </c>
    </row>
    <row r="17" spans="1:14" x14ac:dyDescent="0.2">
      <c r="A17" s="6" t="s">
        <v>50</v>
      </c>
      <c r="B17" s="7">
        <v>3</v>
      </c>
      <c r="C17" s="7" t="s">
        <v>623</v>
      </c>
      <c r="D17" s="7" t="s">
        <v>520</v>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463303532324157.38</v>
      </c>
      <c r="F17" s="7" t="s">
        <v>618</v>
      </c>
      <c r="G17" s="7" t="s">
        <v>584</v>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0</v>
      </c>
      <c r="L17">
        <f>Summary!$B$3*((IF(D17="(none)",1,1+(E17+IF(G17=D17,H17,0)+IF(J17=D17,K17,0))/Summary!$B$3))*(IF(OR(G17="(none)",G17=D17),1,1+(H17+IF(D17=G17,E17,0)+IF(J17=G17,K17,0))/Summary!$B$3))*(IF(OR(J17="",J17="(none)",J17=D17,J17=G17),1,1+(K17+IF(D17=J17,E17,0)+IF(G17=J17,H17,0))/Summary!$B$3))-1)</f>
        <v>463303532324161.06</v>
      </c>
      <c r="M17" t="b">
        <f>OR(Inputs!$B$47="Horntail's Scale",Inputs!$B$48="Horntail's Scale",Inputs!$B$49="Horntail's Scale",Inputs!$B$50="Horntail's Scale")</f>
        <v>0</v>
      </c>
      <c r="N17">
        <f t="shared" si="0"/>
        <v>3</v>
      </c>
    </row>
    <row r="18" spans="1:14" x14ac:dyDescent="0.2">
      <c r="A18" s="6" t="s">
        <v>52</v>
      </c>
      <c r="B18" s="7">
        <v>0</v>
      </c>
      <c r="C18" s="7" t="s">
        <v>618</v>
      </c>
      <c r="D18" s="7" t="s">
        <v>15</v>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0</v>
      </c>
      <c r="F18" s="7" t="s">
        <v>618</v>
      </c>
      <c r="G18" s="7" t="s">
        <v>15</v>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0</v>
      </c>
      <c r="L18">
        <f>Summary!$B$3*((IF(D18="(none)",1,1+(E18+IF(G18=D18,H18,0)+IF(J18=D18,K18,0))/Summary!$B$3))*(IF(OR(G18="(none)",G18=D18),1,1+(H18+IF(D18=G18,E18,0)+IF(J18=G18,K18,0))/Summary!$B$3))*(IF(OR(J18="",J18="(none)",J18=D18,J18=G18),1,1+(K18+IF(D18=J18,E18,0)+IF(G18=J18,H18,0))/Summary!$B$3))-1)</f>
        <v>0</v>
      </c>
      <c r="M18" t="b">
        <f>OR(Inputs!$B$47="Pink Bean's Giant Rib",Inputs!$B$48="Pink Bean's Giant Rib",Inputs!$B$49="Pink Bean's Giant Rib",Inputs!$B$50="Pink Bean's Giant Rib")</f>
        <v>0</v>
      </c>
      <c r="N18">
        <f t="shared" si="0"/>
        <v>0</v>
      </c>
    </row>
    <row r="20" spans="1:14" x14ac:dyDescent="0.2">
      <c r="A20" s="6" t="s">
        <v>54</v>
      </c>
      <c r="B20" s="7" t="s">
        <v>625</v>
      </c>
      <c r="C20" s="7" t="s">
        <v>618</v>
      </c>
      <c r="D20" s="7" t="s">
        <v>15</v>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0</v>
      </c>
      <c r="F20" s="7" t="s">
        <v>618</v>
      </c>
      <c r="G20" s="7" t="s">
        <v>15</v>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0</v>
      </c>
      <c r="I20" s="7" t="s">
        <v>618</v>
      </c>
      <c r="J20" s="7" t="s">
        <v>15</v>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0</v>
      </c>
      <c r="L20">
        <f>Summary!$B$3*((IF(D20="(none)",1,1+(E20+IF(G20=D20,H20,0)+IF(J20=D20,K20,0))/Summary!$B$3))*(IF(OR(G20="(none)",G20=D20),1,1+(H20+IF(D20=G20,E20,0)+IF(J20=G20,K20,0))/Summary!$B$3))*(IF(OR(J20="",J20="(none)",J20=D20,J20=G20),1,1+(K20+IF(D20=J20,E20,0)+IF(G20=J20,H20,0))/Summary!$B$3))-1)</f>
        <v>0</v>
      </c>
      <c r="M20" t="b">
        <f>OR(Inputs!$B$47="Chalice",Inputs!$B$48="Chalice",Inputs!$B$49="Chalice",Inputs!$B$50="Chalice")</f>
        <v>0</v>
      </c>
      <c r="N20">
        <f t="shared" ref="N20:N42" si="1">IF(B20="Not Unlocked",0,B20)</f>
        <v>0</v>
      </c>
    </row>
    <row r="21" spans="1:14" x14ac:dyDescent="0.2">
      <c r="A21" s="6" t="s">
        <v>56</v>
      </c>
      <c r="B21" s="7">
        <v>1</v>
      </c>
      <c r="C21" s="7" t="s">
        <v>616</v>
      </c>
      <c r="D21" s="7" t="s">
        <v>520</v>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720694383615356</v>
      </c>
      <c r="F21" s="7" t="s">
        <v>618</v>
      </c>
      <c r="G21" s="7" t="s">
        <v>15</v>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0</v>
      </c>
      <c r="I21" s="7" t="s">
        <v>618</v>
      </c>
      <c r="J21" s="7" t="s">
        <v>15</v>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0</v>
      </c>
      <c r="L21">
        <f>Summary!$B$3*((IF(D21="(none)",1,1+(E21+IF(G21=D21,H21,0)+IF(J21=D21,K21,0))/Summary!$B$3))*(IF(OR(G21="(none)",G21=D21),1,1+(H21+IF(D21=G21,E21,0)+IF(J21=G21,K21,0))/Summary!$B$3))*(IF(OR(J21="",J21="(none)",J21=D21,J21=G21),1,1+(K21+IF(D21=J21,E21,0)+IF(G21=J21,H21,0))/Summary!$B$3))-1)</f>
        <v>720694383615355.88</v>
      </c>
      <c r="M21" t="b">
        <f>OR(Inputs!$B$47="Old Music Box",Inputs!$B$48="Old Music Box",Inputs!$B$49="Old Music Box",Inputs!$B$50="Old Music Box")</f>
        <v>0</v>
      </c>
      <c r="N21">
        <f t="shared" si="1"/>
        <v>1</v>
      </c>
    </row>
    <row r="22" spans="1:14" x14ac:dyDescent="0.2">
      <c r="A22" s="6" t="s">
        <v>58</v>
      </c>
      <c r="B22" s="7">
        <v>2</v>
      </c>
      <c r="C22" s="7" t="s">
        <v>616</v>
      </c>
      <c r="D22" s="7" t="s">
        <v>534</v>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725746796205701.62</v>
      </c>
      <c r="F22" s="7" t="s">
        <v>618</v>
      </c>
      <c r="G22" s="7" t="s">
        <v>15</v>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0</v>
      </c>
      <c r="I22" s="7" t="s">
        <v>618</v>
      </c>
      <c r="J22" s="7" t="s">
        <v>15</v>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0</v>
      </c>
      <c r="L22">
        <f>Summary!$B$3*((IF(D22="(none)",1,1+(E22+IF(G22=D22,H22,0)+IF(J22=D22,K22,0))/Summary!$B$3))*(IF(OR(G22="(none)",G22=D22),1,1+(H22+IF(D22=G22,E22,0)+IF(J22=G22,K22,0))/Summary!$B$3))*(IF(OR(J22="",J22="(none)",J22=D22,J22=G22),1,1+(K22+IF(D22=J22,E22,0)+IF(G22=J22,H22,0))/Summary!$B$3))-1)</f>
        <v>725746796205701.62</v>
      </c>
      <c r="M22" t="b">
        <f>OR(Inputs!$B$47="Silver Pendant",Inputs!$B$48="Silver Pendant",Inputs!$B$49="Silver Pendant",Inputs!$B$50="Silver Pendant")</f>
        <v>0</v>
      </c>
      <c r="N22">
        <f t="shared" si="1"/>
        <v>2</v>
      </c>
    </row>
    <row r="23" spans="1:14" x14ac:dyDescent="0.2">
      <c r="A23" s="6" t="s">
        <v>60</v>
      </c>
      <c r="B23" s="7" t="s">
        <v>625</v>
      </c>
      <c r="C23" s="7" t="s">
        <v>618</v>
      </c>
      <c r="D23" s="7" t="s">
        <v>15</v>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0</v>
      </c>
      <c r="F23" s="7" t="s">
        <v>618</v>
      </c>
      <c r="G23" s="7" t="s">
        <v>15</v>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0</v>
      </c>
      <c r="I23" s="7" t="s">
        <v>618</v>
      </c>
      <c r="J23" s="7" t="s">
        <v>15</v>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0</v>
      </c>
      <c r="L23">
        <f>Summary!$B$3*((IF(D23="(none)",1,1+(E23+IF(G23=D23,H23,0)+IF(J23=D23,K23,0))/Summary!$B$3))*(IF(OR(G23="(none)",G23=D23),1,1+(H23+IF(D23=G23,E23,0)+IF(J23=G23,K23,0))/Summary!$B$3))*(IF(OR(J23="",J23="(none)",J23=D23,J23=G23),1,1+(K23+IF(D23=J23,E23,0)+IF(G23=J23,H23,0))/Summary!$B$3))-1)</f>
        <v>0</v>
      </c>
      <c r="M23" t="b">
        <f>OR(Inputs!$B$47="Star Rock",Inputs!$B$48="Star Rock",Inputs!$B$49="Star Rock",Inputs!$B$50="Star Rock")</f>
        <v>0</v>
      </c>
      <c r="N23">
        <f t="shared" si="1"/>
        <v>0</v>
      </c>
    </row>
    <row r="24" spans="1:14" x14ac:dyDescent="0.2">
      <c r="A24" s="6" t="s">
        <v>62</v>
      </c>
      <c r="B24" s="7">
        <v>1</v>
      </c>
      <c r="C24" s="7" t="s">
        <v>616</v>
      </c>
      <c r="D24" s="7" t="s">
        <v>534</v>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725746796205701.62</v>
      </c>
      <c r="F24" s="7" t="s">
        <v>618</v>
      </c>
      <c r="G24" s="7" t="s">
        <v>15</v>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0</v>
      </c>
      <c r="I24" s="7" t="s">
        <v>618</v>
      </c>
      <c r="J24" s="7" t="s">
        <v>15</v>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0</v>
      </c>
      <c r="L24">
        <f>Summary!$B$3*((IF(D24="(none)",1,1+(E24+IF(G24=D24,H24,0)+IF(J24=D24,K24,0))/Summary!$B$3))*(IF(OR(G24="(none)",G24=D24),1,1+(H24+IF(D24=G24,E24,0)+IF(J24=G24,K24,0))/Summary!$B$3))*(IF(OR(J24="",J24="(none)",J24=D24,J24=G24),1,1+(K24+IF(D24=J24,E24,0)+IF(G24=J24,H24,0))/Summary!$B$3))-1)</f>
        <v>725746796205701.62</v>
      </c>
      <c r="M24" t="b">
        <f>OR(Inputs!$B$47="Book of Ancient",Inputs!$B$48="Book of Ancient",Inputs!$B$49="Book of Ancient",Inputs!$B$50="Book of Ancient")</f>
        <v>1</v>
      </c>
      <c r="N24">
        <f t="shared" si="1"/>
        <v>1</v>
      </c>
    </row>
    <row r="25" spans="1:14" x14ac:dyDescent="0.2">
      <c r="A25" s="6" t="s">
        <v>64</v>
      </c>
      <c r="B25" s="7">
        <v>1</v>
      </c>
      <c r="C25" s="7" t="s">
        <v>618</v>
      </c>
      <c r="D25" s="7" t="s">
        <v>15</v>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0</v>
      </c>
      <c r="F25" s="7" t="s">
        <v>618</v>
      </c>
      <c r="G25" s="7" t="s">
        <v>15</v>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0</v>
      </c>
      <c r="I25" s="7" t="s">
        <v>618</v>
      </c>
      <c r="J25" s="7" t="s">
        <v>15</v>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0</v>
      </c>
      <c r="L25">
        <f>Summary!$B$3*((IF(D25="(none)",1,1+(E25+IF(G25=D25,H25,0)+IF(J25=D25,K25,0))/Summary!$B$3))*(IF(OR(G25="(none)",G25=D25),1,1+(H25+IF(D25=G25,E25,0)+IF(J25=G25,K25,0))/Summary!$B$3))*(IF(OR(J25="",J25="(none)",J25=D25,J25=G25),1,1+(K25+IF(D25=J25,E25,0)+IF(G25=J25,H25,0))/Summary!$B$3))-1)</f>
        <v>0</v>
      </c>
      <c r="M25" t="b">
        <f>OR(Inputs!$B$47="Lunar Dew",Inputs!$B$48="Lunar Dew",Inputs!$B$49="Lunar Dew",Inputs!$B$50="Lunar Dew")</f>
        <v>0</v>
      </c>
      <c r="N25">
        <f t="shared" si="1"/>
        <v>1</v>
      </c>
    </row>
    <row r="26" spans="1:14" x14ac:dyDescent="0.2">
      <c r="A26" s="6" t="s">
        <v>66</v>
      </c>
      <c r="B26" s="7" t="s">
        <v>625</v>
      </c>
      <c r="C26" s="7" t="s">
        <v>618</v>
      </c>
      <c r="D26" s="7" t="s">
        <v>15</v>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0</v>
      </c>
      <c r="F26" s="7" t="s">
        <v>618</v>
      </c>
      <c r="G26" s="7" t="s">
        <v>15</v>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0</v>
      </c>
      <c r="I26" s="7" t="s">
        <v>618</v>
      </c>
      <c r="J26" s="7" t="s">
        <v>15</v>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0</v>
      </c>
      <c r="L26">
        <f>Summary!$B$3*((IF(D26="(none)",1,1+(E26+IF(G26=D26,H26,0)+IF(J26=D26,K26,0))/Summary!$B$3))*(IF(OR(G26="(none)",G26=D26),1,1+(H26+IF(D26=G26,E26,0)+IF(J26=G26,K26,0))/Summary!$B$3))*(IF(OR(J26="",J26="(none)",J26=D26,J26=G26),1,1+(K26+IF(D26=J26,E26,0)+IF(G26=J26,H26,0))/Summary!$B$3))-1)</f>
        <v>0</v>
      </c>
      <c r="M26" t="b">
        <f>OR(Inputs!$B$47="Fire Flower",Inputs!$B$48="Fire Flower",Inputs!$B$49="Fire Flower",Inputs!$B$50="Fire Flower")</f>
        <v>0</v>
      </c>
      <c r="N26">
        <f t="shared" si="1"/>
        <v>0</v>
      </c>
    </row>
    <row r="27" spans="1:14" x14ac:dyDescent="0.2">
      <c r="A27" s="6" t="s">
        <v>68</v>
      </c>
      <c r="B27" s="7">
        <v>0</v>
      </c>
      <c r="C27" s="7" t="s">
        <v>618</v>
      </c>
      <c r="D27" s="7" t="s">
        <v>15</v>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0</v>
      </c>
      <c r="F27" s="7" t="s">
        <v>618</v>
      </c>
      <c r="G27" s="7" t="s">
        <v>15</v>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0</v>
      </c>
      <c r="I27" s="7" t="s">
        <v>618</v>
      </c>
      <c r="J27" s="7" t="s">
        <v>15</v>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0</v>
      </c>
      <c r="L27">
        <f>Summary!$B$3*((IF(D27="(none)",1,1+(E27+IF(G27=D27,H27,0)+IF(J27=D27,K27,0))/Summary!$B$3))*(IF(OR(G27="(none)",G27=D27),1,1+(H27+IF(D27=G27,E27,0)+IF(J27=G27,K27,0))/Summary!$B$3))*(IF(OR(J27="",J27="(none)",J27=D27,J27=G27),1,1+(K27+IF(D27=J27,E27,0)+IF(G27=J27,H27,0))/Summary!$B$3))-1)</f>
        <v>0</v>
      </c>
      <c r="M27" t="b">
        <f>OR(Inputs!$B$47="Soul Contract",Inputs!$B$48="Soul Contract",Inputs!$B$49="Soul Contract",Inputs!$B$50="Soul Contract")</f>
        <v>0</v>
      </c>
      <c r="N27">
        <f t="shared" si="1"/>
        <v>0</v>
      </c>
    </row>
    <row r="28" spans="1:14" x14ac:dyDescent="0.2">
      <c r="A28" s="6" t="s">
        <v>70</v>
      </c>
      <c r="B28" s="7" t="s">
        <v>625</v>
      </c>
      <c r="C28" s="7" t="s">
        <v>618</v>
      </c>
      <c r="D28" s="7" t="s">
        <v>15</v>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0</v>
      </c>
      <c r="F28" s="7" t="s">
        <v>618</v>
      </c>
      <c r="G28" s="7" t="s">
        <v>15</v>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0</v>
      </c>
      <c r="I28" s="7" t="s">
        <v>618</v>
      </c>
      <c r="J28" s="7" t="s">
        <v>15</v>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0</v>
      </c>
      <c r="L28">
        <f>Summary!$B$3*((IF(D28="(none)",1,1+(E28+IF(G28=D28,H28,0)+IF(J28=D28,K28,0))/Summary!$B$3))*(IF(OR(G28="(none)",G28=D28),1,1+(H28+IF(D28=G28,E28,0)+IF(J28=G28,K28,0))/Summary!$B$3))*(IF(OR(J28="",J28="(none)",J28=D28,J28=G28),1,1+(K28+IF(D28=J28,E28,0)+IF(G28=J28,H28,0))/Summary!$B$3))-1)</f>
        <v>0</v>
      </c>
      <c r="M28" t="b">
        <f>OR(Inputs!$B$47="Lit Lamp",Inputs!$B$48="Lit Lamp",Inputs!$B$49="Lit Lamp",Inputs!$B$50="Lit Lamp")</f>
        <v>0</v>
      </c>
      <c r="N28">
        <f t="shared" si="1"/>
        <v>0</v>
      </c>
    </row>
    <row r="29" spans="1:14" x14ac:dyDescent="0.2">
      <c r="A29" s="6" t="s">
        <v>72</v>
      </c>
      <c r="B29" s="7">
        <v>1</v>
      </c>
      <c r="C29" s="7" t="s">
        <v>623</v>
      </c>
      <c r="D29" s="7" t="s">
        <v>527</v>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296808255759612.31</v>
      </c>
      <c r="F29" s="7" t="s">
        <v>618</v>
      </c>
      <c r="G29" s="7" t="s">
        <v>15</v>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0</v>
      </c>
      <c r="I29" s="7" t="s">
        <v>618</v>
      </c>
      <c r="J29" s="7" t="s">
        <v>15</v>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0</v>
      </c>
      <c r="L29">
        <f>Summary!$B$3*((IF(D29="(none)",1,1+(E29+IF(G29=D29,H29,0)+IF(J29=D29,K29,0))/Summary!$B$3))*(IF(OR(G29="(none)",G29=D29),1,1+(H29+IF(D29=G29,E29,0)+IF(J29=G29,K29,0))/Summary!$B$3))*(IF(OR(J29="",J29="(none)",J29=D29,J29=G29),1,1+(K29+IF(D29=J29,E29,0)+IF(G29=J29,H29,0))/Summary!$B$3))-1)</f>
        <v>296808255759608.69</v>
      </c>
      <c r="M29" t="b">
        <f>OR(Inputs!$B$47="Soul Pouch",Inputs!$B$48="Soul Pouch",Inputs!$B$49="Soul Pouch",Inputs!$B$50="Soul Pouch")</f>
        <v>0</v>
      </c>
      <c r="N29">
        <f t="shared" si="1"/>
        <v>1</v>
      </c>
    </row>
    <row r="30" spans="1:14" x14ac:dyDescent="0.2">
      <c r="A30" s="6" t="s">
        <v>74</v>
      </c>
      <c r="B30" s="7">
        <v>1</v>
      </c>
      <c r="C30" s="7" t="s">
        <v>616</v>
      </c>
      <c r="D30" s="7" t="s">
        <v>534</v>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725746796205701.62</v>
      </c>
      <c r="F30" s="7" t="s">
        <v>618</v>
      </c>
      <c r="G30" s="7" t="s">
        <v>15</v>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0</v>
      </c>
      <c r="I30" s="7" t="s">
        <v>618</v>
      </c>
      <c r="J30" s="7" t="s">
        <v>15</v>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0</v>
      </c>
      <c r="L30">
        <f>Summary!$B$3*((IF(D30="(none)",1,1+(E30+IF(G30=D30,H30,0)+IF(J30=D30,K30,0))/Summary!$B$3))*(IF(OR(G30="(none)",G30=D30),1,1+(H30+IF(D30=G30,E30,0)+IF(J30=G30,K30,0))/Summary!$B$3))*(IF(OR(J30="",J30="(none)",J30=D30,J30=G30),1,1+(K30+IF(D30=J30,E30,0)+IF(G30=J30,H30,0))/Summary!$B$3))-1)</f>
        <v>725746796205701.62</v>
      </c>
      <c r="M30" t="b">
        <f>OR(Inputs!$B$47="Ancient Text Piece",Inputs!$B$48="Ancient Text Piece",Inputs!$B$49="Ancient Text Piece",Inputs!$B$50="Ancient Text Piece")</f>
        <v>0</v>
      </c>
      <c r="N30">
        <f t="shared" si="1"/>
        <v>1</v>
      </c>
    </row>
    <row r="31" spans="1:14" x14ac:dyDescent="0.2">
      <c r="A31" s="6" t="s">
        <v>76</v>
      </c>
      <c r="B31" s="7">
        <v>1</v>
      </c>
      <c r="C31" s="7" t="s">
        <v>616</v>
      </c>
      <c r="D31" s="7" t="s">
        <v>534</v>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725746796205701.62</v>
      </c>
      <c r="F31" s="7" t="s">
        <v>618</v>
      </c>
      <c r="G31" s="7" t="s">
        <v>15</v>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0</v>
      </c>
      <c r="I31" s="7" t="s">
        <v>618</v>
      </c>
      <c r="J31" s="7" t="s">
        <v>15</v>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0</v>
      </c>
      <c r="L31">
        <f>Summary!$B$3*((IF(D31="(none)",1,1+(E31+IF(G31=D31,H31,0)+IF(J31=D31,K31,0))/Summary!$B$3))*(IF(OR(G31="(none)",G31=D31),1,1+(H31+IF(D31=G31,E31,0)+IF(J31=G31,K31,0))/Summary!$B$3))*(IF(OR(J31="",J31="(none)",J31=D31,J31=G31),1,1+(K31+IF(D31=J31,E31,0)+IF(G31=J31,H31,0))/Summary!$B$3))-1)</f>
        <v>725746796205701.62</v>
      </c>
      <c r="M31" t="b">
        <f>OR(Inputs!$B$47="Icy Soul Rock",Inputs!$B$48="Icy Soul Rock",Inputs!$B$49="Icy Soul Rock",Inputs!$B$50="Icy Soul Rock")</f>
        <v>0</v>
      </c>
      <c r="N31">
        <f t="shared" si="1"/>
        <v>1</v>
      </c>
    </row>
    <row r="32" spans="1:14" x14ac:dyDescent="0.2">
      <c r="A32" s="6" t="s">
        <v>78</v>
      </c>
      <c r="B32" s="7">
        <v>1</v>
      </c>
      <c r="C32" s="7" t="s">
        <v>616</v>
      </c>
      <c r="D32" s="7" t="s">
        <v>520</v>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720694383615356</v>
      </c>
      <c r="F32" s="7" t="s">
        <v>618</v>
      </c>
      <c r="G32" s="7" t="s">
        <v>15</v>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0</v>
      </c>
      <c r="I32" s="7" t="s">
        <v>618</v>
      </c>
      <c r="J32" s="7" t="s">
        <v>15</v>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0</v>
      </c>
      <c r="L32">
        <f>Summary!$B$3*((IF(D32="(none)",1,1+(E32+IF(G32=D32,H32,0)+IF(J32=D32,K32,0))/Summary!$B$3))*(IF(OR(G32="(none)",G32=D32),1,1+(H32+IF(D32=G32,E32,0)+IF(J32=G32,K32,0))/Summary!$B$3))*(IF(OR(J32="",J32="(none)",J32=D32,J32=G32),1,1+(K32+IF(D32=J32,E32,0)+IF(G32=J32,H32,0))/Summary!$B$3))-1)</f>
        <v>720694383615355.88</v>
      </c>
      <c r="M32" t="b">
        <f>OR(Inputs!$B$47="Flaming Lava",Inputs!$B$48="Flaming Lava",Inputs!$B$49="Flaming Lava",Inputs!$B$50="Flaming Lava")</f>
        <v>0</v>
      </c>
      <c r="N32">
        <f t="shared" si="1"/>
        <v>1</v>
      </c>
    </row>
    <row r="33" spans="1:14" x14ac:dyDescent="0.2">
      <c r="A33" s="6" t="s">
        <v>80</v>
      </c>
      <c r="B33" s="7" t="s">
        <v>625</v>
      </c>
      <c r="C33" s="7" t="s">
        <v>618</v>
      </c>
      <c r="D33" s="7" t="s">
        <v>15</v>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0</v>
      </c>
      <c r="F33" s="7" t="s">
        <v>618</v>
      </c>
      <c r="G33" s="7" t="s">
        <v>15</v>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0</v>
      </c>
      <c r="I33" s="7" t="s">
        <v>618</v>
      </c>
      <c r="J33" s="7" t="s">
        <v>15</v>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0</v>
      </c>
      <c r="L33">
        <f>Summary!$B$3*((IF(D33="(none)",1,1+(E33+IF(G33=D33,H33,0)+IF(J33=D33,K33,0))/Summary!$B$3))*(IF(OR(G33="(none)",G33=D33),1,1+(H33+IF(D33=G33,E33,0)+IF(J33=G33,K33,0))/Summary!$B$3))*(IF(OR(J33="",J33="(none)",J33=D33,J33=G33),1,1+(K33+IF(D33=J33,E33,0)+IF(G33=J33,H33,0))/Summary!$B$3))-1)</f>
        <v>0</v>
      </c>
      <c r="M33" t="b">
        <f>OR(Inputs!$B$47="Sayram's Necklace",Inputs!$B$48="Sayram's Necklace",Inputs!$B$49="Sayram's Necklace",Inputs!$B$50="Sayram's Necklace")</f>
        <v>0</v>
      </c>
      <c r="N33">
        <f t="shared" si="1"/>
        <v>0</v>
      </c>
    </row>
    <row r="34" spans="1:14" x14ac:dyDescent="0.2">
      <c r="A34" s="6" t="s">
        <v>82</v>
      </c>
      <c r="B34" s="7" t="s">
        <v>625</v>
      </c>
      <c r="C34" s="7" t="s">
        <v>618</v>
      </c>
      <c r="D34" s="7" t="s">
        <v>15</v>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0</v>
      </c>
      <c r="F34" s="7" t="s">
        <v>618</v>
      </c>
      <c r="G34" s="7" t="s">
        <v>15</v>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0</v>
      </c>
      <c r="I34" s="7" t="s">
        <v>618</v>
      </c>
      <c r="J34" s="7" t="s">
        <v>15</v>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0</v>
      </c>
      <c r="L34">
        <f>Summary!$B$3*((IF(D34="(none)",1,1+(E34+IF(G34=D34,H34,0)+IF(J34=D34,K34,0))/Summary!$B$3))*(IF(OR(G34="(none)",G34=D34),1,1+(H34+IF(D34=G34,E34,0)+IF(J34=G34,K34,0))/Summary!$B$3))*(IF(OR(J34="",J34="(none)",J34=D34,J34=G34),1,1+(K34+IF(D34=J34,E34,0)+IF(G34=J34,H34,0))/Summary!$B$3))-1)</f>
        <v>0</v>
      </c>
      <c r="M34" t="b">
        <f>OR(Inputs!$B$47="Bottle of Emotion",Inputs!$B$48="Bottle of Emotion",Inputs!$B$49="Bottle of Emotion",Inputs!$B$50="Bottle of Emotion")</f>
        <v>0</v>
      </c>
      <c r="N34">
        <f t="shared" si="1"/>
        <v>0</v>
      </c>
    </row>
    <row r="35" spans="1:14" x14ac:dyDescent="0.2">
      <c r="A35" s="6" t="s">
        <v>83</v>
      </c>
      <c r="B35" s="7">
        <v>1</v>
      </c>
      <c r="C35" s="7" t="s">
        <v>620</v>
      </c>
      <c r="D35" s="7" t="s">
        <v>520</v>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1029563405164794.2</v>
      </c>
      <c r="F35" s="7" t="s">
        <v>618</v>
      </c>
      <c r="G35" s="7" t="s">
        <v>15</v>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0</v>
      </c>
      <c r="I35" s="7" t="s">
        <v>618</v>
      </c>
      <c r="J35" s="7" t="s">
        <v>15</v>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0</v>
      </c>
      <c r="L35">
        <f>Summary!$B$3*((IF(D35="(none)",1,1+(E35+IF(G35=D35,H35,0)+IF(J35=D35,K35,0))/Summary!$B$3))*(IF(OR(G35="(none)",G35=D35),1,1+(H35+IF(D35=G35,E35,0)+IF(J35=G35,K35,0))/Summary!$B$3))*(IF(OR(J35="",J35="(none)",J35=D35,J35=G35),1,1+(K35+IF(D35=J35,E35,0)+IF(G35=J35,H35,0))/Summary!$B$3))-1)</f>
        <v>1029563405164794.2</v>
      </c>
      <c r="M35" t="b">
        <f>OR(Inputs!$B$47="Peach Tree Herb Pouch",Inputs!$B$48="Peach Tree Herb Pouch",Inputs!$B$49="Peach Tree Herb Pouch",Inputs!$B$50="Peach Tree Herb Pouch")</f>
        <v>0</v>
      </c>
      <c r="N35">
        <f t="shared" si="1"/>
        <v>1</v>
      </c>
    </row>
    <row r="36" spans="1:14" x14ac:dyDescent="0.2">
      <c r="A36" s="6" t="s">
        <v>85</v>
      </c>
      <c r="B36" s="7">
        <v>0</v>
      </c>
      <c r="C36" s="7" t="s">
        <v>618</v>
      </c>
      <c r="D36" s="7" t="s">
        <v>15</v>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0</v>
      </c>
      <c r="F36" s="7" t="s">
        <v>618</v>
      </c>
      <c r="G36" s="7" t="s">
        <v>15</v>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0</v>
      </c>
      <c r="I36" s="7" t="s">
        <v>618</v>
      </c>
      <c r="J36" s="7" t="s">
        <v>15</v>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0</v>
      </c>
      <c r="L36">
        <f>Summary!$B$3*((IF(D36="(none)",1,1+(E36+IF(G36=D36,H36,0)+IF(J36=D36,K36,0))/Summary!$B$3))*(IF(OR(G36="(none)",G36=D36),1,1+(H36+IF(D36=G36,E36,0)+IF(J36=G36,K36,0))/Summary!$B$3))*(IF(OR(J36="",J36="(none)",J36=D36,J36=G36),1,1+(K36+IF(D36=J36,E36,0)+IF(G36=J36,H36,0))/Summary!$B$3))-1)</f>
        <v>0</v>
      </c>
      <c r="M36" t="b">
        <f>OR(Inputs!$B$47="Candle",Inputs!$B$48="Candle",Inputs!$B$49="Candle",Inputs!$B$50="Candle")</f>
        <v>0</v>
      </c>
      <c r="N36">
        <f t="shared" si="1"/>
        <v>0</v>
      </c>
    </row>
    <row r="37" spans="1:14" x14ac:dyDescent="0.2">
      <c r="A37" s="6" t="s">
        <v>87</v>
      </c>
      <c r="B37" s="7">
        <v>0</v>
      </c>
      <c r="C37" s="7" t="s">
        <v>618</v>
      </c>
      <c r="D37" s="7" t="s">
        <v>15</v>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0</v>
      </c>
      <c r="F37" s="7" t="s">
        <v>618</v>
      </c>
      <c r="G37" s="7" t="s">
        <v>15</v>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0</v>
      </c>
      <c r="I37" s="7" t="s">
        <v>618</v>
      </c>
      <c r="J37" s="7" t="s">
        <v>15</v>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0</v>
      </c>
      <c r="L37">
        <f>Summary!$B$3*((IF(D37="(none)",1,1+(E37+IF(G37=D37,H37,0)+IF(J37=D37,K37,0))/Summary!$B$3))*(IF(OR(G37="(none)",G37=D37),1,1+(H37+IF(D37=G37,E37,0)+IF(J37=G37,K37,0))/Summary!$B$3))*(IF(OR(J37="",J37="(none)",J37=D37,J37=G37),1,1+(K37+IF(D37=J37,E37,0)+IF(G37=J37,H37,0))/Summary!$B$3))-1)</f>
        <v>0</v>
      </c>
      <c r="M37" t="b">
        <f>OR(Inputs!$B$47="Alliance Badge",Inputs!$B$48="Alliance Badge",Inputs!$B$49="Alliance Badge",Inputs!$B$50="Alliance Badge")</f>
        <v>0</v>
      </c>
      <c r="N37">
        <f t="shared" si="1"/>
        <v>0</v>
      </c>
    </row>
    <row r="38" spans="1:14" x14ac:dyDescent="0.2">
      <c r="A38" s="6" t="s">
        <v>89</v>
      </c>
      <c r="B38" s="7" t="s">
        <v>625</v>
      </c>
      <c r="C38" s="7" t="s">
        <v>618</v>
      </c>
      <c r="D38" s="7" t="s">
        <v>15</v>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0</v>
      </c>
      <c r="F38" s="7" t="s">
        <v>618</v>
      </c>
      <c r="G38" s="7" t="s">
        <v>15</v>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0</v>
      </c>
      <c r="I38" s="7" t="s">
        <v>618</v>
      </c>
      <c r="J38" s="7" t="s">
        <v>15</v>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0</v>
      </c>
      <c r="L38">
        <f>Summary!$B$3*((IF(D38="(none)",1,1+(E38+IF(G38=D38,H38,0)+IF(J38=D38,K38,0))/Summary!$B$3))*(IF(OR(G38="(none)",G38=D38),1,1+(H38+IF(D38=G38,E38,0)+IF(J38=G38,K38,0))/Summary!$B$3))*(IF(OR(J38="",J38="(none)",J38=D38,J38=G38),1,1+(K38+IF(D38=J38,E38,0)+IF(G38=J38,H38,0))/Summary!$B$3))-1)</f>
        <v>0</v>
      </c>
      <c r="M38" t="b">
        <f>OR(Inputs!$B$47="Horn Flute",Inputs!$B$48="Horn Flute",Inputs!$B$49="Horn Flute",Inputs!$B$50="Horn Flute")</f>
        <v>0</v>
      </c>
      <c r="N38">
        <f t="shared" si="1"/>
        <v>0</v>
      </c>
    </row>
    <row r="39" spans="1:14" x14ac:dyDescent="0.2">
      <c r="A39" s="6" t="s">
        <v>91</v>
      </c>
      <c r="B39" s="7" t="s">
        <v>625</v>
      </c>
      <c r="C39" s="7" t="s">
        <v>618</v>
      </c>
      <c r="D39" s="7" t="s">
        <v>15</v>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0</v>
      </c>
      <c r="F39" s="7" t="s">
        <v>618</v>
      </c>
      <c r="G39" s="7" t="s">
        <v>15</v>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0</v>
      </c>
      <c r="I39" s="7" t="s">
        <v>618</v>
      </c>
      <c r="J39" s="7" t="s">
        <v>15</v>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0</v>
      </c>
      <c r="L39">
        <f>Summary!$B$3*((IF(D39="(none)",1,1+(E39+IF(G39=D39,H39,0)+IF(J39=D39,K39,0))/Summary!$B$3))*(IF(OR(G39="(none)",G39=D39),1,1+(H39+IF(D39=G39,E39,0)+IF(J39=G39,K39,0))/Summary!$B$3))*(IF(OR(J39="",J39="(none)",J39=D39,J39=G39),1,1+(K39+IF(D39=J39,E39,0)+IF(G39=J39,H39,0))/Summary!$B$3))-1)</f>
        <v>0</v>
      </c>
      <c r="M39" t="b">
        <f>OR(Inputs!$B$47="Cursed Doll",Inputs!$B$48="Cursed Doll",Inputs!$B$49="Cursed Doll",Inputs!$B$50="Cursed Doll")</f>
        <v>0</v>
      </c>
      <c r="N39">
        <f t="shared" si="1"/>
        <v>0</v>
      </c>
    </row>
    <row r="40" spans="1:14" x14ac:dyDescent="0.2">
      <c r="A40" s="6" t="s">
        <v>93</v>
      </c>
      <c r="B40" s="7">
        <v>1</v>
      </c>
      <c r="C40" s="7" t="s">
        <v>620</v>
      </c>
      <c r="D40" s="7" t="s">
        <v>536</v>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1307988047318130.2</v>
      </c>
      <c r="F40" s="7" t="s">
        <v>618</v>
      </c>
      <c r="G40" s="7" t="s">
        <v>15</v>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0</v>
      </c>
      <c r="I40" s="7" t="s">
        <v>618</v>
      </c>
      <c r="J40" s="7" t="s">
        <v>15</v>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0</v>
      </c>
      <c r="L40">
        <f>Summary!$B$3*((IF(D40="(none)",1,1+(E40+IF(G40=D40,H40,0)+IF(J40=D40,K40,0))/Summary!$B$3))*(IF(OR(G40="(none)",G40=D40),1,1+(H40+IF(D40=G40,E40,0)+IF(J40=G40,K40,0))/Summary!$B$3))*(IF(OR(J40="",J40="(none)",J40=D40,J40=G40),1,1+(K40+IF(D40=J40,E40,0)+IF(G40=J40,H40,0))/Summary!$B$3))-1)</f>
        <v>1307988047318130.2</v>
      </c>
      <c r="M40" t="b">
        <f>OR(Inputs!$B$47="Reindeer's Spear",Inputs!$B$48="Reindeer's Spear",Inputs!$B$49="Reindeer's Spear",Inputs!$B$50="Reindeer's Spear")</f>
        <v>0</v>
      </c>
      <c r="N40">
        <f t="shared" si="1"/>
        <v>1</v>
      </c>
    </row>
    <row r="41" spans="1:14" x14ac:dyDescent="0.2">
      <c r="A41" s="6" t="s">
        <v>96</v>
      </c>
      <c r="B41" s="7">
        <v>1</v>
      </c>
      <c r="C41" s="7" t="s">
        <v>616</v>
      </c>
      <c r="D41" s="7" t="s">
        <v>520</v>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720694383615356</v>
      </c>
      <c r="F41" s="7" t="s">
        <v>618</v>
      </c>
      <c r="G41" s="7" t="s">
        <v>15</v>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0</v>
      </c>
      <c r="I41" s="7" t="s">
        <v>618</v>
      </c>
      <c r="J41" s="7" t="s">
        <v>15</v>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0</v>
      </c>
      <c r="L41">
        <f>Summary!$B$3*((IF(D41="(none)",1,1+(E41+IF(G41=D41,H41,0)+IF(J41=D41,K41,0))/Summary!$B$3))*(IF(OR(G41="(none)",G41=D41),1,1+(H41+IF(D41=G41,E41,0)+IF(J41=G41,K41,0))/Summary!$B$3))*(IF(OR(J41="",J41="(none)",J41=D41,J41=G41),1,1+(K41+IF(D41=J41,E41,0)+IF(G41=J41,H41,0))/Summary!$B$3))-1)</f>
        <v>720694383615355.88</v>
      </c>
      <c r="M41" t="b">
        <f>OR(Inputs!$B$47="Secret Map",Inputs!$B$48="Secret Map",Inputs!$B$49="Secret Map",Inputs!$B$50="Secret Map")</f>
        <v>0</v>
      </c>
      <c r="N41">
        <f t="shared" si="1"/>
        <v>1</v>
      </c>
    </row>
    <row r="42" spans="1:14" x14ac:dyDescent="0.2">
      <c r="A42" s="6" t="s">
        <v>98</v>
      </c>
      <c r="B42" s="7">
        <v>1</v>
      </c>
      <c r="C42" s="7" t="s">
        <v>623</v>
      </c>
      <c r="D42" s="7" t="s">
        <v>536</v>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588594621293158.62</v>
      </c>
      <c r="F42" s="7" t="s">
        <v>618</v>
      </c>
      <c r="G42" s="7" t="s">
        <v>15</v>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0</v>
      </c>
      <c r="I42" s="7" t="s">
        <v>618</v>
      </c>
      <c r="J42" s="7" t="s">
        <v>15</v>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0</v>
      </c>
      <c r="L42">
        <f>Summary!$B$3*((IF(D42="(none)",1,1+(E42+IF(G42=D42,H42,0)+IF(J42=D42,K42,0))/Summary!$B$3))*(IF(OR(G42="(none)",G42=D42),1,1+(H42+IF(D42=G42,E42,0)+IF(J42=G42,K42,0))/Summary!$B$3))*(IF(OR(J42="",J42="(none)",J42=D42,J42=G42),1,1+(K42+IF(D42=J42,E42,0)+IF(G42=J42,H42,0))/Summary!$B$3))-1)</f>
        <v>588594621293158.62</v>
      </c>
      <c r="M42" t="b">
        <f>OR(Inputs!$B$47="Ring of Cycles",Inputs!$B$48="Ring of Cycles",Inputs!$B$49="Ring of Cycles",Inputs!$B$50="Ring of Cycles")</f>
        <v>1</v>
      </c>
      <c r="N42">
        <f t="shared" si="1"/>
        <v>1</v>
      </c>
    </row>
  </sheetData>
  <dataValidations count="3">
    <dataValidation type="list" sqref="B5 B6 B7 B8 B10 B11 B12 B13 B14 B15 B16 B17 B18 B20 B21 B22 B23 B24 B25 B26 B27 B28 B29 B30 B31 B32 B33 B34 B35 B36 B37 B38 B39 B40 B41 B42" xr:uid="{00000000-0002-0000-0A00-000000000000}">
      <formula1>"Not Unlocked,0,1,2,3,4,5"</formula1>
    </dataValidation>
    <dataValidation type="list"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xr:uid="{00000000-0002-0000-0A00-000001000000}">
      <formula1>"Rare,Epic,Unique,Legendary,Mystic,Mystic (Prime)"</formula1>
    </dataValidation>
    <dataValidation type="list"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xr:uid="{00000000-0002-0000-0A00-000002000000}">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35"/>
  <sheetViews>
    <sheetView tabSelected="1" workbookViewId="0">
      <pane ySplit="5" topLeftCell="A6" activePane="bottomLeft" state="frozen"/>
      <selection pane="bottomLeft" activeCell="J14" sqref="J14"/>
    </sheetView>
  </sheetViews>
  <sheetFormatPr baseColWidth="10" defaultColWidth="8.83203125" defaultRowHeight="15" x14ac:dyDescent="0.2"/>
  <cols>
    <col min="1" max="1" width="12" customWidth="1"/>
    <col min="2" max="2" width="15" customWidth="1"/>
    <col min="3" max="3" width="13" customWidth="1"/>
    <col min="4" max="4" width="18" customWidth="1"/>
    <col min="5" max="5" width="26" customWidth="1"/>
    <col min="6" max="6" width="11" customWidth="1"/>
    <col min="7" max="7" width="26" customWidth="1"/>
    <col min="8" max="8" width="11" customWidth="1"/>
    <col min="9" max="9" width="26" customWidth="1"/>
    <col min="10" max="10" width="11" customWidth="1"/>
  </cols>
  <sheetData>
    <row r="1" spans="1:10" ht="19" x14ac:dyDescent="0.25">
      <c r="A1" s="4" t="s">
        <v>626</v>
      </c>
    </row>
    <row r="2" spans="1:10" x14ac:dyDescent="0.2">
      <c r="A2" t="s">
        <v>627</v>
      </c>
    </row>
    <row r="3" spans="1:10" x14ac:dyDescent="0.2">
      <c r="A3" t="s">
        <v>628</v>
      </c>
    </row>
    <row r="5" spans="1:10" x14ac:dyDescent="0.2">
      <c r="A5" s="5" t="s">
        <v>545</v>
      </c>
      <c r="B5" s="5" t="s">
        <v>629</v>
      </c>
      <c r="C5" s="5" t="s">
        <v>630</v>
      </c>
      <c r="D5" s="5" t="s">
        <v>631</v>
      </c>
      <c r="E5" s="5" t="s">
        <v>605</v>
      </c>
      <c r="F5" s="5" t="s">
        <v>632</v>
      </c>
      <c r="G5" s="5" t="s">
        <v>608</v>
      </c>
      <c r="H5" s="5" t="s">
        <v>633</v>
      </c>
      <c r="I5" s="5" t="s">
        <v>634</v>
      </c>
      <c r="J5" s="5" t="s">
        <v>635</v>
      </c>
    </row>
    <row r="6" spans="1:10" x14ac:dyDescent="0.2">
      <c r="A6" t="s">
        <v>559</v>
      </c>
      <c r="B6" t="s">
        <v>558</v>
      </c>
      <c r="C6" t="s">
        <v>574</v>
      </c>
      <c r="D6">
        <v>0</v>
      </c>
      <c r="E6" t="s">
        <v>565</v>
      </c>
      <c r="F6">
        <v>25</v>
      </c>
      <c r="G6" t="s">
        <v>580</v>
      </c>
      <c r="H6">
        <v>15</v>
      </c>
      <c r="I6" t="s">
        <v>586</v>
      </c>
      <c r="J6">
        <v>25</v>
      </c>
    </row>
    <row r="7" spans="1:10" x14ac:dyDescent="0.2">
      <c r="A7" t="s">
        <v>559</v>
      </c>
      <c r="B7" t="s">
        <v>578</v>
      </c>
      <c r="C7" t="s">
        <v>563</v>
      </c>
      <c r="D7">
        <v>49</v>
      </c>
      <c r="E7" t="s">
        <v>580</v>
      </c>
      <c r="F7">
        <v>9</v>
      </c>
      <c r="G7" t="s">
        <v>584</v>
      </c>
      <c r="H7">
        <v>4.5</v>
      </c>
      <c r="I7" t="s">
        <v>565</v>
      </c>
      <c r="J7">
        <v>6</v>
      </c>
    </row>
    <row r="8" spans="1:10" x14ac:dyDescent="0.2">
      <c r="A8" t="s">
        <v>562</v>
      </c>
      <c r="B8" t="s">
        <v>558</v>
      </c>
      <c r="C8" t="s">
        <v>570</v>
      </c>
      <c r="D8">
        <v>67</v>
      </c>
      <c r="E8" t="s">
        <v>541</v>
      </c>
      <c r="F8">
        <v>8</v>
      </c>
      <c r="G8" t="s">
        <v>565</v>
      </c>
      <c r="H8">
        <v>15</v>
      </c>
      <c r="I8" t="s">
        <v>541</v>
      </c>
      <c r="J8">
        <v>5</v>
      </c>
    </row>
    <row r="9" spans="1:10" x14ac:dyDescent="0.2">
      <c r="A9" t="s">
        <v>562</v>
      </c>
      <c r="B9" t="s">
        <v>578</v>
      </c>
      <c r="C9" t="s">
        <v>563</v>
      </c>
      <c r="D9">
        <v>14</v>
      </c>
      <c r="E9" t="s">
        <v>565</v>
      </c>
      <c r="F9">
        <v>8</v>
      </c>
      <c r="G9" t="s">
        <v>580</v>
      </c>
      <c r="H9">
        <v>4.5</v>
      </c>
      <c r="I9" t="s">
        <v>568</v>
      </c>
      <c r="J9">
        <v>6</v>
      </c>
    </row>
    <row r="10" spans="1:10" x14ac:dyDescent="0.2">
      <c r="A10" t="s">
        <v>564</v>
      </c>
      <c r="B10" t="s">
        <v>558</v>
      </c>
      <c r="C10" t="s">
        <v>574</v>
      </c>
      <c r="D10">
        <v>0</v>
      </c>
      <c r="E10" t="s">
        <v>569</v>
      </c>
      <c r="F10">
        <v>3</v>
      </c>
      <c r="G10" t="s">
        <v>527</v>
      </c>
      <c r="H10">
        <v>12</v>
      </c>
      <c r="I10" t="s">
        <v>569</v>
      </c>
      <c r="J10">
        <v>2</v>
      </c>
    </row>
    <row r="11" spans="1:10" x14ac:dyDescent="0.2">
      <c r="A11" t="s">
        <v>564</v>
      </c>
      <c r="B11" t="s">
        <v>578</v>
      </c>
      <c r="C11" t="s">
        <v>566</v>
      </c>
      <c r="D11">
        <v>20</v>
      </c>
      <c r="E11" t="s">
        <v>595</v>
      </c>
      <c r="F11">
        <v>400</v>
      </c>
      <c r="G11" t="s">
        <v>580</v>
      </c>
      <c r="H11">
        <v>9</v>
      </c>
      <c r="I11" t="s">
        <v>580</v>
      </c>
      <c r="J11">
        <v>6</v>
      </c>
    </row>
    <row r="12" spans="1:10" x14ac:dyDescent="0.2">
      <c r="A12" t="s">
        <v>567</v>
      </c>
      <c r="B12" t="s">
        <v>558</v>
      </c>
      <c r="C12" t="s">
        <v>570</v>
      </c>
      <c r="D12">
        <v>44</v>
      </c>
      <c r="E12" t="s">
        <v>589</v>
      </c>
      <c r="F12">
        <v>12</v>
      </c>
      <c r="G12" t="s">
        <v>568</v>
      </c>
      <c r="H12">
        <v>10</v>
      </c>
      <c r="I12" t="s">
        <v>544</v>
      </c>
      <c r="J12">
        <v>5</v>
      </c>
    </row>
    <row r="13" spans="1:10" x14ac:dyDescent="0.2">
      <c r="A13" t="s">
        <v>567</v>
      </c>
      <c r="B13" t="s">
        <v>578</v>
      </c>
      <c r="C13" t="s">
        <v>563</v>
      </c>
      <c r="D13">
        <v>19</v>
      </c>
      <c r="E13" t="s">
        <v>580</v>
      </c>
      <c r="F13">
        <v>6</v>
      </c>
      <c r="G13" t="s">
        <v>580</v>
      </c>
      <c r="H13">
        <v>6</v>
      </c>
      <c r="I13" t="s">
        <v>595</v>
      </c>
      <c r="J13">
        <v>100</v>
      </c>
    </row>
    <row r="14" spans="1:10" x14ac:dyDescent="0.2">
      <c r="A14" t="s">
        <v>571</v>
      </c>
      <c r="B14" t="s">
        <v>558</v>
      </c>
      <c r="C14" t="s">
        <v>570</v>
      </c>
      <c r="D14">
        <v>15</v>
      </c>
      <c r="E14" t="s">
        <v>565</v>
      </c>
      <c r="F14">
        <v>15</v>
      </c>
      <c r="G14" t="s">
        <v>541</v>
      </c>
      <c r="H14">
        <v>8</v>
      </c>
      <c r="I14" t="s">
        <v>584</v>
      </c>
      <c r="J14">
        <v>9</v>
      </c>
    </row>
    <row r="15" spans="1:10" x14ac:dyDescent="0.2">
      <c r="A15" t="s">
        <v>571</v>
      </c>
      <c r="B15" t="s">
        <v>578</v>
      </c>
      <c r="C15" t="s">
        <v>563</v>
      </c>
      <c r="D15">
        <v>78</v>
      </c>
      <c r="E15" t="s">
        <v>528</v>
      </c>
      <c r="F15">
        <v>12</v>
      </c>
      <c r="G15" t="s">
        <v>580</v>
      </c>
      <c r="H15">
        <v>4.5</v>
      </c>
      <c r="I15" t="s">
        <v>565</v>
      </c>
      <c r="J15">
        <v>6</v>
      </c>
    </row>
    <row r="16" spans="1:10" x14ac:dyDescent="0.2">
      <c r="A16" t="s">
        <v>575</v>
      </c>
      <c r="B16" t="s">
        <v>558</v>
      </c>
      <c r="C16" t="s">
        <v>574</v>
      </c>
      <c r="D16">
        <v>0</v>
      </c>
      <c r="E16" t="s">
        <v>568</v>
      </c>
      <c r="F16">
        <v>25</v>
      </c>
      <c r="G16" t="s">
        <v>595</v>
      </c>
      <c r="H16">
        <v>600</v>
      </c>
      <c r="I16" t="s">
        <v>580</v>
      </c>
      <c r="J16">
        <v>15</v>
      </c>
    </row>
    <row r="17" spans="1:10" x14ac:dyDescent="0.2">
      <c r="A17" t="s">
        <v>575</v>
      </c>
      <c r="B17" t="s">
        <v>578</v>
      </c>
      <c r="C17" t="s">
        <v>561</v>
      </c>
      <c r="D17">
        <v>19</v>
      </c>
      <c r="E17" t="s">
        <v>580</v>
      </c>
      <c r="F17">
        <v>4.5</v>
      </c>
      <c r="G17" t="s">
        <v>528</v>
      </c>
      <c r="H17">
        <v>8</v>
      </c>
      <c r="I17" t="s">
        <v>568</v>
      </c>
      <c r="J17">
        <v>3</v>
      </c>
    </row>
    <row r="18" spans="1:10" x14ac:dyDescent="0.2">
      <c r="A18" t="s">
        <v>579</v>
      </c>
      <c r="B18" t="s">
        <v>558</v>
      </c>
      <c r="C18" t="s">
        <v>570</v>
      </c>
      <c r="D18">
        <v>64</v>
      </c>
      <c r="E18" t="s">
        <v>588</v>
      </c>
      <c r="F18">
        <v>12</v>
      </c>
      <c r="G18" t="s">
        <v>528</v>
      </c>
      <c r="H18">
        <v>18</v>
      </c>
      <c r="I18" t="s">
        <v>530</v>
      </c>
      <c r="J18">
        <v>30</v>
      </c>
    </row>
    <row r="19" spans="1:10" x14ac:dyDescent="0.2">
      <c r="A19" t="s">
        <v>579</v>
      </c>
      <c r="B19" t="s">
        <v>578</v>
      </c>
      <c r="C19" t="s">
        <v>563</v>
      </c>
      <c r="D19">
        <v>25</v>
      </c>
      <c r="E19" t="s">
        <v>527</v>
      </c>
      <c r="F19">
        <v>6</v>
      </c>
      <c r="G19" t="s">
        <v>568</v>
      </c>
      <c r="H19">
        <v>8</v>
      </c>
      <c r="I19" t="s">
        <v>580</v>
      </c>
      <c r="J19">
        <v>4.5</v>
      </c>
    </row>
    <row r="20" spans="1:10" x14ac:dyDescent="0.2">
      <c r="A20" t="s">
        <v>581</v>
      </c>
      <c r="B20" t="s">
        <v>558</v>
      </c>
      <c r="C20" t="s">
        <v>570</v>
      </c>
      <c r="D20">
        <v>101</v>
      </c>
      <c r="E20" t="s">
        <v>528</v>
      </c>
      <c r="F20">
        <v>25</v>
      </c>
      <c r="G20" t="s">
        <v>580</v>
      </c>
      <c r="H20">
        <v>12</v>
      </c>
      <c r="I20" t="s">
        <v>528</v>
      </c>
      <c r="J20">
        <v>18</v>
      </c>
    </row>
    <row r="21" spans="1:10" x14ac:dyDescent="0.2">
      <c r="A21" t="s">
        <v>581</v>
      </c>
      <c r="B21" t="s">
        <v>578</v>
      </c>
      <c r="C21" t="s">
        <v>566</v>
      </c>
      <c r="D21">
        <v>151</v>
      </c>
      <c r="E21" t="s">
        <v>580</v>
      </c>
      <c r="F21">
        <v>9</v>
      </c>
      <c r="G21" t="s">
        <v>568</v>
      </c>
      <c r="H21">
        <v>8</v>
      </c>
      <c r="I21" t="s">
        <v>586</v>
      </c>
      <c r="J21">
        <v>12</v>
      </c>
    </row>
    <row r="22" spans="1:10" x14ac:dyDescent="0.2">
      <c r="A22" t="s">
        <v>583</v>
      </c>
      <c r="B22" t="s">
        <v>558</v>
      </c>
      <c r="C22" t="s">
        <v>566</v>
      </c>
      <c r="D22">
        <v>63</v>
      </c>
      <c r="E22" t="s">
        <v>560</v>
      </c>
      <c r="F22">
        <v>8</v>
      </c>
      <c r="G22" t="s">
        <v>527</v>
      </c>
      <c r="H22">
        <v>6</v>
      </c>
      <c r="I22" t="s">
        <v>580</v>
      </c>
      <c r="J22">
        <v>6</v>
      </c>
    </row>
    <row r="23" spans="1:10" x14ac:dyDescent="0.2">
      <c r="A23" t="s">
        <v>583</v>
      </c>
      <c r="B23" t="s">
        <v>578</v>
      </c>
      <c r="C23" t="s">
        <v>566</v>
      </c>
      <c r="D23">
        <v>3</v>
      </c>
      <c r="E23" t="s">
        <v>580</v>
      </c>
      <c r="F23">
        <v>9</v>
      </c>
      <c r="G23" t="s">
        <v>528</v>
      </c>
      <c r="H23">
        <v>12</v>
      </c>
      <c r="I23" t="s">
        <v>595</v>
      </c>
      <c r="J23">
        <v>200</v>
      </c>
    </row>
    <row r="24" spans="1:10" x14ac:dyDescent="0.2">
      <c r="A24" t="s">
        <v>585</v>
      </c>
      <c r="B24" t="s">
        <v>558</v>
      </c>
      <c r="C24" t="s">
        <v>570</v>
      </c>
      <c r="D24">
        <v>14</v>
      </c>
      <c r="E24" t="s">
        <v>560</v>
      </c>
      <c r="F24">
        <v>12</v>
      </c>
      <c r="G24" t="s">
        <v>565</v>
      </c>
      <c r="H24">
        <v>15</v>
      </c>
      <c r="I24" t="s">
        <v>580</v>
      </c>
      <c r="J24">
        <v>9</v>
      </c>
    </row>
    <row r="25" spans="1:10" x14ac:dyDescent="0.2">
      <c r="A25" t="s">
        <v>585</v>
      </c>
      <c r="B25" t="s">
        <v>578</v>
      </c>
      <c r="C25" t="s">
        <v>570</v>
      </c>
      <c r="D25">
        <v>66</v>
      </c>
      <c r="E25" t="s">
        <v>582</v>
      </c>
      <c r="F25">
        <v>12</v>
      </c>
      <c r="G25" t="s">
        <v>580</v>
      </c>
      <c r="H25">
        <v>9</v>
      </c>
      <c r="I25" t="s">
        <v>560</v>
      </c>
      <c r="J25">
        <v>8</v>
      </c>
    </row>
    <row r="26" spans="1:10" x14ac:dyDescent="0.2">
      <c r="A26" t="s">
        <v>587</v>
      </c>
      <c r="B26" t="s">
        <v>558</v>
      </c>
      <c r="C26" t="s">
        <v>570</v>
      </c>
      <c r="D26">
        <v>331</v>
      </c>
      <c r="E26" t="s">
        <v>599</v>
      </c>
      <c r="F26">
        <v>35</v>
      </c>
      <c r="G26" t="s">
        <v>595</v>
      </c>
      <c r="H26">
        <v>400</v>
      </c>
      <c r="I26" t="s">
        <v>595</v>
      </c>
      <c r="J26">
        <v>400</v>
      </c>
    </row>
    <row r="27" spans="1:10" x14ac:dyDescent="0.2">
      <c r="A27" t="s">
        <v>587</v>
      </c>
      <c r="B27" t="s">
        <v>578</v>
      </c>
      <c r="C27" t="s">
        <v>566</v>
      </c>
      <c r="D27">
        <v>19</v>
      </c>
      <c r="E27" t="s">
        <v>599</v>
      </c>
      <c r="F27">
        <v>20</v>
      </c>
      <c r="G27" t="s">
        <v>586</v>
      </c>
      <c r="H27">
        <v>15</v>
      </c>
      <c r="I27" t="s">
        <v>568</v>
      </c>
      <c r="J27">
        <v>8</v>
      </c>
    </row>
    <row r="28" spans="1:10" x14ac:dyDescent="0.2">
      <c r="A28" t="s">
        <v>590</v>
      </c>
      <c r="B28" t="s">
        <v>558</v>
      </c>
      <c r="C28" t="s">
        <v>570</v>
      </c>
      <c r="D28">
        <v>93</v>
      </c>
      <c r="E28" t="s">
        <v>580</v>
      </c>
      <c r="F28">
        <v>12</v>
      </c>
      <c r="G28" t="s">
        <v>584</v>
      </c>
      <c r="H28">
        <v>9</v>
      </c>
      <c r="I28" t="s">
        <v>580</v>
      </c>
      <c r="J28">
        <v>12</v>
      </c>
    </row>
    <row r="29" spans="1:10" x14ac:dyDescent="0.2">
      <c r="A29" t="s">
        <v>590</v>
      </c>
      <c r="B29" t="s">
        <v>578</v>
      </c>
      <c r="C29" t="s">
        <v>566</v>
      </c>
      <c r="D29">
        <v>22</v>
      </c>
      <c r="E29" t="s">
        <v>580</v>
      </c>
      <c r="F29">
        <v>9</v>
      </c>
      <c r="G29" t="s">
        <v>568</v>
      </c>
      <c r="H29">
        <v>10</v>
      </c>
      <c r="I29" t="s">
        <v>597</v>
      </c>
      <c r="J29">
        <v>200</v>
      </c>
    </row>
    <row r="30" spans="1:10" x14ac:dyDescent="0.2">
      <c r="A30" t="s">
        <v>593</v>
      </c>
      <c r="B30" t="s">
        <v>558</v>
      </c>
      <c r="C30" t="s">
        <v>570</v>
      </c>
      <c r="D30">
        <v>172</v>
      </c>
      <c r="E30" t="s">
        <v>541</v>
      </c>
      <c r="F30">
        <v>8</v>
      </c>
      <c r="G30" t="s">
        <v>588</v>
      </c>
      <c r="H30">
        <v>9</v>
      </c>
      <c r="I30" t="s">
        <v>528</v>
      </c>
      <c r="J30">
        <v>18</v>
      </c>
    </row>
    <row r="31" spans="1:10" x14ac:dyDescent="0.2">
      <c r="A31" t="s">
        <v>593</v>
      </c>
      <c r="B31" t="s">
        <v>578</v>
      </c>
      <c r="C31" t="s">
        <v>566</v>
      </c>
      <c r="D31">
        <v>59</v>
      </c>
      <c r="E31" t="s">
        <v>541</v>
      </c>
      <c r="F31">
        <v>5</v>
      </c>
      <c r="G31" t="s">
        <v>588</v>
      </c>
      <c r="H31">
        <v>3</v>
      </c>
      <c r="I31" t="s">
        <v>591</v>
      </c>
      <c r="J31">
        <v>200</v>
      </c>
    </row>
    <row r="32" spans="1:10" x14ac:dyDescent="0.2">
      <c r="A32" t="s">
        <v>594</v>
      </c>
      <c r="B32" t="s">
        <v>558</v>
      </c>
      <c r="C32" t="s">
        <v>574</v>
      </c>
      <c r="D32">
        <v>0</v>
      </c>
      <c r="E32" t="s">
        <v>543</v>
      </c>
      <c r="F32">
        <v>30</v>
      </c>
      <c r="G32" t="s">
        <v>544</v>
      </c>
      <c r="H32">
        <v>7</v>
      </c>
      <c r="I32" t="s">
        <v>580</v>
      </c>
      <c r="J32">
        <v>12</v>
      </c>
    </row>
    <row r="33" spans="1:10" x14ac:dyDescent="0.2">
      <c r="A33" t="s">
        <v>594</v>
      </c>
      <c r="B33" t="s">
        <v>578</v>
      </c>
      <c r="C33" t="s">
        <v>566</v>
      </c>
      <c r="D33">
        <v>8</v>
      </c>
      <c r="E33" t="s">
        <v>580</v>
      </c>
      <c r="F33">
        <v>9</v>
      </c>
      <c r="G33" t="s">
        <v>568</v>
      </c>
      <c r="H33">
        <v>10</v>
      </c>
      <c r="I33" t="s">
        <v>584</v>
      </c>
      <c r="J33">
        <v>6</v>
      </c>
    </row>
    <row r="34" spans="1:10" x14ac:dyDescent="0.2">
      <c r="A34" t="s">
        <v>596</v>
      </c>
      <c r="B34" t="s">
        <v>558</v>
      </c>
      <c r="C34" t="s">
        <v>570</v>
      </c>
      <c r="D34">
        <v>68</v>
      </c>
      <c r="E34" t="s">
        <v>598</v>
      </c>
      <c r="F34">
        <v>0.8</v>
      </c>
      <c r="G34" t="s">
        <v>591</v>
      </c>
      <c r="H34">
        <v>400</v>
      </c>
      <c r="I34" t="s">
        <v>568</v>
      </c>
      <c r="J34">
        <v>10</v>
      </c>
    </row>
    <row r="35" spans="1:10" x14ac:dyDescent="0.2">
      <c r="A35" t="s">
        <v>596</v>
      </c>
      <c r="B35" t="s">
        <v>578</v>
      </c>
      <c r="C35" t="s">
        <v>563</v>
      </c>
      <c r="D35">
        <v>27</v>
      </c>
      <c r="E35" t="s">
        <v>598</v>
      </c>
      <c r="F35">
        <v>0.4</v>
      </c>
      <c r="G35" t="s">
        <v>591</v>
      </c>
      <c r="H35">
        <v>200</v>
      </c>
      <c r="I35" t="s">
        <v>584</v>
      </c>
      <c r="J35">
        <v>4.5</v>
      </c>
    </row>
  </sheetData>
  <dataValidations count="1">
    <dataValidation type="list" sqref="C6 C7 C8 C9 C10 C11 C12 C13 C14 C15 C16 C17 C18 C19 C20 C21 C22 C23 C24 C25 C26 C27 C28 C29 C30 C31 C32 C33 C34 C35" xr:uid="{00000000-0002-0000-0B00-000000000000}">
      <formula1>"normal,rare,epic,unique,legendary,mystic"</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B00-000001000000}">
          <x14:formula1>
            <xm:f>CubeData!$J$2:$J$30</xm:f>
          </x14:formula1>
          <xm: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Inputs</vt:lpstr>
      <vt:lpstr>FactorTable</vt:lpstr>
      <vt:lpstr>Skills</vt:lpstr>
      <vt:lpstr>Artifacts</vt:lpstr>
      <vt:lpstr>Calc</vt:lpstr>
      <vt:lpstr>Summary</vt:lpstr>
      <vt:lpstr>Sensitivity</vt:lpstr>
      <vt:lpstr>Equipment Compare</vt:lpstr>
      <vt:lpstr>CubeData</vt:lpstr>
      <vt:lpstr>ArtifactsInput</vt:lpstr>
      <vt:lpstr>PotentialCubes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Yaniv Goft</cp:lastModifiedBy>
  <dcterms:created xsi:type="dcterms:W3CDTF">2026-10-22T15:47:11Z</dcterms:created>
  <dcterms:modified xsi:type="dcterms:W3CDTF">2026-10-26T08:51:43Z</dcterms:modified>
</cp:coreProperties>
</file>