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/Thermodynamics Lab II/cp of a solid/"/>
    </mc:Choice>
  </mc:AlternateContent>
  <xr:revisionPtr revIDLastSave="0" documentId="13_ncr:1_{947FDDFA-65DE-7144-9905-490F11274C2B}" xr6:coauthVersionLast="47" xr6:coauthVersionMax="47" xr10:uidLastSave="{00000000-0000-0000-0000-000000000000}"/>
  <bookViews>
    <workbookView xWindow="0" yWindow="500" windowWidth="28800" windowHeight="15600" activeTab="2" xr2:uid="{BC84DA54-B765-46B5-B6BD-61C442E44454}"/>
  </bookViews>
  <sheets>
    <sheet name="St" sheetId="2" r:id="rId1"/>
    <sheet name="Al (good)" sheetId="3" r:id="rId2"/>
    <sheet name="Bra" sheetId="4" r:id="rId3"/>
    <sheet name="Sheet1" sheetId="1" r:id="rId4"/>
  </sheets>
  <definedNames>
    <definedName name="ExternalData_1" localSheetId="1" hidden="1">'Al (good)'!$A$1:$E$39</definedName>
    <definedName name="ExternalData_1" localSheetId="2" hidden="1">Bra!$A$1:$E$37</definedName>
    <definedName name="ExternalData_1" localSheetId="0" hidden="1">St!$A$1:$E$42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5" i="4" l="1"/>
  <c r="C46" i="4" s="1"/>
  <c r="C47" i="4" s="1"/>
  <c r="L25" i="1"/>
  <c r="L24" i="1"/>
  <c r="L23" i="1"/>
  <c r="L22" i="1"/>
  <c r="L21" i="1"/>
  <c r="L20" i="1"/>
  <c r="J25" i="1"/>
  <c r="J24" i="1"/>
  <c r="J23" i="1"/>
  <c r="K23" i="1"/>
  <c r="C38" i="4"/>
  <c r="L9" i="2"/>
  <c r="L6" i="2"/>
  <c r="L5" i="2"/>
  <c r="L4" i="2"/>
  <c r="K5" i="2"/>
  <c r="J5" i="2"/>
  <c r="P23" i="2"/>
  <c r="P22" i="2"/>
  <c r="O22" i="3"/>
  <c r="O21" i="3"/>
  <c r="M15" i="2"/>
  <c r="L15" i="2"/>
  <c r="L14" i="2"/>
  <c r="M14" i="2" s="1"/>
  <c r="K22" i="2"/>
  <c r="K23" i="2"/>
  <c r="J24" i="2"/>
  <c r="I24" i="2"/>
  <c r="N22" i="3"/>
  <c r="J23" i="3"/>
  <c r="I23" i="3"/>
  <c r="K22" i="3"/>
  <c r="I24" i="4"/>
  <c r="H9" i="2" a="1"/>
  <c r="H9" i="2" s="1"/>
  <c r="H15" i="2" a="1"/>
  <c r="H15" i="2" s="1"/>
  <c r="G11" i="3" a="1"/>
  <c r="G11" i="3" s="1"/>
  <c r="K21" i="3"/>
  <c r="G2" i="3" a="1"/>
  <c r="G2" i="3" s="1"/>
  <c r="G2" i="4" a="1"/>
  <c r="G2" i="4" s="1"/>
  <c r="D5" i="1"/>
  <c r="J20" i="1" s="1"/>
  <c r="C9" i="1"/>
  <c r="F15" i="1" s="1"/>
  <c r="H22" i="4"/>
  <c r="H24" i="4" s="1"/>
  <c r="N21" i="3"/>
  <c r="I21" i="3"/>
  <c r="I22" i="2"/>
  <c r="K8" i="1"/>
  <c r="M8" i="1"/>
  <c r="L8" i="1"/>
  <c r="C5" i="1"/>
  <c r="G9" i="4" l="1" a="1"/>
  <c r="G9" i="4" s="1"/>
  <c r="K20" i="1"/>
  <c r="E15" i="1"/>
  <c r="D9" i="1"/>
  <c r="J22" i="4"/>
  <c r="M22" i="4" s="1"/>
  <c r="N23" i="4" s="1"/>
  <c r="J23" i="4"/>
  <c r="O23" i="2"/>
  <c r="O22" i="2"/>
  <c r="C11" i="1"/>
  <c r="D15" i="1" l="1"/>
  <c r="L13" i="1"/>
  <c r="L16" i="1" s="1"/>
  <c r="J22" i="1"/>
  <c r="K22" i="1"/>
  <c r="M23" i="4"/>
  <c r="N22" i="4"/>
  <c r="L12" i="1"/>
  <c r="J21" i="1" s="1"/>
  <c r="L11" i="1"/>
  <c r="K21" i="1" s="1"/>
  <c r="D11" i="1"/>
  <c r="C12" i="1" s="1"/>
  <c r="K25" i="1" s="1"/>
  <c r="K24" i="1" l="1"/>
  <c r="D12" i="1"/>
  <c r="H15" i="1"/>
  <c r="G15" i="1"/>
  <c r="L15" i="1"/>
  <c r="L14" i="1"/>
  <c r="M12" i="1"/>
  <c r="M15" i="1" s="1"/>
  <c r="M13" i="1"/>
  <c r="M16" i="1" s="1"/>
  <c r="M11" i="1" l="1"/>
  <c r="M14" i="1" s="1"/>
  <c r="N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DE299-F9D1-419C-91B9-BDD5C21156F5}" keepAlive="1" name="Query - Al (good)" description="Connection to the 'Al (good)' query in the workbook." type="5" refreshedVersion="7" background="1" saveData="1">
    <dbPr connection="Provider=Microsoft.Mashup.OleDb.1;Data Source=$Workbook$;Location=&quot;Al (good)&quot;;Extended Properties=&quot;&quot;" command="SELECT * FROM [Al (good)]"/>
  </connection>
  <connection id="2" xr16:uid="{AEF1C252-8399-434A-96A0-D59D5903483D}" keepAlive="1" name="Query - Bra" description="Connection to the 'Bra' query in the workbook." type="5" refreshedVersion="7" background="1" saveData="1">
    <dbPr connection="Provider=Microsoft.Mashup.OleDb.1;Data Source=$Workbook$;Location=Bra;Extended Properties=&quot;&quot;" command="SELECT * FROM [Bra]"/>
  </connection>
  <connection id="3" xr16:uid="{88E56777-DB40-4B50-9FCC-64851F74947A}" keepAlive="1" name="Query - St" description="Connection to the 'St' query in the workbook." type="5" refreshedVersion="7" background="1" saveData="1">
    <dbPr connection="Provider=Microsoft.Mashup.OleDb.1;Data Source=$Workbook$;Location=St;Extended Properties=&quot;&quot;" command="SELECT * FROM [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<sst xmlns="http://schemas.openxmlformats.org/spreadsheetml/2006/main" count="323" uniqueCount="55">
  <si>
    <t>Calorimeter mass (empty)</t>
  </si>
  <si>
    <t>Calorimeter mass (water)</t>
  </si>
  <si>
    <t>Calorimeter mass 2 (water)</t>
  </si>
  <si>
    <t>TH</t>
  </si>
  <si>
    <t>TC</t>
  </si>
  <si>
    <t>Teq</t>
  </si>
  <si>
    <t>C</t>
  </si>
  <si>
    <t>Water mass 2 (H)</t>
  </si>
  <si>
    <t>Water mass (C)</t>
  </si>
  <si>
    <t>m(Al)</t>
  </si>
  <si>
    <t>m(St)</t>
  </si>
  <si>
    <t>m(Bra)</t>
  </si>
  <si>
    <t>T(St)</t>
  </si>
  <si>
    <t>T(Al)</t>
  </si>
  <si>
    <t>T(Bra)</t>
  </si>
  <si>
    <t>cp</t>
  </si>
  <si>
    <t>st</t>
  </si>
  <si>
    <t>al</t>
  </si>
  <si>
    <t>bra</t>
  </si>
  <si>
    <t>#18.8</t>
  </si>
  <si>
    <t>Carlosrímetro</t>
  </si>
  <si>
    <t>time (stop)</t>
  </si>
  <si>
    <t>time(start)</t>
  </si>
  <si>
    <t>Al</t>
  </si>
  <si>
    <t>St</t>
  </si>
  <si>
    <t>Bra</t>
  </si>
  <si>
    <t>Column1</t>
  </si>
  <si>
    <t>Column2</t>
  </si>
  <si>
    <t>Column3</t>
  </si>
  <si>
    <t>Column4</t>
  </si>
  <si>
    <t>Column5</t>
  </si>
  <si>
    <t>ST,NT</t>
  </si>
  <si>
    <t>g</t>
  </si>
  <si>
    <t/>
  </si>
  <si>
    <t>US,NT</t>
  </si>
  <si>
    <t>Column6</t>
  </si>
  <si>
    <t>m</t>
  </si>
  <si>
    <t>Tamb</t>
  </si>
  <si>
    <t>TN2</t>
  </si>
  <si>
    <t>mv</t>
  </si>
  <si>
    <t>hv</t>
  </si>
  <si>
    <t>stm</t>
  </si>
  <si>
    <t>alm</t>
  </si>
  <si>
    <t>bram</t>
  </si>
  <si>
    <t>185</t>
  </si>
  <si>
    <t>ta-tn</t>
  </si>
  <si>
    <t>DEBYE</t>
  </si>
  <si>
    <t>Mass (g)</t>
  </si>
  <si>
    <t>Time (s)</t>
  </si>
  <si>
    <t>s</t>
  </si>
  <si>
    <t>m'C</t>
  </si>
  <si>
    <t>mS</t>
  </si>
  <si>
    <t>T'C</t>
  </si>
  <si>
    <t>TB</t>
  </si>
  <si>
    <t>T'M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</si>
</sst>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9"/>
      <color rgb="FF000000"/>
      <name val="STIXGeneral-Regula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ill="1"/>
    <xf numFmtId="0" fontId="0" fillId="3" borderId="0" xfId="0" applyNumberFormat="1" applyFill="1"/>
    <xf numFmtId="0" fontId="0" fillId="0" borderId="2" xfId="0" applyNumberFormat="1" applyFont="1" applyBorder="1"/>
    <xf numFmtId="0" fontId="0" fillId="2" borderId="2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3" fillId="0" borderId="0" xfId="0" applyFont="1"/>
    <xf numFmtId="16" fontId="0" fillId="0" borderId="0" xfId="0" applyNumberFormat="1"/>
    <xf numFmtId="2" fontId="0" fillId="0" borderId="0" xfId="0" applyNumberFormat="1"/>
    <xf numFmtId="2" fontId="0" fillId="3" borderId="0" xfId="0" applyNumberFormat="1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912073490813651E-2"/>
                  <c:y val="-0.272369130941965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St!$A$2:$A$11</c:f>
              <c:numCache>
                <c:formatCode>General</c:formatCode>
                <c:ptCount val="10"/>
                <c:pt idx="0">
                  <c:v>0</c:v>
                </c:pt>
                <c:pt idx="1">
                  <c:v>10.1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30.1</c:v>
                </c:pt>
                <c:pt idx="6">
                  <c:v>35</c:v>
                </c:pt>
                <c:pt idx="7">
                  <c:v>40.1</c:v>
                </c:pt>
                <c:pt idx="8">
                  <c:v>45</c:v>
                </c:pt>
                <c:pt idx="9">
                  <c:v>50.1</c:v>
                </c:pt>
              </c:numCache>
            </c:numRef>
          </c:xVal>
          <c:yVal>
            <c:numRef>
              <c:f>St!$C$2:$C$11</c:f>
              <c:numCache>
                <c:formatCode>General</c:formatCode>
                <c:ptCount val="10"/>
                <c:pt idx="0">
                  <c:v>160.18</c:v>
                </c:pt>
                <c:pt idx="1">
                  <c:v>159.84</c:v>
                </c:pt>
                <c:pt idx="2">
                  <c:v>159.66</c:v>
                </c:pt>
                <c:pt idx="3">
                  <c:v>159.52000000000001</c:v>
                </c:pt>
                <c:pt idx="4">
                  <c:v>159.32</c:v>
                </c:pt>
                <c:pt idx="5">
                  <c:v>159.16</c:v>
                </c:pt>
                <c:pt idx="6">
                  <c:v>159</c:v>
                </c:pt>
                <c:pt idx="7">
                  <c:v>158.84</c:v>
                </c:pt>
                <c:pt idx="8">
                  <c:v>158.69999999999999</c:v>
                </c:pt>
                <c:pt idx="9">
                  <c:v>158.54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D-49B1-9A29-CD75F727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107440"/>
        <c:axId val="1716107856"/>
      </c:scatterChart>
      <c:valAx>
        <c:axId val="17161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16107856"/>
        <c:crosses val="autoZero"/>
        <c:crossBetween val="midCat"/>
      </c:valAx>
      <c:valAx>
        <c:axId val="17161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161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St!$A$33:$A$44</c:f>
              <c:numCache>
                <c:formatCode>General</c:formatCode>
                <c:ptCount val="12"/>
                <c:pt idx="0">
                  <c:v>160.1</c:v>
                </c:pt>
                <c:pt idx="1">
                  <c:v>165</c:v>
                </c:pt>
                <c:pt idx="2">
                  <c:v>170.1</c:v>
                </c:pt>
                <c:pt idx="3">
                  <c:v>175</c:v>
                </c:pt>
                <c:pt idx="4">
                  <c:v>180.1</c:v>
                </c:pt>
                <c:pt idx="5">
                  <c:v>185</c:v>
                </c:pt>
                <c:pt idx="6">
                  <c:v>190.1</c:v>
                </c:pt>
                <c:pt idx="7">
                  <c:v>195</c:v>
                </c:pt>
                <c:pt idx="8">
                  <c:v>200.1</c:v>
                </c:pt>
                <c:pt idx="9">
                  <c:v>205</c:v>
                </c:pt>
              </c:numCache>
            </c:numRef>
          </c:xVal>
          <c:yVal>
            <c:numRef>
              <c:f>St!$C$33:$C$44</c:f>
              <c:numCache>
                <c:formatCode>General</c:formatCode>
                <c:ptCount val="12"/>
                <c:pt idx="0">
                  <c:v>207.72</c:v>
                </c:pt>
                <c:pt idx="1">
                  <c:v>207.48</c:v>
                </c:pt>
                <c:pt idx="2">
                  <c:v>207.3</c:v>
                </c:pt>
                <c:pt idx="3">
                  <c:v>207.12</c:v>
                </c:pt>
                <c:pt idx="4">
                  <c:v>206.96</c:v>
                </c:pt>
                <c:pt idx="5">
                  <c:v>206.82</c:v>
                </c:pt>
                <c:pt idx="6">
                  <c:v>206.68</c:v>
                </c:pt>
                <c:pt idx="7">
                  <c:v>206.54</c:v>
                </c:pt>
                <c:pt idx="8">
                  <c:v>206.4</c:v>
                </c:pt>
                <c:pt idx="9">
                  <c:v>206.24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1-5642-B9CB-E1D63B3C1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56255"/>
        <c:axId val="125857903"/>
      </c:scatterChart>
      <c:valAx>
        <c:axId val="125856255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5857903"/>
        <c:crosses val="autoZero"/>
        <c:crossBetween val="midCat"/>
      </c:valAx>
      <c:valAx>
        <c:axId val="12585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585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'Al (good)'!$A$2:$A$11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10.199999999999999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30.1</c:v>
                </c:pt>
                <c:pt idx="6">
                  <c:v>35.1</c:v>
                </c:pt>
                <c:pt idx="7">
                  <c:v>40.1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'Al (good)'!$C$2:$C$11</c:f>
              <c:numCache>
                <c:formatCode>General</c:formatCode>
                <c:ptCount val="10"/>
                <c:pt idx="0">
                  <c:v>239.2</c:v>
                </c:pt>
                <c:pt idx="1">
                  <c:v>238.78</c:v>
                </c:pt>
                <c:pt idx="2">
                  <c:v>238.56</c:v>
                </c:pt>
                <c:pt idx="3">
                  <c:v>238.34</c:v>
                </c:pt>
                <c:pt idx="4">
                  <c:v>238.14</c:v>
                </c:pt>
                <c:pt idx="5">
                  <c:v>237.92</c:v>
                </c:pt>
                <c:pt idx="6">
                  <c:v>237.7</c:v>
                </c:pt>
                <c:pt idx="7">
                  <c:v>237.5</c:v>
                </c:pt>
                <c:pt idx="8">
                  <c:v>237.28</c:v>
                </c:pt>
                <c:pt idx="9">
                  <c:v>237.06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D6-46BB-9BED-12C6CA821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832192"/>
        <c:axId val="1170266112"/>
      </c:scatterChart>
      <c:valAx>
        <c:axId val="172683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70266112"/>
        <c:crosses val="autoZero"/>
        <c:crossBetween val="midCat"/>
      </c:valAx>
      <c:valAx>
        <c:axId val="11702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2683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'Al (good)'!$A$31:$A$39</c:f>
              <c:numCache>
                <c:formatCode>General</c:formatCode>
                <c:ptCount val="9"/>
                <c:pt idx="0">
                  <c:v>150.1</c:v>
                </c:pt>
                <c:pt idx="1">
                  <c:v>155</c:v>
                </c:pt>
                <c:pt idx="2">
                  <c:v>160.1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180.1</c:v>
                </c:pt>
                <c:pt idx="7">
                  <c:v>185</c:v>
                </c:pt>
                <c:pt idx="8">
                  <c:v>190.1</c:v>
                </c:pt>
              </c:numCache>
            </c:numRef>
          </c:xVal>
          <c:yVal>
            <c:numRef>
              <c:f>'Al (good)'!$C$31:$C$39</c:f>
              <c:numCache>
                <c:formatCode>General</c:formatCode>
                <c:ptCount val="9"/>
                <c:pt idx="0">
                  <c:v>252.22</c:v>
                </c:pt>
                <c:pt idx="1">
                  <c:v>251.92</c:v>
                </c:pt>
                <c:pt idx="2">
                  <c:v>251.68</c:v>
                </c:pt>
                <c:pt idx="3">
                  <c:v>251.44</c:v>
                </c:pt>
                <c:pt idx="4">
                  <c:v>251.2</c:v>
                </c:pt>
                <c:pt idx="5">
                  <c:v>250.98</c:v>
                </c:pt>
                <c:pt idx="6">
                  <c:v>250.76</c:v>
                </c:pt>
                <c:pt idx="7">
                  <c:v>250.56</c:v>
                </c:pt>
                <c:pt idx="8">
                  <c:v>250.4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5-AF43-981F-BCC391AF8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33679"/>
        <c:axId val="95499839"/>
      </c:scatterChart>
      <c:valAx>
        <c:axId val="116833679"/>
        <c:scaling>
          <c:orientation val="minMax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499839"/>
        <c:crosses val="autoZero"/>
        <c:crossBetween val="midCat"/>
      </c:valAx>
      <c:valAx>
        <c:axId val="954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6833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405002399358921"/>
          <c:y val="5.1428577213563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287314085739285"/>
                  <c:y val="-8.60392971711868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Bra!$A$2:$A$14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15.1</c:v>
                </c:pt>
                <c:pt idx="3">
                  <c:v>20</c:v>
                </c:pt>
                <c:pt idx="4">
                  <c:v>25</c:v>
                </c:pt>
                <c:pt idx="5">
                  <c:v>30.1</c:v>
                </c:pt>
                <c:pt idx="6">
                  <c:v>35.1</c:v>
                </c:pt>
                <c:pt idx="7">
                  <c:v>40.1</c:v>
                </c:pt>
                <c:pt idx="8">
                  <c:v>45</c:v>
                </c:pt>
                <c:pt idx="9">
                  <c:v>50</c:v>
                </c:pt>
                <c:pt idx="10">
                  <c:v>55.1</c:v>
                </c:pt>
                <c:pt idx="11">
                  <c:v>60.1</c:v>
                </c:pt>
                <c:pt idx="12">
                  <c:v>65.099999999999994</c:v>
                </c:pt>
              </c:numCache>
            </c:numRef>
          </c:xVal>
          <c:yVal>
            <c:numRef>
              <c:f>Bra!$C$2:$C$14</c:f>
              <c:numCache>
                <c:formatCode>General</c:formatCode>
                <c:ptCount val="13"/>
                <c:pt idx="0">
                  <c:v>115.5</c:v>
                </c:pt>
                <c:pt idx="1">
                  <c:v>115.24</c:v>
                </c:pt>
                <c:pt idx="2">
                  <c:v>115.08</c:v>
                </c:pt>
                <c:pt idx="3">
                  <c:v>115</c:v>
                </c:pt>
                <c:pt idx="4">
                  <c:v>114.86</c:v>
                </c:pt>
                <c:pt idx="5">
                  <c:v>114.72</c:v>
                </c:pt>
                <c:pt idx="6">
                  <c:v>114.58</c:v>
                </c:pt>
                <c:pt idx="7">
                  <c:v>114.42</c:v>
                </c:pt>
                <c:pt idx="8">
                  <c:v>114.28</c:v>
                </c:pt>
                <c:pt idx="9">
                  <c:v>114.16</c:v>
                </c:pt>
                <c:pt idx="10">
                  <c:v>114.04</c:v>
                </c:pt>
                <c:pt idx="11">
                  <c:v>113.88</c:v>
                </c:pt>
                <c:pt idx="12">
                  <c:v>113.78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C-4AC1-B09E-D27A17E24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877472"/>
        <c:axId val="1728869984"/>
      </c:scatterChart>
      <c:valAx>
        <c:axId val="172887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28869984"/>
        <c:crosses val="autoZero"/>
        <c:crossBetween val="midCat"/>
      </c:valAx>
      <c:valAx>
        <c:axId val="172886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2887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Bra!$A$2:$A$43</c:f>
              <c:strCache>
                <c:ptCount val="42"/>
                <c:pt idx="0">
                  <c:v>0</c:v>
                </c:pt>
                <c:pt idx="1">
                  <c:v>10</c:v>
                </c:pt>
                <c:pt idx="2">
                  <c:v>15,1</c:v>
                </c:pt>
                <c:pt idx="3">
                  <c:v>20</c:v>
                </c:pt>
                <c:pt idx="4">
                  <c:v>25</c:v>
                </c:pt>
                <c:pt idx="5">
                  <c:v>30,1</c:v>
                </c:pt>
                <c:pt idx="6">
                  <c:v>35,1</c:v>
                </c:pt>
                <c:pt idx="7">
                  <c:v>40,1</c:v>
                </c:pt>
                <c:pt idx="8">
                  <c:v>45</c:v>
                </c:pt>
                <c:pt idx="9">
                  <c:v>50</c:v>
                </c:pt>
                <c:pt idx="10">
                  <c:v>55,1</c:v>
                </c:pt>
                <c:pt idx="11">
                  <c:v>60,1</c:v>
                </c:pt>
                <c:pt idx="12">
                  <c:v>65,1</c:v>
                </c:pt>
                <c:pt idx="13">
                  <c:v>70,1</c:v>
                </c:pt>
                <c:pt idx="14">
                  <c:v>75</c:v>
                </c:pt>
                <c:pt idx="15">
                  <c:v>80,1</c:v>
                </c:pt>
                <c:pt idx="16">
                  <c:v>85,1</c:v>
                </c:pt>
                <c:pt idx="17">
                  <c:v>90</c:v>
                </c:pt>
                <c:pt idx="18">
                  <c:v>95,1</c:v>
                </c:pt>
                <c:pt idx="19">
                  <c:v>100,1</c:v>
                </c:pt>
                <c:pt idx="20">
                  <c:v>105,1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135,1</c:v>
                </c:pt>
                <c:pt idx="27">
                  <c:v>140</c:v>
                </c:pt>
                <c:pt idx="28">
                  <c:v>145,1</c:v>
                </c:pt>
                <c:pt idx="29">
                  <c:v>150,1</c:v>
                </c:pt>
                <c:pt idx="30">
                  <c:v>155</c:v>
                </c:pt>
                <c:pt idx="31">
                  <c:v>160</c:v>
                </c:pt>
                <c:pt idx="32">
                  <c:v>165,2</c:v>
                </c:pt>
                <c:pt idx="36">
                  <c:v>185</c:v>
                </c:pt>
                <c:pt idx="39">
                  <c:v>170,1</c:v>
                </c:pt>
                <c:pt idx="40">
                  <c:v>175,1</c:v>
                </c:pt>
                <c:pt idx="41">
                  <c:v>180,1</c:v>
                </c:pt>
              </c:strCache>
            </c:strRef>
          </c:xVal>
          <c:yVal>
            <c:numRef>
              <c:f>Bra!$C$2:$C$37</c:f>
              <c:numCache>
                <c:formatCode>General</c:formatCode>
                <c:ptCount val="36"/>
                <c:pt idx="0">
                  <c:v>115.5</c:v>
                </c:pt>
                <c:pt idx="1">
                  <c:v>115.24</c:v>
                </c:pt>
                <c:pt idx="2">
                  <c:v>115.08</c:v>
                </c:pt>
                <c:pt idx="3">
                  <c:v>115</c:v>
                </c:pt>
                <c:pt idx="4">
                  <c:v>114.86</c:v>
                </c:pt>
                <c:pt idx="5">
                  <c:v>114.72</c:v>
                </c:pt>
                <c:pt idx="6">
                  <c:v>114.58</c:v>
                </c:pt>
                <c:pt idx="7">
                  <c:v>114.42</c:v>
                </c:pt>
                <c:pt idx="8">
                  <c:v>114.28</c:v>
                </c:pt>
                <c:pt idx="9">
                  <c:v>114.16</c:v>
                </c:pt>
                <c:pt idx="10">
                  <c:v>114.04</c:v>
                </c:pt>
                <c:pt idx="11">
                  <c:v>113.88</c:v>
                </c:pt>
                <c:pt idx="12">
                  <c:v>113.78</c:v>
                </c:pt>
                <c:pt idx="13">
                  <c:v>201.8</c:v>
                </c:pt>
                <c:pt idx="14">
                  <c:v>199.3</c:v>
                </c:pt>
                <c:pt idx="15">
                  <c:v>196.82</c:v>
                </c:pt>
                <c:pt idx="16">
                  <c:v>194.6</c:v>
                </c:pt>
                <c:pt idx="17">
                  <c:v>192.48</c:v>
                </c:pt>
                <c:pt idx="18">
                  <c:v>190.58</c:v>
                </c:pt>
                <c:pt idx="19">
                  <c:v>188.68</c:v>
                </c:pt>
                <c:pt idx="20">
                  <c:v>187.04</c:v>
                </c:pt>
                <c:pt idx="21">
                  <c:v>185.46</c:v>
                </c:pt>
                <c:pt idx="22">
                  <c:v>183.98</c:v>
                </c:pt>
                <c:pt idx="23">
                  <c:v>182.66</c:v>
                </c:pt>
                <c:pt idx="24">
                  <c:v>181.38</c:v>
                </c:pt>
                <c:pt idx="25">
                  <c:v>180.26</c:v>
                </c:pt>
                <c:pt idx="26">
                  <c:v>179.14</c:v>
                </c:pt>
                <c:pt idx="27">
                  <c:v>178.12</c:v>
                </c:pt>
                <c:pt idx="28">
                  <c:v>177.18</c:v>
                </c:pt>
                <c:pt idx="29">
                  <c:v>176.18</c:v>
                </c:pt>
                <c:pt idx="30">
                  <c:v>175.32</c:v>
                </c:pt>
                <c:pt idx="31">
                  <c:v>174.46</c:v>
                </c:pt>
                <c:pt idx="32">
                  <c:v>172.32</c:v>
                </c:pt>
                <c:pt idx="33">
                  <c:v>170.44</c:v>
                </c:pt>
                <c:pt idx="34">
                  <c:v>170.12</c:v>
                </c:pt>
                <c:pt idx="35">
                  <c:v>169.92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D-CA41-80E3-0121CA757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015775"/>
        <c:axId val="522019583"/>
      </c:scatterChart>
      <c:valAx>
        <c:axId val="52201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22019583"/>
        <c:crosses val="autoZero"/>
        <c:crossBetween val="midCat"/>
      </c:valAx>
      <c:valAx>
        <c:axId val="522019583"/>
        <c:scaling>
          <c:orientation val="minMax"/>
          <c:max val="22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2201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Bra!$A$41:$A$43</c:f>
              <c:numCache>
                <c:formatCode>General</c:formatCode>
                <c:ptCount val="3"/>
                <c:pt idx="0">
                  <c:v>170.1</c:v>
                </c:pt>
                <c:pt idx="1">
                  <c:v>175.1</c:v>
                </c:pt>
                <c:pt idx="2">
                  <c:v>180.1</c:v>
                </c:pt>
              </c:numCache>
            </c:numRef>
          </c:xVal>
          <c:yVal>
            <c:numRef>
              <c:f>Bra!$C$41:$C$43</c:f>
              <c:numCache>
                <c:formatCode>General</c:formatCode>
                <c:ptCount val="3"/>
                <c:pt idx="0">
                  <c:v>170.44</c:v>
                </c:pt>
                <c:pt idx="1">
                  <c:v>170.12</c:v>
                </c:pt>
                <c:pt idx="2">
                  <c:v>169.92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9-864A-AB0C-92DB966C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522415"/>
        <c:axId val="343675951"/>
      </c:scatterChart>
      <c:valAx>
        <c:axId val="34352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43675951"/>
        <c:crosses val="autoZero"/>
        <c:crossBetween val="midCat"/>
      </c:valAx>
      <c:valAx>
        <c:axId val="34367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43522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1.png"/><Relationship Id="rId1" Type="http://schemas.openxmlformats.org/officeDocument/2006/relationships/chart" Target="../charts/chart5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13854</xdr:colOff>
      <xdr:row>3</xdr:row>
      <xdr:rowOff>192039</xdr:rowOff>
    </xdr:from>
    <xdr:to>
      <xdr:col>20</xdr:col>
      <xdr:colOff>382539</xdr:colOff>
      <xdr:row>18</xdr:row>
      <xdr:rowOff>192039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C9A94-0E1F-49C5-8884-1F5C2AE18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464820</xdr:colOff>
      <xdr:row>25</xdr:row>
      <xdr:rowOff>30480</xdr:rowOff>
    </xdr:from>
    <xdr:to>
      <xdr:col>12</xdr:col>
      <xdr:colOff>354668</xdr:colOff>
      <xdr:row>28</xdr:row>
      <xdr:rowOff>7666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F304F8-3F52-4BCC-8CA2-292A88EE8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0120" y="4602480"/>
          <a:ext cx="3772227" cy="52582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165100</xdr:rowOff>
    </xdr:from>
    <xdr:to>
      <xdr:col>17</xdr:col>
      <xdr:colOff>0</xdr:colOff>
      <xdr:row>42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112230-8998-2846-BCC1-345E9F419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182880</xdr:colOff>
      <xdr:row>3</xdr:row>
      <xdr:rowOff>84667</xdr:rowOff>
    </xdr:from>
    <xdr:to>
      <xdr:col>20</xdr:col>
      <xdr:colOff>555413</xdr:colOff>
      <xdr:row>18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AEE6F-9A94-4D2A-A3EC-305DF3763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23</xdr:row>
      <xdr:rowOff>47924</xdr:rowOff>
    </xdr:from>
    <xdr:to>
      <xdr:col>12</xdr:col>
      <xdr:colOff>114627</xdr:colOff>
      <xdr:row>26</xdr:row>
      <xdr:rowOff>16292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E8E67E-CEDA-431E-9793-EF91F630A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4434" y="4456981"/>
          <a:ext cx="4140287" cy="543462"/>
        </a:xfrm>
        <a:prstGeom prst="rect">
          <a:avLst/>
        </a:prstGeom>
      </xdr:spPr>
    </xdr:pic>
    <xdr:clientData/>
  </xdr:twoCellAnchor>
  <xdr:twoCellAnchor>
    <xdr:from>
      <xdr:col>6</xdr:col>
      <xdr:colOff>349370</xdr:colOff>
      <xdr:row>30</xdr:row>
      <xdr:rowOff>34027</xdr:rowOff>
    </xdr:from>
    <xdr:to>
      <xdr:col>13</xdr:col>
      <xdr:colOff>209670</xdr:colOff>
      <xdr:row>44</xdr:row>
      <xdr:rowOff>111425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E4151A-B4ED-5748-8975-078E2062A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162278</xdr:colOff>
      <xdr:row>25</xdr:row>
      <xdr:rowOff>137161</xdr:rowOff>
    </xdr:from>
    <xdr:to>
      <xdr:col>22</xdr:col>
      <xdr:colOff>534811</xdr:colOff>
      <xdr:row>40</xdr:row>
      <xdr:rowOff>137161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2094FC-6A71-40B0-A2D1-142B1B9A1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251460</xdr:colOff>
      <xdr:row>25</xdr:row>
      <xdr:rowOff>68580</xdr:rowOff>
    </xdr:from>
    <xdr:to>
      <xdr:col>12</xdr:col>
      <xdr:colOff>366087</xdr:colOff>
      <xdr:row>28</xdr:row>
      <xdr:rowOff>45766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75AF95-0CCF-42E2-B1CD-6E31DBFFF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6760" y="4640580"/>
          <a:ext cx="3772227" cy="525826"/>
        </a:xfrm>
        <a:prstGeom prst="rect">
          <a:avLst/>
        </a:prstGeom>
      </xdr:spPr>
    </xdr:pic>
    <xdr:clientData/>
  </xdr:twoCellAnchor>
  <xdr:twoCellAnchor>
    <xdr:from>
      <xdr:col>15</xdr:col>
      <xdr:colOff>171450</xdr:colOff>
      <xdr:row>2</xdr:row>
      <xdr:rowOff>114300</xdr:rowOff>
    </xdr:from>
    <xdr:to>
      <xdr:col>24</xdr:col>
      <xdr:colOff>88900</xdr:colOff>
      <xdr:row>23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4BC82F-2E51-1045-BD65-852F9C241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368300</xdr:colOff>
      <xdr:row>28</xdr:row>
      <xdr:rowOff>165100</xdr:rowOff>
    </xdr:from>
    <xdr:to>
      <xdr:col>14</xdr:col>
      <xdr:colOff>228600</xdr:colOff>
      <xdr:row>43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EC8A3D-24D1-D44F-9AE7-497EBE327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5080</xdr:colOff>
      <xdr:row>18</xdr:row>
      <xdr:rowOff>0</xdr:rowOff>
    </xdr:from>
    <xdr:to>
      <xdr:col>22</xdr:col>
      <xdr:colOff>505816</xdr:colOff>
      <xdr:row>23</xdr:row>
      <xdr:rowOff>152492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BAA156-ACE2-4B58-AF20-20FFA23E1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0180" y="3429000"/>
          <a:ext cx="4539336" cy="1104992"/>
        </a:xfrm>
        <a:prstGeom prst="rect">
          <a:avLst/>
        </a:prstGeom>
      </xdr:spPr>
    </xdr:pic>
    <xdr:clientData/>
  </xdr:twoCellAnchor>
  <xdr:twoCellAnchor editAs="oneCell">
    <xdr:from>
      <xdr:col>15</xdr:col>
      <xdr:colOff>470783</xdr:colOff>
      <xdr:row>12</xdr:row>
      <xdr:rowOff>2098</xdr:rowOff>
    </xdr:from>
    <xdr:to>
      <xdr:col>24</xdr:col>
      <xdr:colOff>16561</xdr:colOff>
      <xdr:row>16</xdr:row>
      <xdr:rowOff>2162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919C73-9F17-4B9E-9DBB-E2869FEA6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3826" y="2254968"/>
          <a:ext cx="5608648" cy="75102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A157C35-40D7-4428-A947-D956A849589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B88C53-36D5-4763-8A3D-0A1BD201A73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C1FE5F-0088-4902-B4C6-0688A8638E1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3F6A0-049D-4261-B79B-92672F709B27}" name="St" displayName="St" ref="A1:F42" tableType="queryTable" totalsRowShown="0">
  <autoFilter ref="A1:F42" xr:uid="{8183F6A0-049D-4261-B79B-92672F709B27}"/>
  <tableColumns count="6">
    <tableColumn id="1" xr3:uid="{33BBE0FA-B2E8-478F-9446-4163E7E3339C}" uniqueName="1" name="Column1" queryTableFieldId="1"/>
    <tableColumn id="2" xr3:uid="{20641D88-CCF9-4AD6-BA7E-3BB7008D0500}" uniqueName="2" name="Column2" queryTableFieldId="2" dataDxfId="16"/>
    <tableColumn id="3" xr3:uid="{D9E9AD36-46B8-41D4-89D5-3C1E3A9B8B53}" uniqueName="3" name="Column3" queryTableFieldId="3" dataDxfId="15"/>
    <tableColumn id="4" xr3:uid="{DF552D6D-1E20-4C01-9286-0A6C26374D1A}" uniqueName="4" name="Column4" queryTableFieldId="4" dataDxfId="14"/>
    <tableColumn id="5" xr3:uid="{1B2591A6-C58F-4B9A-9F29-C3BB7BA80EA3}" uniqueName="5" name="Column5" queryTableFieldId="5" dataDxfId="13"/>
    <tableColumn id="6" xr3:uid="{DC7D8776-F02E-4481-81C7-B4EC28FD49E6}" uniqueName="6" name="Column6" queryTableFieldId="6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45C3E7-0E88-44F3-AC78-CF112CE1BF28}" name="Al__good" displayName="Al__good" ref="A1:E39" tableType="queryTable" totalsRowShown="0">
  <autoFilter ref="A1:E39" xr:uid="{9A45C3E7-0E88-44F3-AC78-CF112CE1BF28}"/>
  <tableColumns count="5">
    <tableColumn id="1" xr3:uid="{F698CC87-7619-4C20-BC52-AEE326BC3279}" uniqueName="1" name="Column1" queryTableFieldId="1"/>
    <tableColumn id="2" xr3:uid="{85195C96-EE5A-4944-AA5A-0896A66D9EFA}" uniqueName="2" name="Column2" queryTableFieldId="2" dataDxfId="11"/>
    <tableColumn id="3" xr3:uid="{3675F0D4-8D3F-4569-AEEE-BDF562B057CB}" uniqueName="3" name="Column3" queryTableFieldId="3" dataDxfId="10"/>
    <tableColumn id="4" xr3:uid="{459848F4-2166-426E-9BC1-8BFD8391DF7D}" uniqueName="4" name="Column4" queryTableFieldId="4" dataDxfId="9"/>
    <tableColumn id="5" xr3:uid="{27A7A3DC-1252-4A9F-928A-C4707238CBAA}" uniqueName="5" name="Column5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1B8802-34C6-44A2-8680-C6AAEEC96FE2}" name="Bra" displayName="Bra" ref="A1:E38" tableType="queryTable" totalsRowCount="1">
  <autoFilter ref="A1:E37" xr:uid="{1A1B8802-34C6-44A2-8680-C6AAEEC96FE2}"/>
  <tableColumns count="5">
    <tableColumn id="1" xr3:uid="{44F13F22-8804-4CE1-8D15-F1F3514E8AD1}" uniqueName="1" name="Column1" totalsRowLabel="185" queryTableFieldId="1"/>
    <tableColumn id="2" xr3:uid="{54123DA6-074A-4609-BBC9-8FE3CA15EE5A}" uniqueName="2" name="Column2" queryTableFieldId="2" dataDxfId="7" totalsRowDxfId="6"/>
    <tableColumn id="3" xr3:uid="{CD583F24-F2C6-4FCF-8DF8-C4CA958D0E53}" uniqueName="3" name="Column3" totalsRowFunction="custom" queryTableFieldId="3" dataDxfId="5" totalsRowDxfId="4">
      <totalsRowFormula>C37-(C35-C36)</totalsRowFormula>
    </tableColumn>
    <tableColumn id="4" xr3:uid="{5522EA51-0FAF-4287-B85F-C1563AB99EA4}" uniqueName="4" name="Column4" queryTableFieldId="4" dataDxfId="3" totalsRowDxfId="2"/>
    <tableColumn id="5" xr3:uid="{C50E3F00-F805-45DB-9B2F-A1DF3AC93389}" uniqueName="5" name="Column5" queryTableFieldId="5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1B91-B3B2-4520-9ABB-60112996642A}">
  <dimension ref="A1:P105"/>
  <sheetViews>
    <sheetView topLeftCell="A52" zoomScale="113" workbookViewId="0">
      <selection activeCell="J105" sqref="I64:J105"/>
    </sheetView>
  </sheetViews>
  <sheetFormatPr baseColWidth="10" defaultColWidth="8.83203125" defaultRowHeight="15" x14ac:dyDescent="0.2"/>
  <cols>
    <col min="1" max="5" width="10.83203125" bestFit="1" customWidth="1"/>
    <col min="12" max="12" width="11.8320312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35</v>
      </c>
    </row>
    <row r="2" spans="1:13" x14ac:dyDescent="0.2">
      <c r="A2">
        <v>0</v>
      </c>
      <c r="B2" s="2" t="s">
        <v>31</v>
      </c>
      <c r="C2" s="2">
        <v>160.18</v>
      </c>
      <c r="D2" s="2" t="s">
        <v>32</v>
      </c>
      <c r="E2" s="2" t="s">
        <v>33</v>
      </c>
    </row>
    <row r="3" spans="1:13" x14ac:dyDescent="0.2">
      <c r="A3">
        <v>10.1</v>
      </c>
      <c r="B3" s="2" t="s">
        <v>31</v>
      </c>
      <c r="C3" s="2">
        <v>159.84</v>
      </c>
      <c r="D3" s="2" t="s">
        <v>32</v>
      </c>
      <c r="E3" s="2" t="s">
        <v>33</v>
      </c>
    </row>
    <row r="4" spans="1:13" x14ac:dyDescent="0.2">
      <c r="A4">
        <v>15</v>
      </c>
      <c r="B4" s="2" t="s">
        <v>31</v>
      </c>
      <c r="C4" s="2">
        <v>159.66</v>
      </c>
      <c r="D4" s="2" t="s">
        <v>32</v>
      </c>
      <c r="E4" s="2" t="s">
        <v>33</v>
      </c>
      <c r="L4">
        <f>8.314</f>
        <v>8.3140000000000001</v>
      </c>
    </row>
    <row r="5" spans="1:13" x14ac:dyDescent="0.2">
      <c r="A5">
        <v>20</v>
      </c>
      <c r="B5" s="2" t="s">
        <v>31</v>
      </c>
      <c r="C5" s="2">
        <v>159.52000000000001</v>
      </c>
      <c r="D5" s="2" t="s">
        <v>32</v>
      </c>
      <c r="E5" s="2" t="s">
        <v>33</v>
      </c>
      <c r="J5">
        <f>12*PI()^4* (1/5)</f>
        <v>233.78181848160585</v>
      </c>
      <c r="K5">
        <f>J5*L9</f>
        <v>2.6448469634167515</v>
      </c>
      <c r="L5" s="12">
        <f>25/55.845</f>
        <v>0.44766765153550003</v>
      </c>
    </row>
    <row r="6" spans="1:13" x14ac:dyDescent="0.2">
      <c r="A6">
        <v>25</v>
      </c>
      <c r="B6" s="2" t="s">
        <v>31</v>
      </c>
      <c r="C6" s="2">
        <v>159.32</v>
      </c>
      <c r="D6" s="2" t="s">
        <v>32</v>
      </c>
      <c r="E6" s="2" t="s">
        <v>33</v>
      </c>
      <c r="L6">
        <f>25/55.845</f>
        <v>0.44766765153550003</v>
      </c>
    </row>
    <row r="7" spans="1:13" x14ac:dyDescent="0.2">
      <c r="A7">
        <v>30.1</v>
      </c>
      <c r="B7" s="2" t="s">
        <v>31</v>
      </c>
      <c r="C7" s="2">
        <v>159.16</v>
      </c>
      <c r="D7" s="2" t="s">
        <v>32</v>
      </c>
      <c r="E7" s="2" t="s">
        <v>33</v>
      </c>
    </row>
    <row r="8" spans="1:13" ht="33" x14ac:dyDescent="0.45">
      <c r="A8">
        <v>35</v>
      </c>
      <c r="B8" s="2" t="s">
        <v>31</v>
      </c>
      <c r="C8" s="2">
        <v>159</v>
      </c>
      <c r="D8" s="2" t="s">
        <v>32</v>
      </c>
      <c r="E8" s="2" t="s">
        <v>33</v>
      </c>
      <c r="L8" s="11">
        <v>324</v>
      </c>
    </row>
    <row r="9" spans="1:13" x14ac:dyDescent="0.2">
      <c r="A9">
        <v>40.1</v>
      </c>
      <c r="B9" s="2" t="s">
        <v>31</v>
      </c>
      <c r="C9" s="2">
        <v>158.84</v>
      </c>
      <c r="D9" s="2" t="s">
        <v>32</v>
      </c>
      <c r="E9" s="2" t="s">
        <v>33</v>
      </c>
      <c r="H9" cm="1">
        <f t="array" ref="H9:I13">LINEST(C2:C11,A2:A11,TRUE,TRUE)</f>
        <v>-3.2834260273830816E-2</v>
      </c>
      <c r="I9">
        <v>160.16383839780437</v>
      </c>
      <c r="L9">
        <f>(77/343)^3</f>
        <v>1.131331333033005E-2</v>
      </c>
    </row>
    <row r="10" spans="1:13" x14ac:dyDescent="0.2">
      <c r="A10">
        <v>45</v>
      </c>
      <c r="B10" s="2" t="s">
        <v>31</v>
      </c>
      <c r="C10" s="2">
        <v>158.69999999999999</v>
      </c>
      <c r="D10" s="2" t="s">
        <v>32</v>
      </c>
      <c r="E10" s="2" t="s">
        <v>33</v>
      </c>
      <c r="H10">
        <v>3.5135716762308312E-4</v>
      </c>
      <c r="I10">
        <v>1.0901158356430383E-2</v>
      </c>
    </row>
    <row r="11" spans="1:13" x14ac:dyDescent="0.2">
      <c r="A11">
        <v>50.1</v>
      </c>
      <c r="B11" s="2" t="s">
        <v>31</v>
      </c>
      <c r="C11" s="2">
        <v>158.54</v>
      </c>
      <c r="D11" s="2" t="s">
        <v>32</v>
      </c>
      <c r="E11" s="2" t="s">
        <v>33</v>
      </c>
      <c r="H11">
        <v>0.9990847589663977</v>
      </c>
      <c r="I11">
        <v>1.6903252523403436E-2</v>
      </c>
    </row>
    <row r="12" spans="1:13" x14ac:dyDescent="0.2">
      <c r="A12">
        <v>55</v>
      </c>
      <c r="B12" s="2" t="s">
        <v>34</v>
      </c>
      <c r="C12" s="2">
        <v>245.86</v>
      </c>
      <c r="D12" s="2" t="s">
        <v>32</v>
      </c>
      <c r="E12" s="2" t="s">
        <v>33</v>
      </c>
      <c r="H12">
        <v>8732.8668386659901</v>
      </c>
      <c r="I12">
        <v>8</v>
      </c>
    </row>
    <row r="13" spans="1:13" x14ac:dyDescent="0.2">
      <c r="A13">
        <v>60</v>
      </c>
      <c r="B13" s="2" t="s">
        <v>34</v>
      </c>
      <c r="C13" s="2">
        <v>242.68</v>
      </c>
      <c r="D13" s="2" t="s">
        <v>32</v>
      </c>
      <c r="E13" s="2" t="s">
        <v>33</v>
      </c>
      <c r="H13">
        <v>2.4951542404330809</v>
      </c>
      <c r="I13">
        <v>2.2857595669595566E-3</v>
      </c>
    </row>
    <row r="14" spans="1:13" x14ac:dyDescent="0.2">
      <c r="A14">
        <v>65</v>
      </c>
      <c r="B14" s="2" t="s">
        <v>34</v>
      </c>
      <c r="C14" s="2">
        <v>240.1</v>
      </c>
      <c r="D14" s="2" t="s">
        <v>32</v>
      </c>
      <c r="E14" s="2" t="s">
        <v>33</v>
      </c>
      <c r="K14" t="s">
        <v>46</v>
      </c>
      <c r="L14">
        <f>J22^3/470^3</f>
        <v>4.4574592371150893E-3</v>
      </c>
      <c r="M14">
        <f>L14*324</f>
        <v>1.4442167928252889</v>
      </c>
    </row>
    <row r="15" spans="1:13" x14ac:dyDescent="0.2">
      <c r="A15">
        <v>70.099999999999994</v>
      </c>
      <c r="B15" s="2" t="s">
        <v>34</v>
      </c>
      <c r="C15" s="2">
        <v>237.52</v>
      </c>
      <c r="D15" s="2" t="s">
        <v>32</v>
      </c>
      <c r="E15" s="2" t="s">
        <v>33</v>
      </c>
      <c r="H15" cm="1">
        <f t="array" ref="H15:I19">LINEST(C33:C42,A33:A42,TRUE,TRUE)</f>
        <v>-3.1702042450941013E-2</v>
      </c>
      <c r="I15">
        <v>212.71320784941929</v>
      </c>
      <c r="L15">
        <f>M14*8.314</f>
        <v>12.007218415549453</v>
      </c>
      <c r="M15">
        <f>L15/H22</f>
        <v>0.13485195884489501</v>
      </c>
    </row>
    <row r="16" spans="1:13" x14ac:dyDescent="0.2">
      <c r="A16">
        <v>75</v>
      </c>
      <c r="B16" s="2" t="s">
        <v>34</v>
      </c>
      <c r="C16" s="2">
        <v>235.08</v>
      </c>
      <c r="D16" s="2" t="s">
        <v>32</v>
      </c>
      <c r="E16" s="2" t="s">
        <v>33</v>
      </c>
      <c r="H16">
        <v>9.1091505867586602E-4</v>
      </c>
      <c r="I16">
        <v>0.16680072301215976</v>
      </c>
    </row>
    <row r="17" spans="1:16" x14ac:dyDescent="0.2">
      <c r="A17">
        <v>80.2</v>
      </c>
      <c r="B17" s="2" t="s">
        <v>34</v>
      </c>
      <c r="C17" s="2">
        <v>232.8</v>
      </c>
      <c r="D17" s="2" t="s">
        <v>32</v>
      </c>
      <c r="E17" s="2" t="s">
        <v>33</v>
      </c>
      <c r="H17">
        <v>0.99343836315215306</v>
      </c>
      <c r="I17">
        <v>4.1344155657702858E-2</v>
      </c>
    </row>
    <row r="18" spans="1:16" x14ac:dyDescent="0.2">
      <c r="A18">
        <v>85.1</v>
      </c>
      <c r="B18" s="2" t="s">
        <v>34</v>
      </c>
      <c r="C18" s="2">
        <v>230.72</v>
      </c>
      <c r="D18" s="2" t="s">
        <v>32</v>
      </c>
      <c r="E18" s="2" t="s">
        <v>33</v>
      </c>
      <c r="H18">
        <v>1211.2079789702143</v>
      </c>
      <c r="I18">
        <v>8</v>
      </c>
    </row>
    <row r="19" spans="1:16" x14ac:dyDescent="0.2">
      <c r="A19">
        <v>90.1</v>
      </c>
      <c r="B19" s="2" t="s">
        <v>34</v>
      </c>
      <c r="C19" s="2">
        <v>228.72</v>
      </c>
      <c r="D19" s="2" t="s">
        <v>32</v>
      </c>
      <c r="E19" s="2" t="s">
        <v>33</v>
      </c>
      <c r="H19">
        <v>2.0703652863435966</v>
      </c>
      <c r="I19">
        <v>1.3674713656386906E-2</v>
      </c>
    </row>
    <row r="20" spans="1:16" x14ac:dyDescent="0.2">
      <c r="A20">
        <v>95</v>
      </c>
      <c r="B20" s="2" t="s">
        <v>34</v>
      </c>
      <c r="C20" s="2">
        <v>226.88</v>
      </c>
      <c r="D20" s="2" t="s">
        <v>32</v>
      </c>
      <c r="E20" s="2" t="s">
        <v>33</v>
      </c>
      <c r="N20" s="1"/>
    </row>
    <row r="21" spans="1:16" x14ac:dyDescent="0.2">
      <c r="A21">
        <v>100.1</v>
      </c>
      <c r="B21" s="2" t="s">
        <v>34</v>
      </c>
      <c r="C21" s="2">
        <v>225.1</v>
      </c>
      <c r="D21" s="2" t="s">
        <v>32</v>
      </c>
      <c r="E21" s="2" t="s">
        <v>33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O21" s="1" t="s">
        <v>15</v>
      </c>
    </row>
    <row r="22" spans="1:16" x14ac:dyDescent="0.2">
      <c r="A22">
        <v>105</v>
      </c>
      <c r="B22" s="2" t="s">
        <v>34</v>
      </c>
      <c r="C22" s="2">
        <v>223.5</v>
      </c>
      <c r="D22" s="2" t="s">
        <v>32</v>
      </c>
      <c r="E22" s="2" t="s">
        <v>33</v>
      </c>
      <c r="H22">
        <v>89.04</v>
      </c>
      <c r="I22">
        <f>21.5+273.15</f>
        <v>294.64999999999998</v>
      </c>
      <c r="J22">
        <v>77.349999999999994</v>
      </c>
      <c r="K22">
        <f>H9*A33+I9+H22-C33</f>
        <v>36.227073327964064</v>
      </c>
      <c r="L22">
        <v>200</v>
      </c>
      <c r="O22" s="1">
        <f>(K22*L22)/(H22*(I22-J22))</f>
        <v>0.37447115324068336</v>
      </c>
      <c r="P22">
        <f>O22*55.845</f>
        <v>20.912341552725962</v>
      </c>
    </row>
    <row r="23" spans="1:16" x14ac:dyDescent="0.2">
      <c r="A23">
        <v>110.1</v>
      </c>
      <c r="B23" s="2" t="s">
        <v>34</v>
      </c>
      <c r="C23" s="2">
        <v>221.94</v>
      </c>
      <c r="D23" s="2" t="s">
        <v>32</v>
      </c>
      <c r="E23" s="2" t="s">
        <v>33</v>
      </c>
      <c r="H23">
        <v>0.02</v>
      </c>
      <c r="I23">
        <v>0.1</v>
      </c>
      <c r="J23">
        <v>0.01</v>
      </c>
      <c r="K23">
        <f>SQRT((H10*A33)^2 + (H9*5)^2 + I10^2 + H23^2 + 0.02^2)</f>
        <v>0.17616858612509445</v>
      </c>
      <c r="L23">
        <v>1</v>
      </c>
      <c r="O23">
        <f>SQRT((L22*K23/(H22*I24))^2+(K22*L22*H23/(H22^2*I24))^2 + (K22*L22*J24/(H22*I24^2))^2 + (K22*L23/(H22*I24))^2)</f>
        <v>2.6189467372797997E-3</v>
      </c>
      <c r="P23">
        <f>SQRT((O23*55.845)^2+(O22*0.001)^2)</f>
        <v>0.14625555994012066</v>
      </c>
    </row>
    <row r="24" spans="1:16" x14ac:dyDescent="0.2">
      <c r="A24">
        <v>115</v>
      </c>
      <c r="B24" s="2" t="s">
        <v>34</v>
      </c>
      <c r="C24" s="2">
        <v>220.56</v>
      </c>
      <c r="D24" s="2" t="s">
        <v>32</v>
      </c>
      <c r="E24" s="2" t="s">
        <v>33</v>
      </c>
      <c r="H24" t="s">
        <v>45</v>
      </c>
      <c r="I24">
        <f>I22-J22</f>
        <v>217.29999999999998</v>
      </c>
      <c r="J24">
        <f>SQRT(I23^2+J23^2)</f>
        <v>0.10049875621120891</v>
      </c>
    </row>
    <row r="25" spans="1:16" x14ac:dyDescent="0.2">
      <c r="A25">
        <v>120.1</v>
      </c>
      <c r="B25" s="2" t="s">
        <v>34</v>
      </c>
      <c r="C25" s="2">
        <v>219.2</v>
      </c>
      <c r="D25" s="2" t="s">
        <v>32</v>
      </c>
      <c r="E25" s="2" t="s">
        <v>33</v>
      </c>
    </row>
    <row r="26" spans="1:16" x14ac:dyDescent="0.2">
      <c r="A26">
        <v>125</v>
      </c>
      <c r="B26" s="2" t="s">
        <v>34</v>
      </c>
      <c r="C26" s="2">
        <v>217.92</v>
      </c>
      <c r="D26" s="2" t="s">
        <v>32</v>
      </c>
      <c r="E26" s="2" t="s">
        <v>33</v>
      </c>
    </row>
    <row r="27" spans="1:16" x14ac:dyDescent="0.2">
      <c r="A27">
        <v>130.1</v>
      </c>
      <c r="B27" s="2" t="s">
        <v>34</v>
      </c>
      <c r="C27" s="2">
        <v>216.7</v>
      </c>
      <c r="D27" s="2" t="s">
        <v>32</v>
      </c>
      <c r="E27" s="2" t="s">
        <v>33</v>
      </c>
    </row>
    <row r="28" spans="1:16" x14ac:dyDescent="0.2">
      <c r="A28">
        <v>135</v>
      </c>
      <c r="B28" s="2" t="s">
        <v>34</v>
      </c>
      <c r="C28" s="2">
        <v>215.62</v>
      </c>
      <c r="D28" s="2" t="s">
        <v>32</v>
      </c>
      <c r="E28" s="2" t="s">
        <v>33</v>
      </c>
    </row>
    <row r="29" spans="1:16" x14ac:dyDescent="0.2">
      <c r="A29">
        <v>140.1</v>
      </c>
      <c r="B29" s="2" t="s">
        <v>31</v>
      </c>
      <c r="C29" s="2">
        <v>214.66</v>
      </c>
      <c r="D29" s="2" t="s">
        <v>32</v>
      </c>
      <c r="E29" s="2" t="s">
        <v>33</v>
      </c>
    </row>
    <row r="30" spans="1:16" x14ac:dyDescent="0.2">
      <c r="A30">
        <v>145</v>
      </c>
      <c r="B30" s="2" t="s">
        <v>34</v>
      </c>
      <c r="C30" s="2">
        <v>213.64</v>
      </c>
      <c r="D30" s="2" t="s">
        <v>32</v>
      </c>
      <c r="E30" s="2" t="s">
        <v>33</v>
      </c>
    </row>
    <row r="31" spans="1:16" x14ac:dyDescent="0.2">
      <c r="A31" s="5">
        <v>150.1</v>
      </c>
      <c r="B31" s="6" t="s">
        <v>34</v>
      </c>
      <c r="C31" s="6">
        <v>210.4</v>
      </c>
      <c r="D31" s="2" t="s">
        <v>32</v>
      </c>
      <c r="E31" s="2" t="s">
        <v>33</v>
      </c>
    </row>
    <row r="32" spans="1:16" x14ac:dyDescent="0.2">
      <c r="A32" s="5">
        <v>155</v>
      </c>
      <c r="B32" s="6" t="s">
        <v>34</v>
      </c>
      <c r="C32" s="6">
        <v>208.12</v>
      </c>
      <c r="D32" s="2" t="s">
        <v>32</v>
      </c>
      <c r="E32" s="2" t="s">
        <v>33</v>
      </c>
    </row>
    <row r="33" spans="1:6" x14ac:dyDescent="0.2">
      <c r="A33">
        <v>160.1</v>
      </c>
      <c r="B33" s="2" t="s">
        <v>31</v>
      </c>
      <c r="C33" s="2">
        <v>207.72</v>
      </c>
      <c r="D33" s="2" t="s">
        <v>32</v>
      </c>
      <c r="E33" s="2" t="s">
        <v>33</v>
      </c>
    </row>
    <row r="34" spans="1:6" x14ac:dyDescent="0.2">
      <c r="A34">
        <v>165</v>
      </c>
      <c r="B34" s="2" t="s">
        <v>34</v>
      </c>
      <c r="C34" s="2">
        <v>207.48</v>
      </c>
      <c r="D34" s="2" t="s">
        <v>32</v>
      </c>
      <c r="E34" s="2" t="s">
        <v>33</v>
      </c>
    </row>
    <row r="35" spans="1:6" x14ac:dyDescent="0.2">
      <c r="A35">
        <v>170.1</v>
      </c>
      <c r="B35" s="2" t="s">
        <v>31</v>
      </c>
      <c r="C35" s="2">
        <v>207.3</v>
      </c>
      <c r="D35" s="2" t="s">
        <v>32</v>
      </c>
      <c r="E35" s="2" t="s">
        <v>33</v>
      </c>
    </row>
    <row r="36" spans="1:6" x14ac:dyDescent="0.2">
      <c r="A36">
        <v>175</v>
      </c>
      <c r="B36" s="2"/>
      <c r="C36" s="2">
        <v>207.12</v>
      </c>
      <c r="D36" s="2"/>
      <c r="E36" s="2"/>
      <c r="F36" s="2"/>
    </row>
    <row r="37" spans="1:6" x14ac:dyDescent="0.2">
      <c r="A37">
        <v>180.1</v>
      </c>
      <c r="B37" s="2"/>
      <c r="C37" s="2">
        <v>206.96</v>
      </c>
      <c r="D37" s="2"/>
      <c r="E37" s="2"/>
      <c r="F37" s="2"/>
    </row>
    <row r="38" spans="1:6" x14ac:dyDescent="0.2">
      <c r="A38">
        <v>185</v>
      </c>
      <c r="B38" s="2"/>
      <c r="C38" s="2">
        <v>206.82</v>
      </c>
      <c r="D38" s="2"/>
      <c r="E38" s="2"/>
      <c r="F38" s="2"/>
    </row>
    <row r="39" spans="1:6" x14ac:dyDescent="0.2">
      <c r="A39">
        <v>190.1</v>
      </c>
      <c r="B39" s="2"/>
      <c r="C39" s="2">
        <v>206.68</v>
      </c>
      <c r="D39" s="2"/>
      <c r="E39" s="2"/>
      <c r="F39" s="2"/>
    </row>
    <row r="40" spans="1:6" x14ac:dyDescent="0.2">
      <c r="A40">
        <v>195</v>
      </c>
      <c r="B40" s="2"/>
      <c r="C40" s="2">
        <v>206.54</v>
      </c>
      <c r="D40" s="2"/>
      <c r="E40" s="2"/>
      <c r="F40" s="2"/>
    </row>
    <row r="41" spans="1:6" x14ac:dyDescent="0.2">
      <c r="A41">
        <v>200.1</v>
      </c>
      <c r="B41" s="2"/>
      <c r="C41" s="2">
        <v>206.4</v>
      </c>
      <c r="D41" s="2"/>
      <c r="E41" s="2"/>
      <c r="F41" s="2"/>
    </row>
    <row r="42" spans="1:6" x14ac:dyDescent="0.2">
      <c r="A42">
        <v>205</v>
      </c>
      <c r="B42" s="2"/>
      <c r="C42" s="2">
        <v>206.24</v>
      </c>
      <c r="D42" s="2"/>
      <c r="E42" s="2"/>
      <c r="F42" s="2"/>
    </row>
    <row r="64" spans="9:10" x14ac:dyDescent="0.2">
      <c r="I64" s="1" t="s">
        <v>48</v>
      </c>
      <c r="J64" s="1" t="s">
        <v>47</v>
      </c>
    </row>
    <row r="65" spans="9:10" x14ac:dyDescent="0.2">
      <c r="I65" s="15">
        <v>0</v>
      </c>
      <c r="J65" s="13">
        <v>160.18</v>
      </c>
    </row>
    <row r="66" spans="9:10" x14ac:dyDescent="0.2">
      <c r="I66" s="15">
        <v>10.1</v>
      </c>
      <c r="J66" s="13">
        <v>159.84</v>
      </c>
    </row>
    <row r="67" spans="9:10" x14ac:dyDescent="0.2">
      <c r="I67" s="15">
        <v>15</v>
      </c>
      <c r="J67" s="13">
        <v>159.66</v>
      </c>
    </row>
    <row r="68" spans="9:10" x14ac:dyDescent="0.2">
      <c r="I68" s="15">
        <v>20</v>
      </c>
      <c r="J68" s="13">
        <v>159.52000000000001</v>
      </c>
    </row>
    <row r="69" spans="9:10" x14ac:dyDescent="0.2">
      <c r="I69" s="15">
        <v>25</v>
      </c>
      <c r="J69" s="13">
        <v>159.32</v>
      </c>
    </row>
    <row r="70" spans="9:10" x14ac:dyDescent="0.2">
      <c r="I70" s="15">
        <v>30.1</v>
      </c>
      <c r="J70" s="13">
        <v>159.16</v>
      </c>
    </row>
    <row r="71" spans="9:10" x14ac:dyDescent="0.2">
      <c r="I71" s="15">
        <v>35</v>
      </c>
      <c r="J71" s="13">
        <v>159</v>
      </c>
    </row>
    <row r="72" spans="9:10" x14ac:dyDescent="0.2">
      <c r="I72" s="15">
        <v>40.1</v>
      </c>
      <c r="J72" s="13">
        <v>158.84</v>
      </c>
    </row>
    <row r="73" spans="9:10" x14ac:dyDescent="0.2">
      <c r="I73" s="15">
        <v>45</v>
      </c>
      <c r="J73" s="13">
        <v>158.69999999999999</v>
      </c>
    </row>
    <row r="74" spans="9:10" x14ac:dyDescent="0.2">
      <c r="I74" s="15">
        <v>50.1</v>
      </c>
      <c r="J74" s="13">
        <v>158.54</v>
      </c>
    </row>
    <row r="75" spans="9:10" x14ac:dyDescent="0.2">
      <c r="I75" s="16">
        <v>55</v>
      </c>
      <c r="J75" s="14">
        <v>245.86</v>
      </c>
    </row>
    <row r="76" spans="9:10" x14ac:dyDescent="0.2">
      <c r="I76" s="15">
        <v>60</v>
      </c>
      <c r="J76" s="13">
        <v>242.68</v>
      </c>
    </row>
    <row r="77" spans="9:10" x14ac:dyDescent="0.2">
      <c r="I77" s="15">
        <v>65</v>
      </c>
      <c r="J77" s="13">
        <v>240.1</v>
      </c>
    </row>
    <row r="78" spans="9:10" x14ac:dyDescent="0.2">
      <c r="I78" s="15">
        <v>70.099999999999994</v>
      </c>
      <c r="J78" s="13">
        <v>237.52</v>
      </c>
    </row>
    <row r="79" spans="9:10" x14ac:dyDescent="0.2">
      <c r="I79" s="15">
        <v>75</v>
      </c>
      <c r="J79" s="13">
        <v>235.08</v>
      </c>
    </row>
    <row r="80" spans="9:10" x14ac:dyDescent="0.2">
      <c r="I80" s="15">
        <v>80.2</v>
      </c>
      <c r="J80" s="13">
        <v>232.8</v>
      </c>
    </row>
    <row r="81" spans="9:10" x14ac:dyDescent="0.2">
      <c r="I81" s="15">
        <v>85.1</v>
      </c>
      <c r="J81" s="13">
        <v>230.72</v>
      </c>
    </row>
    <row r="82" spans="9:10" x14ac:dyDescent="0.2">
      <c r="I82" s="15">
        <v>90.1</v>
      </c>
      <c r="J82" s="13">
        <v>228.72</v>
      </c>
    </row>
    <row r="83" spans="9:10" x14ac:dyDescent="0.2">
      <c r="I83" s="15">
        <v>95</v>
      </c>
      <c r="J83" s="13">
        <v>226.88</v>
      </c>
    </row>
    <row r="84" spans="9:10" x14ac:dyDescent="0.2">
      <c r="I84" s="15">
        <v>100.1</v>
      </c>
      <c r="J84" s="13">
        <v>225.1</v>
      </c>
    </row>
    <row r="85" spans="9:10" x14ac:dyDescent="0.2">
      <c r="I85" s="15">
        <v>105</v>
      </c>
      <c r="J85" s="13">
        <v>223.5</v>
      </c>
    </row>
    <row r="86" spans="9:10" x14ac:dyDescent="0.2">
      <c r="I86" s="15">
        <v>110.1</v>
      </c>
      <c r="J86" s="13">
        <v>221.94</v>
      </c>
    </row>
    <row r="87" spans="9:10" x14ac:dyDescent="0.2">
      <c r="I87" s="15">
        <v>115</v>
      </c>
      <c r="J87" s="13">
        <v>220.56</v>
      </c>
    </row>
    <row r="88" spans="9:10" x14ac:dyDescent="0.2">
      <c r="I88" s="15">
        <v>120.1</v>
      </c>
      <c r="J88" s="13">
        <v>219.2</v>
      </c>
    </row>
    <row r="89" spans="9:10" x14ac:dyDescent="0.2">
      <c r="I89" s="15">
        <v>125</v>
      </c>
      <c r="J89" s="13">
        <v>217.92</v>
      </c>
    </row>
    <row r="90" spans="9:10" x14ac:dyDescent="0.2">
      <c r="I90" s="15">
        <v>130.1</v>
      </c>
      <c r="J90" s="13">
        <v>216.7</v>
      </c>
    </row>
    <row r="91" spans="9:10" x14ac:dyDescent="0.2">
      <c r="I91" s="15">
        <v>135</v>
      </c>
      <c r="J91" s="13">
        <v>215.62</v>
      </c>
    </row>
    <row r="92" spans="9:10" x14ac:dyDescent="0.2">
      <c r="I92" s="15">
        <v>140.1</v>
      </c>
      <c r="J92" s="13">
        <v>214.66</v>
      </c>
    </row>
    <row r="93" spans="9:10" x14ac:dyDescent="0.2">
      <c r="I93" s="15">
        <v>145</v>
      </c>
      <c r="J93" s="13">
        <v>213.64</v>
      </c>
    </row>
    <row r="94" spans="9:10" x14ac:dyDescent="0.2">
      <c r="I94" s="15">
        <v>150.1</v>
      </c>
      <c r="J94" s="13">
        <v>210.4</v>
      </c>
    </row>
    <row r="95" spans="9:10" x14ac:dyDescent="0.2">
      <c r="I95" s="15">
        <v>155</v>
      </c>
      <c r="J95" s="13">
        <v>208.12</v>
      </c>
    </row>
    <row r="96" spans="9:10" x14ac:dyDescent="0.2">
      <c r="I96" s="16">
        <v>160.1</v>
      </c>
      <c r="J96" s="14">
        <v>207.72</v>
      </c>
    </row>
    <row r="97" spans="9:10" x14ac:dyDescent="0.2">
      <c r="I97" s="15">
        <v>165</v>
      </c>
      <c r="J97" s="13">
        <v>207.48</v>
      </c>
    </row>
    <row r="98" spans="9:10" x14ac:dyDescent="0.2">
      <c r="I98" s="15">
        <v>170.1</v>
      </c>
      <c r="J98" s="13">
        <v>207.3</v>
      </c>
    </row>
    <row r="99" spans="9:10" x14ac:dyDescent="0.2">
      <c r="I99" s="15">
        <v>175</v>
      </c>
      <c r="J99" s="13">
        <v>207.12</v>
      </c>
    </row>
    <row r="100" spans="9:10" x14ac:dyDescent="0.2">
      <c r="I100" s="15">
        <v>180.1</v>
      </c>
      <c r="J100" s="13">
        <v>206.96</v>
      </c>
    </row>
    <row r="101" spans="9:10" x14ac:dyDescent="0.2">
      <c r="I101" s="15">
        <v>185</v>
      </c>
      <c r="J101" s="13">
        <v>206.82</v>
      </c>
    </row>
    <row r="102" spans="9:10" x14ac:dyDescent="0.2">
      <c r="I102" s="15">
        <v>190.1</v>
      </c>
      <c r="J102" s="13">
        <v>206.68</v>
      </c>
    </row>
    <row r="103" spans="9:10" x14ac:dyDescent="0.2">
      <c r="I103" s="15">
        <v>195</v>
      </c>
      <c r="J103" s="13">
        <v>206.54</v>
      </c>
    </row>
    <row r="104" spans="9:10" x14ac:dyDescent="0.2">
      <c r="I104" s="15">
        <v>200.1</v>
      </c>
      <c r="J104" s="13">
        <v>206.4</v>
      </c>
    </row>
    <row r="105" spans="9:10" x14ac:dyDescent="0.2">
      <c r="I105" s="15">
        <v>205</v>
      </c>
      <c r="J105" s="13">
        <v>206.24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9F76-525F-482D-90AB-821759538DA2}">
  <dimension ref="A1:O92"/>
  <sheetViews>
    <sheetView topLeftCell="A51" zoomScale="125" workbookViewId="0">
      <selection activeCell="F61" sqref="F61"/>
    </sheetView>
  </sheetViews>
  <sheetFormatPr baseColWidth="10" defaultColWidth="8.83203125" defaultRowHeight="15" x14ac:dyDescent="0.2"/>
  <cols>
    <col min="1" max="5" width="10.83203125" bestFit="1" customWidth="1"/>
  </cols>
  <sheetData>
    <row r="1" spans="1:8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8" x14ac:dyDescent="0.2">
      <c r="A2">
        <v>0</v>
      </c>
      <c r="B2" s="2" t="s">
        <v>34</v>
      </c>
      <c r="C2" s="2">
        <v>239.2</v>
      </c>
      <c r="D2" s="2" t="s">
        <v>32</v>
      </c>
      <c r="G2" cm="1">
        <f t="array" ref="G2:H6">LINEST(C2:C11,A2:A11,TRUE,TRUE)</f>
        <v>-4.2770396591054236E-2</v>
      </c>
      <c r="H2">
        <v>239.20493922778803</v>
      </c>
    </row>
    <row r="3" spans="1:8" x14ac:dyDescent="0.2">
      <c r="A3">
        <v>10.199999999999999</v>
      </c>
      <c r="B3" s="2" t="s">
        <v>31</v>
      </c>
      <c r="C3" s="2">
        <v>238.78</v>
      </c>
      <c r="D3" s="2" t="s">
        <v>32</v>
      </c>
      <c r="G3">
        <v>1.5393481251084763E-4</v>
      </c>
      <c r="H3">
        <v>4.7757193311984128E-3</v>
      </c>
    </row>
    <row r="4" spans="1:8" x14ac:dyDescent="0.2">
      <c r="A4">
        <v>15</v>
      </c>
      <c r="B4" s="2" t="s">
        <v>31</v>
      </c>
      <c r="C4" s="2">
        <v>238.56</v>
      </c>
      <c r="D4" s="2" t="s">
        <v>32</v>
      </c>
      <c r="G4">
        <v>0.99989638273524106</v>
      </c>
      <c r="H4">
        <v>7.3953542636603425E-3</v>
      </c>
    </row>
    <row r="5" spans="1:8" x14ac:dyDescent="0.2">
      <c r="A5">
        <v>20</v>
      </c>
      <c r="B5" s="2" t="s">
        <v>34</v>
      </c>
      <c r="C5" s="2">
        <v>238.34</v>
      </c>
      <c r="D5" s="2" t="s">
        <v>32</v>
      </c>
      <c r="G5">
        <v>77199.210773369865</v>
      </c>
      <c r="H5">
        <v>8</v>
      </c>
    </row>
    <row r="6" spans="1:8" x14ac:dyDescent="0.2">
      <c r="A6">
        <v>25</v>
      </c>
      <c r="B6" s="2" t="s">
        <v>31</v>
      </c>
      <c r="C6" s="2">
        <v>238.14</v>
      </c>
      <c r="D6" s="2" t="s">
        <v>32</v>
      </c>
      <c r="G6">
        <v>4.2221224698825015</v>
      </c>
      <c r="H6">
        <v>4.3753011748031361E-4</v>
      </c>
    </row>
    <row r="7" spans="1:8" x14ac:dyDescent="0.2">
      <c r="A7">
        <v>30.1</v>
      </c>
      <c r="B7" s="2" t="s">
        <v>34</v>
      </c>
      <c r="C7" s="2">
        <v>237.92</v>
      </c>
      <c r="D7" s="2" t="s">
        <v>32</v>
      </c>
    </row>
    <row r="8" spans="1:8" x14ac:dyDescent="0.2">
      <c r="A8">
        <v>35.1</v>
      </c>
      <c r="B8" s="2" t="s">
        <v>34</v>
      </c>
      <c r="C8" s="2">
        <v>237.7</v>
      </c>
      <c r="D8" s="2" t="s">
        <v>32</v>
      </c>
    </row>
    <row r="9" spans="1:8" x14ac:dyDescent="0.2">
      <c r="A9">
        <v>40.1</v>
      </c>
      <c r="B9" s="2" t="s">
        <v>31</v>
      </c>
      <c r="C9" s="2">
        <v>237.5</v>
      </c>
      <c r="D9" s="2" t="s">
        <v>32</v>
      </c>
    </row>
    <row r="10" spans="1:8" x14ac:dyDescent="0.2">
      <c r="A10">
        <v>45</v>
      </c>
      <c r="B10" s="2" t="s">
        <v>31</v>
      </c>
      <c r="C10" s="2">
        <v>237.28</v>
      </c>
      <c r="D10" s="2" t="s">
        <v>32</v>
      </c>
    </row>
    <row r="11" spans="1:8" x14ac:dyDescent="0.2">
      <c r="A11">
        <v>50</v>
      </c>
      <c r="B11" s="2" t="s">
        <v>31</v>
      </c>
      <c r="C11" s="2">
        <v>237.06</v>
      </c>
      <c r="D11" s="2" t="s">
        <v>32</v>
      </c>
      <c r="G11" cm="1">
        <f t="array" ref="G11:H15">LINEST(C31:C39,A31:A39,TRUE,TRUE)</f>
        <v>-4.5525992207522757E-2</v>
      </c>
      <c r="H11">
        <v>258.98144205271029</v>
      </c>
    </row>
    <row r="12" spans="1:8" x14ac:dyDescent="0.2">
      <c r="A12">
        <v>55</v>
      </c>
      <c r="B12" s="2" t="s">
        <v>34</v>
      </c>
      <c r="C12" s="2">
        <v>320.77999999999997</v>
      </c>
      <c r="D12" s="2" t="s">
        <v>32</v>
      </c>
      <c r="G12">
        <v>1.1964140661244894E-3</v>
      </c>
      <c r="H12">
        <v>0.20402905559034501</v>
      </c>
    </row>
    <row r="13" spans="1:8" x14ac:dyDescent="0.2">
      <c r="A13">
        <v>60</v>
      </c>
      <c r="B13" s="2" t="s">
        <v>34</v>
      </c>
      <c r="C13" s="2">
        <v>314.54000000000002</v>
      </c>
      <c r="D13" s="2" t="s">
        <v>32</v>
      </c>
      <c r="G13">
        <v>0.99518886294869802</v>
      </c>
      <c r="H13">
        <v>4.6337260767839401E-2</v>
      </c>
    </row>
    <row r="14" spans="1:8" x14ac:dyDescent="0.2">
      <c r="A14">
        <v>65.099999999999994</v>
      </c>
      <c r="B14" s="2" t="s">
        <v>34</v>
      </c>
      <c r="C14" s="2">
        <v>309.16000000000003</v>
      </c>
      <c r="D14" s="2" t="s">
        <v>32</v>
      </c>
      <c r="G14">
        <v>1447.9575132360274</v>
      </c>
      <c r="H14">
        <v>7</v>
      </c>
    </row>
    <row r="15" spans="1:8" x14ac:dyDescent="0.2">
      <c r="A15">
        <v>70</v>
      </c>
      <c r="B15" s="2" t="s">
        <v>34</v>
      </c>
      <c r="C15" s="2">
        <v>304.14</v>
      </c>
      <c r="D15" s="2" t="s">
        <v>32</v>
      </c>
      <c r="G15">
        <v>3.1089700078517208</v>
      </c>
      <c r="H15">
        <v>1.5029992148267238E-2</v>
      </c>
    </row>
    <row r="16" spans="1:8" x14ac:dyDescent="0.2">
      <c r="A16">
        <v>75</v>
      </c>
      <c r="B16" s="2" t="s">
        <v>34</v>
      </c>
      <c r="C16" s="2">
        <v>300</v>
      </c>
      <c r="D16" s="2" t="s">
        <v>32</v>
      </c>
    </row>
    <row r="17" spans="1:15" x14ac:dyDescent="0.2">
      <c r="A17">
        <v>80.099999999999994</v>
      </c>
      <c r="B17" s="2" t="s">
        <v>34</v>
      </c>
      <c r="C17" s="2">
        <v>296.32</v>
      </c>
      <c r="D17" s="2" t="s">
        <v>32</v>
      </c>
    </row>
    <row r="18" spans="1:15" x14ac:dyDescent="0.2">
      <c r="A18">
        <v>85</v>
      </c>
      <c r="B18" s="2" t="s">
        <v>34</v>
      </c>
      <c r="C18" s="2">
        <v>292.52</v>
      </c>
      <c r="D18" s="2" t="s">
        <v>32</v>
      </c>
    </row>
    <row r="19" spans="1:15" x14ac:dyDescent="0.2">
      <c r="A19">
        <v>90.1</v>
      </c>
      <c r="B19" s="2" t="s">
        <v>34</v>
      </c>
      <c r="C19" s="2">
        <v>289.27999999999997</v>
      </c>
      <c r="D19" s="2" t="s">
        <v>32</v>
      </c>
    </row>
    <row r="20" spans="1:15" x14ac:dyDescent="0.2">
      <c r="A20">
        <v>95</v>
      </c>
      <c r="B20" s="2" t="s">
        <v>34</v>
      </c>
      <c r="C20" s="2">
        <v>286</v>
      </c>
      <c r="D20" s="2" t="s">
        <v>32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N20" s="1" t="s">
        <v>15</v>
      </c>
    </row>
    <row r="21" spans="1:15" x14ac:dyDescent="0.2">
      <c r="A21">
        <v>100.1</v>
      </c>
      <c r="B21" s="2" t="s">
        <v>34</v>
      </c>
      <c r="C21" s="2">
        <v>282.76</v>
      </c>
      <c r="D21" s="2" t="s">
        <v>32</v>
      </c>
      <c r="H21">
        <v>88.54</v>
      </c>
      <c r="I21">
        <f>21.5+273.15</f>
        <v>294.64999999999998</v>
      </c>
      <c r="J21">
        <v>77.349999999999994</v>
      </c>
      <c r="K21">
        <f>G2*A32+H2+H21-C32</f>
        <v>69.195527756174641</v>
      </c>
      <c r="L21">
        <v>200</v>
      </c>
      <c r="N21" s="1">
        <f>(K21*L21)/(H21*(I21-J21))</f>
        <v>0.7192978757841415</v>
      </c>
      <c r="O21">
        <f>N21*26.982</f>
        <v>19.408095284407704</v>
      </c>
    </row>
    <row r="22" spans="1:15" x14ac:dyDescent="0.2">
      <c r="A22">
        <v>105</v>
      </c>
      <c r="B22" s="2" t="s">
        <v>34</v>
      </c>
      <c r="C22" s="2">
        <v>279.86</v>
      </c>
      <c r="D22" s="2" t="s">
        <v>32</v>
      </c>
      <c r="H22">
        <v>0.02</v>
      </c>
      <c r="I22">
        <v>0.1</v>
      </c>
      <c r="J22">
        <v>0.01</v>
      </c>
      <c r="K22">
        <f>SQRT((A31*G3)^2 + (G2*5)^2 + (H3)^2 + (H22)^2 + (0.02)^2)</f>
        <v>0.21700080085128301</v>
      </c>
      <c r="L22">
        <v>1</v>
      </c>
      <c r="N22">
        <f>SQRT((L21*K22/(H21*I23))^2+(K21*L21*H22/(H21^2*I23))^2 + (K21*L21*J23/(H21*I23^2))^2 + (K21*L22/(H21*I23))^2)</f>
        <v>4.2614829843798203E-3</v>
      </c>
      <c r="O22">
        <f>SQRT((N21*0.001)^2 + (26.982*N22)^2)</f>
        <v>0.11498558370785819</v>
      </c>
    </row>
    <row r="23" spans="1:15" x14ac:dyDescent="0.2">
      <c r="A23">
        <v>110</v>
      </c>
      <c r="B23" s="2" t="s">
        <v>34</v>
      </c>
      <c r="C23" s="2">
        <v>277.04000000000002</v>
      </c>
      <c r="D23" s="2" t="s">
        <v>32</v>
      </c>
      <c r="H23" t="s">
        <v>45</v>
      </c>
      <c r="I23">
        <f>I21-J21</f>
        <v>217.29999999999998</v>
      </c>
      <c r="J23">
        <f>SQRT(I22^2 + J22^2)</f>
        <v>0.10049875621120891</v>
      </c>
    </row>
    <row r="24" spans="1:15" x14ac:dyDescent="0.2">
      <c r="A24">
        <v>115</v>
      </c>
      <c r="B24" s="2" t="s">
        <v>34</v>
      </c>
      <c r="C24" s="2">
        <v>274.52</v>
      </c>
      <c r="D24" s="2" t="s">
        <v>32</v>
      </c>
    </row>
    <row r="25" spans="1:15" x14ac:dyDescent="0.2">
      <c r="A25">
        <v>120.1</v>
      </c>
      <c r="B25" s="2" t="s">
        <v>34</v>
      </c>
      <c r="C25" s="2">
        <v>271.98</v>
      </c>
      <c r="D25" s="2" t="s">
        <v>32</v>
      </c>
    </row>
    <row r="26" spans="1:15" x14ac:dyDescent="0.2">
      <c r="A26">
        <v>125</v>
      </c>
      <c r="B26" s="2" t="s">
        <v>34</v>
      </c>
      <c r="C26" s="2">
        <v>269.42</v>
      </c>
      <c r="D26" s="2" t="s">
        <v>32</v>
      </c>
    </row>
    <row r="27" spans="1:15" x14ac:dyDescent="0.2">
      <c r="A27">
        <v>130.1</v>
      </c>
      <c r="B27" s="2" t="s">
        <v>34</v>
      </c>
      <c r="C27" s="2">
        <v>267.02</v>
      </c>
      <c r="D27" s="2" t="s">
        <v>32</v>
      </c>
    </row>
    <row r="28" spans="1:15" x14ac:dyDescent="0.2">
      <c r="A28">
        <v>135</v>
      </c>
      <c r="B28" s="2" t="s">
        <v>34</v>
      </c>
      <c r="C28" s="2">
        <v>264.48</v>
      </c>
      <c r="D28" s="2" t="s">
        <v>32</v>
      </c>
    </row>
    <row r="29" spans="1:15" x14ac:dyDescent="0.2">
      <c r="A29">
        <v>140.1</v>
      </c>
      <c r="B29" s="2" t="s">
        <v>34</v>
      </c>
      <c r="C29" s="2">
        <v>261.16000000000003</v>
      </c>
      <c r="D29" s="2" t="s">
        <v>32</v>
      </c>
    </row>
    <row r="30" spans="1:15" x14ac:dyDescent="0.2">
      <c r="A30">
        <v>145</v>
      </c>
      <c r="B30" s="2" t="s">
        <v>34</v>
      </c>
      <c r="C30" s="2">
        <v>255.24</v>
      </c>
      <c r="D30" s="2" t="s">
        <v>32</v>
      </c>
    </row>
    <row r="31" spans="1:15" x14ac:dyDescent="0.2">
      <c r="A31">
        <v>150.1</v>
      </c>
      <c r="B31" s="2" t="s">
        <v>31</v>
      </c>
      <c r="C31" s="2">
        <v>252.22</v>
      </c>
      <c r="D31" s="2" t="s">
        <v>32</v>
      </c>
    </row>
    <row r="32" spans="1:15" x14ac:dyDescent="0.2">
      <c r="A32">
        <v>155</v>
      </c>
      <c r="B32" s="2" t="s">
        <v>31</v>
      </c>
      <c r="C32" s="2">
        <v>251.92</v>
      </c>
      <c r="D32" s="2" t="s">
        <v>32</v>
      </c>
    </row>
    <row r="33" spans="1:5" x14ac:dyDescent="0.2">
      <c r="A33">
        <v>160.1</v>
      </c>
      <c r="B33" s="2" t="s">
        <v>31</v>
      </c>
      <c r="C33" s="2">
        <v>251.68</v>
      </c>
      <c r="D33" s="2" t="s">
        <v>32</v>
      </c>
    </row>
    <row r="34" spans="1:5" x14ac:dyDescent="0.2">
      <c r="A34">
        <v>165</v>
      </c>
      <c r="B34" s="2"/>
      <c r="C34" s="2">
        <v>251.44</v>
      </c>
      <c r="D34" s="2"/>
      <c r="E34" s="2"/>
    </row>
    <row r="35" spans="1:5" x14ac:dyDescent="0.2">
      <c r="A35">
        <v>170</v>
      </c>
      <c r="B35" s="2"/>
      <c r="C35" s="2">
        <v>251.2</v>
      </c>
      <c r="D35" s="2"/>
      <c r="E35" s="2"/>
    </row>
    <row r="36" spans="1:5" x14ac:dyDescent="0.2">
      <c r="A36">
        <v>175</v>
      </c>
      <c r="B36" s="2"/>
      <c r="C36" s="2">
        <v>250.98</v>
      </c>
      <c r="D36" s="2"/>
      <c r="E36" s="2"/>
    </row>
    <row r="37" spans="1:5" x14ac:dyDescent="0.2">
      <c r="A37">
        <v>180.1</v>
      </c>
      <c r="B37" s="2"/>
      <c r="C37" s="2">
        <v>250.76</v>
      </c>
      <c r="D37" s="2"/>
      <c r="E37" s="2"/>
    </row>
    <row r="38" spans="1:5" x14ac:dyDescent="0.2">
      <c r="A38">
        <v>185</v>
      </c>
      <c r="B38" s="2"/>
      <c r="C38" s="2">
        <v>250.56</v>
      </c>
      <c r="D38" s="2"/>
      <c r="E38" s="2"/>
    </row>
    <row r="39" spans="1:5" x14ac:dyDescent="0.2">
      <c r="A39">
        <v>190.1</v>
      </c>
      <c r="B39" s="2"/>
      <c r="C39" s="2">
        <v>250.4</v>
      </c>
      <c r="D39" s="2"/>
      <c r="E39" s="2"/>
    </row>
    <row r="54" spans="7:9" x14ac:dyDescent="0.2">
      <c r="G54" t="s">
        <v>49</v>
      </c>
      <c r="H54" s="1" t="s">
        <v>48</v>
      </c>
      <c r="I54" s="1" t="s">
        <v>47</v>
      </c>
    </row>
    <row r="55" spans="7:9" x14ac:dyDescent="0.2">
      <c r="H55" s="15">
        <v>0</v>
      </c>
      <c r="I55" s="13">
        <v>239.2</v>
      </c>
    </row>
    <row r="56" spans="7:9" x14ac:dyDescent="0.2">
      <c r="H56" s="15">
        <v>10.199999999999999</v>
      </c>
      <c r="I56" s="13">
        <v>238.78</v>
      </c>
    </row>
    <row r="57" spans="7:9" x14ac:dyDescent="0.2">
      <c r="H57" s="15">
        <v>15</v>
      </c>
      <c r="I57" s="13">
        <v>238.56</v>
      </c>
    </row>
    <row r="58" spans="7:9" x14ac:dyDescent="0.2">
      <c r="H58" s="15">
        <v>20</v>
      </c>
      <c r="I58" s="13">
        <v>238.34</v>
      </c>
    </row>
    <row r="59" spans="7:9" x14ac:dyDescent="0.2">
      <c r="H59" s="15">
        <v>25</v>
      </c>
      <c r="I59" s="13">
        <v>238.14</v>
      </c>
    </row>
    <row r="60" spans="7:9" x14ac:dyDescent="0.2">
      <c r="H60" s="15">
        <v>30.1</v>
      </c>
      <c r="I60" s="13">
        <v>237.92</v>
      </c>
    </row>
    <row r="61" spans="7:9" x14ac:dyDescent="0.2">
      <c r="H61" s="15">
        <v>35.1</v>
      </c>
      <c r="I61" s="13">
        <v>237.7</v>
      </c>
    </row>
    <row r="62" spans="7:9" x14ac:dyDescent="0.2">
      <c r="H62" s="15">
        <v>40.1</v>
      </c>
      <c r="I62" s="13">
        <v>237.5</v>
      </c>
    </row>
    <row r="63" spans="7:9" x14ac:dyDescent="0.2">
      <c r="H63" s="15">
        <v>45</v>
      </c>
      <c r="I63" s="13">
        <v>237.28</v>
      </c>
    </row>
    <row r="64" spans="7:9" x14ac:dyDescent="0.2">
      <c r="H64" s="15">
        <v>50</v>
      </c>
      <c r="I64" s="13">
        <v>237.06</v>
      </c>
    </row>
    <row r="65" spans="8:9" x14ac:dyDescent="0.2">
      <c r="H65" s="16">
        <v>55</v>
      </c>
      <c r="I65" s="14">
        <v>320.77999999999997</v>
      </c>
    </row>
    <row r="66" spans="8:9" x14ac:dyDescent="0.2">
      <c r="H66" s="15">
        <v>60</v>
      </c>
      <c r="I66" s="13">
        <v>314.54000000000002</v>
      </c>
    </row>
    <row r="67" spans="8:9" x14ac:dyDescent="0.2">
      <c r="H67" s="15">
        <v>65.099999999999994</v>
      </c>
      <c r="I67" s="13">
        <v>309.16000000000003</v>
      </c>
    </row>
    <row r="68" spans="8:9" x14ac:dyDescent="0.2">
      <c r="H68" s="15">
        <v>70</v>
      </c>
      <c r="I68" s="13">
        <v>304.14</v>
      </c>
    </row>
    <row r="69" spans="8:9" x14ac:dyDescent="0.2">
      <c r="H69" s="15">
        <v>75</v>
      </c>
      <c r="I69" s="13">
        <v>300</v>
      </c>
    </row>
    <row r="70" spans="8:9" x14ac:dyDescent="0.2">
      <c r="H70" s="15">
        <v>80.099999999999994</v>
      </c>
      <c r="I70" s="13">
        <v>296.32</v>
      </c>
    </row>
    <row r="71" spans="8:9" x14ac:dyDescent="0.2">
      <c r="H71" s="15">
        <v>85</v>
      </c>
      <c r="I71" s="13">
        <v>292.52</v>
      </c>
    </row>
    <row r="72" spans="8:9" x14ac:dyDescent="0.2">
      <c r="H72" s="15">
        <v>90.1</v>
      </c>
      <c r="I72" s="13">
        <v>289.27999999999997</v>
      </c>
    </row>
    <row r="73" spans="8:9" x14ac:dyDescent="0.2">
      <c r="H73" s="15">
        <v>95</v>
      </c>
      <c r="I73" s="13">
        <v>286</v>
      </c>
    </row>
    <row r="74" spans="8:9" x14ac:dyDescent="0.2">
      <c r="H74" s="15">
        <v>100.1</v>
      </c>
      <c r="I74" s="13">
        <v>282.76</v>
      </c>
    </row>
    <row r="75" spans="8:9" x14ac:dyDescent="0.2">
      <c r="H75" s="15">
        <v>105</v>
      </c>
      <c r="I75" s="13">
        <v>279.86</v>
      </c>
    </row>
    <row r="76" spans="8:9" x14ac:dyDescent="0.2">
      <c r="H76" s="15">
        <v>110</v>
      </c>
      <c r="I76" s="13">
        <v>277.04000000000002</v>
      </c>
    </row>
    <row r="77" spans="8:9" x14ac:dyDescent="0.2">
      <c r="H77" s="15">
        <v>115</v>
      </c>
      <c r="I77" s="13">
        <v>274.52</v>
      </c>
    </row>
    <row r="78" spans="8:9" x14ac:dyDescent="0.2">
      <c r="H78" s="15">
        <v>120.1</v>
      </c>
      <c r="I78" s="13">
        <v>271.98</v>
      </c>
    </row>
    <row r="79" spans="8:9" x14ac:dyDescent="0.2">
      <c r="H79" s="15">
        <v>125</v>
      </c>
      <c r="I79" s="13">
        <v>269.42</v>
      </c>
    </row>
    <row r="80" spans="8:9" x14ac:dyDescent="0.2">
      <c r="H80" s="15">
        <v>130.1</v>
      </c>
      <c r="I80" s="13">
        <v>267.02</v>
      </c>
    </row>
    <row r="81" spans="8:9" x14ac:dyDescent="0.2">
      <c r="H81" s="15">
        <v>135</v>
      </c>
      <c r="I81" s="13">
        <v>264.48</v>
      </c>
    </row>
    <row r="82" spans="8:9" x14ac:dyDescent="0.2">
      <c r="H82" s="15">
        <v>140.1</v>
      </c>
      <c r="I82" s="13">
        <v>261.16000000000003</v>
      </c>
    </row>
    <row r="83" spans="8:9" x14ac:dyDescent="0.2">
      <c r="H83" s="15">
        <v>145</v>
      </c>
      <c r="I83" s="13">
        <v>255.24</v>
      </c>
    </row>
    <row r="84" spans="8:9" x14ac:dyDescent="0.2">
      <c r="H84" s="16">
        <v>150.1</v>
      </c>
      <c r="I84" s="14">
        <v>252.22</v>
      </c>
    </row>
    <row r="85" spans="8:9" x14ac:dyDescent="0.2">
      <c r="H85" s="15">
        <v>155</v>
      </c>
      <c r="I85" s="13">
        <v>251.92</v>
      </c>
    </row>
    <row r="86" spans="8:9" x14ac:dyDescent="0.2">
      <c r="H86" s="15">
        <v>160.1</v>
      </c>
      <c r="I86" s="13">
        <v>251.68</v>
      </c>
    </row>
    <row r="87" spans="8:9" x14ac:dyDescent="0.2">
      <c r="H87" s="15">
        <v>165</v>
      </c>
      <c r="I87" s="13">
        <v>251.44</v>
      </c>
    </row>
    <row r="88" spans="8:9" x14ac:dyDescent="0.2">
      <c r="H88" s="15">
        <v>170</v>
      </c>
      <c r="I88" s="13">
        <v>251.2</v>
      </c>
    </row>
    <row r="89" spans="8:9" x14ac:dyDescent="0.2">
      <c r="H89" s="15">
        <v>175</v>
      </c>
      <c r="I89" s="13">
        <v>250.98</v>
      </c>
    </row>
    <row r="90" spans="8:9" x14ac:dyDescent="0.2">
      <c r="H90" s="15">
        <v>180.1</v>
      </c>
      <c r="I90" s="13">
        <v>250.76</v>
      </c>
    </row>
    <row r="91" spans="8:9" x14ac:dyDescent="0.2">
      <c r="H91" s="15">
        <v>185</v>
      </c>
      <c r="I91" s="13">
        <v>250.56</v>
      </c>
    </row>
    <row r="92" spans="8:9" x14ac:dyDescent="0.2">
      <c r="H92" s="15">
        <v>190.1</v>
      </c>
      <c r="I92" s="13">
        <v>250.4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E5E4-B9CE-4424-B1F7-D155C4D6C6EE}">
  <dimension ref="A1:N89"/>
  <sheetViews>
    <sheetView tabSelected="1" topLeftCell="D1" zoomScale="213" zoomScaleNormal="100" workbookViewId="0">
      <selection activeCell="I9" sqref="I9"/>
    </sheetView>
  </sheetViews>
  <sheetFormatPr baseColWidth="10" defaultColWidth="8.83203125" defaultRowHeight="15" x14ac:dyDescent="0.2"/>
  <cols>
    <col min="1" max="5" width="10.83203125" bestFit="1" customWidth="1"/>
  </cols>
  <sheetData>
    <row r="1" spans="1:8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8" x14ac:dyDescent="0.2">
      <c r="A2">
        <v>0</v>
      </c>
      <c r="B2" s="2" t="s">
        <v>31</v>
      </c>
      <c r="C2" s="2">
        <v>115.5</v>
      </c>
      <c r="D2" s="2" t="s">
        <v>32</v>
      </c>
      <c r="G2" cm="1">
        <f t="array" ref="G2:H6">LINEST(C2:C14,A2:A14,TRUE,TRUE)</f>
        <v>-2.6830184745234707E-2</v>
      </c>
      <c r="H2">
        <v>115.51018186651365</v>
      </c>
    </row>
    <row r="3" spans="1:8" x14ac:dyDescent="0.2">
      <c r="A3">
        <v>10</v>
      </c>
      <c r="B3" s="2" t="s">
        <v>31</v>
      </c>
      <c r="C3" s="2">
        <v>115.24</v>
      </c>
      <c r="D3" s="2" t="s">
        <v>32</v>
      </c>
      <c r="G3">
        <v>2.6394583755822196E-4</v>
      </c>
      <c r="H3">
        <v>1.0483992767872308E-2</v>
      </c>
    </row>
    <row r="4" spans="1:8" x14ac:dyDescent="0.2">
      <c r="A4">
        <v>15.1</v>
      </c>
      <c r="B4" s="2" t="s">
        <v>31</v>
      </c>
      <c r="C4" s="2">
        <v>115.08</v>
      </c>
      <c r="D4" s="2" t="s">
        <v>32</v>
      </c>
      <c r="G4">
        <v>0.9989365602191721</v>
      </c>
      <c r="H4">
        <v>1.8447241795588799E-2</v>
      </c>
    </row>
    <row r="5" spans="1:8" x14ac:dyDescent="0.2">
      <c r="A5">
        <v>20</v>
      </c>
      <c r="B5" s="2" t="s">
        <v>31</v>
      </c>
      <c r="C5" s="2">
        <v>115</v>
      </c>
      <c r="D5" s="2" t="s">
        <v>32</v>
      </c>
      <c r="G5">
        <v>10332.792096470812</v>
      </c>
      <c r="H5">
        <v>11</v>
      </c>
    </row>
    <row r="6" spans="1:8" x14ac:dyDescent="0.2">
      <c r="A6">
        <v>25</v>
      </c>
      <c r="B6" s="2" t="s">
        <v>31</v>
      </c>
      <c r="C6" s="2">
        <v>114.86</v>
      </c>
      <c r="D6" s="2" t="s">
        <v>32</v>
      </c>
      <c r="G6">
        <v>3.5162566919714759</v>
      </c>
      <c r="H6">
        <v>3.7433080285141002E-3</v>
      </c>
    </row>
    <row r="7" spans="1:8" x14ac:dyDescent="0.2">
      <c r="A7">
        <v>30.1</v>
      </c>
      <c r="B7" s="2" t="s">
        <v>31</v>
      </c>
      <c r="C7" s="2">
        <v>114.72</v>
      </c>
      <c r="D7" s="2" t="s">
        <v>32</v>
      </c>
    </row>
    <row r="8" spans="1:8" x14ac:dyDescent="0.2">
      <c r="A8">
        <v>35.1</v>
      </c>
      <c r="B8" s="2" t="s">
        <v>31</v>
      </c>
      <c r="C8" s="2">
        <v>114.58</v>
      </c>
      <c r="D8" s="2" t="s">
        <v>32</v>
      </c>
    </row>
    <row r="9" spans="1:8" x14ac:dyDescent="0.2">
      <c r="A9">
        <v>40.1</v>
      </c>
      <c r="B9" s="2" t="s">
        <v>31</v>
      </c>
      <c r="C9" s="2">
        <v>114.42</v>
      </c>
      <c r="D9" s="2" t="s">
        <v>32</v>
      </c>
      <c r="G9" cm="1">
        <f t="array" ref="G9:H13">LINEST(Bra!C41:C47,Bra!A41:A47,TRUE,TRUE)</f>
        <v>-5.2104477856663688E-2</v>
      </c>
      <c r="H9">
        <v>179.27659151650312</v>
      </c>
    </row>
    <row r="10" spans="1:8" x14ac:dyDescent="0.2">
      <c r="A10">
        <v>45</v>
      </c>
      <c r="B10" s="2" t="s">
        <v>31</v>
      </c>
      <c r="C10" s="2">
        <v>114.28</v>
      </c>
      <c r="D10" s="2" t="s">
        <v>32</v>
      </c>
      <c r="G10">
        <v>1.3819626186903004E-3</v>
      </c>
      <c r="H10">
        <v>0.25611358087155783</v>
      </c>
    </row>
    <row r="11" spans="1:8" x14ac:dyDescent="0.2">
      <c r="A11">
        <v>50</v>
      </c>
      <c r="B11" s="2" t="s">
        <v>31</v>
      </c>
      <c r="C11" s="2">
        <v>114.16</v>
      </c>
      <c r="D11" s="2" t="s">
        <v>32</v>
      </c>
      <c r="G11">
        <v>0.99649500320716722</v>
      </c>
      <c r="H11">
        <v>3.6485308733308693E-2</v>
      </c>
    </row>
    <row r="12" spans="1:8" x14ac:dyDescent="0.2">
      <c r="A12">
        <v>55.1</v>
      </c>
      <c r="B12" s="2" t="s">
        <v>31</v>
      </c>
      <c r="C12" s="2">
        <v>114.04</v>
      </c>
      <c r="D12" s="2" t="s">
        <v>32</v>
      </c>
      <c r="G12">
        <v>1421.5348288546911</v>
      </c>
      <c r="H12">
        <v>5</v>
      </c>
    </row>
    <row r="13" spans="1:8" x14ac:dyDescent="0.2">
      <c r="A13">
        <v>60.1</v>
      </c>
      <c r="B13" s="2" t="s">
        <v>34</v>
      </c>
      <c r="C13" s="2">
        <v>113.88</v>
      </c>
      <c r="D13" s="2" t="s">
        <v>32</v>
      </c>
      <c r="G13">
        <v>1.8923155398046763</v>
      </c>
      <c r="H13">
        <v>6.6558887668242573E-3</v>
      </c>
    </row>
    <row r="14" spans="1:8" x14ac:dyDescent="0.2">
      <c r="A14">
        <v>65.099999999999994</v>
      </c>
      <c r="B14" s="2" t="s">
        <v>31</v>
      </c>
      <c r="C14" s="2">
        <v>113.78</v>
      </c>
      <c r="D14" s="2" t="s">
        <v>32</v>
      </c>
    </row>
    <row r="15" spans="1:8" x14ac:dyDescent="0.2">
      <c r="A15">
        <v>70.099999999999994</v>
      </c>
      <c r="B15" s="2" t="s">
        <v>34</v>
      </c>
      <c r="C15" s="2">
        <v>201.8</v>
      </c>
      <c r="D15" s="2" t="s">
        <v>32</v>
      </c>
    </row>
    <row r="16" spans="1:8" x14ac:dyDescent="0.2">
      <c r="A16">
        <v>75</v>
      </c>
      <c r="B16" s="2" t="s">
        <v>34</v>
      </c>
      <c r="C16" s="2">
        <v>199.3</v>
      </c>
      <c r="D16" s="2" t="s">
        <v>32</v>
      </c>
    </row>
    <row r="17" spans="1:14" x14ac:dyDescent="0.2">
      <c r="A17">
        <v>80.099999999999994</v>
      </c>
      <c r="B17" s="2" t="s">
        <v>34</v>
      </c>
      <c r="C17" s="2">
        <v>196.82</v>
      </c>
      <c r="D17" s="2" t="s">
        <v>32</v>
      </c>
    </row>
    <row r="18" spans="1:14" x14ac:dyDescent="0.2">
      <c r="A18">
        <v>85.1</v>
      </c>
      <c r="B18" s="2" t="s">
        <v>34</v>
      </c>
      <c r="C18" s="2">
        <v>194.6</v>
      </c>
      <c r="D18" s="2" t="s">
        <v>32</v>
      </c>
    </row>
    <row r="19" spans="1:14" x14ac:dyDescent="0.2">
      <c r="A19">
        <v>90</v>
      </c>
      <c r="B19" s="2" t="s">
        <v>34</v>
      </c>
      <c r="C19" s="2">
        <v>192.48</v>
      </c>
      <c r="D19" s="2" t="s">
        <v>32</v>
      </c>
    </row>
    <row r="20" spans="1:14" x14ac:dyDescent="0.2">
      <c r="A20">
        <v>95.1</v>
      </c>
      <c r="B20" s="2" t="s">
        <v>34</v>
      </c>
      <c r="C20" s="2">
        <v>190.58</v>
      </c>
      <c r="D20" s="2" t="s">
        <v>32</v>
      </c>
    </row>
    <row r="21" spans="1:14" x14ac:dyDescent="0.2">
      <c r="A21">
        <v>100.1</v>
      </c>
      <c r="B21" s="2" t="s">
        <v>34</v>
      </c>
      <c r="C21" s="2">
        <v>188.68</v>
      </c>
      <c r="D21" s="2" t="s">
        <v>32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M21" s="1" t="s">
        <v>15</v>
      </c>
    </row>
    <row r="22" spans="1:14" x14ac:dyDescent="0.2">
      <c r="A22">
        <v>105.1</v>
      </c>
      <c r="B22" s="2" t="s">
        <v>34</v>
      </c>
      <c r="C22" s="2">
        <v>187.04</v>
      </c>
      <c r="D22" s="2" t="s">
        <v>32</v>
      </c>
      <c r="G22">
        <v>89.48</v>
      </c>
      <c r="H22">
        <f>21.5+273.15</f>
        <v>294.64999999999998</v>
      </c>
      <c r="I22">
        <v>77.349999999999994</v>
      </c>
      <c r="J22">
        <f>G2*A41+H2+G22-C35</f>
        <v>29.986367441349216</v>
      </c>
      <c r="K22">
        <v>200</v>
      </c>
      <c r="M22" s="1">
        <f>(J22*K22)/(G22*(H22-I22))</f>
        <v>0.30843819453389554</v>
      </c>
      <c r="N22">
        <f>SQRT((63.546*M23)^2 + (M22*0.001)^2)</f>
        <v>0.13654341762612437</v>
      </c>
    </row>
    <row r="23" spans="1:14" x14ac:dyDescent="0.2">
      <c r="A23">
        <v>110</v>
      </c>
      <c r="B23" s="2" t="s">
        <v>34</v>
      </c>
      <c r="C23" s="2">
        <v>185.46</v>
      </c>
      <c r="D23" s="2" t="s">
        <v>32</v>
      </c>
      <c r="G23">
        <v>0.02</v>
      </c>
      <c r="H23">
        <v>0.1</v>
      </c>
      <c r="I23">
        <v>0.01</v>
      </c>
      <c r="J23">
        <f>SQRT((G3*Bra!A41)^2+(Bra!G2*5)^2+Bra!H3^2+0.02^2+0.02^2)</f>
        <v>0.14464488182663315</v>
      </c>
      <c r="K23">
        <v>1</v>
      </c>
      <c r="M23">
        <f>SQRT((K22*J23/(G22*H24))^2+(J22*K22*G23/(G22^2*H24))^2 + (J22*K22*I24/(G22*H24^2))^2 + (J22*K23/(G22*H24))^2)</f>
        <v>2.1487279964098127E-3</v>
      </c>
      <c r="N23">
        <f>M22*63.546</f>
        <v>19.600013509850925</v>
      </c>
    </row>
    <row r="24" spans="1:14" x14ac:dyDescent="0.2">
      <c r="A24">
        <v>115</v>
      </c>
      <c r="B24" s="2" t="s">
        <v>34</v>
      </c>
      <c r="C24" s="2">
        <v>183.98</v>
      </c>
      <c r="D24" s="2" t="s">
        <v>32</v>
      </c>
      <c r="G24" t="s">
        <v>45</v>
      </c>
      <c r="H24">
        <f>H22-I22</f>
        <v>217.29999999999998</v>
      </c>
      <c r="I24">
        <f>SQRT(H23^2+I23^2)</f>
        <v>0.10049875621120891</v>
      </c>
    </row>
    <row r="25" spans="1:14" x14ac:dyDescent="0.2">
      <c r="A25">
        <v>120</v>
      </c>
      <c r="B25" s="2" t="s">
        <v>34</v>
      </c>
      <c r="C25" s="2">
        <v>182.66</v>
      </c>
      <c r="D25" s="2" t="s">
        <v>32</v>
      </c>
    </row>
    <row r="26" spans="1:14" x14ac:dyDescent="0.2">
      <c r="A26">
        <v>125</v>
      </c>
      <c r="B26" s="2" t="s">
        <v>34</v>
      </c>
      <c r="C26" s="2">
        <v>181.38</v>
      </c>
      <c r="D26" s="2" t="s">
        <v>32</v>
      </c>
    </row>
    <row r="27" spans="1:14" x14ac:dyDescent="0.2">
      <c r="A27">
        <v>130</v>
      </c>
      <c r="B27" s="2" t="s">
        <v>34</v>
      </c>
      <c r="C27" s="2">
        <v>180.26</v>
      </c>
      <c r="D27" s="2" t="s">
        <v>32</v>
      </c>
    </row>
    <row r="28" spans="1:14" x14ac:dyDescent="0.2">
      <c r="A28">
        <v>135.1</v>
      </c>
      <c r="B28" s="2" t="s">
        <v>34</v>
      </c>
      <c r="C28" s="2">
        <v>179.14</v>
      </c>
      <c r="D28" s="2" t="s">
        <v>32</v>
      </c>
    </row>
    <row r="29" spans="1:14" x14ac:dyDescent="0.2">
      <c r="A29">
        <v>140</v>
      </c>
      <c r="B29" s="2" t="s">
        <v>34</v>
      </c>
      <c r="C29" s="2">
        <v>178.12</v>
      </c>
      <c r="D29" s="2" t="s">
        <v>32</v>
      </c>
    </row>
    <row r="30" spans="1:14" x14ac:dyDescent="0.2">
      <c r="A30">
        <v>145.1</v>
      </c>
      <c r="B30" s="2" t="s">
        <v>34</v>
      </c>
      <c r="C30" s="2">
        <v>177.18</v>
      </c>
      <c r="D30" s="2" t="s">
        <v>32</v>
      </c>
    </row>
    <row r="31" spans="1:14" x14ac:dyDescent="0.2">
      <c r="A31">
        <v>150.1</v>
      </c>
      <c r="B31" s="2" t="s">
        <v>34</v>
      </c>
      <c r="C31" s="2">
        <v>176.18</v>
      </c>
      <c r="D31" s="2" t="s">
        <v>32</v>
      </c>
    </row>
    <row r="32" spans="1:14" x14ac:dyDescent="0.2">
      <c r="A32">
        <v>155</v>
      </c>
      <c r="B32" s="2" t="s">
        <v>34</v>
      </c>
      <c r="C32" s="2">
        <v>175.32</v>
      </c>
      <c r="D32" s="2" t="s">
        <v>32</v>
      </c>
    </row>
    <row r="33" spans="1:5" x14ac:dyDescent="0.2">
      <c r="A33">
        <v>160</v>
      </c>
      <c r="B33" s="2" t="s">
        <v>34</v>
      </c>
      <c r="C33" s="2">
        <v>174.46</v>
      </c>
      <c r="D33" s="2" t="s">
        <v>32</v>
      </c>
    </row>
    <row r="34" spans="1:5" x14ac:dyDescent="0.2">
      <c r="A34">
        <v>165.2</v>
      </c>
      <c r="B34" s="2" t="s">
        <v>34</v>
      </c>
      <c r="C34" s="2">
        <v>172.32</v>
      </c>
      <c r="D34" s="2" t="s">
        <v>32</v>
      </c>
    </row>
    <row r="35" spans="1:5" x14ac:dyDescent="0.2">
      <c r="B35" s="2" t="s">
        <v>31</v>
      </c>
      <c r="C35" s="2">
        <v>170.44</v>
      </c>
      <c r="D35" s="2" t="s">
        <v>32</v>
      </c>
    </row>
    <row r="36" spans="1:5" x14ac:dyDescent="0.2">
      <c r="B36" s="2" t="s">
        <v>31</v>
      </c>
      <c r="C36" s="2">
        <v>170.12</v>
      </c>
      <c r="D36" s="2" t="s">
        <v>32</v>
      </c>
    </row>
    <row r="37" spans="1:5" x14ac:dyDescent="0.2">
      <c r="B37" s="2" t="s">
        <v>31</v>
      </c>
      <c r="C37" s="2">
        <v>169.92</v>
      </c>
      <c r="D37" s="2" t="s">
        <v>32</v>
      </c>
    </row>
    <row r="38" spans="1:5" x14ac:dyDescent="0.2">
      <c r="A38" t="s">
        <v>44</v>
      </c>
      <c r="B38" s="2"/>
      <c r="C38" s="2">
        <f>C37-(C35-C36)</f>
        <v>169.6</v>
      </c>
      <c r="D38" s="2"/>
      <c r="E38" s="2"/>
    </row>
    <row r="41" spans="1:5" x14ac:dyDescent="0.2">
      <c r="A41" s="4">
        <v>170.1</v>
      </c>
      <c r="C41" s="7">
        <v>170.44</v>
      </c>
    </row>
    <row r="42" spans="1:5" x14ac:dyDescent="0.2">
      <c r="A42" s="3">
        <v>175.1</v>
      </c>
      <c r="C42" s="8">
        <v>170.12</v>
      </c>
    </row>
    <row r="43" spans="1:5" x14ac:dyDescent="0.2">
      <c r="A43" s="4">
        <v>180.1</v>
      </c>
      <c r="C43" s="7">
        <v>169.92</v>
      </c>
    </row>
    <row r="44" spans="1:5" x14ac:dyDescent="0.2">
      <c r="A44" s="9">
        <v>185</v>
      </c>
      <c r="C44" s="10">
        <v>169.6</v>
      </c>
    </row>
    <row r="45" spans="1:5" x14ac:dyDescent="0.2">
      <c r="A45">
        <v>190</v>
      </c>
      <c r="C45" s="2">
        <f>C38-(C36-C37)</f>
        <v>169.39999999999998</v>
      </c>
    </row>
    <row r="46" spans="1:5" x14ac:dyDescent="0.2">
      <c r="A46">
        <v>195</v>
      </c>
      <c r="C46" s="2">
        <f>C45-(C37-C38)</f>
        <v>169.07999999999998</v>
      </c>
    </row>
    <row r="47" spans="1:5" x14ac:dyDescent="0.2">
      <c r="A47">
        <v>200.1</v>
      </c>
      <c r="C47" s="2">
        <f>C46-(C38-C45)</f>
        <v>168.87999999999997</v>
      </c>
    </row>
    <row r="49" spans="12:13" x14ac:dyDescent="0.2">
      <c r="L49" s="1" t="s">
        <v>48</v>
      </c>
      <c r="M49" s="1" t="s">
        <v>47</v>
      </c>
    </row>
    <row r="50" spans="12:13" x14ac:dyDescent="0.2">
      <c r="L50" s="15">
        <v>0</v>
      </c>
      <c r="M50" s="13">
        <v>115.5</v>
      </c>
    </row>
    <row r="51" spans="12:13" x14ac:dyDescent="0.2">
      <c r="L51" s="15">
        <v>10</v>
      </c>
      <c r="M51" s="13">
        <v>115.24</v>
      </c>
    </row>
    <row r="52" spans="12:13" x14ac:dyDescent="0.2">
      <c r="L52" s="15">
        <v>15.1</v>
      </c>
      <c r="M52" s="13">
        <v>115.08</v>
      </c>
    </row>
    <row r="53" spans="12:13" x14ac:dyDescent="0.2">
      <c r="L53" s="15">
        <v>20</v>
      </c>
      <c r="M53" s="13">
        <v>115</v>
      </c>
    </row>
    <row r="54" spans="12:13" x14ac:dyDescent="0.2">
      <c r="L54" s="15">
        <v>25</v>
      </c>
      <c r="M54" s="13">
        <v>114.86</v>
      </c>
    </row>
    <row r="55" spans="12:13" x14ac:dyDescent="0.2">
      <c r="L55" s="15">
        <v>30.1</v>
      </c>
      <c r="M55" s="13">
        <v>114.72</v>
      </c>
    </row>
    <row r="56" spans="12:13" x14ac:dyDescent="0.2">
      <c r="L56" s="15">
        <v>35.1</v>
      </c>
      <c r="M56" s="13">
        <v>114.58</v>
      </c>
    </row>
    <row r="57" spans="12:13" x14ac:dyDescent="0.2">
      <c r="L57" s="15">
        <v>40.1</v>
      </c>
      <c r="M57" s="13">
        <v>114.42</v>
      </c>
    </row>
    <row r="58" spans="12:13" x14ac:dyDescent="0.2">
      <c r="L58" s="15">
        <v>45</v>
      </c>
      <c r="M58" s="13">
        <v>114.28</v>
      </c>
    </row>
    <row r="59" spans="12:13" x14ac:dyDescent="0.2">
      <c r="L59" s="15">
        <v>50</v>
      </c>
      <c r="M59" s="13">
        <v>114.16</v>
      </c>
    </row>
    <row r="60" spans="12:13" x14ac:dyDescent="0.2">
      <c r="L60" s="15">
        <v>55.1</v>
      </c>
      <c r="M60" s="13">
        <v>114.04</v>
      </c>
    </row>
    <row r="61" spans="12:13" x14ac:dyDescent="0.2">
      <c r="L61" s="15">
        <v>60.1</v>
      </c>
      <c r="M61" s="13">
        <v>113.88</v>
      </c>
    </row>
    <row r="62" spans="12:13" x14ac:dyDescent="0.2">
      <c r="L62" s="15">
        <v>65.099999999999994</v>
      </c>
      <c r="M62" s="13">
        <v>113.78</v>
      </c>
    </row>
    <row r="63" spans="12:13" x14ac:dyDescent="0.2">
      <c r="L63" s="16">
        <v>70.099999999999994</v>
      </c>
      <c r="M63" s="14">
        <v>201.8</v>
      </c>
    </row>
    <row r="64" spans="12:13" x14ac:dyDescent="0.2">
      <c r="L64" s="15">
        <v>75</v>
      </c>
      <c r="M64" s="13">
        <v>199.3</v>
      </c>
    </row>
    <row r="65" spans="12:13" x14ac:dyDescent="0.2">
      <c r="L65" s="15">
        <v>80.099999999999994</v>
      </c>
      <c r="M65" s="13">
        <v>196.82</v>
      </c>
    </row>
    <row r="66" spans="12:13" x14ac:dyDescent="0.2">
      <c r="L66" s="15">
        <v>85.1</v>
      </c>
      <c r="M66" s="13">
        <v>194.6</v>
      </c>
    </row>
    <row r="67" spans="12:13" x14ac:dyDescent="0.2">
      <c r="L67" s="15">
        <v>90</v>
      </c>
      <c r="M67" s="13">
        <v>192.48</v>
      </c>
    </row>
    <row r="68" spans="12:13" x14ac:dyDescent="0.2">
      <c r="L68" s="15">
        <v>95.1</v>
      </c>
      <c r="M68" s="13">
        <v>190.58</v>
      </c>
    </row>
    <row r="69" spans="12:13" x14ac:dyDescent="0.2">
      <c r="L69" s="15">
        <v>100.1</v>
      </c>
      <c r="M69" s="13">
        <v>188.68</v>
      </c>
    </row>
    <row r="70" spans="12:13" x14ac:dyDescent="0.2">
      <c r="L70" s="15">
        <v>105.1</v>
      </c>
      <c r="M70" s="13">
        <v>187.04</v>
      </c>
    </row>
    <row r="71" spans="12:13" x14ac:dyDescent="0.2">
      <c r="L71" s="15">
        <v>110</v>
      </c>
      <c r="M71" s="13">
        <v>185.46</v>
      </c>
    </row>
    <row r="72" spans="12:13" x14ac:dyDescent="0.2">
      <c r="L72" s="15">
        <v>115</v>
      </c>
      <c r="M72" s="13">
        <v>183.98</v>
      </c>
    </row>
    <row r="73" spans="12:13" x14ac:dyDescent="0.2">
      <c r="L73" s="15">
        <v>120</v>
      </c>
      <c r="M73" s="13">
        <v>182.66</v>
      </c>
    </row>
    <row r="74" spans="12:13" x14ac:dyDescent="0.2">
      <c r="L74" s="15">
        <v>125</v>
      </c>
      <c r="M74" s="13">
        <v>181.38</v>
      </c>
    </row>
    <row r="75" spans="12:13" x14ac:dyDescent="0.2">
      <c r="L75" s="15">
        <v>130</v>
      </c>
      <c r="M75" s="13">
        <v>180.26</v>
      </c>
    </row>
    <row r="76" spans="12:13" x14ac:dyDescent="0.2">
      <c r="L76" s="15">
        <v>135.1</v>
      </c>
      <c r="M76" s="13">
        <v>179.14</v>
      </c>
    </row>
    <row r="77" spans="12:13" x14ac:dyDescent="0.2">
      <c r="L77" s="15">
        <v>140</v>
      </c>
      <c r="M77" s="13">
        <v>178.12</v>
      </c>
    </row>
    <row r="78" spans="12:13" x14ac:dyDescent="0.2">
      <c r="L78" s="15">
        <v>145.1</v>
      </c>
      <c r="M78" s="13">
        <v>177.18</v>
      </c>
    </row>
    <row r="79" spans="12:13" x14ac:dyDescent="0.2">
      <c r="L79" s="15">
        <v>150.1</v>
      </c>
      <c r="M79" s="13">
        <v>176.18</v>
      </c>
    </row>
    <row r="80" spans="12:13" x14ac:dyDescent="0.2">
      <c r="L80" s="15">
        <v>155</v>
      </c>
      <c r="M80" s="13">
        <v>175.32</v>
      </c>
    </row>
    <row r="81" spans="12:13" x14ac:dyDescent="0.2">
      <c r="L81" s="15">
        <v>160</v>
      </c>
      <c r="M81" s="13">
        <v>174.46</v>
      </c>
    </row>
    <row r="82" spans="12:13" x14ac:dyDescent="0.2">
      <c r="L82" s="15">
        <v>165.2</v>
      </c>
      <c r="M82" s="13">
        <v>172.32</v>
      </c>
    </row>
    <row r="83" spans="12:13" x14ac:dyDescent="0.2">
      <c r="L83" s="16">
        <v>170.1</v>
      </c>
      <c r="M83" s="14">
        <v>170.44</v>
      </c>
    </row>
    <row r="84" spans="12:13" x14ac:dyDescent="0.2">
      <c r="L84" s="15">
        <v>175.1</v>
      </c>
      <c r="M84" s="13">
        <v>170.12</v>
      </c>
    </row>
    <row r="85" spans="12:13" x14ac:dyDescent="0.2">
      <c r="L85" s="15">
        <v>180.1</v>
      </c>
      <c r="M85" s="13">
        <v>169.92</v>
      </c>
    </row>
    <row r="86" spans="12:13" x14ac:dyDescent="0.2">
      <c r="L86" s="15">
        <v>185</v>
      </c>
      <c r="M86" s="13">
        <v>169.6</v>
      </c>
    </row>
    <row r="87" spans="12:13" x14ac:dyDescent="0.2">
      <c r="L87" s="15">
        <v>190</v>
      </c>
      <c r="M87" s="13">
        <v>169.39999999999998</v>
      </c>
    </row>
    <row r="88" spans="12:13" x14ac:dyDescent="0.2">
      <c r="L88" s="15">
        <v>195</v>
      </c>
      <c r="M88" s="13">
        <v>169.07999999999998</v>
      </c>
    </row>
    <row r="89" spans="12:13" x14ac:dyDescent="0.2">
      <c r="L89" s="15">
        <v>200.1</v>
      </c>
      <c r="M89" s="13">
        <v>168.87999999999997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90DA-AA29-46DA-B672-15FFBB1575AD}">
  <dimension ref="B2:P27"/>
  <sheetViews>
    <sheetView topLeftCell="C1" zoomScale="114" workbookViewId="0">
      <selection activeCell="L20" sqref="L20"/>
    </sheetView>
  </sheetViews>
  <sheetFormatPr baseColWidth="10" defaultColWidth="8.83203125" defaultRowHeight="15" x14ac:dyDescent="0.2"/>
  <cols>
    <col min="2" max="2" width="23.33203125" bestFit="1" customWidth="1"/>
    <col min="10" max="10" width="21.83203125" bestFit="1" customWidth="1"/>
  </cols>
  <sheetData>
    <row r="2" spans="2:16" x14ac:dyDescent="0.2">
      <c r="E2">
        <v>4.1820000000000004</v>
      </c>
    </row>
    <row r="3" spans="2:16" x14ac:dyDescent="0.2">
      <c r="B3" t="s">
        <v>0</v>
      </c>
      <c r="C3">
        <v>409.3</v>
      </c>
      <c r="D3">
        <v>0.1</v>
      </c>
      <c r="J3" t="s">
        <v>9</v>
      </c>
      <c r="K3">
        <v>89.5</v>
      </c>
      <c r="M3" t="s">
        <v>13</v>
      </c>
      <c r="O3">
        <v>25.1</v>
      </c>
    </row>
    <row r="4" spans="2:16" x14ac:dyDescent="0.2">
      <c r="B4" t="s">
        <v>1</v>
      </c>
      <c r="C4">
        <v>655.8</v>
      </c>
      <c r="D4">
        <v>0.1</v>
      </c>
      <c r="J4" t="s">
        <v>10</v>
      </c>
      <c r="K4">
        <v>88.8</v>
      </c>
      <c r="M4" t="s">
        <v>12</v>
      </c>
      <c r="N4">
        <v>25</v>
      </c>
      <c r="O4">
        <v>24.9</v>
      </c>
    </row>
    <row r="5" spans="2:16" x14ac:dyDescent="0.2">
      <c r="B5" t="s">
        <v>8</v>
      </c>
      <c r="C5">
        <f>C4-C3</f>
        <v>246.49999999999994</v>
      </c>
      <c r="D5">
        <f>SQRT(D4^2+D3^2)</f>
        <v>0.14142135623730953</v>
      </c>
      <c r="J5" t="s">
        <v>11</v>
      </c>
      <c r="K5">
        <v>90.7</v>
      </c>
      <c r="M5" t="s">
        <v>14</v>
      </c>
      <c r="O5">
        <v>21</v>
      </c>
    </row>
    <row r="6" spans="2:16" x14ac:dyDescent="0.2">
      <c r="B6" t="s">
        <v>4</v>
      </c>
      <c r="C6">
        <v>21.1</v>
      </c>
      <c r="D6">
        <v>0.05</v>
      </c>
    </row>
    <row r="7" spans="2:16" x14ac:dyDescent="0.2">
      <c r="B7" t="s">
        <v>3</v>
      </c>
      <c r="C7">
        <v>79</v>
      </c>
      <c r="D7">
        <v>0.05</v>
      </c>
      <c r="J7" t="s">
        <v>1</v>
      </c>
      <c r="K7">
        <v>665.3</v>
      </c>
      <c r="L7">
        <v>677.9</v>
      </c>
      <c r="M7">
        <v>664.1</v>
      </c>
      <c r="P7">
        <v>1E-3</v>
      </c>
    </row>
    <row r="8" spans="2:16" x14ac:dyDescent="0.2">
      <c r="B8" t="s">
        <v>2</v>
      </c>
      <c r="C8">
        <v>858.9</v>
      </c>
      <c r="D8">
        <v>0.1</v>
      </c>
      <c r="J8" t="s">
        <v>8</v>
      </c>
      <c r="K8">
        <f>K7-C3</f>
        <v>255.99999999999994</v>
      </c>
      <c r="L8">
        <f>L7-C3</f>
        <v>268.59999999999997</v>
      </c>
      <c r="M8">
        <f>M7-C3</f>
        <v>254.8</v>
      </c>
    </row>
    <row r="9" spans="2:16" x14ac:dyDescent="0.2">
      <c r="B9" t="s">
        <v>7</v>
      </c>
      <c r="C9">
        <f>C8-C4</f>
        <v>203.10000000000002</v>
      </c>
      <c r="D9">
        <f>D5</f>
        <v>0.14142135623730953</v>
      </c>
      <c r="J9" t="s">
        <v>4</v>
      </c>
      <c r="K9">
        <v>22.5</v>
      </c>
      <c r="L9">
        <v>20.6</v>
      </c>
      <c r="M9">
        <v>18.7</v>
      </c>
      <c r="N9" t="s">
        <v>19</v>
      </c>
    </row>
    <row r="10" spans="2:16" x14ac:dyDescent="0.2">
      <c r="B10" t="s">
        <v>5</v>
      </c>
      <c r="C10">
        <v>45.4</v>
      </c>
      <c r="D10">
        <v>45.3</v>
      </c>
      <c r="E10">
        <v>45.1</v>
      </c>
      <c r="F10">
        <v>45.1</v>
      </c>
      <c r="G10">
        <v>0.05</v>
      </c>
      <c r="J10" t="s">
        <v>3</v>
      </c>
      <c r="K10">
        <v>98</v>
      </c>
      <c r="L10">
        <v>98</v>
      </c>
      <c r="M10">
        <v>98</v>
      </c>
    </row>
    <row r="11" spans="2:16" x14ac:dyDescent="0.2">
      <c r="B11" s="1" t="s">
        <v>6</v>
      </c>
      <c r="C11">
        <f>4.182*((C9*(C7-F10))-(C5*(F10-C6)))/(F10-C6)</f>
        <v>168.86393250000035</v>
      </c>
      <c r="D11">
        <f>C11/E2</f>
        <v>40.378750000000082</v>
      </c>
      <c r="J11" t="s">
        <v>15</v>
      </c>
      <c r="K11" t="s">
        <v>16</v>
      </c>
      <c r="L11">
        <f>(K8*4.182*(O4-K9)+C11*(O4-K9))/(K4*(K10-O4))</f>
        <v>0.45826004085480815</v>
      </c>
      <c r="M11">
        <f>SQRT(($E$2*(O4-K9)*D5/(K4*(K10-O4)))^2 + (L11*D3/K4)^2 + ((C11+K8*E2)*D6/(K4*(O4-K10)))^2 + (L11*D7/(K10-O4))^2 + ((K8*E2+C11+K4*L11)/(K4*(K10-O4))*D6)^2 + ((O4-K9)/(K4*(K10-O4))*C12)^2)</f>
        <v>1.3881846006618419E-2</v>
      </c>
    </row>
    <row r="12" spans="2:16" x14ac:dyDescent="0.2">
      <c r="C12" s="5">
        <f>E2*SQRT(((C7-F10)*D9/(F10-C6))^2 + D5^2 + (C9*D7/(F10-C6))^2 + ((C9+C5+D11)/(C6-F10)*G10)^2 + ((C5+D11)/(F10-C6)*D6)^2)</f>
        <v>5.3525524556898336</v>
      </c>
      <c r="D12" s="5">
        <f>C12/E2</f>
        <v>1.2799025479889605</v>
      </c>
      <c r="K12" t="s">
        <v>17</v>
      </c>
      <c r="L12">
        <f>(L8*4.182*(O3-L9)+C11*(O3-L9))/(K3*(L10-O3))</f>
        <v>0.89119879474446539</v>
      </c>
      <c r="M12">
        <f>SQRT(($E$2*(O3-L9)*D5/(K3*(L10-O3)))^2 + (L12*D3/K3)^2 + ((C11+L8*E2)*D6/(K3*(O3-L10)))^2 + (L12*D7/(L10-O3))^2 + ((L8*E2+C11+K3*L12)/(K3*(L10-O3))*D6)^2 + ((O3-L9)/(K3*(L10-O3))*C12)^2)</f>
        <v>1.4958157174018384E-2</v>
      </c>
    </row>
    <row r="13" spans="2:16" x14ac:dyDescent="0.2">
      <c r="K13" t="s">
        <v>18</v>
      </c>
      <c r="L13">
        <f>(M8*4.182*(O5-M9)+C11*(O5-M9))/(K5*(M10-O5))</f>
        <v>0.40653593618894912</v>
      </c>
      <c r="M13">
        <f>SQRT(($E$2*(O5-M9)*D5/(K5*(M10-O5)))^2 + (L13*D3/K5)^2 + ((C11+M8*E2)*D6/(K5*(O5-M10)))^2 + (L13*D7/(M10-O5))^2 + ((M8*E2+C11+K5*L13)/(K5*(M10-O5))*D6)^2 + ((O5-M9)/(K5*(M10-O5))*C12)^2)</f>
        <v>1.2820404353881555E-2</v>
      </c>
    </row>
    <row r="14" spans="2:16" x14ac:dyDescent="0.2">
      <c r="K14" t="s">
        <v>41</v>
      </c>
      <c r="L14">
        <f>L11*55.845</f>
        <v>25.591531981536761</v>
      </c>
      <c r="M14">
        <f>SQRT((L11*P7)^2 + (M11*55.845)^2)</f>
        <v>0.77523182568443416</v>
      </c>
      <c r="N14">
        <f>L14*SQRT((P7/55.845)^2+(M11/L11)^2)</f>
        <v>0.77523182568443416</v>
      </c>
    </row>
    <row r="15" spans="2:16" x14ac:dyDescent="0.2">
      <c r="D15">
        <f>(C7-F10)*D9/(F10-C6)</f>
        <v>0.1997576656851997</v>
      </c>
      <c r="E15">
        <f>D5</f>
        <v>0.14142135623730953</v>
      </c>
      <c r="F15">
        <f>C9*D7/(F10-C6)</f>
        <v>0.42312500000000003</v>
      </c>
      <c r="G15">
        <f>(C9+C5+D11)/(C6-F10)*G10</f>
        <v>-1.0207890625000002</v>
      </c>
      <c r="H15">
        <f>(C5+D11)/(F10-C6)*D6</f>
        <v>0.59766406250000015</v>
      </c>
      <c r="K15" t="s">
        <v>42</v>
      </c>
      <c r="L15">
        <f>L12*26.982</f>
        <v>24.046325879795166</v>
      </c>
      <c r="M15">
        <f>SQRT((L12*P7)^2 + (M12*26.982)^2)</f>
        <v>0.40360198080440107</v>
      </c>
    </row>
    <row r="16" spans="2:16" x14ac:dyDescent="0.2">
      <c r="K16" t="s">
        <v>43</v>
      </c>
      <c r="L16">
        <f>L13*63.546</f>
        <v>25.833732601062959</v>
      </c>
      <c r="M16">
        <f>SQRT((P7*L13)^2+(M13*63.546)^2)</f>
        <v>0.81468551650444165</v>
      </c>
    </row>
    <row r="20" spans="2:12" x14ac:dyDescent="0.2">
      <c r="I20" t="s">
        <v>50</v>
      </c>
      <c r="J20">
        <f>($E$2*(O3-L9)*D5/(K3*(L10-O3)))</f>
        <v>4.0790682928783267E-4</v>
      </c>
      <c r="K20">
        <f>$E$2*(O4-K9)*D5/(K4*(K10-O4))</f>
        <v>2.1866532768308064E-4</v>
      </c>
      <c r="L20">
        <f>$E$2*(O5-M9)*D5/(K5*(M10-O5))</f>
        <v>1.9477304330018841E-4</v>
      </c>
    </row>
    <row r="21" spans="2:12" x14ac:dyDescent="0.2">
      <c r="I21" t="s">
        <v>51</v>
      </c>
      <c r="J21">
        <f>L12*D3/K3</f>
        <v>9.9575284328990549E-4</v>
      </c>
      <c r="K21">
        <f>L11*D3/K4</f>
        <v>5.1605860456622544E-4</v>
      </c>
      <c r="L21">
        <f>L13*D3/K5</f>
        <v>4.4822043681251285E-4</v>
      </c>
    </row>
    <row r="22" spans="2:12" x14ac:dyDescent="0.2">
      <c r="I22" t="s">
        <v>52</v>
      </c>
      <c r="J22">
        <f>(C11+L8*E2)*D6/(K3*(O3-L10))</f>
        <v>-9.9022088304940616E-3</v>
      </c>
      <c r="K22">
        <f>(C11+K8*E2)*D6/(K4*(O4-K10))</f>
        <v>-9.5470841844751773E-3</v>
      </c>
      <c r="L22">
        <f>(C11+M8*E2)*D6/(K5*(O5-M10))</f>
        <v>-8.8377377432380215E-3</v>
      </c>
    </row>
    <row r="23" spans="2:12" x14ac:dyDescent="0.2">
      <c r="I23" t="s">
        <v>53</v>
      </c>
      <c r="J23">
        <f>L12*D7/(L10-O3)</f>
        <v>6.1124745867247282E-4</v>
      </c>
      <c r="K23">
        <f>L11*D7/(K10-O4)</f>
        <v>3.1344736036580589E-4</v>
      </c>
      <c r="L23">
        <f>(L13*D7/(M10-O5))</f>
        <v>2.639843741486683E-4</v>
      </c>
    </row>
    <row r="24" spans="2:12" x14ac:dyDescent="0.2">
      <c r="C24" t="s">
        <v>23</v>
      </c>
      <c r="D24" t="s">
        <v>24</v>
      </c>
      <c r="E24" t="s">
        <v>25</v>
      </c>
      <c r="I24" t="s">
        <v>54</v>
      </c>
      <c r="J24">
        <f>(L8*E2+C11+K3*L12)/(K3*(L10-O3))*D6</f>
        <v>1.0513456289166534E-2</v>
      </c>
      <c r="K24">
        <f>(K8*E2+C11+K4*L11)/(K4*(K10-O4))*D6</f>
        <v>9.8605315448409836E-3</v>
      </c>
      <c r="L24">
        <f>(M8*E2+C11+K5*L13)/(K5*(M10-O5))*D6</f>
        <v>9.1017221173866885E-3</v>
      </c>
    </row>
    <row r="25" spans="2:12" x14ac:dyDescent="0.2">
      <c r="B25" t="s">
        <v>20</v>
      </c>
      <c r="C25">
        <v>15.5</v>
      </c>
      <c r="I25" t="s">
        <v>6</v>
      </c>
      <c r="J25">
        <f>(O3-L9)/(K3*(L10-O3))*C12</f>
        <v>3.6916700846195138E-3</v>
      </c>
      <c r="K25">
        <f>(O4-K9)/(K4*(K10-O4))*C12</f>
        <v>1.9789819409508748E-3</v>
      </c>
      <c r="L25">
        <f>(O5-M9)/(K5*(M10-O5))*C12</f>
        <v>1.7627501321735163E-3</v>
      </c>
    </row>
    <row r="26" spans="2:12" x14ac:dyDescent="0.2">
      <c r="B26" t="s">
        <v>22</v>
      </c>
      <c r="C26">
        <v>50</v>
      </c>
      <c r="D26">
        <v>52</v>
      </c>
      <c r="E26">
        <v>67.599999999999994</v>
      </c>
    </row>
    <row r="27" spans="2:12" x14ac:dyDescent="0.2">
      <c r="B27" t="s">
        <v>21</v>
      </c>
      <c r="C27">
        <v>148.5</v>
      </c>
      <c r="D27">
        <v>159</v>
      </c>
      <c r="E27">
        <v>169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7CF64-42D4-4EDA-BCC1-AEB614602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</vt:lpstr>
      <vt:lpstr>Al (good)</vt:lpstr>
      <vt:lpstr>Bra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YanRu Wu Jin</dc:creator>
  <cp:lastModifiedBy>Mario de Miguel Domínguez</cp:lastModifiedBy>
  <dcterms:created xsi:type="dcterms:W3CDTF">2022-03-23T13:58:44Z</dcterms:created>
  <dcterms:modified xsi:type="dcterms:W3CDTF">2022-03-28T19:43:16Z</dcterms:modified>
</cp:coreProperties>
</file>