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001 UNB\pibc\"/>
    </mc:Choice>
  </mc:AlternateContent>
  <xr:revisionPtr revIDLastSave="0" documentId="13_ncr:1_{AE062C85-5B8B-4FFC-A8E6-DD9B2F49A75D}" xr6:coauthVersionLast="36" xr6:coauthVersionMax="47" xr10:uidLastSave="{00000000-0000-0000-0000-000000000000}"/>
  <bookViews>
    <workbookView xWindow="0" yWindow="0" windowWidth="20490" windowHeight="7425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E12" i="1" l="1"/>
  <c r="E6" i="1"/>
  <c r="E3" i="1" l="1"/>
  <c r="K3" i="1" s="1"/>
  <c r="F3" i="1"/>
  <c r="L3" i="1" s="1"/>
  <c r="R3" i="1" s="1"/>
  <c r="Q3" i="1" s="1"/>
  <c r="P14" i="1"/>
  <c r="S3" i="1" l="1"/>
  <c r="N3" i="1"/>
  <c r="P3" i="1"/>
  <c r="M3" i="1"/>
  <c r="O3" i="1"/>
  <c r="K14" i="1" l="1"/>
  <c r="F8" i="1"/>
  <c r="L8" i="1" s="1"/>
  <c r="F13" i="1"/>
  <c r="L13" i="1" s="1"/>
  <c r="F9" i="1"/>
  <c r="L9" i="1" s="1"/>
  <c r="C11" i="1"/>
  <c r="F11" i="1" s="1"/>
  <c r="L11" i="1" s="1"/>
  <c r="C12" i="1"/>
  <c r="F12" i="1" s="1"/>
  <c r="L12" i="1" s="1"/>
  <c r="C10" i="1"/>
  <c r="R14" i="1" l="1"/>
  <c r="Q14" i="1" s="1"/>
  <c r="S14" i="1"/>
  <c r="O14" i="1"/>
  <c r="P12" i="1"/>
  <c r="P13" i="1"/>
  <c r="P9" i="1"/>
  <c r="P8" i="1"/>
  <c r="P11" i="1"/>
  <c r="N9" i="1"/>
  <c r="N8" i="1"/>
  <c r="N11" i="1"/>
  <c r="N13" i="1"/>
  <c r="N12" i="1"/>
  <c r="F4" i="1"/>
  <c r="L4" i="1" s="1"/>
  <c r="F5" i="1"/>
  <c r="L5" i="1" s="1"/>
  <c r="F6" i="1"/>
  <c r="L6" i="1" s="1"/>
  <c r="F10" i="1"/>
  <c r="L10" i="1" s="1"/>
  <c r="F7" i="1"/>
  <c r="L7" i="1" s="1"/>
  <c r="R7" i="1" s="1"/>
  <c r="Q7" i="1" s="1"/>
  <c r="K12" i="1"/>
  <c r="S12" i="1" s="1"/>
  <c r="E11" i="1"/>
  <c r="K11" i="1" s="1"/>
  <c r="S11" i="1" s="1"/>
  <c r="E10" i="1"/>
  <c r="K10" i="1" s="1"/>
  <c r="E13" i="1"/>
  <c r="K13" i="1" s="1"/>
  <c r="S13" i="1" s="1"/>
  <c r="E9" i="1"/>
  <c r="K9" i="1" s="1"/>
  <c r="S9" i="1" s="1"/>
  <c r="E8" i="1"/>
  <c r="K8" i="1" s="1"/>
  <c r="S8" i="1" s="1"/>
  <c r="E7" i="1"/>
  <c r="K7" i="1" s="1"/>
  <c r="K6" i="1"/>
  <c r="S6" i="1" s="1"/>
  <c r="E5" i="1"/>
  <c r="K5" i="1" s="1"/>
  <c r="E4" i="1"/>
  <c r="R8" i="1" l="1"/>
  <c r="Q8" i="1" s="1"/>
  <c r="S10" i="1"/>
  <c r="S5" i="1"/>
  <c r="S7" i="1"/>
  <c r="R10" i="1"/>
  <c r="Q10" i="1" s="1"/>
  <c r="R13" i="1"/>
  <c r="Q13" i="1" s="1"/>
  <c r="R6" i="1"/>
  <c r="Q6" i="1" s="1"/>
  <c r="R5" i="1"/>
  <c r="Q5" i="1" s="1"/>
  <c r="R9" i="1"/>
  <c r="Q9" i="1" s="1"/>
  <c r="R11" i="1"/>
  <c r="Q11" i="1" s="1"/>
  <c r="R12" i="1"/>
  <c r="Q12" i="1" s="1"/>
  <c r="O12" i="1"/>
  <c r="P4" i="1"/>
  <c r="P7" i="1"/>
  <c r="P10" i="1"/>
  <c r="P6" i="1"/>
  <c r="P5" i="1"/>
  <c r="M8" i="1"/>
  <c r="O8" i="1"/>
  <c r="M9" i="1"/>
  <c r="O9" i="1"/>
  <c r="M13" i="1"/>
  <c r="O13" i="1"/>
  <c r="M7" i="1"/>
  <c r="O7" i="1"/>
  <c r="M10" i="1"/>
  <c r="O10" i="1"/>
  <c r="M5" i="1"/>
  <c r="O5" i="1"/>
  <c r="M11" i="1"/>
  <c r="O11" i="1"/>
  <c r="M6" i="1"/>
  <c r="O6" i="1"/>
  <c r="M12" i="1"/>
  <c r="N10" i="1"/>
  <c r="N5" i="1"/>
  <c r="N4" i="1"/>
  <c r="N6" i="1"/>
  <c r="N7" i="1"/>
  <c r="K4" i="1"/>
  <c r="S4" i="1" s="1"/>
  <c r="E16" i="1"/>
  <c r="E17" i="1" s="1"/>
  <c r="F16" i="1"/>
  <c r="F17" i="1" s="1"/>
  <c r="R4" i="1" l="1"/>
  <c r="Q4" i="1" s="1"/>
  <c r="O4" i="1"/>
  <c r="K16" i="1"/>
  <c r="K17" i="1" s="1"/>
  <c r="M4" i="1"/>
  <c r="M16" i="1" s="1"/>
  <c r="M17" i="1" s="1"/>
  <c r="L16" i="1"/>
  <c r="L17" i="1" s="1"/>
  <c r="N16" i="1"/>
  <c r="N17" i="1" s="1"/>
</calcChain>
</file>

<file path=xl/sharedStrings.xml><?xml version="1.0" encoding="utf-8"?>
<sst xmlns="http://schemas.openxmlformats.org/spreadsheetml/2006/main" count="41" uniqueCount="37">
  <si>
    <t>Método</t>
  </si>
  <si>
    <t>Custo De Projeto Por KiloWatt</t>
  </si>
  <si>
    <t>Custo De Projeto Por KiloWatt.Hora</t>
  </si>
  <si>
    <t>Vida Útil (anos)</t>
  </si>
  <si>
    <t>Custo Estimado Para Especificação de KiloWatts por ano</t>
  </si>
  <si>
    <t>Custo Estimado Para Especificação de KiloWatt-Hora por ano</t>
  </si>
  <si>
    <t>Eficiência por ciclo de carga/descarga (RTE)</t>
  </si>
  <si>
    <t>Perda de RTE por ciclo</t>
  </si>
  <si>
    <t>Perda de RTE por ano</t>
  </si>
  <si>
    <t>Limite de ciclos</t>
  </si>
  <si>
    <t>Custo Estimado Para Especificação de KiloWatts por ano considerando eficiência</t>
  </si>
  <si>
    <t>Custo Estimado Para Especificação de KiloWatt-Hora por ano considerando eficiência</t>
  </si>
  <si>
    <t>Custo Estimado Para Especificação de KiloWatts considerando eficiência</t>
  </si>
  <si>
    <t>Custo Estimado Para Especificação de KiloWatt-Hora considerando eficiência</t>
  </si>
  <si>
    <t>Bateria: Eletrólise</t>
  </si>
  <si>
    <t>Bateria: Chumbo-Ácido</t>
  </si>
  <si>
    <t>Bateria: Lítio-Íon</t>
  </si>
  <si>
    <t>Bateria: Fluxo de oxidação</t>
  </si>
  <si>
    <t>Bateria: Sódio-Enxofre</t>
  </si>
  <si>
    <t>Bateria: Sódio-Metal</t>
  </si>
  <si>
    <t>Bateria: Zinco-Catodo Híbrido</t>
  </si>
  <si>
    <t>Turbina de Combustão (940 $/kW)</t>
  </si>
  <si>
    <t>Torre de Água</t>
  </si>
  <si>
    <t>Flywheel</t>
  </si>
  <si>
    <t>Ultracapacitor</t>
  </si>
  <si>
    <t>Watt por ano mais barato</t>
  </si>
  <si>
    <t>WattHora por ano mais barato</t>
  </si>
  <si>
    <t>80% de descarga</t>
  </si>
  <si>
    <t>Fontes</t>
  </si>
  <si>
    <t>https://www.mdpi.com/1996-1073/13/13/3307</t>
  </si>
  <si>
    <t>Energia (KiloWatt Hora)</t>
  </si>
  <si>
    <t>Potência (KiloWatt)</t>
  </si>
  <si>
    <t>para 20 anos de uso considerando eficiencia custo por KiloWatt</t>
  </si>
  <si>
    <t>para 20 anos de uso considerando eficiencia custo por kiloWatt-Hora</t>
  </si>
  <si>
    <t>Coluna1</t>
  </si>
  <si>
    <t>custo mensal</t>
  </si>
  <si>
    <t>FATOR LIMITENTE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</si>
</sst>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0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scheme val="minor"/>
    </font>
    <font>
      <sz val="11"/>
      <color theme="0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theme="6"/>
      </patternFill>
    </fill>
    <fill>
      <patternFill patternType="solid">
        <fgColor indexed="65"/>
        <bgColor theme="6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44" fontId="6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1"/>
    <xf numFmtId="0" fontId="3" fillId="2" borderId="1" xfId="2"/>
    <xf numFmtId="0" fontId="3" fillId="2" borderId="1" xfId="2" applyAlignment="1">
      <alignment horizontal="right"/>
    </xf>
    <xf numFmtId="0" fontId="5" fillId="3" borderId="2" xfId="3" applyFont="1" applyBorder="1"/>
    <xf numFmtId="0" fontId="5" fillId="3" borderId="2" xfId="3" applyFont="1" applyBorder="1" applyAlignment="1">
      <alignment wrapText="1"/>
    </xf>
    <xf numFmtId="0" fontId="0" fillId="2" borderId="1" xfId="2" quotePrefix="1" applyFont="1"/>
    <xf numFmtId="0" fontId="0" fillId="2" borderId="1" xfId="2" applyFont="1" applyAlignment="1">
      <alignment horizontal="right"/>
    </xf>
    <xf numFmtId="0" fontId="5" fillId="5" borderId="2" xfId="3" applyFont="1" applyFill="1" applyBorder="1" applyAlignment="1">
      <alignment wrapText="1"/>
    </xf>
    <xf numFmtId="0" fontId="1" fillId="6" borderId="0" xfId="4" applyFill="1"/>
    <xf numFmtId="2" fontId="0" fillId="6" borderId="0" xfId="0" applyNumberFormat="1" applyFill="1"/>
    <xf numFmtId="164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0" fontId="0" fillId="7" borderId="0" xfId="0" applyFill="1"/>
    <xf numFmtId="2" fontId="0" fillId="7" borderId="0" xfId="0" applyNumberFormat="1" applyFill="1"/>
    <xf numFmtId="164" fontId="0" fillId="7" borderId="0" xfId="0" applyNumberFormat="1" applyFill="1"/>
    <xf numFmtId="1" fontId="0" fillId="7" borderId="0" xfId="0" applyNumberFormat="1" applyFill="1"/>
    <xf numFmtId="165" fontId="1" fillId="6" borderId="0" xfId="5" applyNumberFormat="1" applyFont="1" applyFill="1"/>
    <xf numFmtId="165" fontId="1" fillId="7" borderId="0" xfId="5" applyNumberFormat="1" applyFont="1" applyFill="1"/>
    <xf numFmtId="165" fontId="1" fillId="6" borderId="0" xfId="4" applyNumberFormat="1" applyFill="1"/>
    <xf numFmtId="165" fontId="1" fillId="7" borderId="0" xfId="4" applyNumberFormat="1" applyFill="1"/>
    <xf numFmtId="165" fontId="3" fillId="2" borderId="1" xfId="2" applyNumberFormat="1"/>
    <xf numFmtId="165" fontId="3" fillId="2" borderId="1" xfId="2" applyNumberFormat="1" applyAlignment="1">
      <alignment horizontal="right"/>
    </xf>
    <xf numFmtId="165" fontId="0" fillId="0" borderId="0" xfId="0" applyNumberFormat="1"/>
    <xf numFmtId="165" fontId="5" fillId="5" borderId="2" xfId="3" applyNumberFormat="1" applyFont="1" applyFill="1" applyBorder="1" applyAlignment="1">
      <alignment horizontal="left" vertical="center" wrapText="1"/>
    </xf>
    <xf numFmtId="165" fontId="0" fillId="6" borderId="0" xfId="0" applyNumberFormat="1" applyFill="1"/>
    <xf numFmtId="165" fontId="0" fillId="2" borderId="1" xfId="2" quotePrefix="1" applyNumberFormat="1" applyFont="1"/>
    <xf numFmtId="165" fontId="0" fillId="2" borderId="1" xfId="2" applyNumberFormat="1" applyFont="1" applyAlignment="1">
      <alignment horizontal="right"/>
    </xf>
    <xf numFmtId="165" fontId="5" fillId="5" borderId="2" xfId="3" applyNumberFormat="1" applyFont="1" applyFill="1" applyBorder="1" applyAlignment="1">
      <alignment wrapText="1"/>
    </xf>
    <xf numFmtId="165" fontId="5" fillId="3" borderId="2" xfId="3" applyNumberFormat="1" applyFont="1" applyBorder="1" applyAlignment="1">
      <alignment wrapText="1"/>
    </xf>
    <xf numFmtId="165" fontId="0" fillId="7" borderId="0" xfId="0" applyNumberFormat="1" applyFill="1"/>
    <xf numFmtId="165" fontId="5" fillId="3" borderId="2" xfId="3" applyNumberFormat="1" applyFont="1" applyBorder="1" applyAlignment="1">
      <alignment horizontal="left" vertical="center" wrapText="1"/>
    </xf>
    <xf numFmtId="165" fontId="5" fillId="3" borderId="2" xfId="3" applyNumberFormat="1" applyFont="1" applyBorder="1"/>
    <xf numFmtId="0" fontId="0" fillId="7" borderId="0" xfId="5" applyNumberFormat="1" applyFont="1" applyFill="1"/>
    <xf numFmtId="0" fontId="1" fillId="6" borderId="0" xfId="5" applyNumberFormat="1" applyFont="1" applyFill="1"/>
    <xf numFmtId="0" fontId="1" fillId="7" borderId="0" xfId="5" applyNumberFormat="1" applyFont="1" applyFill="1"/>
    <xf numFmtId="0" fontId="0" fillId="6" borderId="0" xfId="4" applyFont="1" applyFill="1"/>
    <xf numFmtId="3" fontId="8" fillId="0" borderId="0" xfId="0" applyNumberFormat="1" applyFont="1"/>
    <xf numFmtId="0" fontId="0" fillId="0" borderId="0" xfId="0" applyNumberFormat="1"/>
    <xf numFmtId="0" fontId="7" fillId="8" borderId="2" xfId="5" applyNumberFormat="1" applyFont="1" applyFill="1" applyBorder="1" applyAlignment="1">
      <alignment wrapText="1"/>
    </xf>
    <xf numFmtId="0" fontId="3" fillId="2" borderId="1" xfId="5" applyNumberFormat="1" applyFont="1" applyFill="1" applyBorder="1"/>
    <xf numFmtId="0" fontId="3" fillId="2" borderId="1" xfId="5" applyNumberFormat="1" applyFont="1" applyFill="1" applyBorder="1" applyAlignment="1">
      <alignment horizontal="right"/>
    </xf>
    <xf numFmtId="0" fontId="0" fillId="0" borderId="0" xfId="5" applyNumberFormat="1" applyFont="1"/>
    <xf numFmtId="0" fontId="7" fillId="8" borderId="2" xfId="3" applyNumberFormat="1" applyFont="1" applyFill="1" applyBorder="1" applyAlignment="1">
      <alignment wrapText="1"/>
    </xf>
    <xf numFmtId="0" fontId="1" fillId="7" borderId="0" xfId="4" applyNumberFormat="1" applyFill="1"/>
    <xf numFmtId="0" fontId="3" fillId="2" borderId="1" xfId="2" applyNumberFormat="1"/>
    <xf numFmtId="0" fontId="3" fillId="2" borderId="1" xfId="2" applyNumberFormat="1" applyAlignment="1">
      <alignment horizontal="right"/>
    </xf>
    <xf numFmtId="3" fontId="0" fillId="0" borderId="0" xfId="0" applyNumberFormat="1"/>
    <xf numFmtId="0" fontId="9" fillId="9" borderId="2" xfId="0" applyFont="1" applyFill="1" applyBorder="1"/>
  </cellXfs>
  <cellStyles count="6">
    <cellStyle name="20% - Ênfase3" xfId="4" builtinId="38"/>
    <cellStyle name="Ênfase3" xfId="3" builtinId="37"/>
    <cellStyle name="Hyperlink" xfId="1" xr:uid="{00000000-000B-0000-0000-000008000000}"/>
    <cellStyle name="Moeda" xfId="5" builtinId="4"/>
    <cellStyle name="Normal" xfId="0" builtinId="0"/>
    <cellStyle name="Saída" xfId="2" builtinId="21"/>
  </cellStyles>
  <dxfs count="19">
    <dxf>
      <numFmt numFmtId="0" formatCode="General"/>
      <fill>
        <patternFill patternType="solid">
          <fgColor indexed="64"/>
          <bgColor theme="2"/>
        </patternFill>
      </fill>
    </dxf>
    <dxf>
      <numFmt numFmtId="165" formatCode="_-[$$-409]* #,##0.00_ ;_-[$$-409]* \-#,##0.00\ ;_-[$$-409]* &quot;-&quot;??_ ;_-@_ "/>
      <fill>
        <patternFill patternType="solid">
          <fgColor indexed="64"/>
          <bgColor theme="0"/>
        </patternFill>
      </fill>
    </dxf>
    <dxf>
      <numFmt numFmtId="165" formatCode="_-[$$-409]* #,##0.00_ ;_-[$$-409]* \-#,##0.00\ ;_-[$$-409]* &quot;-&quot;??_ ;_-@_ 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" formatCode="0"/>
    </dxf>
    <dxf>
      <numFmt numFmtId="164" formatCode="0.0000"/>
    </dxf>
    <dxf>
      <numFmt numFmtId="2" formatCode="0.00"/>
    </dxf>
    <dxf>
      <numFmt numFmtId="2" formatCode="0.0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color rgb="FF000000"/>
      </font>
      <fill>
        <patternFill patternType="solid">
          <fgColor theme="6"/>
          <bgColor indexed="65"/>
        </patternFill>
      </fill>
      <border diagonalUp="0" diagonalDown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C2409-F8AF-4E77-9422-730D600AE7F0}" name="Table3" displayName="Table3" ref="A2:S14" totalsRowShown="0" headerRowDxfId="18" headerRowBorderDxfId="17" tableBorderDxfId="16">
  <autoFilter ref="A2:S14" xr:uid="{503C2409-F8AF-4E77-9422-730D600AE7F0}"/>
  <tableColumns count="19">
    <tableColumn id="1" xr3:uid="{46868D27-AE60-4FE2-8B1D-F3FBDFD46C4D}" name="Método"/>
    <tableColumn id="2" xr3:uid="{A6B95D3C-9075-474A-B3EB-D6B6F8767081}" name="Custo De Projeto Por KiloWatt"/>
    <tableColumn id="3" xr3:uid="{4C2499F5-E8AD-4107-BDE8-057B3F94F0BD}" name="Custo De Projeto Por KiloWatt.Hora" dataDxfId="15"/>
    <tableColumn id="4" xr3:uid="{55A21E8E-C5F4-4F2B-A636-371E5C68A551}" name="Vida Útil (anos)"/>
    <tableColumn id="5" xr3:uid="{35D38625-90D3-4774-8DFB-4E67D5A1A514}" name="Custo Estimado Para Especificação de KiloWatts por ano" dataDxfId="14"/>
    <tableColumn id="6" xr3:uid="{D862EBAC-E80D-452E-AD3E-A9E98012FA8E}" name="Custo Estimado Para Especificação de KiloWatt-Hora por ano" dataDxfId="13"/>
    <tableColumn id="7" xr3:uid="{291112FA-5F66-4EBD-AFC6-14CC402527D0}" name="Eficiência por ciclo de carga/descarga (RTE)" dataDxfId="12"/>
    <tableColumn id="8" xr3:uid="{AD714E00-D69F-4686-B251-0D2C4DDE0053}" name="Perda de RTE por ciclo" dataDxfId="11"/>
    <tableColumn id="9" xr3:uid="{B1B50985-3E65-4BB2-AD4D-E5D168B348C0}" name="Perda de RTE por ano" dataDxfId="10"/>
    <tableColumn id="10" xr3:uid="{A9EAC89F-3B5E-44DC-AE16-5C1B80480E98}" name="Limite de ciclos" dataDxfId="9"/>
    <tableColumn id="11" xr3:uid="{CF5C09AF-C34F-423A-A824-327DF256A7D5}" name="Custo Estimado Para Especificação de KiloWatts por ano considerando eficiência" dataDxfId="8"/>
    <tableColumn id="12" xr3:uid="{3ECE1F3B-3481-45EC-B625-793EF025E127}" name="Custo Estimado Para Especificação de KiloWatt-Hora por ano considerando eficiência" dataDxfId="7"/>
    <tableColumn id="13" xr3:uid="{8BB9F605-149D-488B-8D02-A8E8CF06CAFB}" name="Custo Estimado Para Especificação de KiloWatts considerando eficiência" dataDxfId="6" dataCellStyle="20% - Ênfase3"/>
    <tableColumn id="14" xr3:uid="{EFB61D64-6BDA-4D62-8582-06F132738B5E}" name="Custo Estimado Para Especificação de KiloWatt-Hora considerando eficiência" dataDxfId="5" dataCellStyle="20% - Ênfase3"/>
    <tableColumn id="15" xr3:uid="{E49AAE82-A6AC-4CDB-ABE3-E434B5A50F45}" name="para 20 anos de uso considerando eficiencia custo por KiloWatt" dataDxfId="4" dataCellStyle="Moeda">
      <calculatedColumnFormula>PRODUCT(Table3[[#This Row],[Custo Estimado Para Especificação de KiloWatts por ano considerando eficiência]],20)</calculatedColumnFormula>
    </tableColumn>
    <tableColumn id="16" xr3:uid="{8E9D6D62-B242-427B-A688-CFEED609A695}" name="para 20 anos de uso considerando eficiencia custo por kiloWatt-Hora" dataDxfId="3" dataCellStyle="20% - Ênfase3">
      <calculatedColumnFormula>PRODUCT(Table3[[#This Row],[Custo Estimado Para Especificação de KiloWatt-Hora por ano considerando eficiência]],20)</calculatedColumnFormula>
    </tableColumn>
    <tableColumn id="17" xr3:uid="{D9B88142-DC51-4FA7-9E8A-3A2882785A76}" name="custo mensal" dataDxfId="1" dataCellStyle="20% - Ênfase3">
      <calculatedColumnFormula>QUOTIENT(Table3[[#This Row],[FATOR LIMITENTE ANUAL]],12)</calculatedColumnFormula>
    </tableColumn>
    <tableColumn id="19" xr3:uid="{7A093F98-5752-405E-9CEE-9DCE7F3D4F8E}" name="FATOR LIMITENTE ANUAL" dataDxfId="2" dataCellStyle="20% - Ênfase3">
      <calculatedColumnFormula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calculatedColumnFormula>
    </tableColumn>
    <tableColumn id="20" xr3:uid="{E856E321-9F75-4E89-9DFD-E95E89B15E28}" name="Coluna1" dataDxfId="0">
      <calculatedColumnFormula>IF(Table3[[#This Row],[Custo Estimado Para Especificação de KiloWatts por ano considerando eficiência]]&gt;Table3[[#This Row],[Custo Estimado Para Especificação de KiloWatt-Hora por ano considerando eficiência]],"KiloWatts","KiloWattsHora")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dpi.com/1996-1073/13/13/33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A4" workbookViewId="0">
      <pane xSplit="1" topLeftCell="B1" activePane="topRight" state="frozen"/>
      <selection pane="topRight" activeCell="B25" sqref="B25"/>
    </sheetView>
  </sheetViews>
  <sheetFormatPr defaultRowHeight="15" x14ac:dyDescent="0.25"/>
  <cols>
    <col min="1" max="1" width="27.42578125" customWidth="1"/>
    <col min="2" max="2" width="35.140625" customWidth="1"/>
    <col min="3" max="3" width="36.5703125" style="24" customWidth="1"/>
    <col min="4" max="4" width="17.28515625" customWidth="1"/>
    <col min="5" max="5" width="20.5703125" style="24" customWidth="1"/>
    <col min="6" max="6" width="26" style="24" customWidth="1"/>
    <col min="7" max="7" width="19.28515625" customWidth="1"/>
    <col min="8" max="8" width="13.42578125" customWidth="1"/>
    <col min="9" max="9" width="14" customWidth="1"/>
    <col min="10" max="10" width="9.28515625" bestFit="1" customWidth="1"/>
    <col min="11" max="11" width="29.140625" style="24" customWidth="1"/>
    <col min="12" max="12" width="40.140625" style="24" customWidth="1"/>
    <col min="13" max="13" width="40.85546875" style="24" customWidth="1"/>
    <col min="14" max="14" width="42.7109375" customWidth="1"/>
    <col min="15" max="15" width="39.42578125" style="43" customWidth="1"/>
    <col min="16" max="18" width="39.42578125" style="39" customWidth="1"/>
    <col min="19" max="19" width="16.5703125" customWidth="1"/>
  </cols>
  <sheetData>
    <row r="1" spans="1:1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 s="39">
        <v>15</v>
      </c>
      <c r="P1" s="39">
        <v>16</v>
      </c>
      <c r="Q1" s="39">
        <v>16</v>
      </c>
      <c r="R1" s="39">
        <v>16</v>
      </c>
    </row>
    <row r="2" spans="1:19" ht="43.5" customHeight="1" x14ac:dyDescent="0.25">
      <c r="A2" s="4" t="s">
        <v>0</v>
      </c>
      <c r="B2" s="4" t="s">
        <v>1</v>
      </c>
      <c r="C2" s="33" t="s">
        <v>2</v>
      </c>
      <c r="D2" s="4" t="s">
        <v>3</v>
      </c>
      <c r="E2" s="32" t="s">
        <v>4</v>
      </c>
      <c r="F2" s="30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25" t="s">
        <v>10</v>
      </c>
      <c r="L2" s="29" t="s">
        <v>11</v>
      </c>
      <c r="M2" s="25" t="s">
        <v>12</v>
      </c>
      <c r="N2" s="8" t="s">
        <v>13</v>
      </c>
      <c r="O2" s="40" t="s">
        <v>32</v>
      </c>
      <c r="P2" s="44" t="s">
        <v>33</v>
      </c>
      <c r="Q2" s="44" t="s">
        <v>35</v>
      </c>
      <c r="R2" s="44" t="s">
        <v>36</v>
      </c>
      <c r="S2" s="49" t="s">
        <v>34</v>
      </c>
    </row>
    <row r="3" spans="1:19" s="13" customFormat="1" x14ac:dyDescent="0.25">
      <c r="A3" s="37" t="s">
        <v>14</v>
      </c>
      <c r="B3" s="20">
        <v>2040</v>
      </c>
      <c r="C3" s="20">
        <v>26.2</v>
      </c>
      <c r="D3" s="9">
        <v>20</v>
      </c>
      <c r="E3" s="20">
        <f>ROUNDUP(B25*B3/D3,0)</f>
        <v>1788127639</v>
      </c>
      <c r="F3" s="20">
        <f>B24*C3/D3</f>
        <v>112906279.34439084</v>
      </c>
      <c r="G3" s="10">
        <v>0.22222222222222221</v>
      </c>
      <c r="H3" s="10"/>
      <c r="I3" s="11"/>
      <c r="J3" s="12"/>
      <c r="K3" s="20">
        <f>ROUNDUP(E3/G3,0)</f>
        <v>8046574376</v>
      </c>
      <c r="L3" s="20">
        <f>QUOTIENT(F3,G3)</f>
        <v>508078257</v>
      </c>
      <c r="M3" s="20">
        <f>ROUNDUP(K3*D3,0)</f>
        <v>160931487520</v>
      </c>
      <c r="N3" s="20">
        <f>ROUNDUP(L3*D3,0)</f>
        <v>10161565140</v>
      </c>
      <c r="O3" s="18">
        <f>PRODUCT(Table3[[#This Row],[Custo Estimado Para Especificação de KiloWatts por ano considerando eficiência]],20)</f>
        <v>160931487520</v>
      </c>
      <c r="P3" s="18">
        <f>PRODUCT(Table3[[#This Row],[Custo Estimado Para Especificação de KiloWatt-Hora por ano considerando eficiência]],20)</f>
        <v>10161565140</v>
      </c>
      <c r="Q3" s="18">
        <f>QUOTIENT(Table3[[#This Row],[FATOR LIMITENTE ANUAL]],12)</f>
        <v>1517344959</v>
      </c>
      <c r="R3" s="18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18208139516</v>
      </c>
      <c r="S3" s="13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</v>
      </c>
    </row>
    <row r="4" spans="1:19" s="14" customFormat="1" ht="15.75" customHeight="1" x14ac:dyDescent="0.25">
      <c r="A4" s="14" t="s">
        <v>15</v>
      </c>
      <c r="B4" s="31">
        <v>2194</v>
      </c>
      <c r="C4" s="31">
        <v>549</v>
      </c>
      <c r="D4" s="14">
        <v>3</v>
      </c>
      <c r="E4" s="31">
        <f>ROUNDUP(B25*B4/D4,0)</f>
        <v>12820758299</v>
      </c>
      <c r="F4" s="31">
        <f>ROUNDUP(B24*C4/D4,0)</f>
        <v>15772403909</v>
      </c>
      <c r="G4" s="15">
        <v>0.72</v>
      </c>
      <c r="H4" s="15"/>
      <c r="I4" s="16">
        <v>5.3999999999999999E-2</v>
      </c>
      <c r="J4" s="17">
        <v>900</v>
      </c>
      <c r="K4" s="20">
        <f t="shared" ref="K4:K14" si="0">ROUNDUP(E4/G4,0)</f>
        <v>17806608749</v>
      </c>
      <c r="L4" s="20">
        <f t="shared" ref="L4:L12" si="1">QUOTIENT(F4,G4)</f>
        <v>21906116540</v>
      </c>
      <c r="M4" s="21">
        <f t="shared" ref="M4:M12" si="2">ROUNDUP(K4*D4,0)</f>
        <v>53419826247</v>
      </c>
      <c r="N4" s="21">
        <f t="shared" ref="N4:N12" si="3">ROUNDUP(L4*D4,0)</f>
        <v>65718349620</v>
      </c>
      <c r="O4" s="19">
        <f>PRODUCT(Table3[[#This Row],[Custo Estimado Para Especificação de KiloWatts por ano considerando eficiência]],20)</f>
        <v>356132174980</v>
      </c>
      <c r="P4" s="19">
        <f>PRODUCT(Table3[[#This Row],[Custo Estimado Para Especificação de KiloWatt-Hora por ano considerando eficiência]],20)</f>
        <v>438122330800</v>
      </c>
      <c r="Q4" s="19">
        <f>QUOTIENT(Table3[[#This Row],[FATOR LIMITENTE ANUAL]],12)</f>
        <v>38335703945</v>
      </c>
      <c r="R4" s="19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460028447340</v>
      </c>
      <c r="S4" s="14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KiloWattsHora</v>
      </c>
    </row>
    <row r="5" spans="1:19" s="13" customFormat="1" x14ac:dyDescent="0.25">
      <c r="A5" s="9" t="s">
        <v>16</v>
      </c>
      <c r="B5" s="20">
        <v>1876</v>
      </c>
      <c r="C5" s="20">
        <v>469</v>
      </c>
      <c r="D5" s="9">
        <v>10</v>
      </c>
      <c r="E5" s="20">
        <f>ROUNDUP(B25*B5/D5,0)</f>
        <v>3288752403</v>
      </c>
      <c r="F5" s="20">
        <f>ROUNDUP(B24*C5/D5,0)</f>
        <v>4042217177</v>
      </c>
      <c r="G5" s="10">
        <v>0.86</v>
      </c>
      <c r="H5" s="10"/>
      <c r="I5" s="11">
        <v>5.0000000000000001E-3</v>
      </c>
      <c r="J5" s="12">
        <v>3500</v>
      </c>
      <c r="K5" s="20">
        <f t="shared" si="0"/>
        <v>3824130702</v>
      </c>
      <c r="L5" s="20">
        <f t="shared" si="1"/>
        <v>4700252531</v>
      </c>
      <c r="M5" s="20">
        <f t="shared" si="2"/>
        <v>38241307020</v>
      </c>
      <c r="N5" s="20">
        <f t="shared" si="3"/>
        <v>47002525310</v>
      </c>
      <c r="O5" s="18">
        <f>PRODUCT(Table3[[#This Row],[Custo Estimado Para Especificação de KiloWatts por ano considerando eficiência]],20)</f>
        <v>76482614040</v>
      </c>
      <c r="P5" s="18">
        <f>PRODUCT(Table3[[#This Row],[Custo Estimado Para Especificação de KiloWatt-Hora por ano considerando eficiência]],20)</f>
        <v>94005050620</v>
      </c>
      <c r="Q5" s="18">
        <f>QUOTIENT(Table3[[#This Row],[FATOR LIMITENTE ANUAL]],12)</f>
        <v>8225441929</v>
      </c>
      <c r="R5" s="18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98705303151</v>
      </c>
      <c r="S5" s="13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KiloWattsHora</v>
      </c>
    </row>
    <row r="6" spans="1:19" s="14" customFormat="1" x14ac:dyDescent="0.25">
      <c r="A6" s="14" t="s">
        <v>17</v>
      </c>
      <c r="B6" s="31">
        <v>3430</v>
      </c>
      <c r="C6" s="31">
        <v>858</v>
      </c>
      <c r="D6" s="14">
        <v>15</v>
      </c>
      <c r="E6" s="31">
        <f>ROUNDUP(B25*B6/D6,0)</f>
        <v>4008678302</v>
      </c>
      <c r="F6" s="31">
        <f>ROUNDUP(B24*C6/D6,0)</f>
        <v>4929953572</v>
      </c>
      <c r="G6" s="15">
        <v>0.7</v>
      </c>
      <c r="H6" s="15"/>
      <c r="I6" s="16">
        <v>4.0000000000000001E-3</v>
      </c>
      <c r="J6" s="17">
        <v>10000</v>
      </c>
      <c r="K6" s="20">
        <f t="shared" si="0"/>
        <v>5726683289</v>
      </c>
      <c r="L6" s="20">
        <f t="shared" si="1"/>
        <v>7042790817</v>
      </c>
      <c r="M6" s="21">
        <f t="shared" si="2"/>
        <v>85900249335</v>
      </c>
      <c r="N6" s="21">
        <f t="shared" si="3"/>
        <v>105641862255</v>
      </c>
      <c r="O6" s="19">
        <f>PRODUCT(Table3[[#This Row],[Custo Estimado Para Especificação de KiloWatts por ano considerando eficiência]],20)</f>
        <v>114533665780</v>
      </c>
      <c r="P6" s="19">
        <f>PRODUCT(Table3[[#This Row],[Custo Estimado Para Especificação de KiloWatt-Hora por ano considerando eficiência]],20)</f>
        <v>140855816340</v>
      </c>
      <c r="Q6" s="19">
        <f>QUOTIENT(Table3[[#This Row],[FATOR LIMITENTE ANUAL]],12)</f>
        <v>12324883929</v>
      </c>
      <c r="R6" s="19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147898607157</v>
      </c>
      <c r="S6" s="14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KiloWattsHora</v>
      </c>
    </row>
    <row r="7" spans="1:19" s="13" customFormat="1" x14ac:dyDescent="0.25">
      <c r="A7" s="9" t="s">
        <v>18</v>
      </c>
      <c r="B7" s="20">
        <v>3626</v>
      </c>
      <c r="C7" s="20">
        <v>907</v>
      </c>
      <c r="D7" s="9">
        <v>13.5</v>
      </c>
      <c r="E7" s="20">
        <f>ROUNDUP(B25*B7/D7,0)</f>
        <v>4708606259</v>
      </c>
      <c r="F7" s="20">
        <f>ROUNDUP(B24*C7/D7,0)</f>
        <v>5790556708</v>
      </c>
      <c r="G7" s="10">
        <v>0.75</v>
      </c>
      <c r="H7" s="10"/>
      <c r="I7" s="11">
        <v>3.3999999999999998E-3</v>
      </c>
      <c r="J7" s="12">
        <v>4000</v>
      </c>
      <c r="K7" s="20">
        <f t="shared" si="0"/>
        <v>6278141679</v>
      </c>
      <c r="L7" s="20">
        <f t="shared" si="1"/>
        <v>7720742277</v>
      </c>
      <c r="M7" s="20">
        <f t="shared" si="2"/>
        <v>84754912667</v>
      </c>
      <c r="N7" s="20">
        <f t="shared" si="3"/>
        <v>104230020740</v>
      </c>
      <c r="O7" s="18">
        <f>PRODUCT(Table3[[#This Row],[Custo Estimado Para Especificação de KiloWatts por ano considerando eficiência]],20)</f>
        <v>125562833580</v>
      </c>
      <c r="P7" s="18">
        <f>PRODUCT(Table3[[#This Row],[Custo Estimado Para Especificação de KiloWatt-Hora por ano considerando eficiência]],20)</f>
        <v>154414845540</v>
      </c>
      <c r="Q7" s="18">
        <f>QUOTIENT(Table3[[#This Row],[FATOR LIMITENTE ANUAL]],12)</f>
        <v>13511298984</v>
      </c>
      <c r="R7" s="18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162135587817</v>
      </c>
      <c r="S7" s="13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KiloWattsHora</v>
      </c>
    </row>
    <row r="8" spans="1:19" s="14" customFormat="1" x14ac:dyDescent="0.25">
      <c r="A8" s="14" t="s">
        <v>19</v>
      </c>
      <c r="B8" s="31">
        <v>3710</v>
      </c>
      <c r="C8" s="31">
        <v>928</v>
      </c>
      <c r="D8" s="14">
        <v>12.5</v>
      </c>
      <c r="E8" s="31">
        <f>ROUNDUP(B25*B8/D8,0)</f>
        <v>5203100816</v>
      </c>
      <c r="F8" s="31">
        <f>ROUNDUP(B24*C8/D8,0)</f>
        <v>6398597083</v>
      </c>
      <c r="G8" s="15">
        <v>0.83</v>
      </c>
      <c r="H8" s="15"/>
      <c r="I8" s="16">
        <v>3.5000000000000001E-3</v>
      </c>
      <c r="J8" s="17">
        <v>3500</v>
      </c>
      <c r="K8" s="20">
        <f t="shared" si="0"/>
        <v>6268796164</v>
      </c>
      <c r="L8" s="20">
        <f t="shared" si="1"/>
        <v>7709153112</v>
      </c>
      <c r="M8" s="21">
        <f t="shared" si="2"/>
        <v>78359952050</v>
      </c>
      <c r="N8" s="21">
        <f t="shared" si="3"/>
        <v>96364413900</v>
      </c>
      <c r="O8" s="19">
        <f>PRODUCT(Table3[[#This Row],[Custo Estimado Para Especificação de KiloWatts por ano considerando eficiência]],20)</f>
        <v>125375923280</v>
      </c>
      <c r="P8" s="19">
        <f>PRODUCT(Table3[[#This Row],[Custo Estimado Para Especificação de KiloWatt-Hora por ano considerando eficiência]],20)</f>
        <v>154183062240</v>
      </c>
      <c r="Q8" s="19">
        <f>QUOTIENT(Table3[[#This Row],[FATOR LIMITENTE ANUAL]],12)</f>
        <v>13491017946</v>
      </c>
      <c r="R8" s="19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161892215352</v>
      </c>
      <c r="S8" s="14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KiloWattsHora</v>
      </c>
    </row>
    <row r="9" spans="1:19" s="13" customFormat="1" x14ac:dyDescent="0.25">
      <c r="A9" s="9" t="s">
        <v>20</v>
      </c>
      <c r="B9" s="20">
        <v>2202</v>
      </c>
      <c r="C9" s="20">
        <v>551</v>
      </c>
      <c r="D9" s="9">
        <v>10</v>
      </c>
      <c r="E9" s="20">
        <f>ROUNDUP(B25*B9/D9,0)</f>
        <v>3860252021</v>
      </c>
      <c r="F9" s="20">
        <f>ROUNDUP(B24*C9/D9,0)</f>
        <v>4748958773</v>
      </c>
      <c r="G9" s="10">
        <v>0.72</v>
      </c>
      <c r="H9" s="10"/>
      <c r="I9" s="11">
        <v>1.4999999999999999E-2</v>
      </c>
      <c r="J9" s="12">
        <v>3500</v>
      </c>
      <c r="K9" s="20">
        <f t="shared" si="0"/>
        <v>5361461141</v>
      </c>
      <c r="L9" s="20">
        <f t="shared" si="1"/>
        <v>6595776073</v>
      </c>
      <c r="M9" s="20">
        <f t="shared" si="2"/>
        <v>53614611410</v>
      </c>
      <c r="N9" s="20">
        <f t="shared" si="3"/>
        <v>65957760730</v>
      </c>
      <c r="O9" s="18">
        <f>PRODUCT(Table3[[#This Row],[Custo Estimado Para Especificação de KiloWatts por ano considerando eficiência]],20)</f>
        <v>107229222820</v>
      </c>
      <c r="P9" s="18">
        <f>PRODUCT(Table3[[#This Row],[Custo Estimado Para Especificação de KiloWatt-Hora por ano considerando eficiência]],20)</f>
        <v>131915521460</v>
      </c>
      <c r="Q9" s="18">
        <f>QUOTIENT(Table3[[#This Row],[FATOR LIMITENTE ANUAL]],12)</f>
        <v>11542608127</v>
      </c>
      <c r="R9" s="18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138511297533</v>
      </c>
      <c r="S9" s="13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KiloWattsHora</v>
      </c>
    </row>
    <row r="10" spans="1:19" s="13" customFormat="1" x14ac:dyDescent="0.25">
      <c r="A10" s="9" t="s">
        <v>22</v>
      </c>
      <c r="B10" s="20">
        <v>2638</v>
      </c>
      <c r="C10" s="20">
        <f>165+15.9</f>
        <v>180.9</v>
      </c>
      <c r="D10" s="9">
        <v>30</v>
      </c>
      <c r="E10" s="20">
        <f>ROUNDUP(B25*B10/D10,0)</f>
        <v>1541529645</v>
      </c>
      <c r="F10" s="20">
        <f>ROUNDUP(B24*C10/D10,0)</f>
        <v>519713637</v>
      </c>
      <c r="G10" s="10">
        <v>0.8</v>
      </c>
      <c r="H10" s="10"/>
      <c r="I10" s="11"/>
      <c r="J10" s="12"/>
      <c r="K10" s="20">
        <f t="shared" si="0"/>
        <v>1926912057</v>
      </c>
      <c r="L10" s="20">
        <f t="shared" si="1"/>
        <v>649642046</v>
      </c>
      <c r="M10" s="20">
        <f t="shared" si="2"/>
        <v>57807361710</v>
      </c>
      <c r="N10" s="20">
        <f t="shared" si="3"/>
        <v>19489261380</v>
      </c>
      <c r="O10" s="18">
        <f>PRODUCT(Table3[[#This Row],[Custo Estimado Para Especificação de KiloWatts por ano considerando eficiência]],20)</f>
        <v>38538241140</v>
      </c>
      <c r="P10" s="18">
        <f>PRODUCT(Table3[[#This Row],[Custo Estimado Para Especificação de KiloWatt-Hora por ano considerando eficiência]],20)</f>
        <v>12992840920</v>
      </c>
      <c r="Q10" s="18">
        <f>QUOTIENT(Table3[[#This Row],[FATOR LIMITENTE ANUAL]],12)</f>
        <v>1243312748</v>
      </c>
      <c r="R10" s="18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14919752977</v>
      </c>
      <c r="S10" s="13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</v>
      </c>
    </row>
    <row r="11" spans="1:19" s="13" customFormat="1" x14ac:dyDescent="0.25">
      <c r="A11" s="9" t="s">
        <v>23</v>
      </c>
      <c r="B11" s="20">
        <v>1669</v>
      </c>
      <c r="C11" s="20">
        <f>105+16.7</f>
        <v>121.7</v>
      </c>
      <c r="D11" s="9">
        <v>25</v>
      </c>
      <c r="E11" s="20">
        <f>ROUNDUP(B25*B11/D11,0)</f>
        <v>1170347071</v>
      </c>
      <c r="F11" s="20">
        <f>ROUNDUP(B24*C11/D11,0)</f>
        <v>419563182</v>
      </c>
      <c r="G11" s="10">
        <v>0.86</v>
      </c>
      <c r="H11" s="10"/>
      <c r="I11" s="11">
        <v>1.4E-3</v>
      </c>
      <c r="J11" s="12"/>
      <c r="K11" s="20">
        <f t="shared" si="0"/>
        <v>1360868688</v>
      </c>
      <c r="L11" s="20">
        <f t="shared" si="1"/>
        <v>487864165</v>
      </c>
      <c r="M11" s="20">
        <f t="shared" si="2"/>
        <v>34021717200</v>
      </c>
      <c r="N11" s="20">
        <f t="shared" si="3"/>
        <v>12196604125</v>
      </c>
      <c r="O11" s="18">
        <f>PRODUCT(Table3[[#This Row],[Custo Estimado Para Especificação de KiloWatts por ano considerando eficiência]],20)</f>
        <v>27217373760</v>
      </c>
      <c r="P11" s="18">
        <f>PRODUCT(Table3[[#This Row],[Custo Estimado Para Especificação de KiloWatt-Hora por ano considerando eficiência]],20)</f>
        <v>9757283300</v>
      </c>
      <c r="Q11" s="18">
        <f>QUOTIENT(Table3[[#This Row],[FATOR LIMITENTE ANUAL]],12)</f>
        <v>926512665</v>
      </c>
      <c r="R11" s="18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11118151988</v>
      </c>
      <c r="S11" s="13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</v>
      </c>
    </row>
    <row r="12" spans="1:19" s="14" customFormat="1" x14ac:dyDescent="0.25">
      <c r="A12" s="14" t="s">
        <v>24</v>
      </c>
      <c r="B12" s="31">
        <v>930</v>
      </c>
      <c r="C12" s="31">
        <f>74.48+1</f>
        <v>75.48</v>
      </c>
      <c r="D12" s="14">
        <v>16</v>
      </c>
      <c r="E12" s="31">
        <f>ROUNDUP(B25*B12/D12,0)</f>
        <v>1018969795</v>
      </c>
      <c r="F12" s="31">
        <f>ROUNDUP(B24*C12/D12,0)</f>
        <v>406591888</v>
      </c>
      <c r="G12" s="15">
        <v>0.92</v>
      </c>
      <c r="H12" s="15"/>
      <c r="I12" s="16">
        <v>1.4E-3</v>
      </c>
      <c r="J12" s="17"/>
      <c r="K12" s="20">
        <f t="shared" si="0"/>
        <v>1107575865</v>
      </c>
      <c r="L12" s="20">
        <f t="shared" si="1"/>
        <v>441947704</v>
      </c>
      <c r="M12" s="21">
        <f t="shared" si="2"/>
        <v>17721213840</v>
      </c>
      <c r="N12" s="21">
        <f t="shared" si="3"/>
        <v>7071163264</v>
      </c>
      <c r="O12" s="19">
        <f>PRODUCT(Table3[[#This Row],[Custo Estimado Para Especificação de KiloWatts por ano considerando eficiência]],20)</f>
        <v>22151517300</v>
      </c>
      <c r="P12" s="19">
        <f>PRODUCT(Table3[[#This Row],[Custo Estimado Para Especificação de KiloWatt-Hora por ano considerando eficiência]],20)</f>
        <v>8838954080</v>
      </c>
      <c r="Q12" s="19">
        <f>QUOTIENT(Table3[[#This Row],[FATOR LIMITENTE ANUAL]],12)</f>
        <v>828877495</v>
      </c>
      <c r="R12" s="19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9946529945</v>
      </c>
      <c r="S12" s="14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</v>
      </c>
    </row>
    <row r="13" spans="1:19" s="34" customFormat="1" x14ac:dyDescent="0.25">
      <c r="A13" s="34" t="s">
        <v>21</v>
      </c>
      <c r="B13" s="34">
        <v>0</v>
      </c>
      <c r="D13" s="34">
        <v>20</v>
      </c>
      <c r="E13" s="34">
        <f>ROUNDUP(B25*B13/D13,0)</f>
        <v>0</v>
      </c>
      <c r="F13" s="34">
        <f>ROUNDUP(B24*C13/D13,0)</f>
        <v>0</v>
      </c>
      <c r="G13" s="34">
        <v>0.32800000000000001</v>
      </c>
      <c r="K13" s="35">
        <f>ROUNDUP(E13/G13,0)</f>
        <v>0</v>
      </c>
      <c r="L13" s="35">
        <f>ROUNDUP(F13/G13,0)</f>
        <v>0</v>
      </c>
      <c r="M13" s="36">
        <f>ROUNDUP(K13*D13,0)</f>
        <v>0</v>
      </c>
      <c r="N13" s="36">
        <f>ROUNDUP(L13*D13,0)</f>
        <v>0</v>
      </c>
      <c r="O13" s="36">
        <f>PRODUCT(Table3[[#This Row],[Custo Estimado Para Especificação de KiloWatts por ano considerando eficiência]],20)</f>
        <v>0</v>
      </c>
      <c r="P13" s="36">
        <f>PRODUCT(Table3[[#This Row],[Custo Estimado Para Especificação de KiloWatt-Hora por ano considerando eficiência]],20)</f>
        <v>0</v>
      </c>
      <c r="Q13" s="19">
        <f>QUOTIENT(Table3[[#This Row],[FATOR LIMITENTE ANUAL]],12)</f>
        <v>0</v>
      </c>
      <c r="R13" s="19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0</v>
      </c>
      <c r="S13" s="34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KiloWattsHora</v>
      </c>
    </row>
    <row r="14" spans="1:19" s="13" customFormat="1" x14ac:dyDescent="0.25">
      <c r="C14" s="26"/>
      <c r="E14" s="26"/>
      <c r="F14" s="26"/>
      <c r="G14" s="10">
        <v>1</v>
      </c>
      <c r="H14" s="10"/>
      <c r="I14" s="11"/>
      <c r="J14" s="12"/>
      <c r="K14" s="20">
        <f t="shared" si="0"/>
        <v>0</v>
      </c>
      <c r="L14" s="26"/>
      <c r="M14" s="26"/>
      <c r="N14" s="21"/>
      <c r="O14" s="36">
        <f>PRODUCT(Table3[[#This Row],[Custo Estimado Para Especificação de KiloWatts por ano considerando eficiência]],20)</f>
        <v>0</v>
      </c>
      <c r="P14" s="45">
        <f>PRODUCT(Table3[[#This Row],[Custo Estimado Para Especificação de KiloWatt-Hora por ano considerando eficiência]],20)</f>
        <v>20</v>
      </c>
      <c r="Q14" s="21">
        <f>QUOTIENT(Table3[[#This Row],[FATOR LIMITENTE ANUAL]],12)</f>
        <v>1</v>
      </c>
      <c r="R14" s="21">
        <f>PRODUCT(Table3[[#This Row],[Custo Estimado Para Especificação de KiloWatt-Hora por ano considerando eficiência]],20)+IF(Table3[[#This Row],[Custo Estimado Para Especificação de KiloWatts por ano considerando eficiência]]&gt;Table3[[#This Row],[Custo Estimado Para Especificação de KiloWatt-Hora por ano considerando eficiência]],Table3[[#This Row],[Custo Estimado Para Especificação de KiloWatts por ano considerando eficiência]],Table3[[#This Row],[Custo Estimado Para Especificação de KiloWatt-Hora por ano considerando eficiência]])</f>
        <v>20</v>
      </c>
      <c r="S14" s="13" t="str">
        <f>IF(Table3[[#This Row],[Custo Estimado Para Especificação de KiloWatts por ano considerando eficiência]]&gt;Table3[[#This Row],[Custo Estimado Para Especificação de KiloWatt-Hora por ano considerando eficiência]],"KiloWatts","KiloWattsHora")</f>
        <v>KiloWattsHora</v>
      </c>
    </row>
    <row r="15" spans="1:19" x14ac:dyDescent="0.25">
      <c r="B15" s="2"/>
      <c r="C15" s="22"/>
      <c r="E15" s="22" t="s">
        <v>25</v>
      </c>
      <c r="F15" s="22" t="s">
        <v>26</v>
      </c>
      <c r="G15" t="s">
        <v>27</v>
      </c>
      <c r="K15" s="22" t="s">
        <v>25</v>
      </c>
      <c r="L15" s="22" t="s">
        <v>26</v>
      </c>
      <c r="M15" s="22" t="s">
        <v>25</v>
      </c>
      <c r="N15" s="2" t="s">
        <v>26</v>
      </c>
      <c r="O15" s="41"/>
      <c r="P15" s="46"/>
      <c r="Q15" s="46"/>
      <c r="R15" s="46"/>
    </row>
    <row r="16" spans="1:19" x14ac:dyDescent="0.25">
      <c r="B16" s="6"/>
      <c r="C16" s="22"/>
      <c r="E16" s="27">
        <f>SMALL(E3:E14,COUNTIF(E3:E14,"=0")+1)</f>
        <v>1018969795</v>
      </c>
      <c r="F16" s="22">
        <f>SMALL(F3:F12,COUNTIF(F3:F12,"=0")+1)</f>
        <v>112906279.34439084</v>
      </c>
      <c r="K16" s="27">
        <f>SMALL(K3:K14,COUNTIF(K3:K14,"=0")+1)</f>
        <v>1107575865</v>
      </c>
      <c r="L16" s="22">
        <f>SMALL(L3:L12,COUNTIF(L3:L12,"=0")+1)</f>
        <v>441947704</v>
      </c>
      <c r="M16" s="27">
        <f>SMALL(M3:M14,COUNTIF(M3:M14,"=0")+1)</f>
        <v>17721213840</v>
      </c>
      <c r="N16" s="2">
        <f>SMALL(N3:N12,COUNTIF(N3:N12,"=0")+1)</f>
        <v>7071163264</v>
      </c>
      <c r="O16" s="41"/>
      <c r="P16" s="46"/>
      <c r="Q16" s="46"/>
      <c r="R16" s="46"/>
    </row>
    <row r="17" spans="1:18" x14ac:dyDescent="0.25">
      <c r="B17" s="7"/>
      <c r="C17" s="23"/>
      <c r="E17" s="28" t="str">
        <f>INDEX(A3:A14,MATCH(E16,E3:E14,0))</f>
        <v>Ultracapacitor</v>
      </c>
      <c r="F17" s="23" t="str">
        <f>INDEX(A3:A12,MATCH(F16,F3:F12,0))</f>
        <v>Bateria: Eletrólise</v>
      </c>
      <c r="K17" s="28" t="str">
        <f>INDEX(A3:A14,MATCH(K16,K3:K14,0))</f>
        <v>Ultracapacitor</v>
      </c>
      <c r="L17" s="23" t="str">
        <f>INDEX(A3:A12,MATCH(L16,L3:L12,0))</f>
        <v>Ultracapacitor</v>
      </c>
      <c r="M17" s="28" t="str">
        <f>INDEX(A3:A14,MATCH(M16,M3:M14,0))</f>
        <v>Ultracapacitor</v>
      </c>
      <c r="N17" s="3" t="str">
        <f>INDEX(A3:A12,MATCH(N16,N3:N12,0))</f>
        <v>Ultracapacitor</v>
      </c>
      <c r="O17" s="42"/>
      <c r="P17" s="47"/>
      <c r="Q17" s="47"/>
      <c r="R17" s="47"/>
    </row>
    <row r="19" spans="1:18" x14ac:dyDescent="0.25">
      <c r="A19" t="s">
        <v>28</v>
      </c>
    </row>
    <row r="20" spans="1:18" x14ac:dyDescent="0.25">
      <c r="A20" s="1" t="s">
        <v>29</v>
      </c>
    </row>
    <row r="24" spans="1:18" x14ac:dyDescent="0.25">
      <c r="A24" t="s">
        <v>30</v>
      </c>
      <c r="B24" s="38">
        <v>86187999.499534994</v>
      </c>
    </row>
    <row r="25" spans="1:18" x14ac:dyDescent="0.25">
      <c r="A25" t="s">
        <v>31</v>
      </c>
      <c r="B25" s="48">
        <v>17530663.125004899</v>
      </c>
    </row>
  </sheetData>
  <hyperlinks>
    <hyperlink ref="A20" r:id="rId1" xr:uid="{B6D4F36F-018A-4884-B951-A5740D3D83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Caio</cp:lastModifiedBy>
  <cp:revision/>
  <dcterms:created xsi:type="dcterms:W3CDTF">2022-10-04T20:16:50Z</dcterms:created>
  <dcterms:modified xsi:type="dcterms:W3CDTF">2023-02-28T12:33:01Z</dcterms:modified>
  <cp:category/>
  <cp:contentStatus/>
</cp:coreProperties>
</file>