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5" windowWidth="14805" windowHeight="7860" firstSheet="12" activeTab="21"/>
  </bookViews>
  <sheets>
    <sheet name="20170101" sheetId="4" r:id="rId1"/>
    <sheet name="20170102" sheetId="5" r:id="rId2"/>
    <sheet name="20170103" sheetId="6" r:id="rId3"/>
    <sheet name="20170104" sheetId="7" r:id="rId4"/>
    <sheet name="20170106" sheetId="8" r:id="rId5"/>
    <sheet name="20170107" sheetId="9" r:id="rId6"/>
    <sheet name="20170108" sheetId="10" r:id="rId7"/>
    <sheet name="20170109" sheetId="11" r:id="rId8"/>
    <sheet name="20170110" sheetId="12" r:id="rId9"/>
    <sheet name="20170111" sheetId="13" r:id="rId10"/>
    <sheet name="20170112" sheetId="14" r:id="rId11"/>
    <sheet name="20170113" sheetId="15" r:id="rId12"/>
    <sheet name="20170116" sheetId="16" r:id="rId13"/>
    <sheet name="20170118" sheetId="17" r:id="rId14"/>
    <sheet name="20170119" sheetId="18" r:id="rId15"/>
    <sheet name="20170120" sheetId="19" r:id="rId16"/>
    <sheet name="20170121" sheetId="20" r:id="rId17"/>
    <sheet name="20170122" sheetId="21" r:id="rId18"/>
    <sheet name="20170124" sheetId="22" r:id="rId19"/>
    <sheet name="20170126" sheetId="23" r:id="rId20"/>
    <sheet name="20170129" sheetId="24" r:id="rId21"/>
    <sheet name="20170130" sheetId="25" r:id="rId22"/>
    <sheet name="Sheet1" sheetId="1" r:id="rId23"/>
    <sheet name="Sheet2" sheetId="2" r:id="rId24"/>
    <sheet name="Sheet3" sheetId="3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_xlnm._FilterDatabase" localSheetId="0" hidden="1">'20170101'!$B$1:$I$70</definedName>
    <definedName name="_xlnm._FilterDatabase" localSheetId="1" hidden="1">'20170102'!$B$1:$I$67</definedName>
    <definedName name="_xlnm._FilterDatabase" localSheetId="2" hidden="1">'20170103'!$B$1:$I$67</definedName>
    <definedName name="_xlnm._FilterDatabase" localSheetId="3" hidden="1">'20170104'!$B$1:$I$68</definedName>
    <definedName name="_xlnm._FilterDatabase" localSheetId="4" hidden="1">'20170106'!$B$1:$I$70</definedName>
    <definedName name="_xlnm._FilterDatabase" localSheetId="5" hidden="1">'20170107'!$B$1:$I$73</definedName>
    <definedName name="_xlnm._FilterDatabase" localSheetId="6" hidden="1">'20170108'!$B$1:$I$70</definedName>
    <definedName name="_xlnm._FilterDatabase" localSheetId="7" hidden="1">'20170109'!$B$1:$I$70</definedName>
    <definedName name="_xlnm._FilterDatabase" localSheetId="8" hidden="1">'20170110'!$B$1:$I$70</definedName>
    <definedName name="_xlnm._FilterDatabase" localSheetId="9" hidden="1">'20170111'!$B$1:$I$70</definedName>
    <definedName name="_xlnm._FilterDatabase" localSheetId="10" hidden="1">'20170112'!$B$1:$I$70</definedName>
    <definedName name="_xlnm._FilterDatabase" localSheetId="11" hidden="1">'20170113'!$B$1:$I$70</definedName>
    <definedName name="_xlnm._FilterDatabase" localSheetId="12" hidden="1">'20170116'!$B$1:$I$71</definedName>
    <definedName name="_xlnm._FilterDatabase" localSheetId="13" hidden="1">'20170118'!$B$1:$I$71</definedName>
    <definedName name="_xlnm._FilterDatabase" localSheetId="14" hidden="1">'20170119'!$B$1:$I$72</definedName>
    <definedName name="_xlnm._FilterDatabase" localSheetId="15" hidden="1">'20170120'!$B$1:$I$72</definedName>
    <definedName name="_xlnm._FilterDatabase" localSheetId="16" hidden="1">'20170121'!$B$1:$I$72</definedName>
    <definedName name="_xlnm._FilterDatabase" localSheetId="17" hidden="1">'20170122'!$B$1:$I$72</definedName>
    <definedName name="_xlnm._FilterDatabase" localSheetId="18" hidden="1">'20170124'!$B$1:$I$72</definedName>
    <definedName name="_xlnm._FilterDatabase" localSheetId="19" hidden="1">'20170126'!$B$1:$I$71</definedName>
    <definedName name="_xlnm._FilterDatabase" localSheetId="20" hidden="1">'20170129'!$B$1:$I$71</definedName>
    <definedName name="_xlnm._FilterDatabase" localSheetId="21" hidden="1">'20170130'!$B$1:$I$71</definedName>
  </definedNames>
  <calcPr calcId="144525"/>
</workbook>
</file>

<file path=xl/calcChain.xml><?xml version="1.0" encoding="utf-8"?>
<calcChain xmlns="http://schemas.openxmlformats.org/spreadsheetml/2006/main">
  <c r="H3" i="25" l="1"/>
  <c r="I3" i="25" s="1"/>
  <c r="H4" i="25"/>
  <c r="I4" i="25" s="1"/>
  <c r="H6" i="25"/>
  <c r="I6" i="25"/>
  <c r="H7" i="25"/>
  <c r="I7" i="25" s="1"/>
  <c r="H8" i="25"/>
  <c r="I8" i="25" s="1"/>
  <c r="H9" i="25"/>
  <c r="I9" i="25" s="1"/>
  <c r="H10" i="25"/>
  <c r="H11" i="25"/>
  <c r="I11" i="25"/>
  <c r="L11" i="25"/>
  <c r="H12" i="25"/>
  <c r="I12" i="25" s="1"/>
  <c r="H13" i="25"/>
  <c r="I13" i="25"/>
  <c r="H14" i="25"/>
  <c r="I14" i="25" s="1"/>
  <c r="H16" i="25"/>
  <c r="I16" i="25" s="1"/>
  <c r="H18" i="25"/>
  <c r="H17" i="25" s="1"/>
  <c r="I18" i="25"/>
  <c r="H19" i="25"/>
  <c r="I19" i="25" s="1"/>
  <c r="L19" i="25" s="1"/>
  <c r="H20" i="25"/>
  <c r="I20" i="25" s="1"/>
  <c r="H22" i="25"/>
  <c r="I22" i="25" s="1"/>
  <c r="H23" i="25"/>
  <c r="I23" i="25"/>
  <c r="H24" i="25"/>
  <c r="I24" i="25" s="1"/>
  <c r="H28" i="25"/>
  <c r="I28" i="25" s="1"/>
  <c r="H30" i="25"/>
  <c r="I30" i="25" s="1"/>
  <c r="L30" i="25" s="1"/>
  <c r="H33" i="25"/>
  <c r="I33" i="25" s="1"/>
  <c r="H34" i="25"/>
  <c r="I34" i="25" s="1"/>
  <c r="H35" i="25"/>
  <c r="H37" i="25"/>
  <c r="L37" i="25" s="1"/>
  <c r="I37" i="25"/>
  <c r="H38" i="25"/>
  <c r="I38" i="25" s="1"/>
  <c r="L38" i="25" s="1"/>
  <c r="H39" i="25"/>
  <c r="I39" i="25" s="1"/>
  <c r="H40" i="25"/>
  <c r="I40" i="25" s="1"/>
  <c r="H43" i="25"/>
  <c r="I43" i="25" s="1"/>
  <c r="H45" i="25"/>
  <c r="I45" i="25" s="1"/>
  <c r="H46" i="25"/>
  <c r="I46" i="25" s="1"/>
  <c r="H47" i="25"/>
  <c r="I47" i="25" s="1"/>
  <c r="L47" i="25" s="1"/>
  <c r="H48" i="25"/>
  <c r="L48" i="25" s="1"/>
  <c r="H49" i="25"/>
  <c r="H50" i="25"/>
  <c r="I50" i="25" s="1"/>
  <c r="H52" i="25"/>
  <c r="L52" i="25" s="1"/>
  <c r="H53" i="25"/>
  <c r="L53" i="25" s="1"/>
  <c r="H54" i="25"/>
  <c r="I54" i="25" s="1"/>
  <c r="H57" i="25"/>
  <c r="L57" i="25" s="1"/>
  <c r="H58" i="25"/>
  <c r="L58" i="25" s="1"/>
  <c r="H59" i="25"/>
  <c r="I59" i="25" s="1"/>
  <c r="H60" i="25"/>
  <c r="I60" i="25"/>
  <c r="H61" i="25"/>
  <c r="I61" i="25" s="1"/>
  <c r="H63" i="25"/>
  <c r="I63" i="25" s="1"/>
  <c r="H64" i="25"/>
  <c r="I64" i="25" s="1"/>
  <c r="L64" i="25" s="1"/>
  <c r="H65" i="25"/>
  <c r="I65" i="25" s="1"/>
  <c r="H66" i="25"/>
  <c r="I66" i="25" s="1"/>
  <c r="H67" i="25"/>
  <c r="I67" i="25" s="1"/>
  <c r="H68" i="25"/>
  <c r="I68" i="25"/>
  <c r="H70" i="25"/>
  <c r="I70" i="25" s="1"/>
  <c r="H71" i="25"/>
  <c r="I71" i="25"/>
  <c r="H3" i="24"/>
  <c r="I3" i="24" s="1"/>
  <c r="L3" i="24" s="1"/>
  <c r="H4" i="24"/>
  <c r="I4" i="24" s="1"/>
  <c r="H6" i="24"/>
  <c r="I6" i="24"/>
  <c r="H7" i="24"/>
  <c r="I7" i="24" s="1"/>
  <c r="H8" i="24"/>
  <c r="I8" i="24" s="1"/>
  <c r="H9" i="24"/>
  <c r="I9" i="24" s="1"/>
  <c r="H10" i="24"/>
  <c r="I10" i="24" s="1"/>
  <c r="H11" i="24"/>
  <c r="I11" i="24" s="1"/>
  <c r="L11" i="24" s="1"/>
  <c r="H12" i="24"/>
  <c r="I12" i="24" s="1"/>
  <c r="L12" i="24" s="1"/>
  <c r="H13" i="24"/>
  <c r="I13" i="24" s="1"/>
  <c r="H14" i="24"/>
  <c r="I14" i="24" s="1"/>
  <c r="H16" i="24"/>
  <c r="I16" i="24" s="1"/>
  <c r="H18" i="24"/>
  <c r="H17" i="24" s="1"/>
  <c r="H20" i="24"/>
  <c r="I20" i="24" s="1"/>
  <c r="L20" i="24" s="1"/>
  <c r="H22" i="24"/>
  <c r="H21" i="24" s="1"/>
  <c r="H23" i="24"/>
  <c r="I23" i="24" s="1"/>
  <c r="H24" i="24"/>
  <c r="I24" i="24" s="1"/>
  <c r="L24" i="24" s="1"/>
  <c r="H28" i="24"/>
  <c r="I28" i="24" s="1"/>
  <c r="L28" i="24" s="1"/>
  <c r="H30" i="24"/>
  <c r="H33" i="24"/>
  <c r="I33" i="24" s="1"/>
  <c r="H34" i="24"/>
  <c r="I34" i="24"/>
  <c r="L34" i="24" s="1"/>
  <c r="H35" i="24"/>
  <c r="I35" i="24" s="1"/>
  <c r="L35" i="24" s="1"/>
  <c r="H37" i="24"/>
  <c r="I37" i="24"/>
  <c r="H38" i="24"/>
  <c r="I38" i="24" s="1"/>
  <c r="H39" i="24"/>
  <c r="I39" i="24" s="1"/>
  <c r="L39" i="24" s="1"/>
  <c r="H40" i="24"/>
  <c r="I40" i="24" s="1"/>
  <c r="H43" i="24"/>
  <c r="I43" i="24" s="1"/>
  <c r="H45" i="24"/>
  <c r="I45" i="24" s="1"/>
  <c r="L45" i="24" s="1"/>
  <c r="H46" i="24"/>
  <c r="I46" i="24" s="1"/>
  <c r="H47" i="24"/>
  <c r="I47" i="24" s="1"/>
  <c r="H48" i="24"/>
  <c r="L48" i="24" s="1"/>
  <c r="H49" i="24"/>
  <c r="H50" i="24"/>
  <c r="I50" i="24" s="1"/>
  <c r="H52" i="24"/>
  <c r="L52" i="24" s="1"/>
  <c r="H53" i="24"/>
  <c r="L53" i="24" s="1"/>
  <c r="H54" i="24"/>
  <c r="I54" i="24" s="1"/>
  <c r="H57" i="24"/>
  <c r="L57" i="24" s="1"/>
  <c r="H58" i="24"/>
  <c r="L58" i="24"/>
  <c r="H59" i="24"/>
  <c r="I59" i="24" s="1"/>
  <c r="L59" i="24" s="1"/>
  <c r="H60" i="24"/>
  <c r="I60" i="24" s="1"/>
  <c r="H61" i="24"/>
  <c r="I61" i="24" s="1"/>
  <c r="H63" i="24"/>
  <c r="I63" i="24" s="1"/>
  <c r="L63" i="24" s="1"/>
  <c r="H64" i="24"/>
  <c r="I64" i="24" s="1"/>
  <c r="H65" i="24"/>
  <c r="I65" i="24" s="1"/>
  <c r="H66" i="24"/>
  <c r="I66" i="24" s="1"/>
  <c r="H67" i="24"/>
  <c r="I67" i="24"/>
  <c r="H68" i="24"/>
  <c r="I68" i="24" s="1"/>
  <c r="H70" i="24"/>
  <c r="I70" i="24" s="1"/>
  <c r="L70" i="24" s="1"/>
  <c r="H71" i="24"/>
  <c r="I71" i="24"/>
  <c r="H3" i="23"/>
  <c r="I3" i="23" s="1"/>
  <c r="L3" i="23" s="1"/>
  <c r="H4" i="23"/>
  <c r="I4" i="23" s="1"/>
  <c r="H5" i="23"/>
  <c r="I5" i="23"/>
  <c r="H6" i="23"/>
  <c r="I6" i="23" s="1"/>
  <c r="H8" i="23"/>
  <c r="I8" i="23" s="1"/>
  <c r="H9" i="23"/>
  <c r="I9" i="23" s="1"/>
  <c r="H10" i="23"/>
  <c r="H11" i="23"/>
  <c r="I11" i="23" s="1"/>
  <c r="H12" i="23"/>
  <c r="I12" i="23" s="1"/>
  <c r="L12" i="23" s="1"/>
  <c r="H13" i="23"/>
  <c r="I13" i="23" s="1"/>
  <c r="H14" i="23"/>
  <c r="I14" i="23" s="1"/>
  <c r="H16" i="23"/>
  <c r="I16" i="23"/>
  <c r="H17" i="23"/>
  <c r="I17" i="23" s="1"/>
  <c r="H18" i="23"/>
  <c r="I18" i="23" s="1"/>
  <c r="H20" i="23"/>
  <c r="I20" i="23" s="1"/>
  <c r="H22" i="23"/>
  <c r="H21" i="23" s="1"/>
  <c r="H23" i="23"/>
  <c r="H24" i="23"/>
  <c r="I24" i="23"/>
  <c r="L24" i="23"/>
  <c r="H28" i="23"/>
  <c r="I28" i="23" s="1"/>
  <c r="L28" i="23" s="1"/>
  <c r="H30" i="23"/>
  <c r="I30" i="23" s="1"/>
  <c r="H33" i="23"/>
  <c r="I33" i="23"/>
  <c r="H34" i="23"/>
  <c r="I34" i="23" s="1"/>
  <c r="L34" i="23" s="1"/>
  <c r="H35" i="23"/>
  <c r="I35" i="23" s="1"/>
  <c r="H37" i="23"/>
  <c r="I37" i="23" s="1"/>
  <c r="H38" i="23"/>
  <c r="H39" i="23"/>
  <c r="I39" i="23" s="1"/>
  <c r="H40" i="23"/>
  <c r="I40" i="23" s="1"/>
  <c r="H43" i="23"/>
  <c r="I43" i="23" s="1"/>
  <c r="H45" i="23"/>
  <c r="I45" i="23" s="1"/>
  <c r="L45" i="23" s="1"/>
  <c r="H46" i="23"/>
  <c r="I46" i="23" s="1"/>
  <c r="H47" i="23"/>
  <c r="I47" i="23" s="1"/>
  <c r="H48" i="23"/>
  <c r="L48" i="23" s="1"/>
  <c r="H49" i="23"/>
  <c r="H50" i="23"/>
  <c r="I50" i="23" s="1"/>
  <c r="H52" i="23"/>
  <c r="L52" i="23" s="1"/>
  <c r="H53" i="23"/>
  <c r="L53" i="23" s="1"/>
  <c r="H54" i="23"/>
  <c r="I54" i="23" s="1"/>
  <c r="H57" i="23"/>
  <c r="L57" i="23"/>
  <c r="H58" i="23"/>
  <c r="L58" i="23" s="1"/>
  <c r="H59" i="23"/>
  <c r="I59" i="23"/>
  <c r="L59" i="23"/>
  <c r="H60" i="23"/>
  <c r="I60" i="23" s="1"/>
  <c r="H61" i="23"/>
  <c r="I61" i="23"/>
  <c r="H64" i="23"/>
  <c r="I64" i="23" s="1"/>
  <c r="L64" i="23" s="1"/>
  <c r="H65" i="23"/>
  <c r="I65" i="23" s="1"/>
  <c r="H66" i="23"/>
  <c r="I66" i="23" s="1"/>
  <c r="H67" i="23"/>
  <c r="I67" i="23"/>
  <c r="H68" i="23"/>
  <c r="I68" i="23" s="1"/>
  <c r="H70" i="23"/>
  <c r="I70" i="23"/>
  <c r="H71" i="23"/>
  <c r="I71" i="23" s="1"/>
  <c r="H3" i="22"/>
  <c r="I3" i="22" s="1"/>
  <c r="L3" i="22" s="1"/>
  <c r="H4" i="22"/>
  <c r="I4" i="22" s="1"/>
  <c r="H5" i="22"/>
  <c r="I5" i="22"/>
  <c r="H6" i="22"/>
  <c r="I6" i="22" s="1"/>
  <c r="H9" i="22"/>
  <c r="I9" i="22" s="1"/>
  <c r="H10" i="22"/>
  <c r="I10" i="22" s="1"/>
  <c r="H11" i="22"/>
  <c r="I11" i="22" s="1"/>
  <c r="H12" i="22"/>
  <c r="H13" i="22"/>
  <c r="I13" i="22" s="1"/>
  <c r="H14" i="22"/>
  <c r="I14" i="22" s="1"/>
  <c r="H16" i="22"/>
  <c r="I16" i="22" s="1"/>
  <c r="H18" i="22"/>
  <c r="H17" i="22" s="1"/>
  <c r="H20" i="22"/>
  <c r="I20" i="22" s="1"/>
  <c r="H22" i="22"/>
  <c r="I22" i="22" s="1"/>
  <c r="H23" i="22"/>
  <c r="I23" i="22" s="1"/>
  <c r="L23" i="22" s="1"/>
  <c r="H24" i="22"/>
  <c r="I24" i="22" s="1"/>
  <c r="H28" i="22"/>
  <c r="I28" i="22"/>
  <c r="H30" i="22"/>
  <c r="I30" i="22" s="1"/>
  <c r="H33" i="22"/>
  <c r="I33" i="22"/>
  <c r="L33" i="22" s="1"/>
  <c r="H34" i="22"/>
  <c r="I34" i="22" s="1"/>
  <c r="H35" i="22"/>
  <c r="I35" i="22" s="1"/>
  <c r="H37" i="22"/>
  <c r="I37" i="22" s="1"/>
  <c r="H38" i="22"/>
  <c r="I38" i="22" s="1"/>
  <c r="H39" i="22"/>
  <c r="I39" i="22" s="1"/>
  <c r="H40" i="22"/>
  <c r="I40" i="22" s="1"/>
  <c r="H43" i="22"/>
  <c r="I43" i="22"/>
  <c r="L43" i="22" s="1"/>
  <c r="H45" i="22"/>
  <c r="I45" i="22" s="1"/>
  <c r="H46" i="22"/>
  <c r="I46" i="22"/>
  <c r="H47" i="22"/>
  <c r="I47" i="22" s="1"/>
  <c r="L47" i="22" s="1"/>
  <c r="H48" i="22"/>
  <c r="L48" i="22" s="1"/>
  <c r="H49" i="22"/>
  <c r="H50" i="22"/>
  <c r="I50" i="22" s="1"/>
  <c r="H52" i="22"/>
  <c r="L52" i="22" s="1"/>
  <c r="H53" i="22"/>
  <c r="L53" i="22"/>
  <c r="H54" i="22"/>
  <c r="I54" i="22" s="1"/>
  <c r="H57" i="22"/>
  <c r="L57" i="22" s="1"/>
  <c r="H58" i="22"/>
  <c r="L58" i="22" s="1"/>
  <c r="H59" i="22"/>
  <c r="I59" i="22" s="1"/>
  <c r="H60" i="22"/>
  <c r="I60" i="22" s="1"/>
  <c r="H61" i="22"/>
  <c r="I61" i="22" s="1"/>
  <c r="H64" i="22"/>
  <c r="I64" i="22" s="1"/>
  <c r="H65" i="22"/>
  <c r="I65" i="22" s="1"/>
  <c r="H66" i="22"/>
  <c r="I66" i="22" s="1"/>
  <c r="H67" i="22"/>
  <c r="I67" i="22" s="1"/>
  <c r="H68" i="22"/>
  <c r="I68" i="22" s="1"/>
  <c r="H69" i="22"/>
  <c r="I69" i="22"/>
  <c r="H71" i="22"/>
  <c r="I71" i="22" s="1"/>
  <c r="H72" i="22"/>
  <c r="I72" i="22" s="1"/>
  <c r="L72" i="22" s="1"/>
  <c r="H3" i="21"/>
  <c r="I3" i="21" s="1"/>
  <c r="L3" i="21" s="1"/>
  <c r="H4" i="21"/>
  <c r="I4" i="21" s="1"/>
  <c r="H9" i="21"/>
  <c r="I9" i="21" s="1"/>
  <c r="L9" i="21" s="1"/>
  <c r="H10" i="21"/>
  <c r="I10" i="21" s="1"/>
  <c r="L10" i="21" s="1"/>
  <c r="H11" i="21"/>
  <c r="I11" i="21" s="1"/>
  <c r="H12" i="21"/>
  <c r="H13" i="21"/>
  <c r="I13" i="21" s="1"/>
  <c r="H16" i="21"/>
  <c r="I16" i="21" s="1"/>
  <c r="H18" i="21"/>
  <c r="I18" i="21" s="1"/>
  <c r="H22" i="21"/>
  <c r="H21" i="21" s="1"/>
  <c r="H23" i="21"/>
  <c r="H24" i="21"/>
  <c r="I24" i="21" s="1"/>
  <c r="H28" i="21"/>
  <c r="I28" i="21" s="1"/>
  <c r="L28" i="21" s="1"/>
  <c r="H30" i="21"/>
  <c r="I30" i="21" s="1"/>
  <c r="H33" i="21"/>
  <c r="I33" i="21"/>
  <c r="H34" i="21"/>
  <c r="I34" i="21" s="1"/>
  <c r="H35" i="21"/>
  <c r="I35" i="21" s="1"/>
  <c r="L35" i="21" s="1"/>
  <c r="H37" i="21"/>
  <c r="I37" i="21" s="1"/>
  <c r="H38" i="21"/>
  <c r="I38" i="21" s="1"/>
  <c r="H39" i="21"/>
  <c r="I39" i="21" s="1"/>
  <c r="H40" i="21"/>
  <c r="I40" i="21" s="1"/>
  <c r="H43" i="21"/>
  <c r="H45" i="21"/>
  <c r="I45" i="21"/>
  <c r="L45" i="21"/>
  <c r="H46" i="21"/>
  <c r="I46" i="21" s="1"/>
  <c r="H47" i="21"/>
  <c r="I47" i="21"/>
  <c r="H48" i="21"/>
  <c r="L48" i="21" s="1"/>
  <c r="H49" i="21"/>
  <c r="H50" i="21"/>
  <c r="I50" i="21" s="1"/>
  <c r="H52" i="21"/>
  <c r="L52" i="21" s="1"/>
  <c r="H53" i="21"/>
  <c r="L53" i="21" s="1"/>
  <c r="H54" i="21"/>
  <c r="I54" i="21" s="1"/>
  <c r="H57" i="21"/>
  <c r="L57" i="21" s="1"/>
  <c r="H58" i="21"/>
  <c r="L58" i="21" s="1"/>
  <c r="H59" i="21"/>
  <c r="I59" i="21" s="1"/>
  <c r="H60" i="21"/>
  <c r="I60" i="21" s="1"/>
  <c r="H61" i="21"/>
  <c r="I61" i="21" s="1"/>
  <c r="H64" i="21"/>
  <c r="I64" i="21" s="1"/>
  <c r="L64" i="21" s="1"/>
  <c r="H65" i="21"/>
  <c r="I65" i="21" s="1"/>
  <c r="H66" i="21"/>
  <c r="H67" i="21"/>
  <c r="I67" i="21"/>
  <c r="H68" i="21"/>
  <c r="I68" i="21" s="1"/>
  <c r="H69" i="21"/>
  <c r="I69" i="21" s="1"/>
  <c r="H71" i="21"/>
  <c r="I71" i="21" s="1"/>
  <c r="L71" i="21" s="1"/>
  <c r="H72" i="21"/>
  <c r="I72" i="21" s="1"/>
  <c r="L71" i="25" l="1"/>
  <c r="L23" i="25"/>
  <c r="L43" i="25"/>
  <c r="I10" i="25"/>
  <c r="L10" i="25" s="1"/>
  <c r="L17" i="25"/>
  <c r="I17" i="25"/>
  <c r="L63" i="25"/>
  <c r="L28" i="25"/>
  <c r="L67" i="25"/>
  <c r="L65" i="25"/>
  <c r="L54" i="25"/>
  <c r="L33" i="25"/>
  <c r="L22" i="25"/>
  <c r="H21" i="25"/>
  <c r="L14" i="25"/>
  <c r="L13" i="25"/>
  <c r="L70" i="25"/>
  <c r="I35" i="25"/>
  <c r="L35" i="25" s="1"/>
  <c r="L18" i="25"/>
  <c r="L9" i="25"/>
  <c r="L59" i="25"/>
  <c r="L45" i="25"/>
  <c r="L39" i="25"/>
  <c r="L34" i="25"/>
  <c r="L24" i="25"/>
  <c r="L20" i="25"/>
  <c r="L12" i="25"/>
  <c r="L3" i="25"/>
  <c r="I22" i="24"/>
  <c r="L22" i="24" s="1"/>
  <c r="L30" i="24"/>
  <c r="L71" i="24"/>
  <c r="L67" i="24"/>
  <c r="L37" i="24"/>
  <c r="L64" i="24"/>
  <c r="I30" i="24"/>
  <c r="L9" i="24"/>
  <c r="I21" i="24"/>
  <c r="L21" i="24" s="1"/>
  <c r="I17" i="24"/>
  <c r="L17" i="24" s="1"/>
  <c r="L13" i="24"/>
  <c r="L65" i="24"/>
  <c r="L54" i="24"/>
  <c r="L47" i="24"/>
  <c r="L43" i="24"/>
  <c r="L38" i="24"/>
  <c r="L33" i="24"/>
  <c r="L23" i="24"/>
  <c r="L18" i="24"/>
  <c r="L14" i="24"/>
  <c r="L10" i="24"/>
  <c r="I18" i="24"/>
  <c r="L67" i="23"/>
  <c r="L39" i="23"/>
  <c r="L71" i="23"/>
  <c r="L70" i="23"/>
  <c r="L11" i="23"/>
  <c r="L33" i="23"/>
  <c r="L47" i="23"/>
  <c r="L35" i="23"/>
  <c r="L20" i="23"/>
  <c r="L18" i="23"/>
  <c r="L43" i="23"/>
  <c r="L54" i="23"/>
  <c r="I38" i="23"/>
  <c r="L38" i="23" s="1"/>
  <c r="I23" i="23"/>
  <c r="L23" i="23" s="1"/>
  <c r="L14" i="23"/>
  <c r="I10" i="23"/>
  <c r="L10" i="23" s="1"/>
  <c r="I21" i="23"/>
  <c r="L21" i="23" s="1"/>
  <c r="L65" i="23"/>
  <c r="L37" i="23"/>
  <c r="L30" i="23"/>
  <c r="L17" i="23"/>
  <c r="L13" i="23"/>
  <c r="L9" i="23"/>
  <c r="I22" i="23"/>
  <c r="L22" i="23" s="1"/>
  <c r="L13" i="22"/>
  <c r="L65" i="22"/>
  <c r="L64" i="22"/>
  <c r="L37" i="22"/>
  <c r="L35" i="22"/>
  <c r="L22" i="22"/>
  <c r="H21" i="22"/>
  <c r="L14" i="22"/>
  <c r="L9" i="22"/>
  <c r="L68" i="22"/>
  <c r="L66" i="22"/>
  <c r="L54" i="22"/>
  <c r="L38" i="22"/>
  <c r="L30" i="22"/>
  <c r="L28" i="22"/>
  <c r="L10" i="22"/>
  <c r="L71" i="22"/>
  <c r="I12" i="22"/>
  <c r="L12" i="22" s="1"/>
  <c r="I17" i="22"/>
  <c r="L17" i="22" s="1"/>
  <c r="L59" i="22"/>
  <c r="L45" i="22"/>
  <c r="L39" i="22"/>
  <c r="L34" i="22"/>
  <c r="L24" i="22"/>
  <c r="L20" i="22"/>
  <c r="I18" i="22"/>
  <c r="L18" i="22" s="1"/>
  <c r="L11" i="22"/>
  <c r="L24" i="21"/>
  <c r="L13" i="21"/>
  <c r="L54" i="21"/>
  <c r="L34" i="21"/>
  <c r="L33" i="21"/>
  <c r="L59" i="21"/>
  <c r="L47" i="21"/>
  <c r="L39" i="21"/>
  <c r="L38" i="21"/>
  <c r="L18" i="21"/>
  <c r="H17" i="21"/>
  <c r="I66" i="21"/>
  <c r="L66" i="21" s="1"/>
  <c r="I43" i="21"/>
  <c r="L43" i="21" s="1"/>
  <c r="I23" i="21"/>
  <c r="L23" i="21" s="1"/>
  <c r="I12" i="21"/>
  <c r="L12" i="21" s="1"/>
  <c r="I21" i="21"/>
  <c r="L21" i="21" s="1"/>
  <c r="L72" i="21"/>
  <c r="L68" i="21"/>
  <c r="L65" i="21"/>
  <c r="L37" i="21"/>
  <c r="L30" i="21"/>
  <c r="L11" i="21"/>
  <c r="I22" i="21"/>
  <c r="L22" i="21" s="1"/>
  <c r="H2" i="20"/>
  <c r="I2" i="20"/>
  <c r="H3" i="20"/>
  <c r="I3" i="20" s="1"/>
  <c r="L3" i="20" s="1"/>
  <c r="H4" i="20"/>
  <c r="I4" i="20" s="1"/>
  <c r="H9" i="20"/>
  <c r="I9" i="20"/>
  <c r="L9" i="20"/>
  <c r="H10" i="20"/>
  <c r="H11" i="20"/>
  <c r="I11" i="20" s="1"/>
  <c r="H12" i="20"/>
  <c r="L12" i="20" s="1"/>
  <c r="I12" i="20"/>
  <c r="H13" i="20"/>
  <c r="I13" i="20"/>
  <c r="L13" i="20"/>
  <c r="H16" i="20"/>
  <c r="I16" i="20"/>
  <c r="H18" i="20"/>
  <c r="H17" i="20" s="1"/>
  <c r="H20" i="20"/>
  <c r="I20" i="20" s="1"/>
  <c r="H21" i="20"/>
  <c r="I21" i="20"/>
  <c r="L21" i="20" s="1"/>
  <c r="H22" i="20"/>
  <c r="I22" i="20"/>
  <c r="L22" i="20"/>
  <c r="H23" i="20"/>
  <c r="H24" i="20"/>
  <c r="I24" i="20" s="1"/>
  <c r="H28" i="20"/>
  <c r="I28" i="20"/>
  <c r="L28" i="20" s="1"/>
  <c r="H30" i="20"/>
  <c r="I30" i="20"/>
  <c r="L30" i="20"/>
  <c r="H33" i="20"/>
  <c r="H34" i="20"/>
  <c r="I34" i="20" s="1"/>
  <c r="H35" i="20"/>
  <c r="I35" i="20"/>
  <c r="L35" i="20" s="1"/>
  <c r="H37" i="20"/>
  <c r="I37" i="20"/>
  <c r="L37" i="20"/>
  <c r="H38" i="20"/>
  <c r="I38" i="20" s="1"/>
  <c r="L38" i="20" s="1"/>
  <c r="H39" i="20"/>
  <c r="I39" i="20" s="1"/>
  <c r="H40" i="20"/>
  <c r="I40" i="20"/>
  <c r="H43" i="20"/>
  <c r="I43" i="20" s="1"/>
  <c r="L43" i="20" s="1"/>
  <c r="H45" i="20"/>
  <c r="I45" i="20" s="1"/>
  <c r="H46" i="20"/>
  <c r="I46" i="20"/>
  <c r="H47" i="20"/>
  <c r="I47" i="20" s="1"/>
  <c r="L47" i="20" s="1"/>
  <c r="H48" i="20"/>
  <c r="L48" i="20" s="1"/>
  <c r="H49" i="20"/>
  <c r="H50" i="20"/>
  <c r="I50" i="20"/>
  <c r="H51" i="20"/>
  <c r="I51" i="20" s="1"/>
  <c r="L51" i="20" s="1"/>
  <c r="H52" i="20"/>
  <c r="L52" i="20" s="1"/>
  <c r="H53" i="20"/>
  <c r="L53" i="20"/>
  <c r="H54" i="20"/>
  <c r="I54" i="20" s="1"/>
  <c r="H57" i="20"/>
  <c r="L57" i="20"/>
  <c r="H58" i="20"/>
  <c r="L58" i="20" s="1"/>
  <c r="H59" i="20"/>
  <c r="I59" i="20"/>
  <c r="L59" i="20" s="1"/>
  <c r="H60" i="20"/>
  <c r="I60" i="20"/>
  <c r="H61" i="20"/>
  <c r="I61" i="20" s="1"/>
  <c r="H63" i="20"/>
  <c r="I63" i="20"/>
  <c r="L63" i="20"/>
  <c r="H64" i="20"/>
  <c r="H65" i="20"/>
  <c r="I65" i="20" s="1"/>
  <c r="H66" i="20"/>
  <c r="I66" i="20"/>
  <c r="L66" i="20" s="1"/>
  <c r="H67" i="20"/>
  <c r="I67" i="20"/>
  <c r="H68" i="20"/>
  <c r="I68" i="20" s="1"/>
  <c r="H69" i="20"/>
  <c r="I69" i="20"/>
  <c r="H71" i="20"/>
  <c r="H72" i="20"/>
  <c r="I72" i="20" s="1"/>
  <c r="H2" i="19"/>
  <c r="I2" i="19" s="1"/>
  <c r="H3" i="19"/>
  <c r="I3" i="19" s="1"/>
  <c r="L3" i="19" s="1"/>
  <c r="H4" i="19"/>
  <c r="I4" i="19"/>
  <c r="H9" i="19"/>
  <c r="I9" i="19"/>
  <c r="H10" i="19"/>
  <c r="I10" i="19" s="1"/>
  <c r="L10" i="19" s="1"/>
  <c r="H11" i="19"/>
  <c r="I11" i="19" s="1"/>
  <c r="L11" i="19" s="1"/>
  <c r="H12" i="19"/>
  <c r="I12" i="19" s="1"/>
  <c r="H13" i="19"/>
  <c r="I13" i="19" s="1"/>
  <c r="H16" i="19"/>
  <c r="I16" i="19" s="1"/>
  <c r="H18" i="19"/>
  <c r="H17" i="19" s="1"/>
  <c r="I17" i="19" s="1"/>
  <c r="H20" i="19"/>
  <c r="I20" i="19" s="1"/>
  <c r="H22" i="19"/>
  <c r="H21" i="19" s="1"/>
  <c r="I21" i="19" s="1"/>
  <c r="H23" i="19"/>
  <c r="I23" i="19" s="1"/>
  <c r="L23" i="19" s="1"/>
  <c r="H24" i="19"/>
  <c r="I24" i="19" s="1"/>
  <c r="L24" i="19" s="1"/>
  <c r="H28" i="19"/>
  <c r="I28" i="19" s="1"/>
  <c r="H30" i="19"/>
  <c r="I30" i="19"/>
  <c r="H33" i="19"/>
  <c r="I33" i="19" s="1"/>
  <c r="L33" i="19" s="1"/>
  <c r="H34" i="19"/>
  <c r="I34" i="19" s="1"/>
  <c r="L34" i="19" s="1"/>
  <c r="H35" i="19"/>
  <c r="I35" i="19" s="1"/>
  <c r="H37" i="19"/>
  <c r="I37" i="19" s="1"/>
  <c r="H38" i="19"/>
  <c r="I38" i="19" s="1"/>
  <c r="L38" i="19" s="1"/>
  <c r="H39" i="19"/>
  <c r="I39" i="19" s="1"/>
  <c r="L39" i="19" s="1"/>
  <c r="H40" i="19"/>
  <c r="I40" i="19" s="1"/>
  <c r="H43" i="19"/>
  <c r="I43" i="19" s="1"/>
  <c r="L43" i="19" s="1"/>
  <c r="H45" i="19"/>
  <c r="I45" i="19" s="1"/>
  <c r="L45" i="19" s="1"/>
  <c r="H46" i="19"/>
  <c r="I46" i="19" s="1"/>
  <c r="H47" i="19"/>
  <c r="I47" i="19" s="1"/>
  <c r="L47" i="19" s="1"/>
  <c r="H48" i="19"/>
  <c r="L48" i="19" s="1"/>
  <c r="H49" i="19"/>
  <c r="H50" i="19"/>
  <c r="I50" i="19" s="1"/>
  <c r="H51" i="19"/>
  <c r="I51" i="19" s="1"/>
  <c r="L51" i="19" s="1"/>
  <c r="H52" i="19"/>
  <c r="L52" i="19"/>
  <c r="H53" i="19"/>
  <c r="L53" i="19"/>
  <c r="H54" i="19"/>
  <c r="I54" i="19"/>
  <c r="L54" i="19" s="1"/>
  <c r="H57" i="19"/>
  <c r="L57" i="19" s="1"/>
  <c r="H58" i="19"/>
  <c r="L58" i="19" s="1"/>
  <c r="H59" i="19"/>
  <c r="I59" i="19" s="1"/>
  <c r="H60" i="19"/>
  <c r="I60" i="19" s="1"/>
  <c r="H61" i="19"/>
  <c r="I61" i="19" s="1"/>
  <c r="H63" i="19"/>
  <c r="H64" i="19"/>
  <c r="I64" i="19" s="1"/>
  <c r="L64" i="19" s="1"/>
  <c r="H65" i="19"/>
  <c r="I65" i="19" s="1"/>
  <c r="L65" i="19" s="1"/>
  <c r="H66" i="19"/>
  <c r="I66" i="19" s="1"/>
  <c r="H67" i="19"/>
  <c r="I67" i="19" s="1"/>
  <c r="H68" i="19"/>
  <c r="I68" i="19" s="1"/>
  <c r="L68" i="19" s="1"/>
  <c r="H69" i="19"/>
  <c r="I69" i="19" s="1"/>
  <c r="H71" i="19"/>
  <c r="I71" i="19" s="1"/>
  <c r="L71" i="19" s="1"/>
  <c r="H72" i="19"/>
  <c r="I72" i="19"/>
  <c r="L72" i="19" s="1"/>
  <c r="H2" i="18"/>
  <c r="I2" i="18" s="1"/>
  <c r="H3" i="18"/>
  <c r="I3" i="18" s="1"/>
  <c r="L3" i="18" s="1"/>
  <c r="H4" i="18"/>
  <c r="I4" i="18"/>
  <c r="H9" i="18"/>
  <c r="I9" i="18" s="1"/>
  <c r="H10" i="18"/>
  <c r="I10" i="18" s="1"/>
  <c r="L10" i="18" s="1"/>
  <c r="H11" i="18"/>
  <c r="I11" i="18" s="1"/>
  <c r="L11" i="18" s="1"/>
  <c r="H12" i="18"/>
  <c r="I12" i="18" s="1"/>
  <c r="H13" i="18"/>
  <c r="I13" i="18"/>
  <c r="H16" i="18"/>
  <c r="I16" i="18" s="1"/>
  <c r="H17" i="18"/>
  <c r="I17" i="18" s="1"/>
  <c r="H18" i="18"/>
  <c r="I18" i="18"/>
  <c r="H20" i="18"/>
  <c r="I20" i="18" s="1"/>
  <c r="H21" i="18"/>
  <c r="I21" i="18" s="1"/>
  <c r="H22" i="18"/>
  <c r="I22" i="18"/>
  <c r="H23" i="18"/>
  <c r="I23" i="18" s="1"/>
  <c r="L23" i="18" s="1"/>
  <c r="H24" i="18"/>
  <c r="I24" i="18" s="1"/>
  <c r="L24" i="18" s="1"/>
  <c r="H28" i="18"/>
  <c r="I28" i="18" s="1"/>
  <c r="H30" i="18"/>
  <c r="I30" i="18"/>
  <c r="H33" i="18"/>
  <c r="I33" i="18" s="1"/>
  <c r="L33" i="18" s="1"/>
  <c r="H34" i="18"/>
  <c r="I34" i="18" s="1"/>
  <c r="L34" i="18" s="1"/>
  <c r="H35" i="18"/>
  <c r="I35" i="18" s="1"/>
  <c r="H37" i="18"/>
  <c r="I37" i="18" s="1"/>
  <c r="H38" i="18"/>
  <c r="I38" i="18" s="1"/>
  <c r="L38" i="18" s="1"/>
  <c r="H39" i="18"/>
  <c r="I39" i="18" s="1"/>
  <c r="L39" i="18" s="1"/>
  <c r="H40" i="18"/>
  <c r="I40" i="18" s="1"/>
  <c r="H43" i="18"/>
  <c r="I43" i="18" s="1"/>
  <c r="L43" i="18" s="1"/>
  <c r="H45" i="18"/>
  <c r="I45" i="18" s="1"/>
  <c r="L45" i="18" s="1"/>
  <c r="H46" i="18"/>
  <c r="I46" i="18" s="1"/>
  <c r="H47" i="18"/>
  <c r="I47" i="18" s="1"/>
  <c r="L47" i="18" s="1"/>
  <c r="H48" i="18"/>
  <c r="L48" i="18" s="1"/>
  <c r="H49" i="18"/>
  <c r="H50" i="18"/>
  <c r="I50" i="18" s="1"/>
  <c r="H51" i="18"/>
  <c r="I51" i="18" s="1"/>
  <c r="L51" i="18" s="1"/>
  <c r="H52" i="18"/>
  <c r="L52" i="18" s="1"/>
  <c r="H53" i="18"/>
  <c r="L53" i="18"/>
  <c r="H54" i="18"/>
  <c r="I54" i="18" s="1"/>
  <c r="L54" i="18" s="1"/>
  <c r="H57" i="18"/>
  <c r="L57" i="18" s="1"/>
  <c r="H58" i="18"/>
  <c r="L58" i="18" s="1"/>
  <c r="I58" i="18"/>
  <c r="H59" i="18"/>
  <c r="I59" i="18"/>
  <c r="L59" i="18" s="1"/>
  <c r="H60" i="18"/>
  <c r="I60" i="18" s="1"/>
  <c r="H61" i="18"/>
  <c r="I61" i="18" s="1"/>
  <c r="H63" i="18"/>
  <c r="I63" i="18" s="1"/>
  <c r="H64" i="18"/>
  <c r="H65" i="18"/>
  <c r="I65" i="18" s="1"/>
  <c r="L65" i="18" s="1"/>
  <c r="H66" i="18"/>
  <c r="I66" i="18" s="1"/>
  <c r="L66" i="18" s="1"/>
  <c r="H67" i="18"/>
  <c r="I67" i="18" s="1"/>
  <c r="H68" i="18"/>
  <c r="I68" i="18" s="1"/>
  <c r="L68" i="18" s="1"/>
  <c r="H69" i="18"/>
  <c r="I69" i="18" s="1"/>
  <c r="H71" i="18"/>
  <c r="I71" i="18"/>
  <c r="H72" i="18"/>
  <c r="L72" i="18" s="1"/>
  <c r="I72" i="18"/>
  <c r="H2" i="17"/>
  <c r="I2" i="17" s="1"/>
  <c r="H4" i="17"/>
  <c r="I4" i="17" s="1"/>
  <c r="H6" i="17"/>
  <c r="I6" i="17" s="1"/>
  <c r="H7" i="17"/>
  <c r="I7" i="17" s="1"/>
  <c r="H9" i="17"/>
  <c r="L9" i="17" s="1"/>
  <c r="I9" i="17"/>
  <c r="H10" i="17"/>
  <c r="I10" i="17" s="1"/>
  <c r="L10" i="17" s="1"/>
  <c r="H11" i="17"/>
  <c r="I11" i="17" s="1"/>
  <c r="H12" i="17"/>
  <c r="I12" i="17" s="1"/>
  <c r="H13" i="17"/>
  <c r="I13" i="17" s="1"/>
  <c r="H16" i="17"/>
  <c r="I16" i="17" s="1"/>
  <c r="H17" i="17"/>
  <c r="H18" i="17"/>
  <c r="I18" i="17" s="1"/>
  <c r="L18" i="17" s="1"/>
  <c r="H20" i="17"/>
  <c r="I20" i="17" s="1"/>
  <c r="H22" i="17"/>
  <c r="I22" i="17" s="1"/>
  <c r="H23" i="17"/>
  <c r="I23" i="17" s="1"/>
  <c r="L23" i="17" s="1"/>
  <c r="H24" i="17"/>
  <c r="I24" i="17" s="1"/>
  <c r="H28" i="17"/>
  <c r="I28" i="17" s="1"/>
  <c r="H30" i="17"/>
  <c r="I30" i="17"/>
  <c r="H33" i="17"/>
  <c r="I33" i="17" s="1"/>
  <c r="L33" i="17" s="1"/>
  <c r="H34" i="17"/>
  <c r="I34" i="17" s="1"/>
  <c r="H35" i="17"/>
  <c r="I35" i="17" s="1"/>
  <c r="H37" i="17"/>
  <c r="L37" i="17" s="1"/>
  <c r="I37" i="17"/>
  <c r="H38" i="17"/>
  <c r="I38" i="17" s="1"/>
  <c r="L38" i="17" s="1"/>
  <c r="H39" i="17"/>
  <c r="I39" i="17" s="1"/>
  <c r="H40" i="17"/>
  <c r="I40" i="17" s="1"/>
  <c r="H43" i="17"/>
  <c r="I43" i="17" s="1"/>
  <c r="L43" i="17" s="1"/>
  <c r="H45" i="17"/>
  <c r="I45" i="17" s="1"/>
  <c r="H46" i="17"/>
  <c r="I46" i="17" s="1"/>
  <c r="H47" i="17"/>
  <c r="I47" i="17" s="1"/>
  <c r="L47" i="17" s="1"/>
  <c r="H48" i="17"/>
  <c r="L48" i="17" s="1"/>
  <c r="H49" i="17"/>
  <c r="H50" i="17"/>
  <c r="I50" i="17" s="1"/>
  <c r="H51" i="17"/>
  <c r="I51" i="17" s="1"/>
  <c r="L51" i="17" s="1"/>
  <c r="H52" i="17"/>
  <c r="L52" i="17" s="1"/>
  <c r="H53" i="17"/>
  <c r="L53" i="17" s="1"/>
  <c r="H54" i="17"/>
  <c r="I54" i="17" s="1"/>
  <c r="H57" i="17"/>
  <c r="L57" i="17"/>
  <c r="H58" i="17"/>
  <c r="L58" i="17" s="1"/>
  <c r="I58" i="17"/>
  <c r="H59" i="17"/>
  <c r="I59" i="17" s="1"/>
  <c r="H60" i="17"/>
  <c r="I60" i="17" s="1"/>
  <c r="H62" i="17"/>
  <c r="I62" i="17" s="1"/>
  <c r="H63" i="17"/>
  <c r="H64" i="17"/>
  <c r="I64" i="17" s="1"/>
  <c r="H65" i="17"/>
  <c r="I65" i="17" s="1"/>
  <c r="L65" i="17" s="1"/>
  <c r="H66" i="17"/>
  <c r="I66" i="17" s="1"/>
  <c r="H67" i="17"/>
  <c r="I67" i="17" s="1"/>
  <c r="H68" i="17"/>
  <c r="I68" i="17" s="1"/>
  <c r="H70" i="17"/>
  <c r="I70" i="17" s="1"/>
  <c r="H71" i="17"/>
  <c r="I71" i="17"/>
  <c r="L71" i="17"/>
  <c r="H4" i="16"/>
  <c r="I4" i="16" s="1"/>
  <c r="H6" i="16"/>
  <c r="I6" i="16" s="1"/>
  <c r="H7" i="16"/>
  <c r="I7" i="16" s="1"/>
  <c r="H9" i="16"/>
  <c r="I9" i="16" s="1"/>
  <c r="L9" i="16" s="1"/>
  <c r="H10" i="16"/>
  <c r="I10" i="16" s="1"/>
  <c r="L10" i="16" s="1"/>
  <c r="H11" i="16"/>
  <c r="I11" i="16" s="1"/>
  <c r="H12" i="16"/>
  <c r="H13" i="16"/>
  <c r="I13" i="16" s="1"/>
  <c r="L13" i="16" s="1"/>
  <c r="H16" i="16"/>
  <c r="I16" i="16" s="1"/>
  <c r="H18" i="16"/>
  <c r="H17" i="16" s="1"/>
  <c r="H22" i="16"/>
  <c r="H21" i="16" s="1"/>
  <c r="H23" i="16"/>
  <c r="I23" i="16" s="1"/>
  <c r="H24" i="16"/>
  <c r="L24" i="16" s="1"/>
  <c r="H26" i="16"/>
  <c r="I26" i="16" s="1"/>
  <c r="H27" i="16"/>
  <c r="I27" i="16" s="1"/>
  <c r="H28" i="16"/>
  <c r="L28" i="16" s="1"/>
  <c r="H30" i="16"/>
  <c r="L30" i="16" s="1"/>
  <c r="H33" i="16"/>
  <c r="I33" i="16" s="1"/>
  <c r="L33" i="16" s="1"/>
  <c r="H34" i="16"/>
  <c r="I34" i="16" s="1"/>
  <c r="L34" i="16" s="1"/>
  <c r="H37" i="16"/>
  <c r="I37" i="16" s="1"/>
  <c r="H38" i="16"/>
  <c r="I38" i="16" s="1"/>
  <c r="H39" i="16"/>
  <c r="I39" i="16" s="1"/>
  <c r="L39" i="16" s="1"/>
  <c r="H40" i="16"/>
  <c r="I40" i="16"/>
  <c r="H43" i="16"/>
  <c r="H45" i="16"/>
  <c r="I45" i="16" s="1"/>
  <c r="L45" i="16" s="1"/>
  <c r="H46" i="16"/>
  <c r="I46" i="16"/>
  <c r="H47" i="16"/>
  <c r="I47" i="16" s="1"/>
  <c r="H48" i="16"/>
  <c r="L48" i="16" s="1"/>
  <c r="H49" i="16"/>
  <c r="H50" i="16"/>
  <c r="I50" i="16" s="1"/>
  <c r="H51" i="16"/>
  <c r="I51" i="16" s="1"/>
  <c r="H52" i="16"/>
  <c r="L52" i="16" s="1"/>
  <c r="H53" i="16"/>
  <c r="L53" i="16" s="1"/>
  <c r="H54" i="16"/>
  <c r="L54" i="16" s="1"/>
  <c r="H57" i="16"/>
  <c r="I57" i="16" s="1"/>
  <c r="H58" i="16"/>
  <c r="L58" i="16" s="1"/>
  <c r="H59" i="16"/>
  <c r="I59" i="16" s="1"/>
  <c r="H60" i="16"/>
  <c r="I60" i="16" s="1"/>
  <c r="H62" i="16"/>
  <c r="I62" i="16"/>
  <c r="L62" i="16" s="1"/>
  <c r="H63" i="16"/>
  <c r="I63" i="16" s="1"/>
  <c r="H64" i="16"/>
  <c r="I64" i="16"/>
  <c r="H65" i="16"/>
  <c r="I65" i="16" s="1"/>
  <c r="L65" i="16" s="1"/>
  <c r="H66" i="16"/>
  <c r="I66" i="16" s="1"/>
  <c r="H67" i="16"/>
  <c r="I67" i="16"/>
  <c r="H68" i="16"/>
  <c r="I68" i="16" s="1"/>
  <c r="H70" i="16"/>
  <c r="I70" i="16" s="1"/>
  <c r="H71" i="16"/>
  <c r="L71" i="16"/>
  <c r="H3" i="15"/>
  <c r="I3" i="15" s="1"/>
  <c r="H4" i="15"/>
  <c r="I4" i="15" s="1"/>
  <c r="H6" i="15"/>
  <c r="I6" i="15"/>
  <c r="H7" i="15"/>
  <c r="I7" i="15" s="1"/>
  <c r="H9" i="15"/>
  <c r="I9" i="15" s="1"/>
  <c r="L9" i="15" s="1"/>
  <c r="H10" i="15"/>
  <c r="I10" i="15" s="1"/>
  <c r="H11" i="15"/>
  <c r="I11" i="15"/>
  <c r="H12" i="15"/>
  <c r="I12" i="15" s="1"/>
  <c r="L12" i="15" s="1"/>
  <c r="H13" i="15"/>
  <c r="I13" i="15" s="1"/>
  <c r="L13" i="15" s="1"/>
  <c r="H16" i="15"/>
  <c r="I16" i="15" s="1"/>
  <c r="H18" i="15"/>
  <c r="I18" i="15" s="1"/>
  <c r="L18" i="15" s="1"/>
  <c r="H22" i="15"/>
  <c r="H21" i="15" s="1"/>
  <c r="I21" i="15" s="1"/>
  <c r="I22" i="15"/>
  <c r="H23" i="15"/>
  <c r="I23" i="15" s="1"/>
  <c r="L23" i="15" s="1"/>
  <c r="H24" i="15"/>
  <c r="L24" i="15" s="1"/>
  <c r="H26" i="15"/>
  <c r="H27" i="15"/>
  <c r="I27" i="15" s="1"/>
  <c r="L27" i="15" s="1"/>
  <c r="L30" i="15"/>
  <c r="H31" i="15"/>
  <c r="I31" i="15" s="1"/>
  <c r="L31" i="15" s="1"/>
  <c r="H33" i="15"/>
  <c r="I33" i="15"/>
  <c r="L33" i="15" s="1"/>
  <c r="H34" i="15"/>
  <c r="I34" i="15" s="1"/>
  <c r="H37" i="15"/>
  <c r="H38" i="15"/>
  <c r="I38" i="15" s="1"/>
  <c r="L38" i="15" s="1"/>
  <c r="H39" i="15"/>
  <c r="I39" i="15"/>
  <c r="L39" i="15" s="1"/>
  <c r="H40" i="15"/>
  <c r="I40" i="15" s="1"/>
  <c r="H43" i="15"/>
  <c r="I43" i="15" s="1"/>
  <c r="L43" i="15" s="1"/>
  <c r="H45" i="15"/>
  <c r="I45" i="15"/>
  <c r="L45" i="15" s="1"/>
  <c r="H46" i="15"/>
  <c r="I46" i="15" s="1"/>
  <c r="H47" i="15"/>
  <c r="I47" i="15" s="1"/>
  <c r="L47" i="15" s="1"/>
  <c r="H48" i="15"/>
  <c r="L48" i="15"/>
  <c r="H49" i="15"/>
  <c r="H50" i="15"/>
  <c r="I50" i="15" s="1"/>
  <c r="H51" i="15"/>
  <c r="I51" i="15" s="1"/>
  <c r="L51" i="15" s="1"/>
  <c r="H52" i="15"/>
  <c r="L52" i="15" s="1"/>
  <c r="H53" i="15"/>
  <c r="L53" i="15"/>
  <c r="L54" i="15"/>
  <c r="H57" i="15"/>
  <c r="I57" i="15" s="1"/>
  <c r="L57" i="15" s="1"/>
  <c r="H58" i="15"/>
  <c r="L58" i="15"/>
  <c r="H59" i="15"/>
  <c r="I59" i="15" s="1"/>
  <c r="H60" i="15"/>
  <c r="I60" i="15" s="1"/>
  <c r="H62" i="15"/>
  <c r="H63" i="15"/>
  <c r="I63" i="15" s="1"/>
  <c r="L63" i="15" s="1"/>
  <c r="H64" i="15"/>
  <c r="I64" i="15" s="1"/>
  <c r="L64" i="15" s="1"/>
  <c r="H65" i="15"/>
  <c r="I65" i="15" s="1"/>
  <c r="H66" i="15"/>
  <c r="L66" i="15" s="1"/>
  <c r="H67" i="15"/>
  <c r="I67" i="15" s="1"/>
  <c r="H69" i="15"/>
  <c r="I69" i="15" s="1"/>
  <c r="L69" i="15" s="1"/>
  <c r="H70" i="15"/>
  <c r="L70" i="15"/>
  <c r="H3" i="14"/>
  <c r="I3" i="14" s="1"/>
  <c r="L3" i="14" s="1"/>
  <c r="H4" i="14"/>
  <c r="I4" i="14" s="1"/>
  <c r="H6" i="14"/>
  <c r="I6" i="14" s="1"/>
  <c r="H7" i="14"/>
  <c r="I7" i="14" s="1"/>
  <c r="H9" i="14"/>
  <c r="I9" i="14" s="1"/>
  <c r="H10" i="14"/>
  <c r="I10" i="14"/>
  <c r="H11" i="14"/>
  <c r="I11" i="14" s="1"/>
  <c r="L11" i="14" s="1"/>
  <c r="H12" i="14"/>
  <c r="I12" i="14" s="1"/>
  <c r="H13" i="14"/>
  <c r="H16" i="14"/>
  <c r="I16" i="14" s="1"/>
  <c r="H18" i="14"/>
  <c r="I18" i="14" s="1"/>
  <c r="H21" i="14"/>
  <c r="H22" i="14"/>
  <c r="I22" i="14"/>
  <c r="L22" i="14"/>
  <c r="H23" i="14"/>
  <c r="I23" i="14" s="1"/>
  <c r="H24" i="14"/>
  <c r="L24" i="14"/>
  <c r="H26" i="14"/>
  <c r="I26" i="14" s="1"/>
  <c r="L26" i="14" s="1"/>
  <c r="H27" i="14"/>
  <c r="I27" i="14" s="1"/>
  <c r="L30" i="14"/>
  <c r="H31" i="14"/>
  <c r="I31" i="14" s="1"/>
  <c r="H33" i="14"/>
  <c r="H34" i="14"/>
  <c r="I34" i="14" s="1"/>
  <c r="L34" i="14" s="1"/>
  <c r="H37" i="14"/>
  <c r="I37" i="14" s="1"/>
  <c r="L37" i="14" s="1"/>
  <c r="H38" i="14"/>
  <c r="I38" i="14" s="1"/>
  <c r="H39" i="14"/>
  <c r="I39" i="14"/>
  <c r="H40" i="14"/>
  <c r="I40" i="14" s="1"/>
  <c r="H43" i="14"/>
  <c r="I43" i="14" s="1"/>
  <c r="H45" i="14"/>
  <c r="H46" i="14"/>
  <c r="I46" i="14"/>
  <c r="H47" i="14"/>
  <c r="I47" i="14" s="1"/>
  <c r="H48" i="14"/>
  <c r="L48" i="14" s="1"/>
  <c r="H49" i="14"/>
  <c r="H50" i="14"/>
  <c r="I50" i="14" s="1"/>
  <c r="H51" i="14"/>
  <c r="I51" i="14" s="1"/>
  <c r="H52" i="14"/>
  <c r="L52" i="14"/>
  <c r="H53" i="14"/>
  <c r="L53" i="14" s="1"/>
  <c r="L54" i="14"/>
  <c r="H57" i="14"/>
  <c r="I57" i="14" s="1"/>
  <c r="H59" i="14"/>
  <c r="I59" i="14" s="1"/>
  <c r="H60" i="14"/>
  <c r="I60" i="14" s="1"/>
  <c r="H62" i="14"/>
  <c r="H63" i="14"/>
  <c r="I63" i="14"/>
  <c r="L63" i="14"/>
  <c r="H64" i="14"/>
  <c r="I64" i="14" s="1"/>
  <c r="L64" i="14" s="1"/>
  <c r="H65" i="14"/>
  <c r="I65" i="14" s="1"/>
  <c r="H66" i="14"/>
  <c r="L66" i="14" s="1"/>
  <c r="H67" i="14"/>
  <c r="I67" i="14" s="1"/>
  <c r="H69" i="14"/>
  <c r="I69" i="14" s="1"/>
  <c r="H3" i="13"/>
  <c r="I3" i="13" s="1"/>
  <c r="H4" i="13"/>
  <c r="I4" i="13" s="1"/>
  <c r="H6" i="13"/>
  <c r="I6" i="13" s="1"/>
  <c r="H7" i="13"/>
  <c r="I7" i="13" s="1"/>
  <c r="H9" i="13"/>
  <c r="H10" i="13"/>
  <c r="I10" i="13" s="1"/>
  <c r="H11" i="13"/>
  <c r="I11" i="13"/>
  <c r="L11" i="13" s="1"/>
  <c r="H12" i="13"/>
  <c r="I12" i="13" s="1"/>
  <c r="L12" i="13" s="1"/>
  <c r="H13" i="13"/>
  <c r="H16" i="13"/>
  <c r="I16" i="13" s="1"/>
  <c r="H18" i="13"/>
  <c r="H22" i="13"/>
  <c r="H21" i="13" s="1"/>
  <c r="I21" i="13" s="1"/>
  <c r="H23" i="13"/>
  <c r="I23" i="13" s="1"/>
  <c r="L23" i="13" s="1"/>
  <c r="H26" i="13"/>
  <c r="H27" i="13"/>
  <c r="I27" i="13" s="1"/>
  <c r="H29" i="13"/>
  <c r="I29" i="13"/>
  <c r="L29" i="13" s="1"/>
  <c r="L30" i="13"/>
  <c r="H31" i="13"/>
  <c r="I31" i="13" s="1"/>
  <c r="L31" i="13" s="1"/>
  <c r="H33" i="13"/>
  <c r="I33" i="13" s="1"/>
  <c r="L33" i="13" s="1"/>
  <c r="H34" i="13"/>
  <c r="H37" i="13"/>
  <c r="I37" i="13" s="1"/>
  <c r="H38" i="13"/>
  <c r="I38" i="13"/>
  <c r="L38" i="13" s="1"/>
  <c r="H39" i="13"/>
  <c r="I39" i="13" s="1"/>
  <c r="L39" i="13" s="1"/>
  <c r="H40" i="13"/>
  <c r="I40" i="13" s="1"/>
  <c r="H43" i="13"/>
  <c r="I43" i="13"/>
  <c r="L43" i="13" s="1"/>
  <c r="H45" i="13"/>
  <c r="I45" i="13" s="1"/>
  <c r="L45" i="13" s="1"/>
  <c r="H46" i="13"/>
  <c r="I46" i="13" s="1"/>
  <c r="H47" i="13"/>
  <c r="I47" i="13"/>
  <c r="L47" i="13" s="1"/>
  <c r="H48" i="13"/>
  <c r="L48" i="13" s="1"/>
  <c r="H49" i="13"/>
  <c r="H50" i="13"/>
  <c r="I50" i="13" s="1"/>
  <c r="H51" i="13"/>
  <c r="I51" i="13" s="1"/>
  <c r="L51" i="13" s="1"/>
  <c r="H52" i="13"/>
  <c r="L52" i="13" s="1"/>
  <c r="H53" i="13"/>
  <c r="L53" i="13" s="1"/>
  <c r="L54" i="13"/>
  <c r="H57" i="13"/>
  <c r="I57" i="13"/>
  <c r="L57" i="13" s="1"/>
  <c r="H59" i="13"/>
  <c r="I59" i="13" s="1"/>
  <c r="H60" i="13"/>
  <c r="I60" i="13" s="1"/>
  <c r="H62" i="13"/>
  <c r="I62" i="13" s="1"/>
  <c r="L62" i="13" s="1"/>
  <c r="H63" i="13"/>
  <c r="H64" i="13"/>
  <c r="I64" i="13" s="1"/>
  <c r="H65" i="13"/>
  <c r="I65" i="13" s="1"/>
  <c r="H66" i="13"/>
  <c r="L66" i="13" s="1"/>
  <c r="H67" i="13"/>
  <c r="I67" i="13"/>
  <c r="H69" i="13"/>
  <c r="I21" i="25" l="1"/>
  <c r="L21" i="25" s="1"/>
  <c r="I21" i="22"/>
  <c r="L21" i="22" s="1"/>
  <c r="I17" i="21"/>
  <c r="L17" i="21" s="1"/>
  <c r="L23" i="20"/>
  <c r="L17" i="20"/>
  <c r="I17" i="20"/>
  <c r="L72" i="20"/>
  <c r="I71" i="20"/>
  <c r="L71" i="20" s="1"/>
  <c r="L68" i="20"/>
  <c r="L65" i="20"/>
  <c r="I64" i="20"/>
  <c r="L64" i="20" s="1"/>
  <c r="L54" i="20"/>
  <c r="L45" i="20"/>
  <c r="L39" i="20"/>
  <c r="L34" i="20"/>
  <c r="I33" i="20"/>
  <c r="L33" i="20" s="1"/>
  <c r="L24" i="20"/>
  <c r="I23" i="20"/>
  <c r="L11" i="20"/>
  <c r="I10" i="20"/>
  <c r="L10" i="20" s="1"/>
  <c r="I18" i="20"/>
  <c r="L18" i="20" s="1"/>
  <c r="I22" i="19"/>
  <c r="I18" i="19"/>
  <c r="L18" i="19" s="1"/>
  <c r="L37" i="19"/>
  <c r="L22" i="19"/>
  <c r="L13" i="19"/>
  <c r="I63" i="19"/>
  <c r="L63" i="19" s="1"/>
  <c r="L30" i="19"/>
  <c r="L9" i="19"/>
  <c r="L66" i="19"/>
  <c r="L59" i="19"/>
  <c r="L35" i="19"/>
  <c r="L28" i="19"/>
  <c r="L21" i="19"/>
  <c r="L17" i="19"/>
  <c r="L12" i="19"/>
  <c r="L71" i="18"/>
  <c r="I64" i="18"/>
  <c r="L64" i="18" s="1"/>
  <c r="L37" i="18"/>
  <c r="L22" i="18"/>
  <c r="L18" i="18"/>
  <c r="L13" i="18"/>
  <c r="L30" i="18"/>
  <c r="L9" i="18"/>
  <c r="L63" i="18"/>
  <c r="L35" i="18"/>
  <c r="L28" i="18"/>
  <c r="L21" i="18"/>
  <c r="L17" i="18"/>
  <c r="L12" i="18"/>
  <c r="L64" i="17"/>
  <c r="L30" i="17"/>
  <c r="L67" i="17"/>
  <c r="L70" i="17"/>
  <c r="L22" i="17"/>
  <c r="H21" i="17"/>
  <c r="L13" i="17"/>
  <c r="L12" i="17"/>
  <c r="I63" i="17"/>
  <c r="L63" i="17" s="1"/>
  <c r="L28" i="17"/>
  <c r="I17" i="17"/>
  <c r="L17" i="17" s="1"/>
  <c r="L35" i="17"/>
  <c r="L62" i="17"/>
  <c r="L54" i="17"/>
  <c r="L45" i="17"/>
  <c r="L39" i="17"/>
  <c r="L34" i="17"/>
  <c r="L24" i="17"/>
  <c r="L11" i="17"/>
  <c r="L43" i="16"/>
  <c r="L67" i="16"/>
  <c r="L51" i="16"/>
  <c r="L38" i="16"/>
  <c r="L27" i="16"/>
  <c r="L23" i="16"/>
  <c r="L64" i="16"/>
  <c r="L12" i="16"/>
  <c r="L47" i="16"/>
  <c r="I43" i="16"/>
  <c r="I12" i="16"/>
  <c r="I21" i="16"/>
  <c r="L21" i="16" s="1"/>
  <c r="I17" i="16"/>
  <c r="L17" i="16" s="1"/>
  <c r="L70" i="16"/>
  <c r="L63" i="16"/>
  <c r="L57" i="16"/>
  <c r="L37" i="16"/>
  <c r="L26" i="16"/>
  <c r="L11" i="16"/>
  <c r="I22" i="16"/>
  <c r="L22" i="16" s="1"/>
  <c r="I18" i="16"/>
  <c r="L18" i="16" s="1"/>
  <c r="L22" i="15"/>
  <c r="H17" i="15"/>
  <c r="I17" i="15" s="1"/>
  <c r="L17" i="15" s="1"/>
  <c r="I62" i="15"/>
  <c r="L62" i="15" s="1"/>
  <c r="I37" i="15"/>
  <c r="L37" i="15" s="1"/>
  <c r="I26" i="15"/>
  <c r="L26" i="15" s="1"/>
  <c r="L11" i="15"/>
  <c r="L34" i="15"/>
  <c r="L21" i="15"/>
  <c r="L10" i="15"/>
  <c r="L3" i="15"/>
  <c r="L10" i="14"/>
  <c r="H17" i="14"/>
  <c r="I17" i="14" s="1"/>
  <c r="I21" i="14"/>
  <c r="L21" i="14" s="1"/>
  <c r="L39" i="14"/>
  <c r="L69" i="14"/>
  <c r="I62" i="14"/>
  <c r="L62" i="14" s="1"/>
  <c r="I45" i="14"/>
  <c r="L45" i="14" s="1"/>
  <c r="I33" i="14"/>
  <c r="L33" i="14" s="1"/>
  <c r="L18" i="14"/>
  <c r="I13" i="14"/>
  <c r="L13" i="14" s="1"/>
  <c r="L9" i="14"/>
  <c r="L57" i="14"/>
  <c r="L51" i="14"/>
  <c r="L47" i="14"/>
  <c r="L43" i="14"/>
  <c r="L38" i="14"/>
  <c r="L31" i="14"/>
  <c r="L27" i="14"/>
  <c r="L23" i="14"/>
  <c r="L17" i="14"/>
  <c r="L12" i="14"/>
  <c r="I22" i="13"/>
  <c r="L22" i="13" s="1"/>
  <c r="I69" i="13"/>
  <c r="L69" i="13" s="1"/>
  <c r="L64" i="13"/>
  <c r="I63" i="13"/>
  <c r="L63" i="13" s="1"/>
  <c r="L37" i="13"/>
  <c r="I34" i="13"/>
  <c r="L34" i="13" s="1"/>
  <c r="L27" i="13"/>
  <c r="I26" i="13"/>
  <c r="L26" i="13" s="1"/>
  <c r="L21" i="13"/>
  <c r="I18" i="13"/>
  <c r="L18" i="13" s="1"/>
  <c r="H17" i="13"/>
  <c r="I13" i="13"/>
  <c r="L13" i="13" s="1"/>
  <c r="L10" i="13"/>
  <c r="I9" i="13"/>
  <c r="L9" i="13" s="1"/>
  <c r="L3" i="13"/>
  <c r="H3" i="12"/>
  <c r="I3" i="12"/>
  <c r="L3" i="12"/>
  <c r="H4" i="12"/>
  <c r="I4" i="12" s="1"/>
  <c r="H5" i="12"/>
  <c r="I5" i="12"/>
  <c r="H6" i="12"/>
  <c r="I6" i="12" s="1"/>
  <c r="H7" i="12"/>
  <c r="I7" i="12" s="1"/>
  <c r="H9" i="12"/>
  <c r="I9" i="12"/>
  <c r="H10" i="12"/>
  <c r="I10" i="12" s="1"/>
  <c r="L10" i="12" s="1"/>
  <c r="H11" i="12"/>
  <c r="I11" i="12" s="1"/>
  <c r="H12" i="12"/>
  <c r="H13" i="12"/>
  <c r="L13" i="12" s="1"/>
  <c r="I13" i="12"/>
  <c r="H16" i="12"/>
  <c r="I16" i="12" s="1"/>
  <c r="H18" i="12"/>
  <c r="I18" i="12" s="1"/>
  <c r="H22" i="12"/>
  <c r="H21" i="12" s="1"/>
  <c r="H23" i="12"/>
  <c r="H26" i="12"/>
  <c r="I26" i="12"/>
  <c r="L26" i="12"/>
  <c r="H27" i="12"/>
  <c r="I27" i="12" s="1"/>
  <c r="L27" i="12" s="1"/>
  <c r="H29" i="12"/>
  <c r="I29" i="12" s="1"/>
  <c r="L30" i="12"/>
  <c r="H31" i="12"/>
  <c r="I31" i="12" s="1"/>
  <c r="H33" i="12"/>
  <c r="I33" i="12"/>
  <c r="H34" i="12"/>
  <c r="I34" i="12"/>
  <c r="H35" i="12"/>
  <c r="I35" i="12" s="1"/>
  <c r="L35" i="12" s="1"/>
  <c r="H37" i="12"/>
  <c r="I37" i="12" s="1"/>
  <c r="H38" i="12"/>
  <c r="H39" i="12"/>
  <c r="I39" i="12" s="1"/>
  <c r="H40" i="12"/>
  <c r="I40" i="12" s="1"/>
  <c r="H43" i="12"/>
  <c r="I43" i="12" s="1"/>
  <c r="H44" i="12"/>
  <c r="I44" i="12" s="1"/>
  <c r="H45" i="12"/>
  <c r="L45" i="12"/>
  <c r="H46" i="12"/>
  <c r="I46" i="12"/>
  <c r="H47" i="12"/>
  <c r="L47" i="12"/>
  <c r="H48" i="12"/>
  <c r="H49" i="12"/>
  <c r="I49" i="12"/>
  <c r="H50" i="12"/>
  <c r="H51" i="12"/>
  <c r="L51" i="12"/>
  <c r="H52" i="12"/>
  <c r="L52" i="12" s="1"/>
  <c r="H53" i="12"/>
  <c r="H54" i="12"/>
  <c r="I54" i="12" s="1"/>
  <c r="H57" i="12"/>
  <c r="I57" i="12" s="1"/>
  <c r="H59" i="12"/>
  <c r="I59" i="12"/>
  <c r="H60" i="12"/>
  <c r="I60" i="12" s="1"/>
  <c r="H62" i="12"/>
  <c r="I62" i="12"/>
  <c r="L62" i="12"/>
  <c r="H63" i="12"/>
  <c r="H64" i="12"/>
  <c r="I64" i="12" s="1"/>
  <c r="H65" i="12"/>
  <c r="I65" i="12" s="1"/>
  <c r="H66" i="12"/>
  <c r="L66" i="12" s="1"/>
  <c r="H67" i="12"/>
  <c r="I67" i="12" s="1"/>
  <c r="H69" i="12"/>
  <c r="I69" i="12" s="1"/>
  <c r="L69" i="12" s="1"/>
  <c r="H3" i="11"/>
  <c r="I3" i="11"/>
  <c r="L3" i="11"/>
  <c r="H4" i="11"/>
  <c r="I4" i="11" s="1"/>
  <c r="H5" i="11"/>
  <c r="I5" i="11"/>
  <c r="H7" i="11"/>
  <c r="I7" i="11" s="1"/>
  <c r="H9" i="11"/>
  <c r="I9" i="11" s="1"/>
  <c r="H10" i="11"/>
  <c r="I10" i="11"/>
  <c r="H11" i="11"/>
  <c r="H12" i="11"/>
  <c r="I12" i="11" s="1"/>
  <c r="H13" i="11"/>
  <c r="I13" i="11" s="1"/>
  <c r="H16" i="11"/>
  <c r="I16" i="11" s="1"/>
  <c r="H18" i="11"/>
  <c r="H22" i="11"/>
  <c r="H21" i="11" s="1"/>
  <c r="H23" i="11"/>
  <c r="I23" i="11" s="1"/>
  <c r="H26" i="11"/>
  <c r="H27" i="11"/>
  <c r="I27" i="11" s="1"/>
  <c r="L27" i="11" s="1"/>
  <c r="H29" i="11"/>
  <c r="I29" i="11" s="1"/>
  <c r="L30" i="11"/>
  <c r="H31" i="11"/>
  <c r="I31" i="11" s="1"/>
  <c r="H33" i="11"/>
  <c r="I33" i="11"/>
  <c r="H34" i="11"/>
  <c r="I34" i="11"/>
  <c r="L34" i="11"/>
  <c r="H35" i="11"/>
  <c r="I35" i="11" s="1"/>
  <c r="L35" i="11" s="1"/>
  <c r="H37" i="11"/>
  <c r="I37" i="11" s="1"/>
  <c r="H38" i="11"/>
  <c r="I38" i="11"/>
  <c r="H39" i="11"/>
  <c r="H40" i="11"/>
  <c r="I40" i="11" s="1"/>
  <c r="H43" i="11"/>
  <c r="I43" i="11" s="1"/>
  <c r="H44" i="11"/>
  <c r="L44" i="11" s="1"/>
  <c r="I44" i="11"/>
  <c r="H46" i="11"/>
  <c r="I46" i="11" s="1"/>
  <c r="L46" i="11" s="1"/>
  <c r="H47" i="11"/>
  <c r="L47" i="11" s="1"/>
  <c r="H48" i="11"/>
  <c r="I48" i="11" s="1"/>
  <c r="H49" i="11"/>
  <c r="I49" i="11" s="1"/>
  <c r="H50" i="11"/>
  <c r="L50" i="11" s="1"/>
  <c r="I50" i="11"/>
  <c r="H51" i="11"/>
  <c r="L51" i="11" s="1"/>
  <c r="H52" i="11"/>
  <c r="L52" i="11"/>
  <c r="H53" i="11"/>
  <c r="I53" i="11" s="1"/>
  <c r="L53" i="11" s="1"/>
  <c r="H54" i="11"/>
  <c r="I54" i="11" s="1"/>
  <c r="H57" i="11"/>
  <c r="L57" i="11" s="1"/>
  <c r="I57" i="11"/>
  <c r="H59" i="11"/>
  <c r="I59" i="11" s="1"/>
  <c r="H60" i="11"/>
  <c r="I60" i="11"/>
  <c r="H62" i="11"/>
  <c r="I62" i="11" s="1"/>
  <c r="L62" i="11" s="1"/>
  <c r="H63" i="11"/>
  <c r="I63" i="11" s="1"/>
  <c r="H64" i="11"/>
  <c r="I64" i="11"/>
  <c r="H65" i="11"/>
  <c r="I65" i="11" s="1"/>
  <c r="H66" i="11"/>
  <c r="L66" i="11" s="1"/>
  <c r="H67" i="11"/>
  <c r="I67" i="11"/>
  <c r="H69" i="11"/>
  <c r="I69" i="11" s="1"/>
  <c r="H3" i="10"/>
  <c r="I3" i="10"/>
  <c r="H4" i="10"/>
  <c r="I4" i="10" s="1"/>
  <c r="H5" i="10"/>
  <c r="H7" i="10"/>
  <c r="I7" i="10"/>
  <c r="H9" i="10"/>
  <c r="I9" i="10" s="1"/>
  <c r="L9" i="10" s="1"/>
  <c r="H10" i="10"/>
  <c r="H11" i="10"/>
  <c r="H12" i="10"/>
  <c r="I12" i="10"/>
  <c r="H13" i="10"/>
  <c r="I13" i="10" s="1"/>
  <c r="H16" i="10"/>
  <c r="I16" i="10"/>
  <c r="H17" i="10"/>
  <c r="H18" i="10"/>
  <c r="H22" i="10"/>
  <c r="H21" i="10" s="1"/>
  <c r="H23" i="10"/>
  <c r="H26" i="10"/>
  <c r="I26" i="10" s="1"/>
  <c r="H27" i="10"/>
  <c r="H29" i="10"/>
  <c r="I29" i="10"/>
  <c r="L30" i="10"/>
  <c r="H31" i="10"/>
  <c r="I31" i="10"/>
  <c r="H33" i="10"/>
  <c r="H34" i="10"/>
  <c r="I34" i="10"/>
  <c r="H35" i="10"/>
  <c r="L35" i="10" s="1"/>
  <c r="I35" i="10"/>
  <c r="H37" i="10"/>
  <c r="H38" i="10"/>
  <c r="H39" i="10"/>
  <c r="H40" i="10"/>
  <c r="I40" i="10"/>
  <c r="H43" i="10"/>
  <c r="H44" i="10"/>
  <c r="H46" i="10"/>
  <c r="I46" i="10"/>
  <c r="H47" i="10"/>
  <c r="L47" i="10"/>
  <c r="H48" i="10"/>
  <c r="I48" i="10" s="1"/>
  <c r="H49" i="10"/>
  <c r="I49" i="10"/>
  <c r="H50" i="10"/>
  <c r="H51" i="10"/>
  <c r="L51" i="10"/>
  <c r="H52" i="10"/>
  <c r="L52" i="10" s="1"/>
  <c r="H53" i="10"/>
  <c r="I53" i="10" s="1"/>
  <c r="L53" i="10" s="1"/>
  <c r="H54" i="10"/>
  <c r="I54" i="10" s="1"/>
  <c r="H57" i="10"/>
  <c r="I57" i="10"/>
  <c r="H59" i="10"/>
  <c r="I59" i="10" s="1"/>
  <c r="H60" i="10"/>
  <c r="I60" i="10" s="1"/>
  <c r="H62" i="10"/>
  <c r="I62" i="10"/>
  <c r="H63" i="10"/>
  <c r="H64" i="10"/>
  <c r="H65" i="10"/>
  <c r="I65" i="10" s="1"/>
  <c r="H66" i="10"/>
  <c r="L66" i="10" s="1"/>
  <c r="H67" i="10"/>
  <c r="I67" i="10"/>
  <c r="H69" i="10"/>
  <c r="H3" i="9"/>
  <c r="I3" i="9" s="1"/>
  <c r="H4" i="9"/>
  <c r="I4" i="9"/>
  <c r="L5" i="9"/>
  <c r="H9" i="9"/>
  <c r="I9" i="9"/>
  <c r="L9" i="9"/>
  <c r="H10" i="9"/>
  <c r="H11" i="9"/>
  <c r="I11" i="9"/>
  <c r="H12" i="9"/>
  <c r="I12" i="9" s="1"/>
  <c r="H13" i="9"/>
  <c r="I13" i="9" s="1"/>
  <c r="H16" i="9"/>
  <c r="I16" i="9"/>
  <c r="H17" i="9"/>
  <c r="H18" i="9"/>
  <c r="I18" i="9"/>
  <c r="H22" i="9"/>
  <c r="H21" i="9" s="1"/>
  <c r="I21" i="9" s="1"/>
  <c r="H23" i="9"/>
  <c r="H26" i="9"/>
  <c r="I26" i="9"/>
  <c r="H27" i="9"/>
  <c r="I27" i="9" s="1"/>
  <c r="H29" i="9"/>
  <c r="I29" i="9" s="1"/>
  <c r="L30" i="9"/>
  <c r="H31" i="9"/>
  <c r="I31" i="9" s="1"/>
  <c r="H33" i="9"/>
  <c r="H34" i="9"/>
  <c r="H35" i="9"/>
  <c r="L35" i="9" s="1"/>
  <c r="I35" i="9"/>
  <c r="H37" i="9"/>
  <c r="I37" i="9" s="1"/>
  <c r="H38" i="9"/>
  <c r="H39" i="9"/>
  <c r="I39" i="9" s="1"/>
  <c r="H40" i="9"/>
  <c r="I40" i="9"/>
  <c r="H41" i="9"/>
  <c r="H44" i="9"/>
  <c r="I44" i="9" s="1"/>
  <c r="H45" i="9"/>
  <c r="I45" i="9" s="1"/>
  <c r="H46" i="9"/>
  <c r="I46" i="9"/>
  <c r="L46" i="9" s="1"/>
  <c r="H47" i="9"/>
  <c r="H49" i="9"/>
  <c r="I49" i="9"/>
  <c r="H50" i="9"/>
  <c r="L50" i="9" s="1"/>
  <c r="H51" i="9"/>
  <c r="I51" i="9" s="1"/>
  <c r="H52" i="9"/>
  <c r="I52" i="9" s="1"/>
  <c r="H53" i="9"/>
  <c r="H54" i="9"/>
  <c r="L54" i="9" s="1"/>
  <c r="H55" i="9"/>
  <c r="L55" i="9" s="1"/>
  <c r="H56" i="9"/>
  <c r="I56" i="9"/>
  <c r="H57" i="9"/>
  <c r="I57" i="9" s="1"/>
  <c r="H60" i="9"/>
  <c r="H62" i="9"/>
  <c r="I62" i="9" s="1"/>
  <c r="H63" i="9"/>
  <c r="I63" i="9" s="1"/>
  <c r="H65" i="9"/>
  <c r="H66" i="9"/>
  <c r="L66" i="9" s="1"/>
  <c r="I66" i="9"/>
  <c r="H67" i="9"/>
  <c r="I67" i="9" s="1"/>
  <c r="H68" i="9"/>
  <c r="I68" i="9" s="1"/>
  <c r="H69" i="9"/>
  <c r="L69" i="9" s="1"/>
  <c r="H70" i="9"/>
  <c r="I70" i="9" s="1"/>
  <c r="H72" i="9"/>
  <c r="I72" i="9" s="1"/>
  <c r="H3" i="8"/>
  <c r="I3" i="8" s="1"/>
  <c r="H4" i="8"/>
  <c r="I4" i="8"/>
  <c r="L5" i="8"/>
  <c r="H9" i="8"/>
  <c r="I9" i="8"/>
  <c r="L9" i="8"/>
  <c r="H10" i="8"/>
  <c r="H11" i="8"/>
  <c r="I11" i="8"/>
  <c r="H14" i="8"/>
  <c r="I14" i="8" s="1"/>
  <c r="H16" i="8"/>
  <c r="I16" i="8" s="1"/>
  <c r="H20" i="8"/>
  <c r="H21" i="8"/>
  <c r="H24" i="8"/>
  <c r="I24" i="8" s="1"/>
  <c r="H25" i="8"/>
  <c r="I25" i="8" s="1"/>
  <c r="H27" i="8"/>
  <c r="L28" i="8"/>
  <c r="H29" i="8"/>
  <c r="H31" i="8"/>
  <c r="I31" i="8"/>
  <c r="H32" i="8"/>
  <c r="I32" i="8" s="1"/>
  <c r="H33" i="8"/>
  <c r="I33" i="8" s="1"/>
  <c r="H35" i="8"/>
  <c r="H36" i="8"/>
  <c r="H37" i="8"/>
  <c r="I37" i="8"/>
  <c r="L37" i="8"/>
  <c r="H38" i="8"/>
  <c r="I38" i="8" s="1"/>
  <c r="H39" i="8"/>
  <c r="I39" i="8"/>
  <c r="H42" i="8"/>
  <c r="I42" i="8" s="1"/>
  <c r="H43" i="8"/>
  <c r="I43" i="8" s="1"/>
  <c r="H44" i="8"/>
  <c r="H45" i="8"/>
  <c r="H47" i="8"/>
  <c r="L47" i="8" s="1"/>
  <c r="I47" i="8"/>
  <c r="H48" i="8"/>
  <c r="L48" i="8" s="1"/>
  <c r="H49" i="8"/>
  <c r="I49" i="8"/>
  <c r="H50" i="8"/>
  <c r="I50" i="8" s="1"/>
  <c r="H51" i="8"/>
  <c r="I51" i="8"/>
  <c r="H52" i="8"/>
  <c r="L52" i="8" s="1"/>
  <c r="H53" i="8"/>
  <c r="L53" i="8" s="1"/>
  <c r="H54" i="8"/>
  <c r="I54" i="8" s="1"/>
  <c r="H55" i="8"/>
  <c r="I55" i="8"/>
  <c r="H58" i="8"/>
  <c r="I58" i="8" s="1"/>
  <c r="H60" i="8"/>
  <c r="I60" i="8"/>
  <c r="H61" i="8"/>
  <c r="I61" i="8" s="1"/>
  <c r="H63" i="8"/>
  <c r="I63" i="8"/>
  <c r="L63" i="8"/>
  <c r="H64" i="8"/>
  <c r="I64" i="8" s="1"/>
  <c r="H65" i="8"/>
  <c r="H66" i="8"/>
  <c r="I66" i="8" s="1"/>
  <c r="H67" i="8"/>
  <c r="L67" i="8"/>
  <c r="H69" i="8"/>
  <c r="I69" i="8" s="1"/>
  <c r="H3" i="7"/>
  <c r="I3" i="7"/>
  <c r="H4" i="7"/>
  <c r="I4" i="7" s="1"/>
  <c r="L5" i="7"/>
  <c r="H9" i="7"/>
  <c r="I9" i="7"/>
  <c r="H10" i="7"/>
  <c r="H11" i="7"/>
  <c r="I11" i="7"/>
  <c r="H14" i="7"/>
  <c r="I14" i="7"/>
  <c r="H16" i="7"/>
  <c r="H15" i="7" s="1"/>
  <c r="I15" i="7" s="1"/>
  <c r="I16" i="7"/>
  <c r="H20" i="7"/>
  <c r="H21" i="7"/>
  <c r="I21" i="7"/>
  <c r="H24" i="7"/>
  <c r="H25" i="7"/>
  <c r="L25" i="7" s="1"/>
  <c r="I25" i="7"/>
  <c r="H26" i="7"/>
  <c r="H27" i="7"/>
  <c r="I27" i="7"/>
  <c r="L28" i="7"/>
  <c r="H29" i="7"/>
  <c r="I29" i="7"/>
  <c r="H31" i="7"/>
  <c r="H32" i="7"/>
  <c r="I32" i="7"/>
  <c r="L32" i="7"/>
  <c r="H33" i="7"/>
  <c r="H35" i="7"/>
  <c r="I35" i="7"/>
  <c r="H36" i="7"/>
  <c r="I36" i="7" s="1"/>
  <c r="H37" i="7"/>
  <c r="H38" i="7"/>
  <c r="I38" i="7" s="1"/>
  <c r="H39" i="7"/>
  <c r="I39" i="7" s="1"/>
  <c r="H42" i="7"/>
  <c r="I42" i="7"/>
  <c r="L42" i="7"/>
  <c r="H43" i="7"/>
  <c r="H44" i="7"/>
  <c r="I44" i="7"/>
  <c r="H46" i="7"/>
  <c r="I46" i="7" s="1"/>
  <c r="H47" i="7"/>
  <c r="L47" i="7" s="1"/>
  <c r="H48" i="7"/>
  <c r="I48" i="7"/>
  <c r="H49" i="7"/>
  <c r="I49" i="7" s="1"/>
  <c r="L50" i="7"/>
  <c r="H51" i="7"/>
  <c r="L51" i="7" s="1"/>
  <c r="H52" i="7"/>
  <c r="L52" i="7" s="1"/>
  <c r="H53" i="7"/>
  <c r="H54" i="7"/>
  <c r="I54" i="7" s="1"/>
  <c r="H57" i="7"/>
  <c r="H59" i="7"/>
  <c r="I59" i="7" s="1"/>
  <c r="H61" i="7"/>
  <c r="H62" i="7"/>
  <c r="H63" i="7"/>
  <c r="H64" i="7"/>
  <c r="I64" i="7" s="1"/>
  <c r="H65" i="7"/>
  <c r="L65" i="7"/>
  <c r="H67" i="7"/>
  <c r="I67" i="7" s="1"/>
  <c r="H3" i="6"/>
  <c r="I3" i="6"/>
  <c r="L3" i="6"/>
  <c r="H4" i="6"/>
  <c r="I4" i="6" s="1"/>
  <c r="L5" i="6"/>
  <c r="H9" i="6"/>
  <c r="I9" i="6" s="1"/>
  <c r="H11" i="6"/>
  <c r="I11" i="6" s="1"/>
  <c r="H16" i="6"/>
  <c r="H15" i="6" s="1"/>
  <c r="H20" i="6"/>
  <c r="I20" i="6" s="1"/>
  <c r="H21" i="6"/>
  <c r="I21" i="6" s="1"/>
  <c r="L21" i="6" s="1"/>
  <c r="H24" i="6"/>
  <c r="I24" i="6" s="1"/>
  <c r="H25" i="6"/>
  <c r="I25" i="6"/>
  <c r="H26" i="6"/>
  <c r="I26" i="6" s="1"/>
  <c r="H27" i="6"/>
  <c r="I27" i="6" s="1"/>
  <c r="L27" i="6" s="1"/>
  <c r="L28" i="6"/>
  <c r="H29" i="6"/>
  <c r="I29" i="6" s="1"/>
  <c r="L29" i="6" s="1"/>
  <c r="H31" i="6"/>
  <c r="I31" i="6" s="1"/>
  <c r="H32" i="6"/>
  <c r="I32" i="6" s="1"/>
  <c r="H33" i="6"/>
  <c r="I33" i="6" s="1"/>
  <c r="H35" i="6"/>
  <c r="I35" i="6" s="1"/>
  <c r="L35" i="6" s="1"/>
  <c r="H36" i="6"/>
  <c r="I36" i="6" s="1"/>
  <c r="H37" i="6"/>
  <c r="I37" i="6" s="1"/>
  <c r="H38" i="6"/>
  <c r="I38" i="6" s="1"/>
  <c r="H39" i="6"/>
  <c r="I39" i="6" s="1"/>
  <c r="H42" i="6"/>
  <c r="I42" i="6" s="1"/>
  <c r="H43" i="6"/>
  <c r="I43" i="6" s="1"/>
  <c r="H46" i="6"/>
  <c r="I46" i="6" s="1"/>
  <c r="L46" i="6" s="1"/>
  <c r="H47" i="6"/>
  <c r="L47" i="6" s="1"/>
  <c r="H48" i="6"/>
  <c r="I48" i="6"/>
  <c r="H49" i="6"/>
  <c r="I49" i="6" s="1"/>
  <c r="L50" i="6"/>
  <c r="H51" i="6"/>
  <c r="L51" i="6"/>
  <c r="H52" i="6"/>
  <c r="L52" i="6" s="1"/>
  <c r="H53" i="6"/>
  <c r="I53" i="6" s="1"/>
  <c r="H56" i="6"/>
  <c r="I56" i="6"/>
  <c r="L56" i="6" s="1"/>
  <c r="H58" i="6"/>
  <c r="I58" i="6" s="1"/>
  <c r="H60" i="6"/>
  <c r="I60" i="6" s="1"/>
  <c r="H61" i="6"/>
  <c r="I61" i="6" s="1"/>
  <c r="H62" i="6"/>
  <c r="I62" i="6" s="1"/>
  <c r="L62" i="6" s="1"/>
  <c r="H63" i="6"/>
  <c r="I63" i="6" s="1"/>
  <c r="H64" i="6"/>
  <c r="L64" i="6"/>
  <c r="H66" i="6"/>
  <c r="I66" i="6" s="1"/>
  <c r="I21" i="17" l="1"/>
  <c r="L21" i="17" s="1"/>
  <c r="I17" i="13"/>
  <c r="L17" i="13" s="1"/>
  <c r="L63" i="12"/>
  <c r="L34" i="12"/>
  <c r="L39" i="12"/>
  <c r="I63" i="12"/>
  <c r="I53" i="12"/>
  <c r="L53" i="12" s="1"/>
  <c r="L9" i="12"/>
  <c r="L44" i="12"/>
  <c r="L43" i="12"/>
  <c r="L18" i="12"/>
  <c r="H17" i="12"/>
  <c r="L5" i="12"/>
  <c r="L57" i="12"/>
  <c r="I50" i="12"/>
  <c r="L50" i="12" s="1"/>
  <c r="L46" i="12"/>
  <c r="I38" i="12"/>
  <c r="L38" i="12" s="1"/>
  <c r="L33" i="12"/>
  <c r="I23" i="12"/>
  <c r="L23" i="12" s="1"/>
  <c r="I12" i="12"/>
  <c r="L12" i="12" s="1"/>
  <c r="I21" i="12"/>
  <c r="L21" i="12" s="1"/>
  <c r="L64" i="12"/>
  <c r="L37" i="12"/>
  <c r="L31" i="12"/>
  <c r="L29" i="12"/>
  <c r="L22" i="12"/>
  <c r="L11" i="12"/>
  <c r="I22" i="12"/>
  <c r="L18" i="11"/>
  <c r="I18" i="11"/>
  <c r="I11" i="11"/>
  <c r="H17" i="11"/>
  <c r="I17" i="11" s="1"/>
  <c r="L26" i="11"/>
  <c r="L10" i="11"/>
  <c r="I39" i="11"/>
  <c r="L39" i="11" s="1"/>
  <c r="I26" i="11"/>
  <c r="L43" i="11"/>
  <c r="L33" i="11"/>
  <c r="L64" i="11"/>
  <c r="L38" i="11"/>
  <c r="L23" i="11"/>
  <c r="L5" i="11"/>
  <c r="I21" i="11"/>
  <c r="L21" i="11" s="1"/>
  <c r="L69" i="11"/>
  <c r="L63" i="11"/>
  <c r="L37" i="11"/>
  <c r="L31" i="11"/>
  <c r="L29" i="11"/>
  <c r="L22" i="11"/>
  <c r="L9" i="11"/>
  <c r="I22" i="11"/>
  <c r="I21" i="10"/>
  <c r="L21" i="10" s="1"/>
  <c r="L29" i="10"/>
  <c r="I63" i="10"/>
  <c r="L63" i="10" s="1"/>
  <c r="L46" i="10"/>
  <c r="I22" i="10"/>
  <c r="L22" i="10" s="1"/>
  <c r="L62" i="10"/>
  <c r="L31" i="10"/>
  <c r="L27" i="10"/>
  <c r="L34" i="10"/>
  <c r="I69" i="10"/>
  <c r="L69" i="10" s="1"/>
  <c r="I50" i="10"/>
  <c r="L50" i="10" s="1"/>
  <c r="I39" i="10"/>
  <c r="L39" i="10" s="1"/>
  <c r="I37" i="10"/>
  <c r="L37" i="10" s="1"/>
  <c r="I27" i="10"/>
  <c r="L57" i="10"/>
  <c r="I44" i="10"/>
  <c r="L44" i="10" s="1"/>
  <c r="L26" i="10"/>
  <c r="I18" i="10"/>
  <c r="L18" i="10" s="1"/>
  <c r="I11" i="10"/>
  <c r="L3" i="10"/>
  <c r="I64" i="10"/>
  <c r="L64" i="10" s="1"/>
  <c r="I43" i="10"/>
  <c r="L43" i="10" s="1"/>
  <c r="I38" i="10"/>
  <c r="L38" i="10" s="1"/>
  <c r="I33" i="10"/>
  <c r="L33" i="10" s="1"/>
  <c r="I23" i="10"/>
  <c r="L23" i="10" s="1"/>
  <c r="I17" i="10"/>
  <c r="L17" i="10" s="1"/>
  <c r="I10" i="10"/>
  <c r="L10" i="10" s="1"/>
  <c r="I5" i="10"/>
  <c r="L5" i="10" s="1"/>
  <c r="I22" i="9"/>
  <c r="L22" i="9" s="1"/>
  <c r="L67" i="9"/>
  <c r="L56" i="9"/>
  <c r="L49" i="9"/>
  <c r="L37" i="9"/>
  <c r="L27" i="9"/>
  <c r="L26" i="9"/>
  <c r="L72" i="9"/>
  <c r="L45" i="9"/>
  <c r="L44" i="9"/>
  <c r="L31" i="9"/>
  <c r="L29" i="9"/>
  <c r="L21" i="9"/>
  <c r="L18" i="9"/>
  <c r="I65" i="9"/>
  <c r="L65" i="9" s="1"/>
  <c r="L39" i="9"/>
  <c r="I34" i="9"/>
  <c r="L34" i="9" s="1"/>
  <c r="L3" i="9"/>
  <c r="L41" i="9"/>
  <c r="I60" i="9"/>
  <c r="L60" i="9" s="1"/>
  <c r="I53" i="9"/>
  <c r="L53" i="9" s="1"/>
  <c r="I47" i="9"/>
  <c r="L47" i="9" s="1"/>
  <c r="I41" i="9"/>
  <c r="I38" i="9"/>
  <c r="L38" i="9" s="1"/>
  <c r="I33" i="9"/>
  <c r="L33" i="9" s="1"/>
  <c r="I23" i="9"/>
  <c r="L23" i="9" s="1"/>
  <c r="I17" i="9"/>
  <c r="L17" i="9" s="1"/>
  <c r="I10" i="9"/>
  <c r="L10" i="9" s="1"/>
  <c r="L24" i="8"/>
  <c r="L64" i="8"/>
  <c r="L51" i="8"/>
  <c r="L42" i="8"/>
  <c r="L39" i="8"/>
  <c r="L32" i="8"/>
  <c r="L31" i="8"/>
  <c r="L25" i="8"/>
  <c r="L54" i="8"/>
  <c r="L43" i="8"/>
  <c r="L33" i="8"/>
  <c r="L16" i="8"/>
  <c r="H15" i="8"/>
  <c r="L45" i="8"/>
  <c r="L69" i="8"/>
  <c r="L58" i="8"/>
  <c r="I45" i="8"/>
  <c r="I36" i="8"/>
  <c r="L36" i="8" s="1"/>
  <c r="I21" i="8"/>
  <c r="L21" i="8" s="1"/>
  <c r="L3" i="8"/>
  <c r="I65" i="8"/>
  <c r="L65" i="8" s="1"/>
  <c r="I44" i="8"/>
  <c r="L44" i="8" s="1"/>
  <c r="I35" i="8"/>
  <c r="L35" i="8" s="1"/>
  <c r="I29" i="8"/>
  <c r="L29" i="8" s="1"/>
  <c r="I27" i="8"/>
  <c r="L27" i="8" s="1"/>
  <c r="I20" i="8"/>
  <c r="L20" i="8" s="1"/>
  <c r="H19" i="8"/>
  <c r="I10" i="8"/>
  <c r="L10" i="8" s="1"/>
  <c r="L62" i="7"/>
  <c r="L37" i="7"/>
  <c r="I31" i="7"/>
  <c r="L31" i="7" s="1"/>
  <c r="L16" i="7"/>
  <c r="L39" i="7"/>
  <c r="I62" i="7"/>
  <c r="I37" i="7"/>
  <c r="I24" i="7"/>
  <c r="L24" i="7" s="1"/>
  <c r="L9" i="7"/>
  <c r="L67" i="7"/>
  <c r="L15" i="7"/>
  <c r="L46" i="7"/>
  <c r="L36" i="7"/>
  <c r="L35" i="7"/>
  <c r="L27" i="7"/>
  <c r="I61" i="7"/>
  <c r="L61" i="7" s="1"/>
  <c r="I57" i="7"/>
  <c r="L57" i="7" s="1"/>
  <c r="L29" i="7"/>
  <c r="L21" i="7"/>
  <c r="L44" i="7"/>
  <c r="L3" i="7"/>
  <c r="L63" i="7"/>
  <c r="I63" i="7"/>
  <c r="I53" i="7"/>
  <c r="L53" i="7" s="1"/>
  <c r="I43" i="7"/>
  <c r="L43" i="7" s="1"/>
  <c r="I33" i="7"/>
  <c r="L33" i="7" s="1"/>
  <c r="I26" i="7"/>
  <c r="L26" i="7" s="1"/>
  <c r="I20" i="7"/>
  <c r="L20" i="7" s="1"/>
  <c r="H19" i="7"/>
  <c r="I10" i="7"/>
  <c r="L10" i="7" s="1"/>
  <c r="L61" i="6"/>
  <c r="L60" i="6"/>
  <c r="L43" i="6"/>
  <c r="L42" i="6"/>
  <c r="L33" i="6"/>
  <c r="L32" i="6"/>
  <c r="L20" i="6"/>
  <c r="H19" i="6"/>
  <c r="L37" i="6"/>
  <c r="L26" i="6"/>
  <c r="L25" i="6"/>
  <c r="L53" i="6"/>
  <c r="I15" i="6"/>
  <c r="L15" i="6" s="1"/>
  <c r="L66" i="6"/>
  <c r="L39" i="6"/>
  <c r="L36" i="6"/>
  <c r="L31" i="6"/>
  <c r="L24" i="6"/>
  <c r="L9" i="6"/>
  <c r="I16" i="6"/>
  <c r="L16" i="6" s="1"/>
  <c r="H3" i="5"/>
  <c r="I3" i="5" s="1"/>
  <c r="H4" i="5"/>
  <c r="I4" i="5"/>
  <c r="L5" i="5"/>
  <c r="H9" i="5"/>
  <c r="I9" i="5"/>
  <c r="L9" i="5"/>
  <c r="H11" i="5"/>
  <c r="I11" i="5" s="1"/>
  <c r="H16" i="5"/>
  <c r="H15" i="5" s="1"/>
  <c r="H20" i="5"/>
  <c r="I20" i="5" s="1"/>
  <c r="H21" i="5"/>
  <c r="I21" i="5" s="1"/>
  <c r="H24" i="5"/>
  <c r="I24" i="5"/>
  <c r="L24" i="5"/>
  <c r="H25" i="5"/>
  <c r="I25" i="5" s="1"/>
  <c r="H26" i="5"/>
  <c r="I26" i="5"/>
  <c r="H27" i="5"/>
  <c r="I27" i="5" s="1"/>
  <c r="L28" i="5"/>
  <c r="H29" i="5"/>
  <c r="I29" i="5"/>
  <c r="H31" i="5"/>
  <c r="I31" i="5"/>
  <c r="L31" i="5"/>
  <c r="H32" i="5"/>
  <c r="I32" i="5" s="1"/>
  <c r="H33" i="5"/>
  <c r="I33" i="5"/>
  <c r="H35" i="5"/>
  <c r="I35" i="5" s="1"/>
  <c r="H36" i="5"/>
  <c r="I36" i="5" s="1"/>
  <c r="H37" i="5"/>
  <c r="I37" i="5" s="1"/>
  <c r="H38" i="5"/>
  <c r="I38" i="5"/>
  <c r="H39" i="5"/>
  <c r="I39" i="5"/>
  <c r="L39" i="5"/>
  <c r="H42" i="5"/>
  <c r="I42" i="5" s="1"/>
  <c r="H43" i="5"/>
  <c r="I43" i="5"/>
  <c r="H46" i="5"/>
  <c r="I46" i="5"/>
  <c r="H47" i="5"/>
  <c r="L47" i="5"/>
  <c r="H48" i="5"/>
  <c r="I48" i="5" s="1"/>
  <c r="H49" i="5"/>
  <c r="I49" i="5" s="1"/>
  <c r="L50" i="5"/>
  <c r="H51" i="5"/>
  <c r="L51" i="5" s="1"/>
  <c r="H52" i="5"/>
  <c r="L52" i="5" s="1"/>
  <c r="H53" i="5"/>
  <c r="I53" i="5" s="1"/>
  <c r="H56" i="5"/>
  <c r="I56" i="5" s="1"/>
  <c r="H58" i="5"/>
  <c r="I58" i="5"/>
  <c r="H60" i="5"/>
  <c r="I60" i="5" s="1"/>
  <c r="H61" i="5"/>
  <c r="I61" i="5" s="1"/>
  <c r="H62" i="5"/>
  <c r="I62" i="5" s="1"/>
  <c r="H63" i="5"/>
  <c r="I63" i="5" s="1"/>
  <c r="H64" i="5"/>
  <c r="L64" i="5"/>
  <c r="H66" i="5"/>
  <c r="I17" i="12" l="1"/>
  <c r="L17" i="12" s="1"/>
  <c r="L17" i="11"/>
  <c r="I15" i="8"/>
  <c r="L15" i="8" s="1"/>
  <c r="I19" i="8"/>
  <c r="L19" i="8"/>
  <c r="I19" i="7"/>
  <c r="L19" i="7" s="1"/>
  <c r="L46" i="5"/>
  <c r="L29" i="5"/>
  <c r="L19" i="6"/>
  <c r="I19" i="6"/>
  <c r="L21" i="5"/>
  <c r="I66" i="5"/>
  <c r="L66" i="5" s="1"/>
  <c r="L36" i="5"/>
  <c r="L27" i="5"/>
  <c r="I15" i="5"/>
  <c r="L15" i="5" s="1"/>
  <c r="H19" i="5"/>
  <c r="I19" i="5" s="1"/>
  <c r="L62" i="5"/>
  <c r="L61" i="5"/>
  <c r="L35" i="5"/>
  <c r="L33" i="5"/>
  <c r="L56" i="5"/>
  <c r="L43" i="5"/>
  <c r="L26" i="5"/>
  <c r="I16" i="5"/>
  <c r="L16" i="5" s="1"/>
  <c r="L20" i="5"/>
  <c r="L3" i="5"/>
  <c r="L60" i="5"/>
  <c r="L32" i="5"/>
  <c r="L53" i="5"/>
  <c r="L42" i="5"/>
  <c r="L37" i="5"/>
  <c r="L25" i="5"/>
  <c r="L19" i="5"/>
  <c r="H3" i="4"/>
  <c r="I3" i="4" s="1"/>
  <c r="H4" i="4"/>
  <c r="I4" i="4"/>
  <c r="H5" i="4"/>
  <c r="I5" i="4" s="1"/>
  <c r="L5" i="4" s="1"/>
  <c r="H9" i="4"/>
  <c r="I9" i="4" s="1"/>
  <c r="H11" i="4"/>
  <c r="I11" i="4"/>
  <c r="H16" i="4"/>
  <c r="H15" i="4" s="1"/>
  <c r="H19" i="4"/>
  <c r="I19" i="4"/>
  <c r="H20" i="4"/>
  <c r="L20" i="4" s="1"/>
  <c r="I20" i="4"/>
  <c r="H21" i="4"/>
  <c r="I21" i="4" s="1"/>
  <c r="L21" i="4" s="1"/>
  <c r="H22" i="4"/>
  <c r="I22" i="4" s="1"/>
  <c r="H24" i="4"/>
  <c r="H25" i="4"/>
  <c r="I25" i="4"/>
  <c r="L25" i="4"/>
  <c r="H26" i="4"/>
  <c r="I26" i="4" s="1"/>
  <c r="L26" i="4" s="1"/>
  <c r="H27" i="4"/>
  <c r="I27" i="4" s="1"/>
  <c r="H28" i="4"/>
  <c r="I28" i="4"/>
  <c r="L29" i="4"/>
  <c r="H30" i="4"/>
  <c r="I30" i="4"/>
  <c r="H32" i="4"/>
  <c r="I32" i="4" s="1"/>
  <c r="H33" i="4"/>
  <c r="I33" i="4" s="1"/>
  <c r="L33" i="4" s="1"/>
  <c r="H34" i="4"/>
  <c r="I34" i="4" s="1"/>
  <c r="H36" i="4"/>
  <c r="I36" i="4"/>
  <c r="H37" i="4"/>
  <c r="L37" i="4" s="1"/>
  <c r="I37" i="4"/>
  <c r="H38" i="4"/>
  <c r="I38" i="4" s="1"/>
  <c r="L38" i="4" s="1"/>
  <c r="H39" i="4"/>
  <c r="I39" i="4" s="1"/>
  <c r="H40" i="4"/>
  <c r="I40" i="4" s="1"/>
  <c r="H43" i="4"/>
  <c r="L43" i="4" s="1"/>
  <c r="I43" i="4"/>
  <c r="H44" i="4"/>
  <c r="I44" i="4" s="1"/>
  <c r="H45" i="4"/>
  <c r="I45" i="4"/>
  <c r="H46" i="4"/>
  <c r="I46" i="4"/>
  <c r="L46" i="4"/>
  <c r="H49" i="4"/>
  <c r="I49" i="4" s="1"/>
  <c r="H50" i="4"/>
  <c r="L50" i="4" s="1"/>
  <c r="H51" i="4"/>
  <c r="I51" i="4" s="1"/>
  <c r="H52" i="4"/>
  <c r="I52" i="4" s="1"/>
  <c r="L53" i="4"/>
  <c r="H54" i="4"/>
  <c r="L54" i="4" s="1"/>
  <c r="H55" i="4"/>
  <c r="L55" i="4" s="1"/>
  <c r="H56" i="4"/>
  <c r="H59" i="4"/>
  <c r="I59" i="4"/>
  <c r="L59" i="4"/>
  <c r="H61" i="4"/>
  <c r="I61" i="4"/>
  <c r="I62" i="4"/>
  <c r="L62" i="4"/>
  <c r="H63" i="4"/>
  <c r="I63" i="4"/>
  <c r="L63" i="4"/>
  <c r="H64" i="4"/>
  <c r="I64" i="4" s="1"/>
  <c r="H65" i="4"/>
  <c r="I65" i="4"/>
  <c r="H66" i="4"/>
  <c r="I66" i="4"/>
  <c r="H67" i="4"/>
  <c r="L67" i="4" s="1"/>
  <c r="H69" i="4"/>
  <c r="I69" i="4"/>
  <c r="L69" i="4"/>
  <c r="L45" i="4" l="1"/>
  <c r="L28" i="4"/>
  <c r="L49" i="4"/>
  <c r="L40" i="4"/>
  <c r="L32" i="4"/>
  <c r="L30" i="4"/>
  <c r="L65" i="4"/>
  <c r="I56" i="4"/>
  <c r="L56" i="4" s="1"/>
  <c r="L36" i="4"/>
  <c r="I24" i="4"/>
  <c r="L24" i="4" s="1"/>
  <c r="L19" i="4"/>
  <c r="I15" i="4"/>
  <c r="L15" i="4" s="1"/>
  <c r="L64" i="4"/>
  <c r="L44" i="4"/>
  <c r="L34" i="4"/>
  <c r="L27" i="4"/>
  <c r="L22" i="4"/>
  <c r="L9" i="4"/>
  <c r="L3" i="4"/>
  <c r="I16" i="4"/>
  <c r="L16" i="4" s="1"/>
</calcChain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18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0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18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4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2013年1月5日取消保税，2013年9月12日增加保税。2014年10月23日取消保税。2017年1月24日增加保税。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18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4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18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4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18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60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1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8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9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0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7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family val="3"/>
            <charset val="134"/>
          </rPr>
          <t xml:space="preserve">作者:
2012年1月20日取消保税。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1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2013年1月5日取消保税，2013年9月12日增加保税。2014年10月23日取消保税。
</t>
        </r>
      </text>
    </comment>
    <comment ref="B20" authorId="0">
      <text>
        <r>
          <rPr>
            <sz val="9"/>
            <rFont val="宋体"/>
            <family val="3"/>
            <charset val="134"/>
          </rPr>
          <t xml:space="preserve">2013年6月8日增加保税
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E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2011.11.28取消保税，12.1才通知到。
</t>
        </r>
      </text>
    </comment>
    <comment ref="B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2012年08月24日新增保税。2013年3月19日取消保税。2014年3月11日新增保税。2015年2月26日变更为非保税罐
</t>
        </r>
      </text>
    </comment>
    <comment ref="B4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2012年08月24日新增保税。2014年4月30取消保税。</t>
        </r>
      </text>
    </comment>
    <comment ref="B4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2014.7.09取消保税,2015年2月26日变更为保税罐，2015年6月4日取消保税
</t>
        </r>
      </text>
    </comment>
    <comment ref="B5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2013年1月5日取消保税,2014年3月11日新增保税。2014年9月28日取消保税。
</t>
        </r>
      </text>
    </comment>
    <comment ref="B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2013年1月5日取消保税</t>
        </r>
      </text>
    </comment>
    <comment ref="B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2013年3月19日取消保税。</t>
        </r>
      </text>
    </comment>
    <comment ref="B57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2015年7月22日取消保税2016年2月5日变更为保税,2016年6月17日取消保税。2016你12月23日变更为保税。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8" authorId="0">
      <text>
        <r>
          <rPr>
            <b/>
            <sz val="9"/>
            <color indexed="81"/>
            <rFont val="宋体"/>
            <family val="3"/>
            <charset val="134"/>
          </rPr>
          <t>微软用户:User:
2015年7月22日取消保税2016年2月5日变更为保税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2015年1月30取消保税</t>
        </r>
      </text>
    </comment>
    <comment ref="B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2015.1.12取消保税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5" authorId="0">
      <text>
        <r>
          <rPr>
            <b/>
            <sz val="9"/>
            <color indexed="81"/>
            <rFont val="宋体"/>
            <family val="3"/>
            <charset val="134"/>
          </rPr>
          <t>微软用户:2015年2月6日取消保税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合同自动延长10年</t>
        </r>
      </text>
    </comment>
    <comment ref="B66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7" authorId="0">
      <text>
        <r>
          <rPr>
            <sz val="9"/>
            <rFont val="宋体"/>
            <family val="3"/>
            <charset val="134"/>
          </rPr>
          <t xml:space="preserve">2014.7.23取消保税
</t>
        </r>
      </text>
    </comment>
    <comment ref="B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2013年3月19日增加保税。2015年7月30日，取消保税。
</t>
        </r>
      </text>
    </comment>
  </commentList>
</comments>
</file>

<file path=xl/sharedStrings.xml><?xml version="1.0" encoding="utf-8"?>
<sst xmlns="http://schemas.openxmlformats.org/spreadsheetml/2006/main" count="8344" uniqueCount="603">
  <si>
    <t>浮顶</t>
  </si>
  <si>
    <t>TK808</t>
  </si>
  <si>
    <t>包罐</t>
    <phoneticPr fontId="2" type="noConversion"/>
  </si>
  <si>
    <t>广西铁投冠信贸易有限公司</t>
  </si>
  <si>
    <t>混合芳烃</t>
    <phoneticPr fontId="2" type="noConversion"/>
  </si>
  <si>
    <t>保税</t>
    <phoneticPr fontId="2" type="noConversion"/>
  </si>
  <si>
    <t>TK807</t>
    <phoneticPr fontId="2" type="noConversion"/>
  </si>
  <si>
    <t>TK806</t>
  </si>
  <si>
    <t xml:space="preserve">CHOW TAI FOOK ENERGY </t>
  </si>
  <si>
    <t>石脑油</t>
    <phoneticPr fontId="2" type="noConversion"/>
  </si>
  <si>
    <t>TK805</t>
  </si>
  <si>
    <t>珠海碧辟化工有限公司</t>
  </si>
  <si>
    <t>对二甲苯</t>
  </si>
  <si>
    <t>TK804</t>
  </si>
  <si>
    <t>ZHHJ-CC-16029</t>
    <phoneticPr fontId="2" type="noConversion"/>
  </si>
  <si>
    <t>2016.04.10</t>
    <phoneticPr fontId="2" type="noConversion"/>
  </si>
  <si>
    <t>2016.03.10</t>
    <phoneticPr fontId="2" type="noConversion"/>
  </si>
  <si>
    <t>Gunvor Singapore Pte.Ltd</t>
  </si>
  <si>
    <t>TK803</t>
    <phoneticPr fontId="2" type="noConversion"/>
  </si>
  <si>
    <t>SN80161217002(8561)/SN80161228001(9546)</t>
    <phoneticPr fontId="2" type="noConversion"/>
  </si>
  <si>
    <t>TK802</t>
  </si>
  <si>
    <t>ZHHJ-CC-16072/YH80160924003(4092.929)/YH80160924004(8666.148)、YH80160924002(2893)</t>
    <phoneticPr fontId="2" type="noConversion"/>
  </si>
  <si>
    <t xml:space="preserve">包罐 </t>
    <phoneticPr fontId="2" type="noConversion"/>
  </si>
  <si>
    <t>中信国安化工有限公司</t>
  </si>
  <si>
    <t>TK801</t>
  </si>
  <si>
    <t>ZHHJ-CC-16087、</t>
    <phoneticPr fontId="2" type="noConversion"/>
  </si>
  <si>
    <t>平潭县捷运油料有限公司</t>
  </si>
  <si>
    <t>混合芳烃</t>
  </si>
  <si>
    <t>铝内浮盘</t>
  </si>
  <si>
    <t>TK707</t>
    <phoneticPr fontId="2" type="noConversion"/>
  </si>
  <si>
    <t>TK706</t>
  </si>
  <si>
    <t>浮顶</t>
    <phoneticPr fontId="2" type="noConversion"/>
  </si>
  <si>
    <t>TK705</t>
    <phoneticPr fontId="2" type="noConversion"/>
  </si>
  <si>
    <t>中国航空油料集团公司</t>
    <phoneticPr fontId="2" type="noConversion"/>
  </si>
  <si>
    <t>航空煤油</t>
    <phoneticPr fontId="2" type="noConversion"/>
  </si>
  <si>
    <t>TK704</t>
  </si>
  <si>
    <t>TK703</t>
  </si>
  <si>
    <t>TK702</t>
    <phoneticPr fontId="2" type="noConversion"/>
  </si>
  <si>
    <t>SN80161208001</t>
    <phoneticPr fontId="2" type="noConversion"/>
  </si>
  <si>
    <t>珠海长成新能股份有限公司</t>
  </si>
  <si>
    <t>甲醇</t>
  </si>
  <si>
    <t>TK701</t>
  </si>
  <si>
    <t>中石化（香港）</t>
    <phoneticPr fontId="2" type="noConversion"/>
  </si>
  <si>
    <t>铝内浮盘</t>
    <phoneticPr fontId="2" type="noConversion"/>
  </si>
  <si>
    <t>TK606</t>
    <phoneticPr fontId="2" type="noConversion"/>
  </si>
  <si>
    <t>ZHHJ-CC-16002</t>
    <phoneticPr fontId="2" type="noConversion"/>
  </si>
  <si>
    <t>2016.12.31</t>
    <phoneticPr fontId="2" type="noConversion"/>
  </si>
  <si>
    <t>2016.01.01</t>
    <phoneticPr fontId="2" type="noConversion"/>
  </si>
  <si>
    <t>中国航空油料集团公司</t>
  </si>
  <si>
    <t>TK605</t>
    <phoneticPr fontId="2" type="noConversion"/>
  </si>
  <si>
    <t>TK604</t>
  </si>
  <si>
    <t>ZHHJ-CC-16022/ZHHJ-CC-16022 内贸</t>
    <phoneticPr fontId="2" type="noConversion"/>
  </si>
  <si>
    <t>2016.03.1/2016.12.31</t>
    <phoneticPr fontId="2" type="noConversion"/>
  </si>
  <si>
    <t>2016.01.1/2016.2.1</t>
    <phoneticPr fontId="2" type="noConversion"/>
  </si>
  <si>
    <t>包罐</t>
  </si>
  <si>
    <t>南京扬子石化碧辟乙酰有限责任公司</t>
    <phoneticPr fontId="2" type="noConversion"/>
  </si>
  <si>
    <t>冰醋酸</t>
    <phoneticPr fontId="2" type="noConversion"/>
  </si>
  <si>
    <t>固定顶</t>
    <phoneticPr fontId="2" type="noConversion"/>
  </si>
  <si>
    <t>TK603</t>
    <phoneticPr fontId="2" type="noConversion"/>
  </si>
  <si>
    <t>TK602</t>
    <phoneticPr fontId="2" type="noConversion"/>
  </si>
  <si>
    <t>TK601</t>
    <phoneticPr fontId="2" type="noConversion"/>
  </si>
  <si>
    <t>塞拉尼斯（南京）化工有限公司</t>
  </si>
  <si>
    <t>TK512</t>
  </si>
  <si>
    <t>固定顶</t>
  </si>
  <si>
    <t>TK511</t>
  </si>
  <si>
    <t>TK510</t>
  </si>
  <si>
    <t>广州伊藤忠商事有限公司</t>
  </si>
  <si>
    <t>甲醇</t>
    <phoneticPr fontId="2" type="noConversion"/>
  </si>
  <si>
    <t>TK509</t>
    <phoneticPr fontId="2" type="noConversion"/>
  </si>
  <si>
    <t>SN80161124005</t>
    <phoneticPr fontId="2" type="noConversion"/>
  </si>
  <si>
    <t>浙江物产化工集团宁波有限公司</t>
  </si>
  <si>
    <t>广州市维穗化工有限公司</t>
  </si>
  <si>
    <t>TK508</t>
  </si>
  <si>
    <t>TK507</t>
  </si>
  <si>
    <t>TK506</t>
  </si>
  <si>
    <t>SN80161208001(2079.923)</t>
    <phoneticPr fontId="2" type="noConversion"/>
  </si>
  <si>
    <t>宁波HJ8016112303恒E1612008（525）</t>
  </si>
  <si>
    <t>上海申祺实业有限公司</t>
  </si>
  <si>
    <t>苯乙烯</t>
    <phoneticPr fontId="2" type="noConversion"/>
  </si>
  <si>
    <t>TK505</t>
    <phoneticPr fontId="2" type="noConversion"/>
  </si>
  <si>
    <t>李长荣YH80161006002恒E1610011(479.807)/SN80161025002恒E1611010（2100）、李长荣SN80161025005恒E1611015（525）HY8016112301恒E1612006（2100）HY8016112302恒E1612006（525）/李长荣SN80161119003恒E1612009(499)</t>
    <phoneticPr fontId="2" type="noConversion"/>
  </si>
  <si>
    <t>道达尔石化(佛山)有限公司</t>
  </si>
  <si>
    <t>TK504</t>
  </si>
  <si>
    <t>SN80161217005恒E1612013</t>
    <phoneticPr fontId="2" type="noConversion"/>
  </si>
  <si>
    <t>苯乙烯</t>
  </si>
  <si>
    <t>TK503</t>
  </si>
  <si>
    <r>
      <t>ZHHJ-CC-16064/</t>
    </r>
    <r>
      <rPr>
        <sz val="9"/>
        <rFont val="宋体"/>
        <family val="3"/>
        <charset val="134"/>
      </rPr>
      <t>SN80160919001恒</t>
    </r>
    <r>
      <rPr>
        <sz val="9"/>
        <rFont val="Verdana"/>
        <family val="2"/>
      </rPr>
      <t>E1610017</t>
    </r>
    <phoneticPr fontId="2" type="noConversion"/>
  </si>
  <si>
    <t>α烯烃（C10）</t>
    <phoneticPr fontId="2" type="noConversion"/>
  </si>
  <si>
    <t>保税</t>
  </si>
  <si>
    <t>TK502</t>
  </si>
  <si>
    <t>ZHHJ-CC-16085。YH80161029002/ZHHJ-CC-16096 YH80161206001(983)</t>
    <phoneticPr fontId="2" type="noConversion"/>
  </si>
  <si>
    <t>华润化工国际贸易（上海）有限公司</t>
  </si>
  <si>
    <t>二甘醇</t>
    <phoneticPr fontId="2" type="noConversion"/>
  </si>
  <si>
    <t>TK501</t>
    <phoneticPr fontId="2" type="noConversion"/>
  </si>
  <si>
    <t>a烯烃（C14)</t>
    <phoneticPr fontId="2" type="noConversion"/>
  </si>
  <si>
    <t>TK410</t>
  </si>
  <si>
    <t>内浮顶</t>
  </si>
  <si>
    <t>TK409</t>
  </si>
  <si>
    <t>TK408</t>
  </si>
  <si>
    <t>TK407</t>
    <phoneticPr fontId="2" type="noConversion"/>
  </si>
  <si>
    <t>TK406</t>
  </si>
  <si>
    <t>ZHHJ-CC-16089</t>
  </si>
  <si>
    <t>2016.12.15</t>
    <phoneticPr fontId="2" type="noConversion"/>
  </si>
  <si>
    <t>2016.11.16</t>
    <phoneticPr fontId="2" type="noConversion"/>
  </si>
  <si>
    <t>舟山浙物石油化工有限公司</t>
  </si>
  <si>
    <t>内浮顶</t>
    <phoneticPr fontId="2" type="noConversion"/>
  </si>
  <si>
    <t>TK405</t>
  </si>
  <si>
    <t>广州顺洪贸易有限公司</t>
  </si>
  <si>
    <t>冰醋酸</t>
  </si>
  <si>
    <t>TK404</t>
  </si>
  <si>
    <t>TK403</t>
    <phoneticPr fontId="2" type="noConversion"/>
  </si>
  <si>
    <t>NH417V16030</t>
    <phoneticPr fontId="2" type="noConversion"/>
  </si>
  <si>
    <t>丙酮</t>
    <phoneticPr fontId="2" type="noConversion"/>
  </si>
  <si>
    <t>TK402</t>
  </si>
  <si>
    <t>ZHHJ-CC-16048</t>
  </si>
  <si>
    <t>广东奇化化工交易中心股份有限公司</t>
  </si>
  <si>
    <t>液碱</t>
    <phoneticPr fontId="2" type="noConversion"/>
  </si>
  <si>
    <t>TK401</t>
  </si>
  <si>
    <t xml:space="preserve">015、SN80161003001(3986)、HJ8016112602（5001）
</t>
    <phoneticPr fontId="2" type="noConversion"/>
  </si>
  <si>
    <t>2017.12.31</t>
  </si>
  <si>
    <t>2002.11.27</t>
  </si>
  <si>
    <t>钢内浮顶</t>
  </si>
  <si>
    <t>TK304</t>
  </si>
  <si>
    <t xml:space="preserve">015,/SN80161116005(9358)、SN80161205001（8578）
 </t>
    <phoneticPr fontId="2" type="noConversion"/>
  </si>
  <si>
    <t>2017.12.31</t>
    <phoneticPr fontId="2" type="noConversion"/>
  </si>
  <si>
    <t>2010.12.01</t>
  </si>
  <si>
    <t>TK303</t>
  </si>
  <si>
    <t>TK302</t>
  </si>
  <si>
    <t>/HJ8016120901(5005)</t>
  </si>
  <si>
    <t>TK301</t>
  </si>
  <si>
    <t>SN80161124003(5002)、YH80161204001（4751）YH80161204002（4751）、YH80161204003（4751）/HJ8016121901(5003)</t>
    <phoneticPr fontId="2" type="noConversion"/>
  </si>
  <si>
    <t>TK207</t>
    <phoneticPr fontId="2" type="noConversion"/>
  </si>
  <si>
    <t>TK206</t>
  </si>
  <si>
    <t>TK205</t>
  </si>
  <si>
    <t>TK204</t>
  </si>
  <si>
    <t>TK203</t>
  </si>
  <si>
    <t>2016.12.07</t>
    <phoneticPr fontId="2" type="noConversion"/>
  </si>
  <si>
    <t>2016.11.08</t>
    <phoneticPr fontId="2" type="noConversion"/>
  </si>
  <si>
    <t>TK202</t>
    <phoneticPr fontId="2" type="noConversion"/>
  </si>
  <si>
    <t>TK201</t>
  </si>
  <si>
    <t>珠海华润包装材料有限公司</t>
  </si>
  <si>
    <t>乙二醇</t>
  </si>
  <si>
    <t>TK105B</t>
  </si>
  <si>
    <t>2015.01.01</t>
    <phoneticPr fontId="2" type="noConversion"/>
  </si>
  <si>
    <t>广东泰宝聚合物有限公司</t>
  </si>
  <si>
    <t>TK105A</t>
  </si>
  <si>
    <t>SN80161219001</t>
    <phoneticPr fontId="2" type="noConversion"/>
  </si>
  <si>
    <t>2011.12.23</t>
  </si>
  <si>
    <t>乙二醇</t>
    <phoneticPr fontId="2" type="noConversion"/>
  </si>
  <si>
    <t>TK104</t>
  </si>
  <si>
    <t>内贸</t>
    <phoneticPr fontId="2" type="noConversion"/>
  </si>
  <si>
    <t>/</t>
  </si>
  <si>
    <t>2007.06.1</t>
  </si>
  <si>
    <t>TK103</t>
  </si>
  <si>
    <t>SN80161223001</t>
  </si>
  <si>
    <t>宁波中宇石化有限公司</t>
  </si>
  <si>
    <t>正烷烃</t>
    <phoneticPr fontId="2" type="noConversion"/>
  </si>
  <si>
    <t>TK102</t>
  </si>
  <si>
    <t>TK101</t>
  </si>
  <si>
    <t>备注</t>
  </si>
  <si>
    <t>合同结束</t>
  </si>
  <si>
    <t>合同开始</t>
  </si>
  <si>
    <t>罐容</t>
  </si>
  <si>
    <t>未放行量</t>
  </si>
  <si>
    <t>财务
控量</t>
  </si>
  <si>
    <t>海关放行
数量</t>
    <phoneticPr fontId="2" type="noConversion"/>
  </si>
  <si>
    <t>当日结存</t>
  </si>
  <si>
    <t>租罐性质</t>
  </si>
  <si>
    <t>所属公司</t>
    <phoneticPr fontId="2" type="noConversion"/>
  </si>
  <si>
    <t>品名</t>
  </si>
  <si>
    <t>属性</t>
  </si>
  <si>
    <t>结构形式</t>
  </si>
  <si>
    <t>罐号</t>
    <phoneticPr fontId="2" type="noConversion"/>
  </si>
  <si>
    <t>盘点日期</t>
    <phoneticPr fontId="2" type="noConversion"/>
  </si>
  <si>
    <t>石脑油</t>
    <phoneticPr fontId="2" type="noConversion"/>
  </si>
  <si>
    <t>ZHHJ-CC-16029</t>
    <phoneticPr fontId="2" type="noConversion"/>
  </si>
  <si>
    <t>2016.04.10</t>
    <phoneticPr fontId="2" type="noConversion"/>
  </si>
  <si>
    <t>SN80161217002(8561)/SN80161228001(9546)</t>
    <phoneticPr fontId="2" type="noConversion"/>
  </si>
  <si>
    <t>ZHHJ-CC-16072/YH80160924003(4092.929)/YH80160924004(8666.148)、YH80160924002(2893)</t>
    <phoneticPr fontId="2" type="noConversion"/>
  </si>
  <si>
    <t xml:space="preserve">包罐 </t>
    <phoneticPr fontId="2" type="noConversion"/>
  </si>
  <si>
    <t>TK705</t>
    <phoneticPr fontId="2" type="noConversion"/>
  </si>
  <si>
    <t>TK702</t>
    <phoneticPr fontId="2" type="noConversion"/>
  </si>
  <si>
    <t>SN80161208001</t>
    <phoneticPr fontId="2" type="noConversion"/>
  </si>
  <si>
    <t>铝内浮盘</t>
    <phoneticPr fontId="2" type="noConversion"/>
  </si>
  <si>
    <t>ZHHJ-CC-16002</t>
    <phoneticPr fontId="2" type="noConversion"/>
  </si>
  <si>
    <t>2016.12.31</t>
    <phoneticPr fontId="2" type="noConversion"/>
  </si>
  <si>
    <t>2016.01.01</t>
    <phoneticPr fontId="2" type="noConversion"/>
  </si>
  <si>
    <t>TK605</t>
    <phoneticPr fontId="2" type="noConversion"/>
  </si>
  <si>
    <t>ZHHJ-CC-16022/ZHHJ-CC-16022 内贸</t>
    <phoneticPr fontId="2" type="noConversion"/>
  </si>
  <si>
    <t>2016.03.1/2016.12.31</t>
    <phoneticPr fontId="2" type="noConversion"/>
  </si>
  <si>
    <t>冰醋酸</t>
    <phoneticPr fontId="2" type="noConversion"/>
  </si>
  <si>
    <t>固定顶</t>
    <phoneticPr fontId="2" type="noConversion"/>
  </si>
  <si>
    <t>TK603</t>
    <phoneticPr fontId="2" type="noConversion"/>
  </si>
  <si>
    <t>TK602</t>
    <phoneticPr fontId="2" type="noConversion"/>
  </si>
  <si>
    <t>TK601</t>
    <phoneticPr fontId="2" type="noConversion"/>
  </si>
  <si>
    <t>SN80161124005</t>
    <phoneticPr fontId="2" type="noConversion"/>
  </si>
  <si>
    <t>TK509</t>
    <phoneticPr fontId="2" type="noConversion"/>
  </si>
  <si>
    <t>李长荣YH80161006002恒E1610011(479.807)/SN80161025002恒E1611010（2100）、李长荣SN80161025005恒E1611015（525）HY8016112301恒E1612006（2100）HY8016112302恒E1612006（525）/李长荣SN80161119003恒E1612009(499)</t>
    <phoneticPr fontId="2" type="noConversion"/>
  </si>
  <si>
    <t>SN80161217005恒E1612013</t>
    <phoneticPr fontId="2" type="noConversion"/>
  </si>
  <si>
    <r>
      <t>ZHHJ-CC-16064/</t>
    </r>
    <r>
      <rPr>
        <sz val="9"/>
        <rFont val="宋体"/>
        <family val="3"/>
        <charset val="134"/>
      </rPr>
      <t>SN80160919001恒</t>
    </r>
    <r>
      <rPr>
        <sz val="9"/>
        <rFont val="Verdana"/>
        <family val="2"/>
      </rPr>
      <t>E1610017</t>
    </r>
    <phoneticPr fontId="2" type="noConversion"/>
  </si>
  <si>
    <t>α烯烃（C10）</t>
    <phoneticPr fontId="2" type="noConversion"/>
  </si>
  <si>
    <t>二甘醇</t>
    <phoneticPr fontId="2" type="noConversion"/>
  </si>
  <si>
    <t>2016.11.16</t>
    <phoneticPr fontId="2" type="noConversion"/>
  </si>
  <si>
    <t>内浮顶</t>
    <phoneticPr fontId="2" type="noConversion"/>
  </si>
  <si>
    <t>液碱</t>
    <phoneticPr fontId="2" type="noConversion"/>
  </si>
  <si>
    <t xml:space="preserve">015,/SN80161116005(9358)、SN80161205001（8578）
 </t>
    <phoneticPr fontId="2" type="noConversion"/>
  </si>
  <si>
    <t>SN80161124003(5002)、YH80161204001（4751）YH80161204002（4751）、YH80161204003（4751）/HJ8016121901(5003)</t>
    <phoneticPr fontId="2" type="noConversion"/>
  </si>
  <si>
    <t>2016.11.08</t>
    <phoneticPr fontId="2" type="noConversion"/>
  </si>
  <si>
    <t>乙二醇</t>
    <phoneticPr fontId="2" type="noConversion"/>
  </si>
  <si>
    <t>正烷烃</t>
    <phoneticPr fontId="2" type="noConversion"/>
  </si>
  <si>
    <t>截止时间早上08：00</t>
    <phoneticPr fontId="2" type="noConversion"/>
  </si>
  <si>
    <t>盘点日期</t>
    <phoneticPr fontId="2" type="noConversion"/>
  </si>
  <si>
    <t>广东泰宝聚合物有限公司</t>
    <phoneticPr fontId="3" type="noConversion"/>
  </si>
  <si>
    <t>舟山浙物石油化工有限公司</t>
    <phoneticPr fontId="3" type="noConversion"/>
  </si>
  <si>
    <t>珠海碧辟化工有限公司</t>
    <phoneticPr fontId="3" type="noConversion"/>
  </si>
  <si>
    <t>珠海碧辟化工有限公司</t>
    <phoneticPr fontId="3" type="noConversion"/>
  </si>
  <si>
    <t>江苏汇鸿国际集团中鼎控股股份有限公司</t>
    <phoneticPr fontId="3" type="noConversion"/>
  </si>
  <si>
    <t>广州伊藤忠商事有限公司</t>
    <phoneticPr fontId="3" type="noConversion"/>
  </si>
  <si>
    <t>中石化（香港）航空燃油有限公司</t>
    <phoneticPr fontId="2" type="noConversion"/>
  </si>
  <si>
    <t>SN80161217002(8561)/SN80161228001(9546)NH411V16036A（5000）/NH411V16036B（4998）</t>
    <phoneticPr fontId="2" type="noConversion"/>
  </si>
  <si>
    <t>YH80161212002恒E1612016（28108.54）</t>
    <phoneticPr fontId="2" type="noConversion"/>
  </si>
  <si>
    <r>
      <t>ZHHJ-CC-16022/ZHHJ-CC-16022</t>
    </r>
    <r>
      <rPr>
        <b/>
        <sz val="9"/>
        <rFont val="宋体"/>
        <family val="3"/>
        <charset val="134"/>
      </rPr>
      <t xml:space="preserve"> 内贸</t>
    </r>
    <phoneticPr fontId="2" type="noConversion"/>
  </si>
  <si>
    <r>
      <t>ZHHJ-CC-16064/</t>
    </r>
    <r>
      <rPr>
        <sz val="9"/>
        <rFont val="宋体"/>
        <family val="3"/>
        <charset val="134"/>
      </rPr>
      <t>SN80160919001恒</t>
    </r>
    <r>
      <rPr>
        <sz val="9"/>
        <rFont val="Verdana"/>
        <family val="2"/>
      </rPr>
      <t>E1610017/YH80160919001</t>
    </r>
    <r>
      <rPr>
        <sz val="9"/>
        <rFont val="宋体"/>
        <family val="3"/>
        <charset val="134"/>
      </rPr>
      <t>恒</t>
    </r>
    <r>
      <rPr>
        <sz val="9"/>
        <rFont val="Verdana"/>
        <family val="2"/>
      </rPr>
      <t>E1612014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</rPr>
      <t>539.234</t>
    </r>
    <r>
      <rPr>
        <sz val="9"/>
        <rFont val="宋体"/>
        <family val="3"/>
        <charset val="134"/>
      </rPr>
      <t>）</t>
    </r>
    <phoneticPr fontId="2" type="noConversion"/>
  </si>
  <si>
    <t>ZHHJ-CC-16085。YH80161029002/ZHHJ-CC-16096 YH80161206001(983)</t>
    <phoneticPr fontId="2" type="noConversion"/>
  </si>
  <si>
    <t>TK407</t>
    <phoneticPr fontId="2" type="noConversion"/>
  </si>
  <si>
    <t>2016.11.16</t>
    <phoneticPr fontId="2" type="noConversion"/>
  </si>
  <si>
    <t>TK403</t>
    <phoneticPr fontId="2" type="noConversion"/>
  </si>
  <si>
    <t>盘点日期</t>
    <phoneticPr fontId="2" type="noConversion"/>
  </si>
  <si>
    <t>ZHHJ-CC-15003/HJ8017010202(521)/HJ8017010203(1012)</t>
    <phoneticPr fontId="2" type="noConversion"/>
  </si>
  <si>
    <t>ZHHJ-CC-15003、HJ8017010202(1514)</t>
    <phoneticPr fontId="2" type="noConversion"/>
  </si>
  <si>
    <t>盘点日期</t>
    <phoneticPr fontId="2" type="noConversion"/>
  </si>
  <si>
    <t>广东泰宝聚合物有限公司</t>
    <phoneticPr fontId="3" type="noConversion"/>
  </si>
  <si>
    <t>广州宏协贸易有限公司</t>
  </si>
  <si>
    <t>江苏汇鸿国际集团中鼎控股股份有限公司</t>
    <phoneticPr fontId="3" type="noConversion"/>
  </si>
  <si>
    <t>中石化（香港）航空燃油有限公司</t>
  </si>
  <si>
    <t>中石化（香港）航空燃油有限公司</t>
    <phoneticPr fontId="2" type="noConversion"/>
  </si>
  <si>
    <t>SN80161217002(8561)/SN80161228001(9546)NH411V16036A（5000）/NH411V16036B（4998）、SN80170102002（5239）/SN80170102001(5236.706 )</t>
    <phoneticPr fontId="2" type="noConversion"/>
  </si>
  <si>
    <t>SN80170101007</t>
    <phoneticPr fontId="2" type="noConversion"/>
  </si>
  <si>
    <t>MTBE</t>
    <phoneticPr fontId="2" type="noConversion"/>
  </si>
  <si>
    <t>HJ8017010201</t>
    <phoneticPr fontId="2" type="noConversion"/>
  </si>
  <si>
    <t>SN80161224001</t>
    <phoneticPr fontId="2" type="noConversion"/>
  </si>
  <si>
    <t>HY8016112301恒E1612006（2100）HY8016112302恒E1612006（525）/李长荣SN80161119003恒E1612009(499)、SN80170101001恒E1701002(1574.891)\</t>
    <phoneticPr fontId="2" type="noConversion"/>
  </si>
  <si>
    <t>SN80170101002恒E1701003(525)</t>
    <phoneticPr fontId="2" type="noConversion"/>
  </si>
  <si>
    <t xml:space="preserve">015、SN80161003001(3986)、HJ8016112602（5001）/SN80170102003(2033.916)
</t>
    <phoneticPr fontId="2" type="noConversion"/>
  </si>
  <si>
    <t>/HJ8016120901(5005)/SN80170102003(8486.106)</t>
    <phoneticPr fontId="2" type="noConversion"/>
  </si>
  <si>
    <t>盘点日期</t>
    <phoneticPr fontId="2" type="noConversion"/>
  </si>
  <si>
    <r>
      <t>ZHHJ-CC-16064/</t>
    </r>
    <r>
      <rPr>
        <sz val="9"/>
        <rFont val="宋体"/>
        <family val="3"/>
        <charset val="134"/>
      </rPr>
      <t>SN80160919001恒</t>
    </r>
    <r>
      <rPr>
        <sz val="9"/>
        <rFont val="Verdana"/>
        <family val="2"/>
      </rPr>
      <t>E1610017/YH80160919001</t>
    </r>
    <r>
      <rPr>
        <sz val="9"/>
        <rFont val="宋体"/>
        <family val="3"/>
        <charset val="134"/>
      </rPr>
      <t>恒</t>
    </r>
    <r>
      <rPr>
        <sz val="9"/>
        <rFont val="Verdana"/>
        <family val="2"/>
      </rPr>
      <t>E1612014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</rPr>
      <t>539.234</t>
    </r>
    <r>
      <rPr>
        <sz val="9"/>
        <rFont val="宋体"/>
        <family val="3"/>
        <charset val="134"/>
      </rPr>
      <t>）</t>
    </r>
    <phoneticPr fontId="2" type="noConversion"/>
  </si>
  <si>
    <r>
      <t>ZHHJ-CC-16022/ZHHJ-CC-16022</t>
    </r>
    <r>
      <rPr>
        <b/>
        <sz val="9"/>
        <rFont val="宋体"/>
        <family val="3"/>
        <charset val="134"/>
      </rPr>
      <t xml:space="preserve"> 内贸</t>
    </r>
    <phoneticPr fontId="2" type="noConversion"/>
  </si>
  <si>
    <t>广州顺洪贸易有限公司</t>
    <phoneticPr fontId="3" type="noConversion"/>
  </si>
  <si>
    <t>万烽（厦门）能源有限公司</t>
  </si>
  <si>
    <t>万烽（厦门）能源有限公司</t>
    <phoneticPr fontId="2" type="noConversion"/>
  </si>
  <si>
    <t>珠海华城环保科技有限公司</t>
    <phoneticPr fontId="2" type="noConversion"/>
  </si>
  <si>
    <t>SN80161231002（6000）</t>
    <phoneticPr fontId="2" type="noConversion"/>
  </si>
  <si>
    <t>HJ8017010202(1514)</t>
  </si>
  <si>
    <t>盘点日期</t>
    <phoneticPr fontId="2" type="noConversion"/>
  </si>
  <si>
    <r>
      <t>ZHHJ-CC-16064/</t>
    </r>
    <r>
      <rPr>
        <sz val="9"/>
        <rFont val="宋体"/>
        <family val="3"/>
        <charset val="134"/>
      </rPr>
      <t>SN80160919001恒</t>
    </r>
    <r>
      <rPr>
        <sz val="9"/>
        <rFont val="Verdana"/>
        <family val="2"/>
      </rPr>
      <t>E1610017/YH80160919001</t>
    </r>
    <r>
      <rPr>
        <sz val="9"/>
        <rFont val="宋体"/>
        <family val="3"/>
        <charset val="134"/>
      </rPr>
      <t>恒</t>
    </r>
    <r>
      <rPr>
        <sz val="9"/>
        <rFont val="Verdana"/>
        <family val="2"/>
      </rPr>
      <t>E1612014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</rPr>
      <t>539.234</t>
    </r>
    <r>
      <rPr>
        <sz val="9"/>
        <rFont val="宋体"/>
        <family val="3"/>
        <charset val="134"/>
      </rPr>
      <t>）</t>
    </r>
    <phoneticPr fontId="2" type="noConversion"/>
  </si>
  <si>
    <t>广东奇化化工交易中心股份有限公司</t>
    <phoneticPr fontId="3" type="noConversion"/>
  </si>
  <si>
    <t>珠海长炼石化设备有限公司</t>
  </si>
  <si>
    <t>SN80161124005、SN80161224001（1584.571）</t>
    <phoneticPr fontId="2" type="noConversion"/>
  </si>
  <si>
    <t>ZHHJ-CC-16096 YH80161206001(983)/ZHHJ-CC-17004(500.357)</t>
    <phoneticPr fontId="2" type="noConversion"/>
  </si>
  <si>
    <t>YH80170102001</t>
    <phoneticPr fontId="2" type="noConversion"/>
  </si>
  <si>
    <t>浙江物产化工集团宁波有限公司</t>
    <phoneticPr fontId="2" type="noConversion"/>
  </si>
  <si>
    <t>珠海长成新能股份有限公司</t>
    <phoneticPr fontId="3" type="noConversion"/>
  </si>
  <si>
    <t>珠海长成新能股份有限公司</t>
    <phoneticPr fontId="3" type="noConversion"/>
  </si>
  <si>
    <t>广州顺洪贸易有限公司</t>
    <phoneticPr fontId="3" type="noConversion"/>
  </si>
  <si>
    <t>SN80170102002（5239）/SN80170102001(5236.706 )/SN80170108001(10507)</t>
    <phoneticPr fontId="2" type="noConversion"/>
  </si>
  <si>
    <t>ZHHJ-CC-17005</t>
    <phoneticPr fontId="2" type="noConversion"/>
  </si>
  <si>
    <t>HJ8017010702</t>
    <phoneticPr fontId="2" type="noConversion"/>
  </si>
  <si>
    <t>南京扬子石化碧辟乙酰有限责任公司</t>
  </si>
  <si>
    <t>SN80170102002（5239）/SN80170102001(5236.706 )/SN80170108001(10507)、SN80170109011（4897）</t>
    <phoneticPr fontId="2" type="noConversion"/>
  </si>
  <si>
    <t>ZHHJ-CC-17005 HJ8017010701</t>
    <phoneticPr fontId="2" type="noConversion"/>
  </si>
  <si>
    <t>二乙二醇</t>
    <phoneticPr fontId="2" type="noConversion"/>
  </si>
  <si>
    <t>盘点日期</t>
    <phoneticPr fontId="3" type="noConversion"/>
  </si>
  <si>
    <t>TK505</t>
    <phoneticPr fontId="2" type="noConversion"/>
  </si>
  <si>
    <t>盘点日期</t>
    <phoneticPr fontId="2" type="noConversion"/>
  </si>
  <si>
    <t>包罐</t>
    <phoneticPr fontId="2" type="noConversion"/>
  </si>
  <si>
    <t>混合芳烃</t>
    <phoneticPr fontId="2" type="noConversion"/>
  </si>
  <si>
    <t>保税</t>
    <phoneticPr fontId="2" type="noConversion"/>
  </si>
  <si>
    <t>TK807</t>
    <phoneticPr fontId="2" type="noConversion"/>
  </si>
  <si>
    <t>SN80161231002（6000）</t>
    <phoneticPr fontId="2" type="noConversion"/>
  </si>
  <si>
    <t>石脑油</t>
    <phoneticPr fontId="2" type="noConversion"/>
  </si>
  <si>
    <t>ZHHJ-CC-16029</t>
    <phoneticPr fontId="2" type="noConversion"/>
  </si>
  <si>
    <t>2016.04.10</t>
    <phoneticPr fontId="2" type="noConversion"/>
  </si>
  <si>
    <t>2016.03.10</t>
    <phoneticPr fontId="2" type="noConversion"/>
  </si>
  <si>
    <t>TK803</t>
    <phoneticPr fontId="2" type="noConversion"/>
  </si>
  <si>
    <t>SN80170102002（5239）/SN80170102001(5236.706 )/SN80170108001(10507)、SN80170109011（4897）、NH423V17001（4994）</t>
    <phoneticPr fontId="2" type="noConversion"/>
  </si>
  <si>
    <t>ZHHJ-CC-16072/YH80160924003(4092.929)/YH80160924004(8666.148)、YH80160924002(2893)</t>
    <phoneticPr fontId="2" type="noConversion"/>
  </si>
  <si>
    <t xml:space="preserve">包罐 </t>
    <phoneticPr fontId="2" type="noConversion"/>
  </si>
  <si>
    <t>TK707</t>
    <phoneticPr fontId="2" type="noConversion"/>
  </si>
  <si>
    <t>YH80161212002恒E1612016（28108.54）</t>
    <phoneticPr fontId="2" type="noConversion"/>
  </si>
  <si>
    <t>浮顶</t>
    <phoneticPr fontId="2" type="noConversion"/>
  </si>
  <si>
    <t>TK705</t>
    <phoneticPr fontId="2" type="noConversion"/>
  </si>
  <si>
    <t>航空煤油</t>
    <phoneticPr fontId="2" type="noConversion"/>
  </si>
  <si>
    <t>TK702</t>
    <phoneticPr fontId="2" type="noConversion"/>
  </si>
  <si>
    <t>铝内浮盘</t>
    <phoneticPr fontId="2" type="noConversion"/>
  </si>
  <si>
    <t>TK606</t>
    <phoneticPr fontId="2" type="noConversion"/>
  </si>
  <si>
    <t>ZHHJ-CC-16002</t>
    <phoneticPr fontId="2" type="noConversion"/>
  </si>
  <si>
    <t>2016.12.31</t>
    <phoneticPr fontId="2" type="noConversion"/>
  </si>
  <si>
    <t>2016.01.01</t>
    <phoneticPr fontId="2" type="noConversion"/>
  </si>
  <si>
    <t xml:space="preserve">包罐 </t>
    <phoneticPr fontId="2" type="noConversion"/>
  </si>
  <si>
    <t>航空煤油</t>
    <phoneticPr fontId="2" type="noConversion"/>
  </si>
  <si>
    <t>保税</t>
    <phoneticPr fontId="2" type="noConversion"/>
  </si>
  <si>
    <t>TK605</t>
    <phoneticPr fontId="2" type="noConversion"/>
  </si>
  <si>
    <t>SN80170101007</t>
    <phoneticPr fontId="2" type="noConversion"/>
  </si>
  <si>
    <t>包罐</t>
    <phoneticPr fontId="2" type="noConversion"/>
  </si>
  <si>
    <t>MTBE</t>
    <phoneticPr fontId="2" type="noConversion"/>
  </si>
  <si>
    <t>2016.03.1/2016.12.31</t>
    <phoneticPr fontId="2" type="noConversion"/>
  </si>
  <si>
    <t>2016.01.1/2016.2.1</t>
    <phoneticPr fontId="2" type="noConversion"/>
  </si>
  <si>
    <t>冰醋酸</t>
    <phoneticPr fontId="2" type="noConversion"/>
  </si>
  <si>
    <t>固定顶</t>
    <phoneticPr fontId="2" type="noConversion"/>
  </si>
  <si>
    <t>TK603</t>
    <phoneticPr fontId="2" type="noConversion"/>
  </si>
  <si>
    <t>包罐</t>
    <phoneticPr fontId="2" type="noConversion"/>
  </si>
  <si>
    <t>TK602</t>
    <phoneticPr fontId="2" type="noConversion"/>
  </si>
  <si>
    <t>铝内浮盘</t>
    <phoneticPr fontId="2" type="noConversion"/>
  </si>
  <si>
    <t>TK601</t>
    <phoneticPr fontId="2" type="noConversion"/>
  </si>
  <si>
    <t>冰醋酸</t>
    <phoneticPr fontId="2" type="noConversion"/>
  </si>
  <si>
    <t>ZHHJ-CC-17005 HJ8017010701</t>
    <phoneticPr fontId="2" type="noConversion"/>
  </si>
  <si>
    <t>二乙二醇</t>
    <phoneticPr fontId="2" type="noConversion"/>
  </si>
  <si>
    <t>SN80161124005、SN80161224001（1584.571）</t>
    <phoneticPr fontId="2" type="noConversion"/>
  </si>
  <si>
    <t>甲醇</t>
    <phoneticPr fontId="2" type="noConversion"/>
  </si>
  <si>
    <t>TK509</t>
    <phoneticPr fontId="2" type="noConversion"/>
  </si>
  <si>
    <t>铝内浮盘</t>
    <phoneticPr fontId="2" type="noConversion"/>
  </si>
  <si>
    <t>SN80161224001</t>
    <phoneticPr fontId="2" type="noConversion"/>
  </si>
  <si>
    <t>SN80161208001(2079.923)</t>
    <phoneticPr fontId="2" type="noConversion"/>
  </si>
  <si>
    <t>甲醇</t>
    <phoneticPr fontId="2" type="noConversion"/>
  </si>
  <si>
    <t>苯乙烯</t>
    <phoneticPr fontId="2" type="noConversion"/>
  </si>
  <si>
    <t>HY8016112301恒E1612006（2100）HY8016112302恒E1612006（525）/李长荣SN80161119003恒E1612009(499)、SN80170101001恒E1701002(1574.891)\</t>
    <phoneticPr fontId="2" type="noConversion"/>
  </si>
  <si>
    <t>苯乙烯</t>
    <phoneticPr fontId="2" type="noConversion"/>
  </si>
  <si>
    <t>TK505</t>
    <phoneticPr fontId="2" type="noConversion"/>
  </si>
  <si>
    <t>α烯烃（C10）</t>
    <phoneticPr fontId="2" type="noConversion"/>
  </si>
  <si>
    <t>ZHHJ-CC-16096 YH80161206001(983)/ZHHJ-CC-17004(500.357)</t>
    <phoneticPr fontId="2" type="noConversion"/>
  </si>
  <si>
    <t>二甘醇</t>
    <phoneticPr fontId="2" type="noConversion"/>
  </si>
  <si>
    <t>TK501</t>
    <phoneticPr fontId="2" type="noConversion"/>
  </si>
  <si>
    <t>SN80161224001</t>
    <phoneticPr fontId="2" type="noConversion"/>
  </si>
  <si>
    <t>TK407</t>
    <phoneticPr fontId="2" type="noConversion"/>
  </si>
  <si>
    <t>2016.12.15</t>
    <phoneticPr fontId="2" type="noConversion"/>
  </si>
  <si>
    <t>2016.11.16</t>
    <phoneticPr fontId="2" type="noConversion"/>
  </si>
  <si>
    <t>石脑油</t>
    <phoneticPr fontId="2" type="noConversion"/>
  </si>
  <si>
    <t>内浮顶</t>
    <phoneticPr fontId="2" type="noConversion"/>
  </si>
  <si>
    <t>2016.12.31</t>
    <phoneticPr fontId="2" type="noConversion"/>
  </si>
  <si>
    <t>2016.01.01</t>
    <phoneticPr fontId="2" type="noConversion"/>
  </si>
  <si>
    <t>TK403</t>
    <phoneticPr fontId="2" type="noConversion"/>
  </si>
  <si>
    <t>HHJ-CC-16011</t>
    <phoneticPr fontId="2" type="noConversion"/>
  </si>
  <si>
    <t>HHJ-CC-16011</t>
    <phoneticPr fontId="2" type="noConversion"/>
  </si>
  <si>
    <t>丙酮</t>
    <phoneticPr fontId="2" type="noConversion"/>
  </si>
  <si>
    <t>液碱</t>
    <phoneticPr fontId="2" type="noConversion"/>
  </si>
  <si>
    <t xml:space="preserve">015、SN80161003001(3986)、HJ8016112602（5001）/SN80170102003(2033.916)
</t>
    <phoneticPr fontId="2" type="noConversion"/>
  </si>
  <si>
    <t xml:space="preserve">015,/SN80161116005(9358)、SN80161205001（8578）
 </t>
    <phoneticPr fontId="2" type="noConversion"/>
  </si>
  <si>
    <t>2017.12.31</t>
    <phoneticPr fontId="2" type="noConversion"/>
  </si>
  <si>
    <t>/HJ8016120901(5005)/SN80170102003(8486.106)</t>
    <phoneticPr fontId="2" type="noConversion"/>
  </si>
  <si>
    <t>SN80161124003(5002)、YH80161204001（4751）YH80161204002（4751）、YH80161204003（4751）/HJ8016121901(5003)</t>
    <phoneticPr fontId="2" type="noConversion"/>
  </si>
  <si>
    <t>ZHHJ-CC-16092/HJ8017010202(521)/HJ8017010203(1012)</t>
    <phoneticPr fontId="2" type="noConversion"/>
  </si>
  <si>
    <t>ZHHJ-CC-16092/HJ8017010202(521)/HJ8017010203(1012)</t>
    <phoneticPr fontId="2" type="noConversion"/>
  </si>
  <si>
    <t>二甘醇</t>
    <phoneticPr fontId="2" type="noConversion"/>
  </si>
  <si>
    <t>TK207</t>
    <phoneticPr fontId="2" type="noConversion"/>
  </si>
  <si>
    <t>ZHHJ-CC-16092 HJ8017010202(1514)</t>
    <phoneticPr fontId="2" type="noConversion"/>
  </si>
  <si>
    <t>ZHHJ-CC-16092 HJ8017010202(1514)</t>
    <phoneticPr fontId="2" type="noConversion"/>
  </si>
  <si>
    <t>ZHHJ-CC-16092、HJ8017010202(1514)</t>
    <phoneticPr fontId="2" type="noConversion"/>
  </si>
  <si>
    <t>ZHHJ-CC-16092、HJ8017010202(1514)</t>
    <phoneticPr fontId="2" type="noConversion"/>
  </si>
  <si>
    <t>2016.12.07</t>
    <phoneticPr fontId="2" type="noConversion"/>
  </si>
  <si>
    <t>2016.11.08</t>
    <phoneticPr fontId="2" type="noConversion"/>
  </si>
  <si>
    <t>石脑油</t>
    <phoneticPr fontId="2" type="noConversion"/>
  </si>
  <si>
    <t>浮顶</t>
    <phoneticPr fontId="2" type="noConversion"/>
  </si>
  <si>
    <t>TK202</t>
    <phoneticPr fontId="2" type="noConversion"/>
  </si>
  <si>
    <t>YH80170102001</t>
    <phoneticPr fontId="2" type="noConversion"/>
  </si>
  <si>
    <t>HJ8017010702</t>
    <phoneticPr fontId="2" type="noConversion"/>
  </si>
  <si>
    <t>2015.01.01</t>
    <phoneticPr fontId="2" type="noConversion"/>
  </si>
  <si>
    <t>乙二醇</t>
    <phoneticPr fontId="2" type="noConversion"/>
  </si>
  <si>
    <t>内贸</t>
    <phoneticPr fontId="2" type="noConversion"/>
  </si>
  <si>
    <t>正烷烃</t>
    <phoneticPr fontId="2" type="noConversion"/>
  </si>
  <si>
    <t>2017.12.31</t>
    <phoneticPr fontId="2" type="noConversion"/>
  </si>
  <si>
    <t>2015.01.01</t>
    <phoneticPr fontId="2" type="noConversion"/>
  </si>
  <si>
    <t>海关放行
数量</t>
    <phoneticPr fontId="2" type="noConversion"/>
  </si>
  <si>
    <t>截止时间早上08：00</t>
    <phoneticPr fontId="2" type="noConversion"/>
  </si>
  <si>
    <t>罐号</t>
    <phoneticPr fontId="2" type="noConversion"/>
  </si>
  <si>
    <t>ZHHJ-CC-16099</t>
  </si>
  <si>
    <t>ZHHJ-CC-16100</t>
  </si>
  <si>
    <t>TK606</t>
    <phoneticPr fontId="2" type="noConversion"/>
  </si>
  <si>
    <t>ZHHJ-CC-16002</t>
    <phoneticPr fontId="2" type="noConversion"/>
  </si>
  <si>
    <t>2016.12.31</t>
    <phoneticPr fontId="2" type="noConversion"/>
  </si>
  <si>
    <t>2016.01.01</t>
    <phoneticPr fontId="2" type="noConversion"/>
  </si>
  <si>
    <t>TK605</t>
    <phoneticPr fontId="2" type="noConversion"/>
  </si>
  <si>
    <t>SN80170101007</t>
    <phoneticPr fontId="2" type="noConversion"/>
  </si>
  <si>
    <t>MTBE</t>
    <phoneticPr fontId="2" type="noConversion"/>
  </si>
  <si>
    <t>2016.03.1/2016.12.31</t>
    <phoneticPr fontId="2" type="noConversion"/>
  </si>
  <si>
    <t>2016.01.1/2016.2.1</t>
    <phoneticPr fontId="2" type="noConversion"/>
  </si>
  <si>
    <t>冰醋酸</t>
    <phoneticPr fontId="2" type="noConversion"/>
  </si>
  <si>
    <t>固定顶</t>
    <phoneticPr fontId="2" type="noConversion"/>
  </si>
  <si>
    <t>TK603</t>
    <phoneticPr fontId="2" type="noConversion"/>
  </si>
  <si>
    <t>TK602</t>
    <phoneticPr fontId="2" type="noConversion"/>
  </si>
  <si>
    <t>TK601</t>
    <phoneticPr fontId="2" type="noConversion"/>
  </si>
  <si>
    <t>ZHHJ-CC-17005 HJ8017010701</t>
    <phoneticPr fontId="2" type="noConversion"/>
  </si>
  <si>
    <t>二乙二醇</t>
    <phoneticPr fontId="2" type="noConversion"/>
  </si>
  <si>
    <t>SN80161124005、SN80161224001（1584.571）</t>
    <phoneticPr fontId="2" type="noConversion"/>
  </si>
  <si>
    <t>甲醇</t>
    <phoneticPr fontId="2" type="noConversion"/>
  </si>
  <si>
    <t>TK509</t>
    <phoneticPr fontId="2" type="noConversion"/>
  </si>
  <si>
    <t>SN80161224001</t>
    <phoneticPr fontId="2" type="noConversion"/>
  </si>
  <si>
    <t>SN80161208001(2079.923)</t>
    <phoneticPr fontId="2" type="noConversion"/>
  </si>
  <si>
    <t>苯乙烯</t>
    <phoneticPr fontId="2" type="noConversion"/>
  </si>
  <si>
    <t>SN80170101003恒E1701007（525）</t>
    <phoneticPr fontId="2" type="noConversion"/>
  </si>
  <si>
    <t>TK505</t>
    <phoneticPr fontId="2" type="noConversion"/>
  </si>
  <si>
    <t>α烯烃（C10）</t>
    <phoneticPr fontId="2" type="noConversion"/>
  </si>
  <si>
    <t>ZHHJ-CC-16096 YH80161206001(983)/ZHHJ-CC-17004 YH80170102002(500.357)</t>
    <phoneticPr fontId="2" type="noConversion"/>
  </si>
  <si>
    <t>ZHHJ-CC-16096 YH80161206001(983)/ZHHJ-CC-17004 YH80170102002(500.357)</t>
    <phoneticPr fontId="2" type="noConversion"/>
  </si>
  <si>
    <t>二甘醇</t>
    <phoneticPr fontId="2" type="noConversion"/>
  </si>
  <si>
    <t>TK501</t>
    <phoneticPr fontId="2" type="noConversion"/>
  </si>
  <si>
    <t>TK407</t>
    <phoneticPr fontId="2" type="noConversion"/>
  </si>
  <si>
    <t>2016.12.15</t>
    <phoneticPr fontId="2" type="noConversion"/>
  </si>
  <si>
    <t>2016.11.16</t>
    <phoneticPr fontId="2" type="noConversion"/>
  </si>
  <si>
    <t>内浮顶</t>
    <phoneticPr fontId="2" type="noConversion"/>
  </si>
  <si>
    <t>TK403</t>
    <phoneticPr fontId="2" type="noConversion"/>
  </si>
  <si>
    <t>HHJ-CC-16011</t>
    <phoneticPr fontId="2" type="noConversion"/>
  </si>
  <si>
    <t>丙酮</t>
    <phoneticPr fontId="2" type="noConversion"/>
  </si>
  <si>
    <t>液碱</t>
    <phoneticPr fontId="2" type="noConversion"/>
  </si>
  <si>
    <t xml:space="preserve">015、SN80161003001(3986)、HJ8016112602（5001）/SN80170102003(2033.916)
</t>
    <phoneticPr fontId="2" type="noConversion"/>
  </si>
  <si>
    <t xml:space="preserve">015,/SN80161116005(9358)、SN80161205001（8578）
 </t>
    <phoneticPr fontId="2" type="noConversion"/>
  </si>
  <si>
    <t>2017.12.31</t>
    <phoneticPr fontId="2" type="noConversion"/>
  </si>
  <si>
    <t>/HJ8016120901(5005)/SN80170102003(8486.106)</t>
    <phoneticPr fontId="2" type="noConversion"/>
  </si>
  <si>
    <t>SN80161124003(5002)、YH80161204001（4751）YH80161204002（4751）、YH80161204003（4751）/HJ8016121901(5003)</t>
    <phoneticPr fontId="2" type="noConversion"/>
  </si>
  <si>
    <t>ZHHJ-CC-16092/HJ8017010202(521)/HJ8017010203(1012)</t>
    <phoneticPr fontId="2" type="noConversion"/>
  </si>
  <si>
    <t>TK207</t>
    <phoneticPr fontId="2" type="noConversion"/>
  </si>
  <si>
    <t>ZHHJ-CC-16092 HJ8017010202(1514)</t>
    <phoneticPr fontId="2" type="noConversion"/>
  </si>
  <si>
    <t>ZHHJ-CC-16092、HJ8017010202(1514)</t>
    <phoneticPr fontId="2" type="noConversion"/>
  </si>
  <si>
    <t>2016.12.07</t>
    <phoneticPr fontId="2" type="noConversion"/>
  </si>
  <si>
    <t>2016.11.08</t>
    <phoneticPr fontId="2" type="noConversion"/>
  </si>
  <si>
    <t>TK202</t>
    <phoneticPr fontId="2" type="noConversion"/>
  </si>
  <si>
    <t>YH80170102001</t>
    <phoneticPr fontId="2" type="noConversion"/>
  </si>
  <si>
    <t>HJ8017010702</t>
    <phoneticPr fontId="2" type="noConversion"/>
  </si>
  <si>
    <t>2015.01.01</t>
    <phoneticPr fontId="2" type="noConversion"/>
  </si>
  <si>
    <t>乙二醇</t>
    <phoneticPr fontId="2" type="noConversion"/>
  </si>
  <si>
    <t>内贸</t>
    <phoneticPr fontId="2" type="noConversion"/>
  </si>
  <si>
    <t>正烷烃</t>
    <phoneticPr fontId="2" type="noConversion"/>
  </si>
  <si>
    <t>海关放行
数量</t>
    <phoneticPr fontId="2" type="noConversion"/>
  </si>
  <si>
    <t>截止时间早上08：00</t>
    <phoneticPr fontId="2" type="noConversion"/>
  </si>
  <si>
    <t>罐号</t>
    <phoneticPr fontId="2" type="noConversion"/>
  </si>
  <si>
    <t>中国航空油料集团公司</t>
    <phoneticPr fontId="3" type="noConversion"/>
  </si>
  <si>
    <t>广州大兴石油化工有限公司</t>
    <phoneticPr fontId="3" type="noConversion"/>
  </si>
  <si>
    <t>珠海实友化工有限公司</t>
  </si>
  <si>
    <t>ZHHJ-CC-16099,SN80170109007(3000)</t>
    <phoneticPr fontId="2" type="noConversion"/>
  </si>
  <si>
    <t>SN80161231002（6000）/SN80161231003（6000）</t>
    <phoneticPr fontId="2" type="noConversion"/>
  </si>
  <si>
    <t>HJ8017011306</t>
    <phoneticPr fontId="2" type="noConversion"/>
  </si>
  <si>
    <t>SN80170108001(10507)、SN80170109011（4897）、NH423V17001（4994）</t>
    <phoneticPr fontId="2" type="noConversion"/>
  </si>
  <si>
    <t>TK802</t>
    <phoneticPr fontId="2" type="noConversion"/>
  </si>
  <si>
    <t>ZHHJ-CC-16072/YH80160924002(2893)合同损耗80吨</t>
    <phoneticPr fontId="2" type="noConversion"/>
  </si>
  <si>
    <t>宁波HJ8016112303恒E1612008（525）/宁波HJ80170101003恒E1701007（525</t>
    <phoneticPr fontId="2" type="noConversion"/>
  </si>
  <si>
    <t>sn80170113002</t>
    <phoneticPr fontId="2" type="noConversion"/>
  </si>
  <si>
    <t>杭州长成化学有限公司</t>
  </si>
  <si>
    <t>珠海碧辟化工有限公司</t>
    <phoneticPr fontId="3" type="noConversion"/>
  </si>
  <si>
    <t>ZHHJ-CC-16099,SN80170109007(3000)/SN80170109008(3000)</t>
    <phoneticPr fontId="2" type="noConversion"/>
  </si>
  <si>
    <t>/SN80161231003（6000）</t>
    <phoneticPr fontId="2" type="noConversion"/>
  </si>
  <si>
    <t>/SN80161231003（6000）</t>
    <phoneticPr fontId="2" type="noConversion"/>
  </si>
  <si>
    <t>HJ8017011306</t>
    <phoneticPr fontId="2" type="noConversion"/>
  </si>
  <si>
    <t>SN80170108001(10507)、SN80170109011（4897）、NH423V17001（4994）\SN80170114001(4751)HJ8017011307（5005）</t>
    <phoneticPr fontId="2" type="noConversion"/>
  </si>
  <si>
    <t>SN80170108001(10507)、SN80170109011（4897）、NH423V17001（4994）\SN80170114001(4751)HJ8017011307（5005）</t>
    <phoneticPr fontId="2" type="noConversion"/>
  </si>
  <si>
    <t>TK802</t>
    <phoneticPr fontId="2" type="noConversion"/>
  </si>
  <si>
    <t>ZHHJ-CC-16072/YH80160924002(2893)合同损耗80吨</t>
    <phoneticPr fontId="2" type="noConversion"/>
  </si>
  <si>
    <t>ZHHJ-CC-16100/SN80170109010恒E1701011(2000)/SN80170109010恒E1701012(3000)</t>
    <phoneticPr fontId="2" type="noConversion"/>
  </si>
  <si>
    <t>SN80170113003</t>
    <phoneticPr fontId="2" type="noConversion"/>
  </si>
  <si>
    <t>SN80170113003</t>
    <phoneticPr fontId="2" type="noConversion"/>
  </si>
  <si>
    <t>宁波HJ8016112303恒E1612008（525）/宁波HJ80170101003恒E1701007（525</t>
    <phoneticPr fontId="2" type="noConversion"/>
  </si>
  <si>
    <t>佛山HJ8017011301恒E1701013（1050）/HJ8017011303恒E1701014（525）/HJ8017011304恒E1701015（2050）</t>
    <phoneticPr fontId="2" type="noConversion"/>
  </si>
  <si>
    <t>佛山HJ8017011301恒E1701013（1050）/HJ8017011303恒E1701014（525）/HJ8017011304恒E1701015（2050）</t>
    <phoneticPr fontId="2" type="noConversion"/>
  </si>
  <si>
    <t>HHJ-CC-16011，NH417V17001A</t>
    <phoneticPr fontId="2" type="noConversion"/>
  </si>
  <si>
    <t>HHJ-CC-16011，NH417V17001A</t>
    <phoneticPr fontId="2" type="noConversion"/>
  </si>
  <si>
    <t>HJ8017011305（2050）</t>
    <phoneticPr fontId="2" type="noConversion"/>
  </si>
  <si>
    <t>HJ8017011305（2050）</t>
    <phoneticPr fontId="2" type="noConversion"/>
  </si>
  <si>
    <t>sn80170113002</t>
    <phoneticPr fontId="2" type="noConversion"/>
  </si>
  <si>
    <r>
      <t>ZHHJ-CC-16064/</t>
    </r>
    <r>
      <rPr>
        <sz val="9"/>
        <rFont val="宋体"/>
        <family val="3"/>
        <charset val="134"/>
      </rPr>
      <t>SN80160919001恒</t>
    </r>
    <r>
      <rPr>
        <sz val="9"/>
        <rFont val="Verdana"/>
        <family val="2"/>
      </rPr>
      <t>E1610017/YH80160919001</t>
    </r>
    <r>
      <rPr>
        <sz val="9"/>
        <rFont val="宋体"/>
        <family val="3"/>
        <charset val="134"/>
      </rPr>
      <t>恒</t>
    </r>
    <r>
      <rPr>
        <sz val="9"/>
        <rFont val="Verdana"/>
        <family val="2"/>
      </rPr>
      <t>E1612014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</rPr>
      <t>539.234</t>
    </r>
    <r>
      <rPr>
        <sz val="9"/>
        <rFont val="宋体"/>
        <family val="3"/>
        <charset val="134"/>
      </rPr>
      <t>）发到结余</t>
    </r>
    <r>
      <rPr>
        <sz val="9"/>
        <rFont val="Verdana"/>
        <family val="2"/>
      </rPr>
      <t>540</t>
    </r>
    <r>
      <rPr>
        <sz val="9"/>
        <rFont val="宋体"/>
        <family val="3"/>
        <charset val="134"/>
      </rPr>
      <t>吨，</t>
    </r>
    <r>
      <rPr>
        <sz val="9"/>
        <rFont val="Verdana"/>
        <family val="2"/>
      </rPr>
      <t>CIQ</t>
    </r>
    <r>
      <rPr>
        <sz val="9"/>
        <rFont val="宋体"/>
        <family val="3"/>
        <charset val="134"/>
      </rPr>
      <t>要量罐</t>
    </r>
    <phoneticPr fontId="2" type="noConversion"/>
  </si>
  <si>
    <t>广州市大仓投资发展有限公司</t>
    <phoneticPr fontId="2" type="noConversion"/>
  </si>
  <si>
    <t>中国航空油料集团公司</t>
    <phoneticPr fontId="3" type="noConversion"/>
  </si>
  <si>
    <t>ZHHJ-CC-16100/SN80170109010恒E1701011(2000)/SN80170109010恒E1701012(3000)、SN80170109010恒E1701018(500)</t>
    <phoneticPr fontId="2" type="noConversion"/>
  </si>
  <si>
    <t>ZHHJ-CC-16100/SN80170109010恒E1701011(2000)/SN80170109010恒E1701012(3000)、SN80170109010恒E1701018(500)</t>
    <phoneticPr fontId="2" type="noConversion"/>
  </si>
  <si>
    <t>ZHHJ-CC-16100/SN80170109010恒E1701018(500)</t>
    <phoneticPr fontId="2" type="noConversion"/>
  </si>
  <si>
    <t>ZHHJ-CC-16100/SN80170109010恒E1701018(500)</t>
    <phoneticPr fontId="2" type="noConversion"/>
  </si>
  <si>
    <t>ZHHJ-CC-16022 内贸/SN80170117001（2847.511）</t>
    <phoneticPr fontId="2" type="noConversion"/>
  </si>
  <si>
    <t>ZHHJ-CC-16099,SN80170109007(3000)/SN80170109008(3000)/SN80170109009（4000）</t>
    <phoneticPr fontId="2" type="noConversion"/>
  </si>
  <si>
    <t>ZHHJ-CC-16099,SN80170109007(3000)/SN80170109008(3000)/SN80170109009（4000）</t>
    <phoneticPr fontId="2" type="noConversion"/>
  </si>
  <si>
    <t>包罐</t>
    <phoneticPr fontId="2" type="noConversion"/>
  </si>
  <si>
    <t>混合芳烃</t>
    <phoneticPr fontId="2" type="noConversion"/>
  </si>
  <si>
    <t>保税</t>
    <phoneticPr fontId="2" type="noConversion"/>
  </si>
  <si>
    <t>TK807</t>
    <phoneticPr fontId="2" type="noConversion"/>
  </si>
  <si>
    <t>SN80161231002（6000）</t>
    <phoneticPr fontId="2" type="noConversion"/>
  </si>
  <si>
    <t>/SN80161231003（6000）</t>
    <phoneticPr fontId="2" type="noConversion"/>
  </si>
  <si>
    <t>石脑油</t>
    <phoneticPr fontId="2" type="noConversion"/>
  </si>
  <si>
    <t>ZHHJ-CC-16029</t>
    <phoneticPr fontId="2" type="noConversion"/>
  </si>
  <si>
    <t>2016.04.10</t>
    <phoneticPr fontId="2" type="noConversion"/>
  </si>
  <si>
    <t>2016.03.10</t>
    <phoneticPr fontId="2" type="noConversion"/>
  </si>
  <si>
    <t>包罐</t>
    <phoneticPr fontId="2" type="noConversion"/>
  </si>
  <si>
    <t>混合芳烃</t>
    <phoneticPr fontId="2" type="noConversion"/>
  </si>
  <si>
    <t>保税</t>
    <phoneticPr fontId="2" type="noConversion"/>
  </si>
  <si>
    <t>TK803</t>
    <phoneticPr fontId="2" type="noConversion"/>
  </si>
  <si>
    <t>HJ8017011306</t>
    <phoneticPr fontId="2" type="noConversion"/>
  </si>
  <si>
    <t>SN80170108001(10507)、SN80170109011（4897）、NH423V17001（4994）\SN80170114001(4751)HJ8017011307（5005）</t>
    <phoneticPr fontId="2" type="noConversion"/>
  </si>
  <si>
    <t>TK802</t>
    <phoneticPr fontId="2" type="noConversion"/>
  </si>
  <si>
    <t>TK707</t>
    <phoneticPr fontId="2" type="noConversion"/>
  </si>
  <si>
    <t>YH80161212002恒E1612016（28108.54）</t>
    <phoneticPr fontId="2" type="noConversion"/>
  </si>
  <si>
    <t>YH80161212002恒E1612016（28108.54）</t>
    <phoneticPr fontId="2" type="noConversion"/>
  </si>
  <si>
    <t xml:space="preserve">包罐 </t>
    <phoneticPr fontId="2" type="noConversion"/>
  </si>
  <si>
    <t>ZHHJ-CC-16100/SN80170109010恒E1701011(2000)/SN80170109010恒E1701012(3000)、SN80170109010恒E1701018(500)</t>
    <phoneticPr fontId="2" type="noConversion"/>
  </si>
  <si>
    <t>ZHHJ-CC-16100/SN80170109010恒E1701018(500)</t>
    <phoneticPr fontId="2" type="noConversion"/>
  </si>
  <si>
    <t>浮顶</t>
    <phoneticPr fontId="2" type="noConversion"/>
  </si>
  <si>
    <t>TK705</t>
    <phoneticPr fontId="2" type="noConversion"/>
  </si>
  <si>
    <t>航空煤油</t>
    <phoneticPr fontId="2" type="noConversion"/>
  </si>
  <si>
    <t>TK702</t>
    <phoneticPr fontId="2" type="noConversion"/>
  </si>
  <si>
    <t>SN80170113003</t>
    <phoneticPr fontId="2" type="noConversion"/>
  </si>
  <si>
    <t>甲醇</t>
    <phoneticPr fontId="2" type="noConversion"/>
  </si>
  <si>
    <t>铝内浮盘</t>
    <phoneticPr fontId="2" type="noConversion"/>
  </si>
  <si>
    <t>TK606</t>
    <phoneticPr fontId="2" type="noConversion"/>
  </si>
  <si>
    <t>ZHHJ-CC-16002</t>
    <phoneticPr fontId="2" type="noConversion"/>
  </si>
  <si>
    <t>2016.12.31</t>
    <phoneticPr fontId="2" type="noConversion"/>
  </si>
  <si>
    <t>2016.01.01</t>
    <phoneticPr fontId="2" type="noConversion"/>
  </si>
  <si>
    <t xml:space="preserve">包罐 </t>
    <phoneticPr fontId="2" type="noConversion"/>
  </si>
  <si>
    <t>航空煤油</t>
    <phoneticPr fontId="2" type="noConversion"/>
  </si>
  <si>
    <t>保税</t>
    <phoneticPr fontId="2" type="noConversion"/>
  </si>
  <si>
    <t>TK605</t>
    <phoneticPr fontId="2" type="noConversion"/>
  </si>
  <si>
    <t>2016.03.1/2016.12.31</t>
    <phoneticPr fontId="2" type="noConversion"/>
  </si>
  <si>
    <t>2016.01.1/2016.2.1</t>
    <phoneticPr fontId="2" type="noConversion"/>
  </si>
  <si>
    <t>冰醋酸</t>
    <phoneticPr fontId="2" type="noConversion"/>
  </si>
  <si>
    <t>固定顶</t>
    <phoneticPr fontId="2" type="noConversion"/>
  </si>
  <si>
    <t>TK603</t>
    <phoneticPr fontId="2" type="noConversion"/>
  </si>
  <si>
    <t>TK602</t>
    <phoneticPr fontId="2" type="noConversion"/>
  </si>
  <si>
    <t>TK601</t>
    <phoneticPr fontId="2" type="noConversion"/>
  </si>
  <si>
    <t>ZHHJ-CC-17005 HJ8017010701</t>
    <phoneticPr fontId="2" type="noConversion"/>
  </si>
  <si>
    <t>二乙二醇</t>
    <phoneticPr fontId="2" type="noConversion"/>
  </si>
  <si>
    <t>SN80161124005、SN80161224001（1584.571）</t>
    <phoneticPr fontId="2" type="noConversion"/>
  </si>
  <si>
    <t>包罐</t>
    <phoneticPr fontId="2" type="noConversion"/>
  </si>
  <si>
    <t>甲醇</t>
    <phoneticPr fontId="2" type="noConversion"/>
  </si>
  <si>
    <t>铝内浮盘</t>
    <phoneticPr fontId="2" type="noConversion"/>
  </si>
  <si>
    <t>TK509</t>
    <phoneticPr fontId="2" type="noConversion"/>
  </si>
  <si>
    <t>SN80161224001</t>
    <phoneticPr fontId="2" type="noConversion"/>
  </si>
  <si>
    <t>SN80161208001(2079.923)</t>
    <phoneticPr fontId="2" type="noConversion"/>
  </si>
  <si>
    <t>宁波HJ8016112303恒E1612008（525）/宁波HJ80170101003恒E1701007（525</t>
    <phoneticPr fontId="2" type="noConversion"/>
  </si>
  <si>
    <t>苯乙烯</t>
    <phoneticPr fontId="2" type="noConversion"/>
  </si>
  <si>
    <t>TK505</t>
    <phoneticPr fontId="2" type="noConversion"/>
  </si>
  <si>
    <t>佛山HJ8017011301恒E1701013（1050）/HJ8017011303恒E1701014（525）/HJ8017011304恒E1701015（2050）</t>
    <phoneticPr fontId="2" type="noConversion"/>
  </si>
  <si>
    <t>α烯烃（C10）</t>
    <phoneticPr fontId="2" type="noConversion"/>
  </si>
  <si>
    <t>ZHHJ-CC-16096 YH80161206001(983)/ZHHJ-CC-17004 YH80170102002(500.357)</t>
    <phoneticPr fontId="2" type="noConversion"/>
  </si>
  <si>
    <t>ZHHJ-CC-16096 YH80161206001(983)/ZHHJ-CC-17004 YH80170102002(500.357)</t>
    <phoneticPr fontId="2" type="noConversion"/>
  </si>
  <si>
    <t>二甘醇</t>
    <phoneticPr fontId="2" type="noConversion"/>
  </si>
  <si>
    <t>TK501</t>
    <phoneticPr fontId="2" type="noConversion"/>
  </si>
  <si>
    <t>TK407</t>
    <phoneticPr fontId="2" type="noConversion"/>
  </si>
  <si>
    <t>内浮顶</t>
    <phoneticPr fontId="2" type="noConversion"/>
  </si>
  <si>
    <t>TK403</t>
    <phoneticPr fontId="2" type="noConversion"/>
  </si>
  <si>
    <t>HHJ-CC-16011，NH417V17001A</t>
    <phoneticPr fontId="2" type="noConversion"/>
  </si>
  <si>
    <t>丙酮</t>
    <phoneticPr fontId="2" type="noConversion"/>
  </si>
  <si>
    <t>液碱</t>
    <phoneticPr fontId="2" type="noConversion"/>
  </si>
  <si>
    <t xml:space="preserve">015、SN80161003001(3986)、HJ8016112602（5001）/SN80170102003(2033.916)
</t>
    <phoneticPr fontId="2" type="noConversion"/>
  </si>
  <si>
    <t xml:space="preserve">015,/SN80161116005(9358)、SN80161205001（8578）
 </t>
    <phoneticPr fontId="2" type="noConversion"/>
  </si>
  <si>
    <t>2017.12.31</t>
    <phoneticPr fontId="2" type="noConversion"/>
  </si>
  <si>
    <t>/HJ8016120901(5005)/SN80170102003(8486.106)</t>
    <phoneticPr fontId="2" type="noConversion"/>
  </si>
  <si>
    <t>SN80161124003(5002)、YH80161204001（4751）YH80161204002（4751）、YH80161204003（4751）/HJ8016121901(5003)</t>
    <phoneticPr fontId="2" type="noConversion"/>
  </si>
  <si>
    <t>2017.12.31</t>
    <phoneticPr fontId="2" type="noConversion"/>
  </si>
  <si>
    <t>ZHHJ-CC-16092/HJ8017010202(521)/HJ8017010203(1012)</t>
    <phoneticPr fontId="2" type="noConversion"/>
  </si>
  <si>
    <t>TK207</t>
    <phoneticPr fontId="2" type="noConversion"/>
  </si>
  <si>
    <t>液碱</t>
    <phoneticPr fontId="2" type="noConversion"/>
  </si>
  <si>
    <t>ZHHJ-CC-16092 HJ8017010202(1514)</t>
    <phoneticPr fontId="2" type="noConversion"/>
  </si>
  <si>
    <t>二甘醇</t>
    <phoneticPr fontId="2" type="noConversion"/>
  </si>
  <si>
    <t>ZHHJ-CC-16092、HJ8017010202(1514)</t>
    <phoneticPr fontId="2" type="noConversion"/>
  </si>
  <si>
    <t>2016.12.07</t>
    <phoneticPr fontId="2" type="noConversion"/>
  </si>
  <si>
    <t>2016.11.08</t>
    <phoneticPr fontId="2" type="noConversion"/>
  </si>
  <si>
    <t>石脑油</t>
    <phoneticPr fontId="2" type="noConversion"/>
  </si>
  <si>
    <t>浮顶</t>
    <phoneticPr fontId="2" type="noConversion"/>
  </si>
  <si>
    <t>TK202</t>
    <phoneticPr fontId="2" type="noConversion"/>
  </si>
  <si>
    <t>2015.01.01</t>
    <phoneticPr fontId="2" type="noConversion"/>
  </si>
  <si>
    <t>乙二醇</t>
    <phoneticPr fontId="2" type="noConversion"/>
  </si>
  <si>
    <t>内贸</t>
    <phoneticPr fontId="2" type="noConversion"/>
  </si>
  <si>
    <t>冰醋酸</t>
    <phoneticPr fontId="2" type="noConversion"/>
  </si>
  <si>
    <t>海关放行
数量</t>
    <phoneticPr fontId="2" type="noConversion"/>
  </si>
  <si>
    <t>截止时间早上08：00</t>
    <phoneticPr fontId="2" type="noConversion"/>
  </si>
  <si>
    <t>罐号</t>
    <phoneticPr fontId="2" type="noConversion"/>
  </si>
  <si>
    <t>盘点日期</t>
    <phoneticPr fontId="2" type="noConversion"/>
  </si>
  <si>
    <t>宁波HJ8017011302恒E1701019(525)</t>
    <phoneticPr fontId="2" type="noConversion"/>
  </si>
  <si>
    <t>佛山HJ8017011303恒E1701014（525）/HJ8017011304恒E1701015（2050）/HJ8017012001恒E1701021(519.425)/HJ8017012002恒E1701022(1038.85)</t>
    <phoneticPr fontId="2" type="noConversion"/>
  </si>
  <si>
    <t>HJ8017012003(2077.7)</t>
    <phoneticPr fontId="2" type="noConversion"/>
  </si>
  <si>
    <t>HJ8017012201</t>
    <phoneticPr fontId="2" type="noConversion"/>
  </si>
  <si>
    <t>正十四烷</t>
    <phoneticPr fontId="2" type="noConversion"/>
  </si>
  <si>
    <t>HJ8017012007(2872)</t>
    <phoneticPr fontId="2" type="noConversion"/>
  </si>
  <si>
    <r>
      <t>ZHHJ-CC-16064/</t>
    </r>
    <r>
      <rPr>
        <sz val="9"/>
        <rFont val="宋体"/>
        <family val="3"/>
        <charset val="134"/>
      </rPr>
      <t>SN80160919001恒</t>
    </r>
    <r>
      <rPr>
        <sz val="9"/>
        <rFont val="Verdana"/>
        <family val="2"/>
      </rPr>
      <t>E1610017/YH80160919001</t>
    </r>
    <r>
      <rPr>
        <sz val="9"/>
        <rFont val="宋体"/>
        <family val="3"/>
        <charset val="134"/>
      </rPr>
      <t>恒</t>
    </r>
    <r>
      <rPr>
        <sz val="9"/>
        <rFont val="Verdana"/>
        <family val="2"/>
      </rPr>
      <t>E1612014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</rPr>
      <t>539.234</t>
    </r>
    <r>
      <rPr>
        <sz val="9"/>
        <rFont val="宋体"/>
        <family val="3"/>
        <charset val="134"/>
      </rPr>
      <t>）发到结余</t>
    </r>
    <r>
      <rPr>
        <sz val="9"/>
        <rFont val="Verdana"/>
        <family val="2"/>
      </rPr>
      <t>540</t>
    </r>
    <r>
      <rPr>
        <sz val="9"/>
        <rFont val="宋体"/>
        <family val="3"/>
        <charset val="134"/>
      </rPr>
      <t>吨，</t>
    </r>
    <r>
      <rPr>
        <sz val="9"/>
        <rFont val="Verdana"/>
        <family val="2"/>
      </rPr>
      <t>CIQ</t>
    </r>
    <r>
      <rPr>
        <sz val="9"/>
        <rFont val="宋体"/>
        <family val="3"/>
        <charset val="134"/>
      </rPr>
      <t>要量罐</t>
    </r>
    <phoneticPr fontId="2" type="noConversion"/>
  </si>
  <si>
    <r>
      <t>ZHHJ-CC-16022</t>
    </r>
    <r>
      <rPr>
        <b/>
        <sz val="9"/>
        <rFont val="宋体"/>
        <family val="3"/>
        <charset val="134"/>
      </rPr>
      <t xml:space="preserve"> 内贸/SN80170117001（2847.511）</t>
    </r>
    <phoneticPr fontId="2" type="noConversion"/>
  </si>
  <si>
    <t>宁波中宇石化有限公司</t>
    <phoneticPr fontId="3" type="noConversion"/>
  </si>
  <si>
    <t>HJ8017011307（5005）/SN80170122005( 10431.389)/SN80170124002(4085.671)/SN80170124003(3050)</t>
    <phoneticPr fontId="2" type="noConversion"/>
  </si>
  <si>
    <t>宁波HJ80170101003恒E1701007（525)/宁波HJ8017011302恒E1701019(525)</t>
    <phoneticPr fontId="2" type="noConversion"/>
  </si>
  <si>
    <t>SN80170104004恒E1701023(525)</t>
    <phoneticPr fontId="2" type="noConversion"/>
  </si>
  <si>
    <t>正十四烷烃</t>
    <phoneticPr fontId="2" type="noConversion"/>
  </si>
  <si>
    <t>石脑油</t>
  </si>
  <si>
    <t>SN80170121001(2851)</t>
    <phoneticPr fontId="2" type="noConversion"/>
  </si>
  <si>
    <t xml:space="preserve"> </t>
    <phoneticPr fontId="2" type="noConversion"/>
  </si>
  <si>
    <t>道达尔石化(佛山)有限公司</t>
    <phoneticPr fontId="3" type="noConversion"/>
  </si>
  <si>
    <t>百富洋澳门离岸商业服务有限公司</t>
    <phoneticPr fontId="2" type="noConversion"/>
  </si>
  <si>
    <t>α烯烃（C10）</t>
    <phoneticPr fontId="2" type="noConversion"/>
  </si>
  <si>
    <t>甲基叔丁基醚</t>
    <phoneticPr fontId="2" type="noConversion"/>
  </si>
  <si>
    <t>甲基叔丁基醚</t>
    <phoneticPr fontId="2" type="noConversion"/>
  </si>
  <si>
    <t>珠海碧辟化工有限公司</t>
    <phoneticPr fontId="3" type="noConversion"/>
  </si>
  <si>
    <t>珠海碧辟化工有限公司</t>
    <phoneticPr fontId="3" type="noConversion"/>
  </si>
  <si>
    <t>珠海碧辟化工有限公司</t>
    <phoneticPr fontId="3" type="noConversion"/>
  </si>
  <si>
    <t>珠海碧辟化工有限公司</t>
    <phoneticPr fontId="3" type="noConversion"/>
  </si>
  <si>
    <t>珠海碧辟化工有限公司</t>
    <phoneticPr fontId="2" type="noConversion"/>
  </si>
  <si>
    <t>珠海碧辟化工有限公司</t>
    <phoneticPr fontId="2" type="noConversion"/>
  </si>
  <si>
    <t>珠海碧辟化工有限公司</t>
    <phoneticPr fontId="2" type="noConversion"/>
  </si>
  <si>
    <t>珠海碧辟化工有限公司</t>
    <phoneticPr fontId="3" type="noConversion"/>
  </si>
  <si>
    <t>珠海碧辟化工有限公司</t>
    <phoneticPr fontId="3" type="noConversion"/>
  </si>
  <si>
    <t>珠海碧辟化工有限公司</t>
    <phoneticPr fontId="3" type="noConversion"/>
  </si>
  <si>
    <t>珠海碧辟化工有限公司）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</si>
</sst>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0.0_);[Red]\(0.0\)"/>
    <numFmt numFmtId="178" formatCode="0.000_ "/>
    <numFmt numFmtId="179" formatCode="0.00000_);[Red]\(0.00000\)"/>
    <numFmt numFmtId="180" formatCode="yyyy\.mm\.dd"/>
    <numFmt numFmtId="181" formatCode="0.000_);[Red]\(0.000\)"/>
    <numFmt numFmtId="182" formatCode="0.00_);[Red]\(0.00\)"/>
  </numFmts>
  <fonts count="14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imes New Roman"/>
      <family val="1"/>
    </font>
    <font>
      <sz val="9"/>
      <name val="Verdana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90">
    <xf numFmtId="0" fontId="0" fillId="0" borderId="0" xfId="0"/>
    <xf numFmtId="0" fontId="2" fillId="0" borderId="0" xfId="1" applyFont="1"/>
    <xf numFmtId="0" fontId="2" fillId="0" borderId="0" xfId="1" applyFont="1" applyFill="1" applyAlignment="1">
      <alignment horizontal="center"/>
    </xf>
    <xf numFmtId="49" fontId="2" fillId="0" borderId="0" xfId="1" applyNumberFormat="1" applyFont="1" applyAlignment="1">
      <alignment horizontal="center"/>
    </xf>
    <xf numFmtId="176" fontId="2" fillId="0" borderId="0" xfId="1" applyNumberFormat="1" applyFont="1" applyFill="1"/>
    <xf numFmtId="177" fontId="2" fillId="0" borderId="0" xfId="1" applyNumberFormat="1" applyFont="1" applyFill="1"/>
    <xf numFmtId="176" fontId="2" fillId="0" borderId="0" xfId="1" applyNumberFormat="1" applyFont="1" applyFill="1" applyAlignment="1">
      <alignment horizontal="center"/>
    </xf>
    <xf numFmtId="178" fontId="2" fillId="0" borderId="0" xfId="1" applyNumberFormat="1" applyFont="1" applyFill="1"/>
    <xf numFmtId="0" fontId="2" fillId="0" borderId="0" xfId="1" applyFont="1" applyFill="1"/>
    <xf numFmtId="0" fontId="2" fillId="0" borderId="0" xfId="1" applyFont="1" applyFill="1" applyAlignment="1">
      <alignment horizontal="center" vertical="center"/>
    </xf>
    <xf numFmtId="179" fontId="2" fillId="0" borderId="0" xfId="1" applyNumberFormat="1" applyFont="1" applyFill="1"/>
    <xf numFmtId="0" fontId="2" fillId="0" borderId="0" xfId="1" applyFont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/>
    </xf>
    <xf numFmtId="180" fontId="2" fillId="2" borderId="1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81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78" fontId="2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78" fontId="2" fillId="0" borderId="0" xfId="1" applyNumberFormat="1" applyFont="1" applyAlignment="1">
      <alignment horizontal="center" vertical="center"/>
    </xf>
    <xf numFmtId="182" fontId="2" fillId="2" borderId="1" xfId="1" applyNumberFormat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 wrapText="1"/>
    </xf>
    <xf numFmtId="180" fontId="2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178" fontId="2" fillId="2" borderId="0" xfId="1" applyNumberFormat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177" fontId="2" fillId="2" borderId="1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/>
    </xf>
    <xf numFmtId="176" fontId="6" fillId="2" borderId="1" xfId="1" applyNumberFormat="1" applyFont="1" applyFill="1" applyBorder="1" applyAlignment="1">
      <alignment horizontal="center" vertical="center" wrapText="1"/>
    </xf>
    <xf numFmtId="177" fontId="6" fillId="2" borderId="1" xfId="1" applyNumberFormat="1" applyFont="1" applyFill="1" applyBorder="1" applyAlignment="1">
      <alignment horizontal="center" vertical="center" wrapText="1"/>
    </xf>
    <xf numFmtId="178" fontId="6" fillId="2" borderId="1" xfId="1" applyNumberFormat="1" applyFont="1" applyFill="1" applyBorder="1" applyAlignment="1">
      <alignment horizontal="center" vertical="center" wrapText="1"/>
    </xf>
    <xf numFmtId="178" fontId="6" fillId="2" borderId="1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wrapText="1"/>
    </xf>
    <xf numFmtId="14" fontId="6" fillId="2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1" fillId="0" borderId="0" xfId="2" applyFont="1"/>
    <xf numFmtId="0" fontId="2" fillId="0" borderId="0" xfId="2" applyFont="1"/>
    <xf numFmtId="0" fontId="2" fillId="0" borderId="0" xfId="2" applyFont="1" applyFill="1" applyAlignment="1">
      <alignment horizontal="center"/>
    </xf>
    <xf numFmtId="49" fontId="2" fillId="0" borderId="0" xfId="2" applyNumberFormat="1" applyFont="1" applyAlignment="1">
      <alignment horizontal="center"/>
    </xf>
    <xf numFmtId="176" fontId="2" fillId="0" borderId="0" xfId="2" applyNumberFormat="1" applyFont="1" applyFill="1"/>
    <xf numFmtId="177" fontId="2" fillId="0" borderId="0" xfId="2" applyNumberFormat="1" applyFont="1" applyFill="1"/>
    <xf numFmtId="176" fontId="12" fillId="0" borderId="0" xfId="2" applyNumberFormat="1" applyFont="1" applyFill="1" applyAlignment="1">
      <alignment horizontal="center"/>
    </xf>
    <xf numFmtId="178" fontId="2" fillId="0" borderId="0" xfId="2" applyNumberFormat="1" applyFont="1" applyFill="1"/>
    <xf numFmtId="0" fontId="2" fillId="0" borderId="0" xfId="2" applyFont="1" applyFill="1"/>
    <xf numFmtId="0" fontId="2" fillId="0" borderId="0" xfId="2" applyFont="1" applyFill="1" applyAlignment="1">
      <alignment horizontal="center" vertical="center"/>
    </xf>
    <xf numFmtId="179" fontId="2" fillId="0" borderId="0" xfId="2" applyNumberFormat="1" applyFont="1" applyFill="1"/>
    <xf numFmtId="0" fontId="2" fillId="0" borderId="0" xfId="2" applyFont="1" applyAlignment="1">
      <alignment horizontal="center" vertical="center"/>
    </xf>
    <xf numFmtId="178" fontId="2" fillId="0" borderId="0" xfId="2" applyNumberFormat="1" applyFont="1" applyAlignment="1">
      <alignment horizontal="center" vertical="center"/>
    </xf>
    <xf numFmtId="14" fontId="6" fillId="2" borderId="1" xfId="2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178" fontId="6" fillId="2" borderId="1" xfId="2" applyNumberFormat="1" applyFont="1" applyFill="1" applyBorder="1" applyAlignment="1">
      <alignment horizontal="center" vertical="center"/>
    </xf>
    <xf numFmtId="178" fontId="6" fillId="2" borderId="1" xfId="2" applyNumberFormat="1" applyFont="1" applyFill="1" applyBorder="1" applyAlignment="1">
      <alignment horizontal="center" vertical="center" wrapText="1"/>
    </xf>
    <xf numFmtId="177" fontId="6" fillId="2" borderId="1" xfId="2" applyNumberFormat="1" applyFont="1" applyFill="1" applyBorder="1" applyAlignment="1">
      <alignment horizontal="center" vertical="center" wrapText="1"/>
    </xf>
    <xf numFmtId="176" fontId="6" fillId="2" borderId="1" xfId="2" applyNumberFormat="1" applyFont="1" applyFill="1" applyBorder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178" fontId="2" fillId="2" borderId="1" xfId="2" applyNumberFormat="1" applyFont="1" applyFill="1" applyBorder="1" applyAlignment="1">
      <alignment horizontal="center" vertical="center"/>
    </xf>
    <xf numFmtId="181" fontId="2" fillId="2" borderId="1" xfId="2" applyNumberFormat="1" applyFont="1" applyFill="1" applyBorder="1" applyAlignment="1">
      <alignment horizontal="center" vertical="center"/>
    </xf>
    <xf numFmtId="176" fontId="2" fillId="2" borderId="1" xfId="2" applyNumberFormat="1" applyFont="1" applyFill="1" applyBorder="1" applyAlignment="1">
      <alignment horizontal="center" vertical="center"/>
    </xf>
    <xf numFmtId="180" fontId="2" fillId="2" borderId="1" xfId="2" applyNumberFormat="1" applyFont="1" applyFill="1" applyBorder="1" applyAlignment="1">
      <alignment horizontal="center" vertical="center"/>
    </xf>
    <xf numFmtId="14" fontId="2" fillId="2" borderId="1" xfId="2" applyNumberFormat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horizontal="center" vertical="center" wrapText="1"/>
    </xf>
    <xf numFmtId="180" fontId="2" fillId="2" borderId="1" xfId="2" applyNumberFormat="1" applyFont="1" applyFill="1" applyBorder="1" applyAlignment="1">
      <alignment horizontal="center" vertical="center" wrapText="1"/>
    </xf>
    <xf numFmtId="14" fontId="2" fillId="2" borderId="1" xfId="2" applyNumberFormat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/>
    </xf>
    <xf numFmtId="177" fontId="2" fillId="2" borderId="1" xfId="2" applyNumberFormat="1" applyFont="1" applyFill="1" applyBorder="1" applyAlignment="1">
      <alignment horizontal="center" vertical="center"/>
    </xf>
    <xf numFmtId="182" fontId="2" fillId="2" borderId="1" xfId="2" applyNumberFormat="1" applyFont="1" applyFill="1" applyBorder="1" applyAlignment="1">
      <alignment horizontal="center" vertical="center"/>
    </xf>
    <xf numFmtId="176" fontId="12" fillId="0" borderId="0" xfId="1" applyNumberFormat="1" applyFont="1" applyFill="1" applyAlignment="1">
      <alignment horizontal="center"/>
    </xf>
    <xf numFmtId="176" fontId="13" fillId="0" borderId="0" xfId="1" applyNumberFormat="1" applyFont="1" applyFill="1" applyAlignment="1">
      <alignment horizontal="center"/>
    </xf>
    <xf numFmtId="176" fontId="13" fillId="0" borderId="0" xfId="2" applyNumberFormat="1" applyFont="1" applyFill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14" fontId="6" fillId="2" borderId="2" xfId="1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178" fontId="6" fillId="2" borderId="2" xfId="1" applyNumberFormat="1" applyFont="1" applyFill="1" applyBorder="1" applyAlignment="1">
      <alignment horizontal="center" vertical="center"/>
    </xf>
    <xf numFmtId="178" fontId="6" fillId="2" borderId="2" xfId="1" applyNumberFormat="1" applyFont="1" applyFill="1" applyBorder="1" applyAlignment="1">
      <alignment horizontal="center" vertical="center" wrapText="1"/>
    </xf>
    <xf numFmtId="176" fontId="6" fillId="2" borderId="2" xfId="1" applyNumberFormat="1" applyFont="1" applyFill="1" applyBorder="1" applyAlignment="1">
      <alignment horizontal="center" vertical="center" wrapText="1"/>
    </xf>
    <xf numFmtId="177" fontId="6" fillId="2" borderId="2" xfId="1" applyNumberFormat="1" applyFont="1" applyFill="1" applyBorder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externalLink" Target="externalLinks/externalLink17.xml"/><Relationship Id="rId47" Type="http://schemas.openxmlformats.org/officeDocument/2006/relationships/externalLink" Target="externalLinks/externalLink22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41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15.xml"/><Relationship Id="rId45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4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18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1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1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1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2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2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2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%20(2)/20170110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  <sheetName val="1002"/>
      <sheetName val="1003-04"/>
      <sheetName val="1005"/>
      <sheetName val="1006"/>
      <sheetName val="1007"/>
      <sheetName val="1008"/>
      <sheetName val="1009"/>
      <sheetName val="1010"/>
      <sheetName val="1011"/>
      <sheetName val="1012"/>
      <sheetName val="1013"/>
      <sheetName val="1014"/>
      <sheetName val="1015"/>
      <sheetName val="1016"/>
      <sheetName val="1017"/>
      <sheetName val="1018"/>
      <sheetName val="1019"/>
      <sheetName val="1020"/>
      <sheetName val="1021"/>
      <sheetName val="1022"/>
      <sheetName val="1023-1024"/>
      <sheetName val="1025"/>
      <sheetName val="1026"/>
      <sheetName val="1027"/>
      <sheetName val="1028"/>
      <sheetName val="1029-30"/>
      <sheetName val="1031"/>
      <sheetName val="1031 0800后"/>
      <sheetName val="1101 0800前"/>
      <sheetName val="1102"/>
      <sheetName val="1103"/>
      <sheetName val="1104"/>
      <sheetName val="1105"/>
      <sheetName val="1106"/>
      <sheetName val="1107"/>
      <sheetName val="1108"/>
      <sheetName val="1109"/>
      <sheetName val="1110"/>
      <sheetName val="1111"/>
      <sheetName val="1112"/>
      <sheetName val="1113"/>
      <sheetName val="1114"/>
      <sheetName val="1115"/>
      <sheetName val="1116"/>
      <sheetName val="1117"/>
      <sheetName val="1118"/>
      <sheetName val="1119"/>
      <sheetName val="1120"/>
      <sheetName val="1121"/>
      <sheetName val="1122"/>
      <sheetName val="1123"/>
      <sheetName val="1124"/>
      <sheetName val="1125"/>
      <sheetName val="1126"/>
      <sheetName val="1127"/>
      <sheetName val="1128"/>
      <sheetName val="1129"/>
      <sheetName val="1130"/>
      <sheetName val="1130 0800后"/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副本"/>
      <sheetName val="副本2"/>
      <sheetName val="Sheet3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7">
          <cell r="G7">
            <v>557.01599999999996</v>
          </cell>
        </row>
        <row r="9">
          <cell r="G9">
            <v>820.69399999999587</v>
          </cell>
        </row>
        <row r="11">
          <cell r="G11">
            <v>520.20800000002782</v>
          </cell>
        </row>
        <row r="30">
          <cell r="G30">
            <v>1322.4750000000001</v>
          </cell>
        </row>
        <row r="41">
          <cell r="G41">
            <v>1502.1479999999999</v>
          </cell>
        </row>
        <row r="78">
          <cell r="G78">
            <v>17537</v>
          </cell>
        </row>
        <row r="80">
          <cell r="G80">
            <v>3053.6469999999827</v>
          </cell>
        </row>
        <row r="97">
          <cell r="G97">
            <v>6774</v>
          </cell>
        </row>
        <row r="98">
          <cell r="G98">
            <v>1350.5465719999629</v>
          </cell>
        </row>
        <row r="104">
          <cell r="G104">
            <v>2906.4359999999997</v>
          </cell>
        </row>
        <row r="114">
          <cell r="G114">
            <v>0.52900000000045111</v>
          </cell>
        </row>
        <row r="124">
          <cell r="G124">
            <v>762.62100000004284</v>
          </cell>
        </row>
        <row r="137">
          <cell r="G137">
            <v>272.52499999999964</v>
          </cell>
        </row>
        <row r="147">
          <cell r="G147">
            <v>19.961000000002969</v>
          </cell>
        </row>
        <row r="148">
          <cell r="G148">
            <v>0.11999999999989086</v>
          </cell>
        </row>
        <row r="169">
          <cell r="G169">
            <v>1099.9159999999999</v>
          </cell>
        </row>
        <row r="189">
          <cell r="G189">
            <v>1098.2449999999999</v>
          </cell>
        </row>
        <row r="205">
          <cell r="G205">
            <v>491.95900000000029</v>
          </cell>
        </row>
        <row r="212">
          <cell r="G212">
            <v>755.06299999999987</v>
          </cell>
        </row>
        <row r="214">
          <cell r="G214">
            <v>0</v>
          </cell>
        </row>
        <row r="235">
          <cell r="G235">
            <v>196.4720000000525</v>
          </cell>
        </row>
        <row r="237">
          <cell r="G237">
            <v>2.6340000000004693</v>
          </cell>
        </row>
        <row r="254">
          <cell r="G254">
            <v>490.36299999999756</v>
          </cell>
        </row>
        <row r="256">
          <cell r="G256">
            <v>383.01999999999987</v>
          </cell>
        </row>
        <row r="257">
          <cell r="G257">
            <v>1001.944</v>
          </cell>
        </row>
        <row r="301">
          <cell r="G301">
            <v>2231.8199999999997</v>
          </cell>
        </row>
        <row r="302">
          <cell r="G302">
            <v>0</v>
          </cell>
        </row>
        <row r="303">
          <cell r="G303">
            <v>0.83100000000035834</v>
          </cell>
        </row>
        <row r="304">
          <cell r="G304">
            <v>1584.5709999999999</v>
          </cell>
        </row>
        <row r="318">
          <cell r="G318">
            <v>875.07899999999427</v>
          </cell>
        </row>
        <row r="323">
          <cell r="G323">
            <v>7193.6779999999999</v>
          </cell>
        </row>
        <row r="335">
          <cell r="G335">
            <v>7409.1850000000004</v>
          </cell>
        </row>
        <row r="344">
          <cell r="G344">
            <v>2701.0040000000081</v>
          </cell>
        </row>
        <row r="360">
          <cell r="G360">
            <v>17900.637999999999</v>
          </cell>
        </row>
        <row r="363">
          <cell r="G363">
            <v>17775.025000000081</v>
          </cell>
        </row>
        <row r="371">
          <cell r="G371">
            <v>1402.637000000017</v>
          </cell>
        </row>
        <row r="402">
          <cell r="G402">
            <v>6957.8649999999998</v>
          </cell>
        </row>
        <row r="436">
          <cell r="G436">
            <v>28002.054</v>
          </cell>
        </row>
        <row r="471">
          <cell r="G471">
            <v>3773.1069999999963</v>
          </cell>
        </row>
        <row r="475">
          <cell r="G475">
            <v>21897.301999999996</v>
          </cell>
        </row>
        <row r="486">
          <cell r="G486">
            <v>14976.093999999999</v>
          </cell>
        </row>
        <row r="490">
          <cell r="G490">
            <v>4194.545999999973</v>
          </cell>
        </row>
        <row r="504">
          <cell r="G504">
            <v>11979.215</v>
          </cell>
        </row>
        <row r="531">
          <cell r="G531">
            <v>12005.106</v>
          </cell>
        </row>
      </sheetData>
      <sheetData sheetId="91"/>
      <sheetData sheetId="9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5">
          <cell r="G5">
            <v>150.27599999999995</v>
          </cell>
        </row>
        <row r="7">
          <cell r="G7">
            <v>1865.2429999999958</v>
          </cell>
        </row>
        <row r="11">
          <cell r="G11">
            <v>2041.2850000000003</v>
          </cell>
        </row>
        <row r="13">
          <cell r="G13">
            <v>2781.2449999999999</v>
          </cell>
        </row>
        <row r="17">
          <cell r="G17">
            <v>1322.4749999999999</v>
          </cell>
        </row>
        <row r="19">
          <cell r="G19">
            <v>1.5219999999999345</v>
          </cell>
        </row>
        <row r="20">
          <cell r="G20">
            <v>181.78</v>
          </cell>
        </row>
        <row r="21">
          <cell r="G21">
            <v>1000</v>
          </cell>
        </row>
        <row r="23">
          <cell r="G23">
            <v>1502.1479999999999</v>
          </cell>
        </row>
        <row r="29">
          <cell r="G29">
            <v>1140.9569999999999</v>
          </cell>
        </row>
        <row r="31">
          <cell r="G31">
            <v>17482</v>
          </cell>
        </row>
        <row r="33">
          <cell r="G33">
            <v>6995.7529999999824</v>
          </cell>
        </row>
        <row r="39">
          <cell r="G39">
            <v>10764</v>
          </cell>
        </row>
        <row r="41">
          <cell r="G41">
            <v>3384.4625719999631</v>
          </cell>
        </row>
        <row r="43">
          <cell r="G43">
            <v>2013.2029999999995</v>
          </cell>
        </row>
        <row r="49">
          <cell r="G49">
            <v>80.561000000042895</v>
          </cell>
        </row>
        <row r="51">
          <cell r="G51">
            <v>272.52499999999998</v>
          </cell>
        </row>
        <row r="55">
          <cell r="G55">
            <v>223.97599999999989</v>
          </cell>
        </row>
        <row r="59">
          <cell r="G59">
            <v>1098.2449999999999</v>
          </cell>
        </row>
        <row r="63">
          <cell r="G63">
            <v>616.15600000000018</v>
          </cell>
        </row>
        <row r="65">
          <cell r="G65">
            <v>725.54299999999989</v>
          </cell>
        </row>
        <row r="71">
          <cell r="G71">
            <v>1042.8200000000525</v>
          </cell>
        </row>
        <row r="72">
          <cell r="G72">
            <v>2.6340000000004693</v>
          </cell>
        </row>
        <row r="74">
          <cell r="G74">
            <v>1001.9439999999975</v>
          </cell>
        </row>
        <row r="75">
          <cell r="G75">
            <v>72.863000000000056</v>
          </cell>
        </row>
        <row r="82">
          <cell r="G82">
            <v>2027.7909999999993</v>
          </cell>
        </row>
        <row r="88">
          <cell r="G88">
            <v>984.85799999999995</v>
          </cell>
        </row>
        <row r="89">
          <cell r="G89">
            <v>1000</v>
          </cell>
        </row>
        <row r="91">
          <cell r="G91">
            <v>1672.8439999999941</v>
          </cell>
        </row>
        <row r="93">
          <cell r="G93">
            <v>2409.6100000000006</v>
          </cell>
        </row>
        <row r="95">
          <cell r="G95">
            <v>5018.1350000000002</v>
          </cell>
        </row>
        <row r="97">
          <cell r="G97">
            <v>301.56400000000849</v>
          </cell>
        </row>
        <row r="99">
          <cell r="G99">
            <v>924.6389999999999</v>
          </cell>
        </row>
        <row r="101">
          <cell r="G101">
            <v>17900.637999999999</v>
          </cell>
        </row>
        <row r="103">
          <cell r="G103">
            <v>15386.827000000081</v>
          </cell>
        </row>
        <row r="112">
          <cell r="G112">
            <v>6957.8649999999998</v>
          </cell>
        </row>
        <row r="116">
          <cell r="G116">
            <v>18507.574000000001</v>
          </cell>
        </row>
        <row r="117">
          <cell r="G117">
            <v>301.46000000000004</v>
          </cell>
        </row>
        <row r="121">
          <cell r="G121">
            <v>505.10699999999633</v>
          </cell>
        </row>
        <row r="123">
          <cell r="G123">
            <v>25317.152999999998</v>
          </cell>
        </row>
        <row r="125">
          <cell r="G125">
            <v>14976.093999999999</v>
          </cell>
        </row>
        <row r="127">
          <cell r="G127">
            <v>25173.616999999973</v>
          </cell>
        </row>
        <row r="129">
          <cell r="G129">
            <v>5979.2150000000001</v>
          </cell>
        </row>
        <row r="130">
          <cell r="G130">
            <v>6000</v>
          </cell>
        </row>
        <row r="134">
          <cell r="G134">
            <v>12005.106</v>
          </cell>
        </row>
      </sheetData>
      <sheetData sheetId="4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5">
          <cell r="G5">
            <v>117.95599999999996</v>
          </cell>
        </row>
        <row r="7">
          <cell r="G7">
            <v>1865.2429999999958</v>
          </cell>
        </row>
        <row r="11">
          <cell r="G11">
            <v>2041.2850000000003</v>
          </cell>
        </row>
        <row r="13">
          <cell r="G13">
            <v>2276.8249999999998</v>
          </cell>
        </row>
        <row r="17">
          <cell r="G17">
            <v>1322.4749999999999</v>
          </cell>
        </row>
        <row r="19">
          <cell r="G19">
            <v>1.5219999999999345</v>
          </cell>
        </row>
        <row r="20">
          <cell r="G20">
            <v>151.84</v>
          </cell>
        </row>
        <row r="21">
          <cell r="G21">
            <v>1000</v>
          </cell>
        </row>
        <row r="23">
          <cell r="G23">
            <v>1502.1479999999999</v>
          </cell>
        </row>
        <row r="29">
          <cell r="G29">
            <v>1081.577</v>
          </cell>
        </row>
        <row r="31">
          <cell r="G31">
            <v>14038</v>
          </cell>
        </row>
        <row r="33">
          <cell r="G33">
            <v>6995.7529999999824</v>
          </cell>
        </row>
        <row r="39">
          <cell r="G39">
            <v>15931</v>
          </cell>
        </row>
        <row r="41">
          <cell r="G41">
            <v>3384.4625719999631</v>
          </cell>
        </row>
        <row r="43">
          <cell r="G43">
            <v>1989.5429999999997</v>
          </cell>
        </row>
        <row r="45">
          <cell r="G45">
            <v>1890.6130000000001</v>
          </cell>
        </row>
        <row r="49">
          <cell r="G49">
            <v>80.561000000042895</v>
          </cell>
        </row>
        <row r="51">
          <cell r="G51">
            <v>272.52499999999998</v>
          </cell>
        </row>
        <row r="59">
          <cell r="G59">
            <v>843.76499999999987</v>
          </cell>
        </row>
        <row r="63">
          <cell r="G63">
            <v>556.69600000000025</v>
          </cell>
        </row>
        <row r="65">
          <cell r="G65">
            <v>725.54299999999989</v>
          </cell>
        </row>
        <row r="71">
          <cell r="G71">
            <v>1042.8200000000525</v>
          </cell>
        </row>
        <row r="72">
          <cell r="G72">
            <v>2.6340000000004693</v>
          </cell>
        </row>
        <row r="74">
          <cell r="G74">
            <v>983.9039999999975</v>
          </cell>
        </row>
        <row r="75">
          <cell r="G75">
            <v>17.683000000000106</v>
          </cell>
        </row>
        <row r="82">
          <cell r="G82">
            <v>1967.530999999999</v>
          </cell>
        </row>
        <row r="88">
          <cell r="G88">
            <v>984.85799999999995</v>
          </cell>
        </row>
        <row r="89">
          <cell r="G89">
            <v>1000</v>
          </cell>
        </row>
        <row r="91">
          <cell r="G91">
            <v>1552.6839999999941</v>
          </cell>
        </row>
        <row r="93">
          <cell r="G93">
            <v>2409.6100000000006</v>
          </cell>
        </row>
        <row r="95">
          <cell r="G95">
            <v>5018.1350000000002</v>
          </cell>
        </row>
        <row r="97">
          <cell r="G97">
            <v>3214.5620000000081</v>
          </cell>
        </row>
        <row r="99">
          <cell r="G99">
            <v>565.279</v>
          </cell>
        </row>
        <row r="101">
          <cell r="G101">
            <v>17900.637999999999</v>
          </cell>
        </row>
        <row r="103">
          <cell r="G103">
            <v>12990.035000000082</v>
          </cell>
        </row>
        <row r="112">
          <cell r="G112">
            <v>6957.8649999999998</v>
          </cell>
        </row>
        <row r="116">
          <cell r="G116">
            <v>17941.613999999998</v>
          </cell>
        </row>
        <row r="117">
          <cell r="G117">
            <v>9.6599999999998545</v>
          </cell>
        </row>
        <row r="121">
          <cell r="G121">
            <v>420.62699999999631</v>
          </cell>
        </row>
        <row r="123">
          <cell r="G123">
            <v>25317.152999999998</v>
          </cell>
        </row>
        <row r="125">
          <cell r="G125">
            <v>14976.093999999999</v>
          </cell>
        </row>
        <row r="127">
          <cell r="G127">
            <v>25173.616999999973</v>
          </cell>
        </row>
        <row r="129">
          <cell r="G129">
            <v>5979.2150000000001</v>
          </cell>
        </row>
        <row r="130">
          <cell r="G130">
            <v>5412.74</v>
          </cell>
        </row>
        <row r="134">
          <cell r="G134">
            <v>12005.106</v>
          </cell>
        </row>
      </sheetData>
      <sheetData sheetId="4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5">
          <cell r="G5">
            <v>85.715999999999951</v>
          </cell>
        </row>
        <row r="7">
          <cell r="G7">
            <v>1865.2429999999958</v>
          </cell>
        </row>
        <row r="11">
          <cell r="G11">
            <v>546.43000000000029</v>
          </cell>
        </row>
        <row r="13">
          <cell r="G13">
            <v>1721.4849999999997</v>
          </cell>
        </row>
        <row r="17">
          <cell r="G17">
            <v>1322.4749999999999</v>
          </cell>
        </row>
        <row r="19">
          <cell r="G19">
            <v>1.5219999999999345</v>
          </cell>
        </row>
        <row r="20">
          <cell r="G20">
            <v>122.22</v>
          </cell>
        </row>
        <row r="21">
          <cell r="G21">
            <v>1000</v>
          </cell>
        </row>
        <row r="23">
          <cell r="G23">
            <v>1502.1479999999999</v>
          </cell>
        </row>
        <row r="29">
          <cell r="G29">
            <v>1051.9169999999999</v>
          </cell>
        </row>
        <row r="31">
          <cell r="G31">
            <v>18851</v>
          </cell>
        </row>
        <row r="33">
          <cell r="G33">
            <v>6995.7529999999824</v>
          </cell>
        </row>
        <row r="39">
          <cell r="G39">
            <v>18300</v>
          </cell>
        </row>
        <row r="41">
          <cell r="G41">
            <v>3384.4625719999631</v>
          </cell>
        </row>
        <row r="43">
          <cell r="G43">
            <v>1965.8429999999996</v>
          </cell>
        </row>
        <row r="45">
          <cell r="G45">
            <v>1890.6130000000001</v>
          </cell>
        </row>
        <row r="49">
          <cell r="G49">
            <v>80.561000000042895</v>
          </cell>
        </row>
        <row r="51">
          <cell r="G51">
            <v>125.36499999999998</v>
          </cell>
        </row>
        <row r="59">
          <cell r="G59">
            <v>566.52499999999986</v>
          </cell>
        </row>
        <row r="63">
          <cell r="G63">
            <v>497.47600000000023</v>
          </cell>
        </row>
        <row r="65">
          <cell r="G65">
            <v>725.54299999999989</v>
          </cell>
        </row>
        <row r="71">
          <cell r="G71">
            <v>1042.8200000000525</v>
          </cell>
        </row>
        <row r="72">
          <cell r="G72">
            <v>2.6340000000004693</v>
          </cell>
        </row>
        <row r="74">
          <cell r="G74">
            <v>983.9039999999975</v>
          </cell>
        </row>
        <row r="75">
          <cell r="G75">
            <v>17.683000000000106</v>
          </cell>
        </row>
        <row r="82">
          <cell r="G82">
            <v>1906.4709999999991</v>
          </cell>
        </row>
        <row r="88">
          <cell r="G88">
            <v>984.85799999999995</v>
          </cell>
        </row>
        <row r="89">
          <cell r="G89">
            <v>1000</v>
          </cell>
        </row>
        <row r="91">
          <cell r="G91">
            <v>1432.963999999994</v>
          </cell>
        </row>
        <row r="93">
          <cell r="G93">
            <v>2409.6100000000006</v>
          </cell>
        </row>
        <row r="95">
          <cell r="G95">
            <v>5018.1350000000002</v>
          </cell>
        </row>
        <row r="97">
          <cell r="G97">
            <v>2897.4420000000082</v>
          </cell>
        </row>
        <row r="99">
          <cell r="G99">
            <v>565.279</v>
          </cell>
        </row>
        <row r="101">
          <cell r="G101">
            <v>17900.637999999999</v>
          </cell>
        </row>
        <row r="103">
          <cell r="G103">
            <v>12990.035000000082</v>
          </cell>
        </row>
        <row r="112">
          <cell r="G112">
            <v>6957.8649999999998</v>
          </cell>
        </row>
        <row r="114">
          <cell r="G114">
            <v>9990.9</v>
          </cell>
        </row>
        <row r="116">
          <cell r="G116">
            <v>17062.353999999999</v>
          </cell>
        </row>
        <row r="117">
          <cell r="G117">
            <v>9.6599999999998545</v>
          </cell>
        </row>
        <row r="121">
          <cell r="G121">
            <v>363.8669999999961</v>
          </cell>
        </row>
        <row r="123">
          <cell r="G123">
            <v>25317.152999999998</v>
          </cell>
        </row>
        <row r="125">
          <cell r="G125">
            <v>14976.093999999999</v>
          </cell>
        </row>
        <row r="127">
          <cell r="G127">
            <v>25173.616999999973</v>
          </cell>
        </row>
        <row r="129">
          <cell r="G129">
            <v>5979.2150000000001</v>
          </cell>
        </row>
        <row r="130">
          <cell r="G130">
            <v>4438.16</v>
          </cell>
        </row>
        <row r="134">
          <cell r="G134">
            <v>12005.106</v>
          </cell>
        </row>
        <row r="136">
          <cell r="G136">
            <v>9989.5499999999993</v>
          </cell>
        </row>
      </sheetData>
      <sheetData sheetId="4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7">
          <cell r="G7">
            <v>1710.5029999999958</v>
          </cell>
        </row>
        <row r="11">
          <cell r="G11">
            <v>546.43000000000029</v>
          </cell>
        </row>
        <row r="13">
          <cell r="G13">
            <v>322.48499999999967</v>
          </cell>
        </row>
        <row r="17">
          <cell r="G17">
            <v>1322.4749999999999</v>
          </cell>
        </row>
        <row r="19">
          <cell r="G19">
            <v>1.5219999999999345</v>
          </cell>
        </row>
        <row r="20">
          <cell r="G20">
            <v>63.16</v>
          </cell>
        </row>
        <row r="21">
          <cell r="G21">
            <v>1000</v>
          </cell>
        </row>
        <row r="23">
          <cell r="G23">
            <v>1502.1479999999999</v>
          </cell>
        </row>
        <row r="29">
          <cell r="G29">
            <v>1051.9169999999999</v>
          </cell>
        </row>
        <row r="31">
          <cell r="G31">
            <v>18848</v>
          </cell>
        </row>
        <row r="33">
          <cell r="G33">
            <v>6995.7529999999824</v>
          </cell>
        </row>
        <row r="39">
          <cell r="G39">
            <v>7883</v>
          </cell>
        </row>
        <row r="41">
          <cell r="G41">
            <v>3384.4625719999631</v>
          </cell>
        </row>
        <row r="43">
          <cell r="G43">
            <v>1094.3589999999995</v>
          </cell>
        </row>
        <row r="45">
          <cell r="G45">
            <v>1890.6130000000001</v>
          </cell>
        </row>
        <row r="49">
          <cell r="G49">
            <v>5.1210000000428408</v>
          </cell>
        </row>
        <row r="51">
          <cell r="G51">
            <v>11.544999999999959</v>
          </cell>
        </row>
        <row r="54">
          <cell r="G54">
            <v>1496.749</v>
          </cell>
        </row>
        <row r="58">
          <cell r="G58">
            <v>1099.527</v>
          </cell>
        </row>
        <row r="64">
          <cell r="G64">
            <v>497.47600000000023</v>
          </cell>
        </row>
        <row r="66">
          <cell r="G66">
            <v>696.58299999999986</v>
          </cell>
        </row>
        <row r="72">
          <cell r="G72">
            <v>519.12800000005245</v>
          </cell>
        </row>
        <row r="73">
          <cell r="G73">
            <v>468.94600000000048</v>
          </cell>
        </row>
        <row r="75">
          <cell r="G75">
            <v>522.26399999999751</v>
          </cell>
        </row>
        <row r="76">
          <cell r="G76">
            <v>17.683000000000106</v>
          </cell>
        </row>
        <row r="83">
          <cell r="G83">
            <v>1664.1909999999993</v>
          </cell>
        </row>
        <row r="89">
          <cell r="G89">
            <v>984.85799999999995</v>
          </cell>
        </row>
        <row r="90">
          <cell r="G90">
            <v>1000</v>
          </cell>
        </row>
        <row r="92">
          <cell r="G92">
            <v>1275.8239999999942</v>
          </cell>
        </row>
        <row r="94">
          <cell r="G94">
            <v>2409.6100000000006</v>
          </cell>
        </row>
        <row r="96">
          <cell r="G96">
            <v>2625.0060000000003</v>
          </cell>
        </row>
        <row r="98">
          <cell r="G98">
            <v>2052.2220000000084</v>
          </cell>
        </row>
        <row r="100">
          <cell r="G100">
            <v>107.03899999999999</v>
          </cell>
        </row>
        <row r="102">
          <cell r="G102">
            <v>17900.637999999999</v>
          </cell>
        </row>
        <row r="104">
          <cell r="G104">
            <v>12990.035000000082</v>
          </cell>
        </row>
        <row r="108">
          <cell r="G108">
            <v>2593.6109999999999</v>
          </cell>
        </row>
        <row r="114">
          <cell r="G114">
            <v>6957.8649999999998</v>
          </cell>
        </row>
        <row r="116">
          <cell r="G116">
            <v>9990.9</v>
          </cell>
        </row>
        <row r="118">
          <cell r="G118">
            <v>14268.313999999997</v>
          </cell>
        </row>
        <row r="119">
          <cell r="G119">
            <v>30.4399999999996</v>
          </cell>
        </row>
        <row r="123">
          <cell r="G123">
            <v>157.6469999999963</v>
          </cell>
        </row>
        <row r="125">
          <cell r="G125">
            <v>14479.917000000001</v>
          </cell>
        </row>
        <row r="126">
          <cell r="G126">
            <v>5000.9920000000002</v>
          </cell>
        </row>
        <row r="128">
          <cell r="G128">
            <v>14976.093999999999</v>
          </cell>
        </row>
        <row r="130">
          <cell r="G130">
            <v>25173.616999999973</v>
          </cell>
        </row>
        <row r="132">
          <cell r="G132">
            <v>5979.2150000000001</v>
          </cell>
        </row>
        <row r="133">
          <cell r="G133">
            <v>1332.7399999999998</v>
          </cell>
        </row>
        <row r="137">
          <cell r="G137">
            <v>12005.106</v>
          </cell>
        </row>
        <row r="139">
          <cell r="G139">
            <v>9989.5499999999993</v>
          </cell>
        </row>
      </sheetData>
      <sheetData sheetId="4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3">
          <cell r="G3">
            <v>1947.127</v>
          </cell>
        </row>
        <row r="7">
          <cell r="G7">
            <v>1710.5029999999958</v>
          </cell>
        </row>
        <row r="11">
          <cell r="G11">
            <v>546.43000000000029</v>
          </cell>
        </row>
        <row r="13">
          <cell r="G13">
            <v>290.64499999999953</v>
          </cell>
        </row>
        <row r="17">
          <cell r="G17">
            <v>1322.4749999999999</v>
          </cell>
        </row>
        <row r="19">
          <cell r="G19">
            <v>1.5219999999999345</v>
          </cell>
        </row>
        <row r="20">
          <cell r="G20">
            <v>63.16</v>
          </cell>
        </row>
        <row r="21">
          <cell r="G21">
            <v>1000</v>
          </cell>
        </row>
        <row r="23">
          <cell r="G23">
            <v>1502.1479999999999</v>
          </cell>
        </row>
        <row r="29">
          <cell r="G29">
            <v>1051.9169999999999</v>
          </cell>
        </row>
        <row r="31">
          <cell r="G31">
            <v>11174</v>
          </cell>
        </row>
        <row r="33">
          <cell r="G33">
            <v>4387.7529999999824</v>
          </cell>
        </row>
        <row r="37">
          <cell r="G37">
            <v>893.76199999999994</v>
          </cell>
        </row>
        <row r="39">
          <cell r="G39">
            <v>6867</v>
          </cell>
        </row>
        <row r="41">
          <cell r="G41">
            <v>3384.4625719999631</v>
          </cell>
        </row>
        <row r="43">
          <cell r="G43">
            <v>1094.3589999999995</v>
          </cell>
        </row>
        <row r="45">
          <cell r="G45">
            <v>1748.7530000000002</v>
          </cell>
        </row>
        <row r="54">
          <cell r="G54">
            <v>1496.749</v>
          </cell>
        </row>
        <row r="58">
          <cell r="G58">
            <v>1099.527</v>
          </cell>
        </row>
        <row r="64">
          <cell r="G64">
            <v>408.81600000000014</v>
          </cell>
        </row>
        <row r="66">
          <cell r="G66">
            <v>696.58299999999986</v>
          </cell>
        </row>
        <row r="68">
          <cell r="G68">
            <v>3607.5459999999994</v>
          </cell>
        </row>
        <row r="72">
          <cell r="G72">
            <v>1041.7500000000523</v>
          </cell>
        </row>
        <row r="73">
          <cell r="G73">
            <v>411.70600000000047</v>
          </cell>
        </row>
        <row r="75">
          <cell r="G75">
            <v>45.323999999997568</v>
          </cell>
        </row>
        <row r="76">
          <cell r="G76">
            <v>17.683000000000106</v>
          </cell>
        </row>
        <row r="83">
          <cell r="G83">
            <v>1206.2109999999993</v>
          </cell>
        </row>
        <row r="89">
          <cell r="G89">
            <v>984.85799999999995</v>
          </cell>
        </row>
        <row r="90">
          <cell r="G90">
            <v>1000</v>
          </cell>
        </row>
        <row r="92">
          <cell r="G92">
            <v>1128.1039999999941</v>
          </cell>
        </row>
        <row r="94">
          <cell r="G94">
            <v>2409.6100000000006</v>
          </cell>
        </row>
        <row r="96">
          <cell r="G96">
            <v>2625.0060000000003</v>
          </cell>
        </row>
        <row r="98">
          <cell r="G98">
            <v>1535.9220000000078</v>
          </cell>
        </row>
        <row r="100">
          <cell r="G100">
            <v>77.278999999999996</v>
          </cell>
        </row>
        <row r="102">
          <cell r="G102">
            <v>17900.637999999999</v>
          </cell>
        </row>
        <row r="104">
          <cell r="G104">
            <v>12990.035000000082</v>
          </cell>
        </row>
        <row r="108">
          <cell r="G108">
            <v>2593.6109999999999</v>
          </cell>
        </row>
        <row r="114">
          <cell r="G114">
            <v>4565.9830000000002</v>
          </cell>
        </row>
        <row r="116">
          <cell r="G116">
            <v>9990.9</v>
          </cell>
        </row>
        <row r="118">
          <cell r="G118">
            <v>12147.330999999996</v>
          </cell>
        </row>
        <row r="119">
          <cell r="G119">
            <v>157.71999999999935</v>
          </cell>
        </row>
        <row r="123">
          <cell r="G123">
            <v>37.266999999996187</v>
          </cell>
        </row>
        <row r="125">
          <cell r="G125">
            <v>14479.917000000001</v>
          </cell>
        </row>
        <row r="126">
          <cell r="G126">
            <v>5000.9920000000002</v>
          </cell>
        </row>
        <row r="128">
          <cell r="G128">
            <v>14976.093999999999</v>
          </cell>
        </row>
        <row r="130">
          <cell r="G130">
            <v>25173.616999999973</v>
          </cell>
        </row>
        <row r="132">
          <cell r="G132">
            <v>0</v>
          </cell>
        </row>
        <row r="133">
          <cell r="G133">
            <v>5195.2550000000001</v>
          </cell>
        </row>
        <row r="137">
          <cell r="G137">
            <v>12005.106</v>
          </cell>
        </row>
        <row r="139">
          <cell r="G139">
            <v>9090.83</v>
          </cell>
        </row>
      </sheetData>
      <sheetData sheetId="4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>
        <row r="3">
          <cell r="G3">
            <v>993.971</v>
          </cell>
        </row>
        <row r="6">
          <cell r="G6">
            <v>1070.5989999999999</v>
          </cell>
        </row>
        <row r="8">
          <cell r="G8">
            <v>1710.5029999999958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30.019999999999982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1051.9169999999999</v>
          </cell>
        </row>
        <row r="32">
          <cell r="G32">
            <v>6938</v>
          </cell>
        </row>
        <row r="34">
          <cell r="G34">
            <v>4387.7529999999824</v>
          </cell>
        </row>
        <row r="38">
          <cell r="G38">
            <v>893.76199999999994</v>
          </cell>
        </row>
        <row r="40">
          <cell r="G40">
            <v>16174</v>
          </cell>
        </row>
        <row r="42">
          <cell r="G42">
            <v>3384.4625719999631</v>
          </cell>
        </row>
        <row r="44">
          <cell r="G44">
            <v>0</v>
          </cell>
        </row>
        <row r="46">
          <cell r="G46">
            <v>1374.8330000000001</v>
          </cell>
        </row>
        <row r="55">
          <cell r="G55">
            <v>1496.749</v>
          </cell>
        </row>
        <row r="59">
          <cell r="G59">
            <v>1099.527</v>
          </cell>
        </row>
        <row r="65">
          <cell r="G65">
            <v>408.81600000000014</v>
          </cell>
        </row>
        <row r="67">
          <cell r="G67">
            <v>696.58299999999986</v>
          </cell>
        </row>
        <row r="69">
          <cell r="G69">
            <v>3607.5459999999994</v>
          </cell>
        </row>
        <row r="73">
          <cell r="G73">
            <v>1041.7500000000523</v>
          </cell>
        </row>
        <row r="74">
          <cell r="G74">
            <v>411.70600000000047</v>
          </cell>
        </row>
        <row r="76">
          <cell r="G76">
            <v>35.023999999997613</v>
          </cell>
        </row>
        <row r="77">
          <cell r="G77">
            <v>-0.23699999999985266</v>
          </cell>
        </row>
        <row r="84">
          <cell r="G84">
            <v>1146.0509999999995</v>
          </cell>
        </row>
        <row r="90">
          <cell r="G90">
            <v>984.85799999999995</v>
          </cell>
        </row>
        <row r="91">
          <cell r="G91">
            <v>1000</v>
          </cell>
        </row>
        <row r="93">
          <cell r="G93">
            <v>910.86399999999412</v>
          </cell>
        </row>
        <row r="95">
          <cell r="G95">
            <v>2409.6100000000006</v>
          </cell>
        </row>
        <row r="97">
          <cell r="G97">
            <v>2625.0060000000003</v>
          </cell>
        </row>
        <row r="99">
          <cell r="G99">
            <v>1470.8420000000078</v>
          </cell>
        </row>
        <row r="101">
          <cell r="G101">
            <v>47.858999999999924</v>
          </cell>
        </row>
        <row r="103">
          <cell r="G103">
            <v>17900.637999999999</v>
          </cell>
        </row>
        <row r="105">
          <cell r="G105">
            <v>12990.035000000082</v>
          </cell>
        </row>
        <row r="109">
          <cell r="G109">
            <v>2593.6109999999999</v>
          </cell>
        </row>
        <row r="115">
          <cell r="G115">
            <v>1767.3689999999997</v>
          </cell>
        </row>
        <row r="117">
          <cell r="G117">
            <v>4990.8999999999996</v>
          </cell>
        </row>
        <row r="118">
          <cell r="G118">
            <v>4074.3</v>
          </cell>
        </row>
        <row r="120">
          <cell r="G120">
            <v>12117.330999999996</v>
          </cell>
        </row>
        <row r="121">
          <cell r="G121">
            <v>129.17999999999938</v>
          </cell>
        </row>
        <row r="125">
          <cell r="G125">
            <v>37.266999999996187</v>
          </cell>
        </row>
        <row r="127">
          <cell r="G127">
            <v>14479.917000000001</v>
          </cell>
        </row>
        <row r="128">
          <cell r="G128">
            <v>5000.9920000000002</v>
          </cell>
        </row>
        <row r="130">
          <cell r="G130">
            <v>14976.093999999999</v>
          </cell>
        </row>
        <row r="132">
          <cell r="G132">
            <v>25173.616999999973</v>
          </cell>
        </row>
        <row r="134">
          <cell r="G134">
            <v>0</v>
          </cell>
        </row>
        <row r="135">
          <cell r="G135">
            <v>4130.2550000000001</v>
          </cell>
        </row>
        <row r="139">
          <cell r="G139">
            <v>12005.106</v>
          </cell>
        </row>
        <row r="141">
          <cell r="G141">
            <v>8151.869999999999</v>
          </cell>
        </row>
      </sheetData>
      <sheetData sheetId="4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0120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3">
          <cell r="G3">
            <v>993.971</v>
          </cell>
        </row>
        <row r="6">
          <cell r="G6">
            <v>1046.8389999999999</v>
          </cell>
        </row>
        <row r="8">
          <cell r="G8">
            <v>1710.5029999999958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1051.9169999999999</v>
          </cell>
        </row>
        <row r="32">
          <cell r="G32">
            <v>10035</v>
          </cell>
        </row>
        <row r="34">
          <cell r="G34">
            <v>4387.7529999999824</v>
          </cell>
        </row>
        <row r="38">
          <cell r="G38">
            <v>893.76199999999994</v>
          </cell>
        </row>
        <row r="40">
          <cell r="G40">
            <v>14316</v>
          </cell>
        </row>
        <row r="42">
          <cell r="G42">
            <v>3384.4625719999631</v>
          </cell>
        </row>
        <row r="44">
          <cell r="G44">
            <v>6134.7419999999993</v>
          </cell>
        </row>
        <row r="46">
          <cell r="G46">
            <v>1055.1130000000001</v>
          </cell>
        </row>
        <row r="55">
          <cell r="G55">
            <v>1496.749</v>
          </cell>
        </row>
        <row r="59">
          <cell r="G59">
            <v>1099.527</v>
          </cell>
        </row>
        <row r="65">
          <cell r="G65">
            <v>408.81600000000014</v>
          </cell>
        </row>
        <row r="67">
          <cell r="G67">
            <v>696.58299999999986</v>
          </cell>
        </row>
        <row r="69">
          <cell r="G69">
            <v>3607.5459999999994</v>
          </cell>
        </row>
        <row r="73">
          <cell r="G73">
            <v>1041.7500000000523</v>
          </cell>
        </row>
        <row r="74">
          <cell r="G74">
            <v>411.70600000000047</v>
          </cell>
        </row>
        <row r="76">
          <cell r="G76">
            <v>35.023999999997613</v>
          </cell>
        </row>
        <row r="77">
          <cell r="G77">
            <v>-0.23699999999985266</v>
          </cell>
        </row>
        <row r="84">
          <cell r="G84">
            <v>1146.0509999999995</v>
          </cell>
        </row>
        <row r="90">
          <cell r="G90">
            <v>984.85799999999995</v>
          </cell>
        </row>
        <row r="91">
          <cell r="G91">
            <v>1000</v>
          </cell>
        </row>
        <row r="93">
          <cell r="G93">
            <v>629.40399999999408</v>
          </cell>
        </row>
        <row r="95">
          <cell r="G95">
            <v>2409.6100000000006</v>
          </cell>
        </row>
        <row r="97">
          <cell r="G97">
            <v>2625.0060000000003</v>
          </cell>
        </row>
        <row r="99">
          <cell r="G99">
            <v>4318.3530000000083</v>
          </cell>
        </row>
        <row r="101">
          <cell r="G101">
            <v>17.558999999999969</v>
          </cell>
        </row>
        <row r="103">
          <cell r="G103">
            <v>17900.637999999999</v>
          </cell>
        </row>
        <row r="105">
          <cell r="G105">
            <v>12990.035000000082</v>
          </cell>
        </row>
        <row r="109">
          <cell r="G109">
            <v>2593.6109999999999</v>
          </cell>
        </row>
        <row r="115">
          <cell r="G115">
            <v>1767.3689999999997</v>
          </cell>
        </row>
        <row r="117">
          <cell r="G117">
            <v>4490.8999999999996</v>
          </cell>
        </row>
        <row r="118">
          <cell r="G118">
            <v>3172.06</v>
          </cell>
        </row>
        <row r="120">
          <cell r="G120">
            <v>11941.910999999996</v>
          </cell>
        </row>
        <row r="121">
          <cell r="G121">
            <v>129.67999999999938</v>
          </cell>
        </row>
        <row r="125">
          <cell r="G125">
            <v>13.946999999996024</v>
          </cell>
        </row>
        <row r="127">
          <cell r="G127">
            <v>3643.1330000000016</v>
          </cell>
        </row>
        <row r="128">
          <cell r="G128">
            <v>5000.9920000000002</v>
          </cell>
        </row>
        <row r="130">
          <cell r="G130">
            <v>14976.093999999999</v>
          </cell>
        </row>
        <row r="132">
          <cell r="G132">
            <v>25173.616999999973</v>
          </cell>
        </row>
        <row r="134">
          <cell r="G134">
            <v>0</v>
          </cell>
        </row>
        <row r="135">
          <cell r="G135">
            <v>3496.6749999999993</v>
          </cell>
        </row>
        <row r="139">
          <cell r="G139">
            <v>12005.106</v>
          </cell>
        </row>
        <row r="141">
          <cell r="G141">
            <v>7829.6099999999988</v>
          </cell>
        </row>
      </sheetData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0120"/>
      <sheetName val="0121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3">
          <cell r="G3">
            <v>993.971</v>
          </cell>
        </row>
        <row r="6">
          <cell r="G6">
            <v>975.55899999999997</v>
          </cell>
        </row>
        <row r="8">
          <cell r="G8">
            <v>1710.5029999999958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1051.9169999999999</v>
          </cell>
        </row>
        <row r="32">
          <cell r="G32">
            <v>10035</v>
          </cell>
        </row>
        <row r="34">
          <cell r="G34">
            <v>4387.7529999999824</v>
          </cell>
        </row>
        <row r="38">
          <cell r="G38">
            <v>893.76199999999994</v>
          </cell>
        </row>
        <row r="40">
          <cell r="G40">
            <v>14316</v>
          </cell>
        </row>
        <row r="42">
          <cell r="G42">
            <v>3384.4625719999631</v>
          </cell>
        </row>
        <row r="44">
          <cell r="G44">
            <v>6134.7419999999993</v>
          </cell>
        </row>
        <row r="46">
          <cell r="G46">
            <v>1055.1130000000001</v>
          </cell>
        </row>
        <row r="55">
          <cell r="G55">
            <v>1496.749</v>
          </cell>
        </row>
        <row r="59">
          <cell r="G59">
            <v>1099.527</v>
          </cell>
        </row>
        <row r="65">
          <cell r="G65">
            <v>408.81600000000014</v>
          </cell>
        </row>
        <row r="67">
          <cell r="G67">
            <v>669.34299999999985</v>
          </cell>
        </row>
        <row r="69">
          <cell r="G69">
            <v>3607.5459999999994</v>
          </cell>
        </row>
        <row r="73">
          <cell r="G73">
            <v>1041.7500000000523</v>
          </cell>
        </row>
        <row r="74">
          <cell r="G74">
            <v>411.70600000000047</v>
          </cell>
        </row>
        <row r="76">
          <cell r="G76">
            <v>35.023999999997613</v>
          </cell>
        </row>
        <row r="77">
          <cell r="G77">
            <v>-0.23699999999985266</v>
          </cell>
        </row>
        <row r="84">
          <cell r="G84">
            <v>1146.0509999999995</v>
          </cell>
        </row>
        <row r="90">
          <cell r="G90">
            <v>984.85799999999995</v>
          </cell>
        </row>
        <row r="91">
          <cell r="G91">
            <v>1000</v>
          </cell>
        </row>
        <row r="93">
          <cell r="G93">
            <v>586.12399999999411</v>
          </cell>
        </row>
        <row r="95">
          <cell r="G95">
            <v>2409.6100000000006</v>
          </cell>
        </row>
        <row r="97">
          <cell r="G97">
            <v>2625.0060000000003</v>
          </cell>
        </row>
        <row r="99">
          <cell r="G99">
            <v>3948.9930000000086</v>
          </cell>
        </row>
        <row r="101">
          <cell r="G101">
            <v>1.1789999999998599</v>
          </cell>
        </row>
        <row r="103">
          <cell r="G103">
            <v>17900.637999999999</v>
          </cell>
        </row>
        <row r="105">
          <cell r="G105">
            <v>12990.035000000082</v>
          </cell>
        </row>
        <row r="109">
          <cell r="G109">
            <v>2593.6109999999999</v>
          </cell>
        </row>
        <row r="115">
          <cell r="G115">
            <v>1767.3689999999997</v>
          </cell>
        </row>
        <row r="117">
          <cell r="G117">
            <v>3990.8999999999996</v>
          </cell>
        </row>
        <row r="118">
          <cell r="G118">
            <v>2442.7600000000002</v>
          </cell>
        </row>
        <row r="120">
          <cell r="G120">
            <v>10844.730999999996</v>
          </cell>
        </row>
        <row r="121">
          <cell r="G121">
            <v>429.17999999999938</v>
          </cell>
        </row>
        <row r="125">
          <cell r="G125">
            <v>13.946999999996024</v>
          </cell>
        </row>
        <row r="127">
          <cell r="G127">
            <v>3643.1330000000016</v>
          </cell>
        </row>
        <row r="128">
          <cell r="G128">
            <v>5000.9920000000002</v>
          </cell>
        </row>
        <row r="130">
          <cell r="G130">
            <v>14976.093999999999</v>
          </cell>
        </row>
        <row r="132">
          <cell r="G132">
            <v>25173.616999999973</v>
          </cell>
        </row>
        <row r="134">
          <cell r="G134">
            <v>0</v>
          </cell>
        </row>
        <row r="135">
          <cell r="G135">
            <v>2902.8549999999996</v>
          </cell>
        </row>
        <row r="139">
          <cell r="G139">
            <v>12005.106</v>
          </cell>
        </row>
        <row r="141">
          <cell r="G141">
            <v>7569.2699999999986</v>
          </cell>
        </row>
      </sheetData>
      <sheetData sheetId="5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0120"/>
      <sheetName val="0121"/>
      <sheetName val="0122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6">
          <cell r="G6">
            <v>928.1389999999999</v>
          </cell>
        </row>
        <row r="8">
          <cell r="G8">
            <v>1710.5029999999958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30">
          <cell r="G30">
            <v>1051.9169999999999</v>
          </cell>
        </row>
        <row r="32">
          <cell r="G32">
            <v>8817</v>
          </cell>
        </row>
        <row r="34">
          <cell r="G34">
            <v>4387.7529999999824</v>
          </cell>
        </row>
        <row r="40">
          <cell r="G40">
            <v>11773</v>
          </cell>
        </row>
        <row r="42">
          <cell r="G42">
            <v>3384.4625719999631</v>
          </cell>
        </row>
        <row r="44">
          <cell r="G44">
            <v>6134.7419999999993</v>
          </cell>
        </row>
        <row r="46">
          <cell r="G46">
            <v>1055.1130000000001</v>
          </cell>
        </row>
        <row r="55">
          <cell r="G55">
            <v>1496.749</v>
          </cell>
        </row>
        <row r="59">
          <cell r="G59">
            <v>1099.527</v>
          </cell>
        </row>
        <row r="65">
          <cell r="G65">
            <v>408.81600000000014</v>
          </cell>
        </row>
        <row r="67">
          <cell r="G67">
            <v>669.34299999999985</v>
          </cell>
        </row>
        <row r="69">
          <cell r="G69">
            <v>2002.5469999999996</v>
          </cell>
        </row>
        <row r="73">
          <cell r="G73">
            <v>1041.7500000000523</v>
          </cell>
        </row>
        <row r="74">
          <cell r="G74">
            <v>411.70600000000047</v>
          </cell>
        </row>
        <row r="76">
          <cell r="G76">
            <v>35.023999999997613</v>
          </cell>
        </row>
        <row r="77">
          <cell r="G77">
            <v>-0.23699999999985266</v>
          </cell>
        </row>
        <row r="84">
          <cell r="G84">
            <v>1146.0509999999995</v>
          </cell>
        </row>
        <row r="90">
          <cell r="G90">
            <v>984.85799999999995</v>
          </cell>
        </row>
        <row r="91">
          <cell r="G91">
            <v>1000</v>
          </cell>
        </row>
        <row r="93">
          <cell r="G93">
            <v>586.12399999999411</v>
          </cell>
        </row>
        <row r="95">
          <cell r="G95">
            <v>2409.6100000000006</v>
          </cell>
        </row>
        <row r="97">
          <cell r="G97">
            <v>2625.0060000000003</v>
          </cell>
        </row>
        <row r="99">
          <cell r="G99">
            <v>3601.5330000000085</v>
          </cell>
        </row>
        <row r="103">
          <cell r="G103">
            <v>7950.4579999999987</v>
          </cell>
        </row>
        <row r="105">
          <cell r="G105">
            <v>10595.776000000082</v>
          </cell>
        </row>
        <row r="109">
          <cell r="G109">
            <v>2593.6109999999999</v>
          </cell>
        </row>
        <row r="115">
          <cell r="G115">
            <v>1767.3689999999997</v>
          </cell>
        </row>
        <row r="117">
          <cell r="G117">
            <v>3990.8999999999996</v>
          </cell>
        </row>
        <row r="118">
          <cell r="G118">
            <v>1687.2800000000007</v>
          </cell>
        </row>
        <row r="120">
          <cell r="G120">
            <v>10215.790999999997</v>
          </cell>
        </row>
        <row r="121">
          <cell r="G121">
            <v>252.9399999999996</v>
          </cell>
        </row>
        <row r="127">
          <cell r="G127">
            <v>3643.1330000000016</v>
          </cell>
        </row>
        <row r="128">
          <cell r="G128">
            <v>5000.9920000000002</v>
          </cell>
        </row>
        <row r="130">
          <cell r="G130">
            <v>14976.093999999999</v>
          </cell>
        </row>
        <row r="132">
          <cell r="G132">
            <v>25173.616999999973</v>
          </cell>
        </row>
        <row r="134">
          <cell r="G134">
            <v>0</v>
          </cell>
        </row>
        <row r="135">
          <cell r="G135">
            <v>2531.1949999999997</v>
          </cell>
        </row>
        <row r="139">
          <cell r="G139">
            <v>12005.106</v>
          </cell>
        </row>
        <row r="141">
          <cell r="G141">
            <v>7240.329999999999</v>
          </cell>
        </row>
      </sheetData>
      <sheetData sheetId="5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0120"/>
      <sheetName val="0121"/>
      <sheetName val="0122"/>
      <sheetName val="0123"/>
      <sheetName val="0124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6">
          <cell r="G6">
            <v>880.779</v>
          </cell>
        </row>
        <row r="8">
          <cell r="G8">
            <v>1710.5029999999958</v>
          </cell>
        </row>
        <row r="10">
          <cell r="G10">
            <v>882.99800000002733</v>
          </cell>
        </row>
        <row r="12">
          <cell r="G12">
            <v>2871.8580000000002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904.43000000000006</v>
          </cell>
        </row>
        <row r="30">
          <cell r="G30">
            <v>1051.9169999999999</v>
          </cell>
        </row>
        <row r="32">
          <cell r="G32">
            <v>13413</v>
          </cell>
        </row>
        <row r="34">
          <cell r="G34">
            <v>4387.7529999999824</v>
          </cell>
        </row>
        <row r="38">
          <cell r="G38">
            <v>925.26299999999992</v>
          </cell>
        </row>
        <row r="40">
          <cell r="G40">
            <v>12972</v>
          </cell>
        </row>
        <row r="42">
          <cell r="G42">
            <v>3384.4625719999631</v>
          </cell>
        </row>
        <row r="44">
          <cell r="G44">
            <v>6134.7419999999993</v>
          </cell>
        </row>
        <row r="46">
          <cell r="G46">
            <v>1026.373</v>
          </cell>
        </row>
        <row r="55">
          <cell r="G55">
            <v>1496.749</v>
          </cell>
        </row>
        <row r="59">
          <cell r="G59">
            <v>1099.527</v>
          </cell>
        </row>
        <row r="65">
          <cell r="G65">
            <v>408.81600000000014</v>
          </cell>
        </row>
        <row r="67">
          <cell r="G67">
            <v>640.54299999999989</v>
          </cell>
        </row>
        <row r="69">
          <cell r="G69">
            <v>3556.338999999999</v>
          </cell>
        </row>
        <row r="73">
          <cell r="G73">
            <v>3631.2170000000519</v>
          </cell>
        </row>
        <row r="74">
          <cell r="G74">
            <v>411.70600000000047</v>
          </cell>
        </row>
        <row r="76">
          <cell r="G76">
            <v>31.463999999997668</v>
          </cell>
        </row>
        <row r="77">
          <cell r="G77">
            <v>-0.23699999999985266</v>
          </cell>
        </row>
        <row r="84">
          <cell r="G84">
            <v>1118.4909999999995</v>
          </cell>
        </row>
        <row r="90">
          <cell r="G90">
            <v>2006.1080000000002</v>
          </cell>
        </row>
        <row r="91">
          <cell r="G91">
            <v>1000</v>
          </cell>
        </row>
        <row r="93">
          <cell r="G93">
            <v>586.12399999999411</v>
          </cell>
        </row>
        <row r="95">
          <cell r="G95">
            <v>2409.6100000000006</v>
          </cell>
        </row>
        <row r="97">
          <cell r="G97">
            <v>2625.0060000000003</v>
          </cell>
        </row>
        <row r="99">
          <cell r="G99">
            <v>3046.6530000000084</v>
          </cell>
        </row>
        <row r="103">
          <cell r="G103">
            <v>5557.1929999999993</v>
          </cell>
        </row>
        <row r="105">
          <cell r="G105">
            <v>10595.776000000082</v>
          </cell>
        </row>
        <row r="109">
          <cell r="G109">
            <v>2593.6109999999999</v>
          </cell>
        </row>
        <row r="115">
          <cell r="G115">
            <v>1767.3689999999997</v>
          </cell>
        </row>
        <row r="117">
          <cell r="G117">
            <v>3990.8999999999996</v>
          </cell>
        </row>
        <row r="118">
          <cell r="G118">
            <v>283.90000000000055</v>
          </cell>
        </row>
        <row r="120">
          <cell r="G120">
            <v>9876.0309999999954</v>
          </cell>
        </row>
        <row r="121">
          <cell r="G121">
            <v>21.100000000000364</v>
          </cell>
        </row>
        <row r="127">
          <cell r="G127">
            <v>3456.2550000000047</v>
          </cell>
        </row>
        <row r="128">
          <cell r="G128">
            <v>5000.9920000000002</v>
          </cell>
        </row>
        <row r="130">
          <cell r="G130">
            <v>14976.093999999999</v>
          </cell>
        </row>
        <row r="132">
          <cell r="G132">
            <v>25173.616999999973</v>
          </cell>
        </row>
        <row r="134">
          <cell r="G134">
            <v>0</v>
          </cell>
        </row>
        <row r="135">
          <cell r="G135">
            <v>1200.4749999999985</v>
          </cell>
        </row>
        <row r="139">
          <cell r="G139">
            <v>12005.106</v>
          </cell>
        </row>
        <row r="141">
          <cell r="G141">
            <v>6761.6299999999992</v>
          </cell>
        </row>
      </sheetData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  <sheetName val="1002"/>
      <sheetName val="1003-04"/>
      <sheetName val="1005"/>
      <sheetName val="1006"/>
      <sheetName val="1007"/>
      <sheetName val="1008"/>
      <sheetName val="1009"/>
      <sheetName val="1010"/>
      <sheetName val="1011"/>
      <sheetName val="1012"/>
      <sheetName val="1013"/>
      <sheetName val="1014"/>
      <sheetName val="1015"/>
      <sheetName val="1016"/>
      <sheetName val="1017"/>
      <sheetName val="1018"/>
      <sheetName val="1019"/>
      <sheetName val="1020"/>
      <sheetName val="1021"/>
      <sheetName val="1022"/>
      <sheetName val="1023-1024"/>
      <sheetName val="1025"/>
      <sheetName val="1026"/>
      <sheetName val="1027"/>
      <sheetName val="1028"/>
      <sheetName val="1029-30"/>
      <sheetName val="1031"/>
      <sheetName val="1031 0800后"/>
      <sheetName val="1101 0800前"/>
      <sheetName val="1102"/>
      <sheetName val="1103"/>
      <sheetName val="1104"/>
      <sheetName val="1105"/>
      <sheetName val="1106"/>
      <sheetName val="1107"/>
      <sheetName val="1108"/>
      <sheetName val="1109"/>
      <sheetName val="1110"/>
      <sheetName val="1111"/>
      <sheetName val="1112"/>
      <sheetName val="1113"/>
      <sheetName val="1114"/>
      <sheetName val="1115"/>
      <sheetName val="1116"/>
      <sheetName val="1117"/>
      <sheetName val="1118"/>
      <sheetName val="1119"/>
      <sheetName val="1120"/>
      <sheetName val="1121"/>
      <sheetName val="1122"/>
      <sheetName val="1123"/>
      <sheetName val="1124"/>
      <sheetName val="1125"/>
      <sheetName val="1126"/>
      <sheetName val="1127"/>
      <sheetName val="1128"/>
      <sheetName val="1129"/>
      <sheetName val="1130"/>
      <sheetName val="1130 0800后"/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副本"/>
      <sheetName val="副本2"/>
      <sheetName val="Sheet3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5">
          <cell r="G5">
            <v>525.89599999999996</v>
          </cell>
        </row>
        <row r="7">
          <cell r="G7">
            <v>793.41399999999589</v>
          </cell>
        </row>
        <row r="17">
          <cell r="G17">
            <v>1322.4749999999999</v>
          </cell>
        </row>
        <row r="21">
          <cell r="G21">
            <v>1502.1479999999999</v>
          </cell>
        </row>
        <row r="29">
          <cell r="G29">
            <v>17573</v>
          </cell>
        </row>
        <row r="31">
          <cell r="G31">
            <v>3053.6469999999827</v>
          </cell>
        </row>
        <row r="37">
          <cell r="G37">
            <v>12489</v>
          </cell>
        </row>
        <row r="39">
          <cell r="G39">
            <v>1350.5465719999629</v>
          </cell>
        </row>
        <row r="41">
          <cell r="G41">
            <v>2906.4359999999997</v>
          </cell>
        </row>
        <row r="47">
          <cell r="G47">
            <v>762.62100000004284</v>
          </cell>
        </row>
        <row r="49">
          <cell r="G49">
            <v>272.52499999999998</v>
          </cell>
        </row>
        <row r="51">
          <cell r="G51">
            <v>19.961000000002969</v>
          </cell>
        </row>
        <row r="53">
          <cell r="G53">
            <v>1099.9159999999999</v>
          </cell>
        </row>
        <row r="57">
          <cell r="G57">
            <v>1098.2449999999999</v>
          </cell>
        </row>
        <row r="61">
          <cell r="G61">
            <v>462.41900000000027</v>
          </cell>
        </row>
        <row r="63">
          <cell r="G63">
            <v>755.06299999999987</v>
          </cell>
        </row>
        <row r="65">
          <cell r="G65">
            <v>0</v>
          </cell>
        </row>
        <row r="69">
          <cell r="G69">
            <v>196.4720000000525</v>
          </cell>
        </row>
        <row r="70">
          <cell r="G70">
            <v>2.6340000000004693</v>
          </cell>
        </row>
        <row r="72">
          <cell r="G72">
            <v>490.36299999999756</v>
          </cell>
        </row>
        <row r="73">
          <cell r="G73">
            <v>290.33999999999997</v>
          </cell>
        </row>
        <row r="74">
          <cell r="G74">
            <v>1001.944</v>
          </cell>
        </row>
        <row r="80">
          <cell r="G80">
            <v>2071.36</v>
          </cell>
        </row>
        <row r="81">
          <cell r="G81">
            <v>1584.5709999999999</v>
          </cell>
        </row>
        <row r="87">
          <cell r="G87">
            <v>875.07899999999427</v>
          </cell>
        </row>
        <row r="89">
          <cell r="G89">
            <v>7193.6779999999999</v>
          </cell>
        </row>
        <row r="91">
          <cell r="G91">
            <v>7409.1850000000004</v>
          </cell>
        </row>
        <row r="93">
          <cell r="G93">
            <v>2592.4640000000081</v>
          </cell>
        </row>
        <row r="97">
          <cell r="G97">
            <v>17900.637999999999</v>
          </cell>
        </row>
        <row r="99">
          <cell r="G99">
            <v>17775.025000000081</v>
          </cell>
        </row>
        <row r="101">
          <cell r="G101">
            <v>920.43700000001695</v>
          </cell>
        </row>
        <row r="107">
          <cell r="G107">
            <v>6957.8649999999998</v>
          </cell>
        </row>
        <row r="111">
          <cell r="G111">
            <v>28002.054</v>
          </cell>
        </row>
        <row r="115">
          <cell r="G115">
            <v>2849.0869999999964</v>
          </cell>
        </row>
        <row r="117">
          <cell r="G117">
            <v>21897.301999999996</v>
          </cell>
        </row>
        <row r="119">
          <cell r="G119">
            <v>14976.093999999999</v>
          </cell>
        </row>
        <row r="121">
          <cell r="G121">
            <v>4194.545999999973</v>
          </cell>
        </row>
        <row r="123">
          <cell r="G123">
            <v>11979.215</v>
          </cell>
        </row>
        <row r="127">
          <cell r="G127">
            <v>12005.106</v>
          </cell>
        </row>
      </sheetData>
      <sheetData sheetId="93"/>
      <sheetData sheetId="9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0120"/>
      <sheetName val="0121"/>
      <sheetName val="0122"/>
      <sheetName val="0123"/>
      <sheetName val="0124"/>
      <sheetName val="0125"/>
      <sheetName val="0126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G6">
            <v>857.05899999999997</v>
          </cell>
        </row>
        <row r="8">
          <cell r="G8">
            <v>1710.5029999999958</v>
          </cell>
        </row>
        <row r="10">
          <cell r="G10">
            <v>493.60300000002826</v>
          </cell>
        </row>
        <row r="12">
          <cell r="G12">
            <v>2871.8580000000002</v>
          </cell>
        </row>
        <row r="16">
          <cell r="G16">
            <v>2087.2890000000002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904.43000000000006</v>
          </cell>
        </row>
        <row r="30">
          <cell r="G30">
            <v>1051.9169999999999</v>
          </cell>
        </row>
        <row r="32">
          <cell r="G32">
            <v>13404</v>
          </cell>
        </row>
        <row r="34">
          <cell r="G34">
            <v>4387.7529999999824</v>
          </cell>
        </row>
        <row r="38">
          <cell r="G38">
            <v>0.28799999999955617</v>
          </cell>
        </row>
        <row r="40">
          <cell r="G40">
            <v>10204</v>
          </cell>
        </row>
        <row r="42">
          <cell r="G42">
            <v>8385.4545719999624</v>
          </cell>
        </row>
        <row r="44">
          <cell r="G44">
            <v>6134.7419999999993</v>
          </cell>
        </row>
        <row r="46">
          <cell r="G46">
            <v>1008.913</v>
          </cell>
        </row>
        <row r="55">
          <cell r="G55">
            <v>1496.749</v>
          </cell>
        </row>
        <row r="59">
          <cell r="G59">
            <v>946.20700000000011</v>
          </cell>
        </row>
        <row r="65">
          <cell r="G65">
            <v>408.81600000000014</v>
          </cell>
        </row>
        <row r="67">
          <cell r="G67">
            <v>640.54299999999989</v>
          </cell>
        </row>
        <row r="69">
          <cell r="G69">
            <v>3147.802999999999</v>
          </cell>
        </row>
        <row r="73">
          <cell r="G73">
            <v>3108.5950000000521</v>
          </cell>
        </row>
        <row r="74">
          <cell r="G74">
            <v>934.32800000000032</v>
          </cell>
        </row>
        <row r="76">
          <cell r="G76">
            <v>31.463999999997668</v>
          </cell>
        </row>
        <row r="77">
          <cell r="G77">
            <v>-0.23699999999985266</v>
          </cell>
        </row>
        <row r="84">
          <cell r="G84">
            <v>1118.4909999999995</v>
          </cell>
        </row>
        <row r="90">
          <cell r="G90">
            <v>2006.1080000000002</v>
          </cell>
        </row>
        <row r="91">
          <cell r="G91">
            <v>1000</v>
          </cell>
        </row>
        <row r="93">
          <cell r="G93">
            <v>586.12399999999411</v>
          </cell>
        </row>
        <row r="95">
          <cell r="G95">
            <v>2409.6100000000006</v>
          </cell>
        </row>
        <row r="97">
          <cell r="G97">
            <v>2625.0060000000003</v>
          </cell>
        </row>
        <row r="99">
          <cell r="G99">
            <v>2534.0130000000081</v>
          </cell>
        </row>
        <row r="103">
          <cell r="G103">
            <v>5557.1929999999993</v>
          </cell>
        </row>
        <row r="105">
          <cell r="G105">
            <v>10595.776000000082</v>
          </cell>
        </row>
        <row r="109">
          <cell r="G109">
            <v>2593.6109999999999</v>
          </cell>
        </row>
        <row r="115">
          <cell r="G115">
            <v>1767.3689999999997</v>
          </cell>
        </row>
        <row r="117">
          <cell r="G117">
            <v>3990.8999999999996</v>
          </cell>
        </row>
        <row r="118">
          <cell r="G118">
            <v>96.340000000000146</v>
          </cell>
        </row>
        <row r="120">
          <cell r="G120">
            <v>9876.0309999999954</v>
          </cell>
        </row>
        <row r="121">
          <cell r="G121">
            <v>21.100000000000364</v>
          </cell>
        </row>
        <row r="127">
          <cell r="G127">
            <v>12457.292000000001</v>
          </cell>
        </row>
        <row r="130">
          <cell r="G130">
            <v>14976.093999999999</v>
          </cell>
        </row>
        <row r="132">
          <cell r="G132">
            <v>20204.884999999973</v>
          </cell>
        </row>
        <row r="134">
          <cell r="G134">
            <v>0</v>
          </cell>
        </row>
        <row r="135">
          <cell r="G135">
            <v>-3.9050000000006548</v>
          </cell>
        </row>
        <row r="139">
          <cell r="G139">
            <v>12005.106</v>
          </cell>
        </row>
        <row r="141">
          <cell r="G141">
            <v>6761.6299999999992</v>
          </cell>
        </row>
      </sheetData>
      <sheetData sheetId="5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0120"/>
      <sheetName val="0121"/>
      <sheetName val="0122"/>
      <sheetName val="0123"/>
      <sheetName val="0124"/>
      <sheetName val="0125"/>
      <sheetName val="0126"/>
      <sheetName val="0127"/>
      <sheetName val="0128"/>
      <sheetName val="0129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6">
          <cell r="G6">
            <v>785.97899999999993</v>
          </cell>
        </row>
        <row r="8">
          <cell r="G8">
            <v>1710.5029999999958</v>
          </cell>
        </row>
        <row r="12">
          <cell r="G12">
            <v>2871.8580000000002</v>
          </cell>
        </row>
        <row r="14">
          <cell r="G14">
            <v>2481.8399999999992</v>
          </cell>
        </row>
        <row r="16">
          <cell r="G16">
            <v>2087.2890000000002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904.43000000000006</v>
          </cell>
        </row>
        <row r="30">
          <cell r="G30">
            <v>1051.9169999999999</v>
          </cell>
        </row>
        <row r="32">
          <cell r="G32">
            <v>5000</v>
          </cell>
        </row>
        <row r="34">
          <cell r="G34">
            <v>4387.7529999999824</v>
          </cell>
        </row>
        <row r="38">
          <cell r="G38">
            <v>0.28799999999955617</v>
          </cell>
        </row>
        <row r="40">
          <cell r="G40">
            <v>17000</v>
          </cell>
        </row>
        <row r="42">
          <cell r="G42">
            <v>8385.4545719999624</v>
          </cell>
        </row>
        <row r="44">
          <cell r="G44">
            <v>6134.7419999999993</v>
          </cell>
        </row>
        <row r="46">
          <cell r="G46">
            <v>1008.913</v>
          </cell>
        </row>
        <row r="55">
          <cell r="G55">
            <v>1496.749</v>
          </cell>
        </row>
        <row r="59">
          <cell r="G59">
            <v>946.20700000000011</v>
          </cell>
        </row>
        <row r="65">
          <cell r="G65">
            <v>408.81600000000014</v>
          </cell>
        </row>
        <row r="67">
          <cell r="G67">
            <v>640.54299999999989</v>
          </cell>
        </row>
        <row r="69">
          <cell r="G69">
            <v>3147.802999999999</v>
          </cell>
        </row>
        <row r="73">
          <cell r="G73">
            <v>3108.5950000000521</v>
          </cell>
        </row>
        <row r="74">
          <cell r="G74">
            <v>934.32800000000032</v>
          </cell>
        </row>
        <row r="76">
          <cell r="G76">
            <v>31.463999999997668</v>
          </cell>
        </row>
        <row r="77">
          <cell r="G77">
            <v>-0.23699999999985266</v>
          </cell>
        </row>
        <row r="84">
          <cell r="G84">
            <v>1118.4909999999995</v>
          </cell>
        </row>
        <row r="90">
          <cell r="G90">
            <v>2006.1080000000002</v>
          </cell>
        </row>
        <row r="91">
          <cell r="G91">
            <v>1000</v>
          </cell>
        </row>
        <row r="93">
          <cell r="G93">
            <v>173.70399999999404</v>
          </cell>
        </row>
        <row r="95">
          <cell r="G95">
            <v>2409.6100000000006</v>
          </cell>
        </row>
        <row r="97">
          <cell r="G97">
            <v>4217.264000000001</v>
          </cell>
        </row>
        <row r="99">
          <cell r="G99">
            <v>4070.8150000000078</v>
          </cell>
        </row>
        <row r="103">
          <cell r="G103">
            <v>17526.61</v>
          </cell>
        </row>
        <row r="105">
          <cell r="G105">
            <v>36667.325000000084</v>
          </cell>
        </row>
        <row r="109">
          <cell r="G109">
            <v>2593.6109999999999</v>
          </cell>
        </row>
        <row r="115">
          <cell r="G115">
            <v>1767.3689999999997</v>
          </cell>
        </row>
        <row r="117">
          <cell r="G117">
            <v>3990.8999999999996</v>
          </cell>
        </row>
        <row r="118">
          <cell r="G118">
            <v>96.340000000000146</v>
          </cell>
        </row>
        <row r="120">
          <cell r="G120">
            <v>9876.0309999999954</v>
          </cell>
        </row>
        <row r="121">
          <cell r="G121">
            <v>21.100000000000364</v>
          </cell>
        </row>
        <row r="125">
          <cell r="G125">
            <v>8339.3289999999961</v>
          </cell>
        </row>
        <row r="127">
          <cell r="G127">
            <v>13599.228999999992</v>
          </cell>
        </row>
        <row r="130">
          <cell r="G130">
            <v>14976.093999999999</v>
          </cell>
        </row>
        <row r="132">
          <cell r="G132">
            <v>20204.884999999973</v>
          </cell>
        </row>
        <row r="134">
          <cell r="G134">
            <v>0</v>
          </cell>
        </row>
        <row r="135">
          <cell r="G135">
            <v>-68.725000000000364</v>
          </cell>
        </row>
        <row r="139">
          <cell r="G139">
            <v>12005.106</v>
          </cell>
        </row>
        <row r="141">
          <cell r="G141">
            <v>6761.6299999999992</v>
          </cell>
        </row>
      </sheetData>
      <sheetData sheetId="5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-0115"/>
      <sheetName val="0116"/>
      <sheetName val="0117"/>
      <sheetName val="0118"/>
      <sheetName val="0119"/>
      <sheetName val="0120"/>
      <sheetName val="0121"/>
      <sheetName val="0122"/>
      <sheetName val="0123"/>
      <sheetName val="0124"/>
      <sheetName val="0125"/>
      <sheetName val="0126"/>
      <sheetName val="0127"/>
      <sheetName val="0128"/>
      <sheetName val="0129"/>
      <sheetName val="0130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>
        <row r="6">
          <cell r="G6">
            <v>738.57899999999995</v>
          </cell>
        </row>
        <row r="8">
          <cell r="G8">
            <v>1710.5029999999958</v>
          </cell>
        </row>
        <row r="12">
          <cell r="G12">
            <v>2871.8580000000002</v>
          </cell>
        </row>
        <row r="14">
          <cell r="G14">
            <v>2481.8399999999992</v>
          </cell>
        </row>
        <row r="16">
          <cell r="G16">
            <v>2087.2890000000002</v>
          </cell>
        </row>
        <row r="18">
          <cell r="G18">
            <v>1322.4749999999999</v>
          </cell>
        </row>
        <row r="20">
          <cell r="G20">
            <v>1.5219999999999345</v>
          </cell>
        </row>
        <row r="21">
          <cell r="G21">
            <v>3.999999999996362E-2</v>
          </cell>
        </row>
        <row r="22">
          <cell r="G22">
            <v>1000</v>
          </cell>
        </row>
        <row r="24">
          <cell r="G24">
            <v>1502.1479999999999</v>
          </cell>
        </row>
        <row r="26">
          <cell r="G26">
            <v>904.43000000000006</v>
          </cell>
        </row>
        <row r="30">
          <cell r="G30">
            <v>1051.9169999999999</v>
          </cell>
        </row>
        <row r="32">
          <cell r="G32">
            <v>5000</v>
          </cell>
        </row>
        <row r="34">
          <cell r="G34">
            <v>4387.7529999999824</v>
          </cell>
        </row>
        <row r="36">
          <cell r="G36">
            <v>3496.5419999999999</v>
          </cell>
        </row>
        <row r="38">
          <cell r="G38">
            <v>0.28799999999955617</v>
          </cell>
        </row>
        <row r="40">
          <cell r="G40">
            <v>17000</v>
          </cell>
        </row>
        <row r="42">
          <cell r="G42">
            <v>8385.4545719999624</v>
          </cell>
        </row>
        <row r="44">
          <cell r="G44">
            <v>6134.7419999999993</v>
          </cell>
        </row>
        <row r="46">
          <cell r="G46">
            <v>1008.913</v>
          </cell>
        </row>
        <row r="55">
          <cell r="G55">
            <v>1496.749</v>
          </cell>
        </row>
        <row r="59">
          <cell r="G59">
            <v>946.20700000000011</v>
          </cell>
        </row>
        <row r="65">
          <cell r="G65">
            <v>408.81600000000014</v>
          </cell>
        </row>
        <row r="67">
          <cell r="G67">
            <v>640.54299999999989</v>
          </cell>
        </row>
        <row r="69">
          <cell r="G69">
            <v>3147.802999999999</v>
          </cell>
        </row>
        <row r="73">
          <cell r="G73">
            <v>3607.9570000000522</v>
          </cell>
        </row>
        <row r="74">
          <cell r="G74">
            <v>934.32800000000032</v>
          </cell>
        </row>
        <row r="76">
          <cell r="G76">
            <v>31.463999999997668</v>
          </cell>
        </row>
        <row r="77">
          <cell r="G77">
            <v>-0.23699999999985266</v>
          </cell>
        </row>
        <row r="84">
          <cell r="G84">
            <v>1118.4909999999995</v>
          </cell>
        </row>
        <row r="90">
          <cell r="G90">
            <v>2006.1080000000002</v>
          </cell>
        </row>
        <row r="91">
          <cell r="G91">
            <v>1000</v>
          </cell>
        </row>
        <row r="93">
          <cell r="G93">
            <v>173.70399999999404</v>
          </cell>
        </row>
        <row r="95">
          <cell r="G95">
            <v>2409.6100000000006</v>
          </cell>
        </row>
        <row r="97">
          <cell r="G97">
            <v>4217.264000000001</v>
          </cell>
        </row>
        <row r="99">
          <cell r="G99">
            <v>3766.3150000000078</v>
          </cell>
        </row>
        <row r="103">
          <cell r="G103">
            <v>17526.61</v>
          </cell>
        </row>
        <row r="105">
          <cell r="G105">
            <v>36667.325000000084</v>
          </cell>
        </row>
        <row r="109">
          <cell r="G109">
            <v>2593.6109999999999</v>
          </cell>
        </row>
        <row r="115">
          <cell r="G115">
            <v>1767.3689999999997</v>
          </cell>
        </row>
        <row r="117">
          <cell r="G117">
            <v>3990.8999999999996</v>
          </cell>
        </row>
        <row r="118">
          <cell r="G118">
            <v>96.340000000000146</v>
          </cell>
        </row>
        <row r="120">
          <cell r="G120">
            <v>9876.0309999999954</v>
          </cell>
        </row>
        <row r="121">
          <cell r="G121">
            <v>21.100000000000364</v>
          </cell>
        </row>
        <row r="125">
          <cell r="G125">
            <v>8339.3289999999961</v>
          </cell>
        </row>
        <row r="127">
          <cell r="G127">
            <v>23545.597999999998</v>
          </cell>
        </row>
        <row r="130">
          <cell r="G130">
            <v>14976.093999999999</v>
          </cell>
        </row>
        <row r="132">
          <cell r="G132">
            <v>20204.884999999973</v>
          </cell>
        </row>
        <row r="134">
          <cell r="G134">
            <v>0</v>
          </cell>
        </row>
        <row r="135">
          <cell r="G135">
            <v>-68.725000000000364</v>
          </cell>
        </row>
        <row r="139">
          <cell r="G139">
            <v>12005.106</v>
          </cell>
        </row>
        <row r="141">
          <cell r="G141">
            <v>6761.6299999999992</v>
          </cell>
        </row>
      </sheetData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  <sheetName val="1002"/>
      <sheetName val="1003-04"/>
      <sheetName val="1005"/>
      <sheetName val="1006"/>
      <sheetName val="1007"/>
      <sheetName val="1008"/>
      <sheetName val="1009"/>
      <sheetName val="1010"/>
      <sheetName val="1011"/>
      <sheetName val="1012"/>
      <sheetName val="1013"/>
      <sheetName val="1014"/>
      <sheetName val="1015"/>
      <sheetName val="1016"/>
      <sheetName val="1017"/>
      <sheetName val="1018"/>
      <sheetName val="1019"/>
      <sheetName val="1020"/>
      <sheetName val="1021"/>
      <sheetName val="1022"/>
      <sheetName val="1023-1024"/>
      <sheetName val="1025"/>
      <sheetName val="1026"/>
      <sheetName val="1027"/>
      <sheetName val="1028"/>
      <sheetName val="1029-30"/>
      <sheetName val="1031"/>
      <sheetName val="1031 0800后"/>
      <sheetName val="1101 0800前"/>
      <sheetName val="1102"/>
      <sheetName val="1103"/>
      <sheetName val="1104"/>
      <sheetName val="1105"/>
      <sheetName val="1106"/>
      <sheetName val="1107"/>
      <sheetName val="1108"/>
      <sheetName val="1109"/>
      <sheetName val="1110"/>
      <sheetName val="1111"/>
      <sheetName val="1112"/>
      <sheetName val="1113"/>
      <sheetName val="1114"/>
      <sheetName val="1115"/>
      <sheetName val="1116"/>
      <sheetName val="1117"/>
      <sheetName val="1118"/>
      <sheetName val="1119"/>
      <sheetName val="1120"/>
      <sheetName val="1121"/>
      <sheetName val="1122"/>
      <sheetName val="1123"/>
      <sheetName val="1124"/>
      <sheetName val="1125"/>
      <sheetName val="1126"/>
      <sheetName val="1127"/>
      <sheetName val="1128"/>
      <sheetName val="1129"/>
      <sheetName val="1130"/>
      <sheetName val="1130 0800后"/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副本"/>
      <sheetName val="副本2"/>
      <sheetName val="Sheet3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5">
          <cell r="G5">
            <v>432.55599999999993</v>
          </cell>
        </row>
        <row r="7">
          <cell r="G7">
            <v>793.41399999999589</v>
          </cell>
        </row>
        <row r="17">
          <cell r="G17">
            <v>1322.4749999999999</v>
          </cell>
        </row>
        <row r="21">
          <cell r="G21">
            <v>1502.1479999999999</v>
          </cell>
        </row>
        <row r="29">
          <cell r="G29">
            <v>15929</v>
          </cell>
        </row>
        <row r="31">
          <cell r="G31">
            <v>838.64699999998265</v>
          </cell>
        </row>
        <row r="37">
          <cell r="G37">
            <v>16949</v>
          </cell>
        </row>
        <row r="39">
          <cell r="G39">
            <v>1350.5465719999629</v>
          </cell>
        </row>
        <row r="41">
          <cell r="G41">
            <v>2906.4359999999997</v>
          </cell>
        </row>
        <row r="47">
          <cell r="G47">
            <v>762.62100000004284</v>
          </cell>
        </row>
        <row r="49">
          <cell r="G49">
            <v>272.52499999999998</v>
          </cell>
        </row>
        <row r="51">
          <cell r="G51">
            <v>0.62100000000296873</v>
          </cell>
        </row>
        <row r="53">
          <cell r="G53">
            <v>1099.9159999999999</v>
          </cell>
        </row>
        <row r="57">
          <cell r="G57">
            <v>1098.2449999999999</v>
          </cell>
        </row>
        <row r="61">
          <cell r="G61">
            <v>403.41900000000032</v>
          </cell>
        </row>
        <row r="63">
          <cell r="G63">
            <v>755.06299999999987</v>
          </cell>
        </row>
        <row r="65">
          <cell r="G65">
            <v>0</v>
          </cell>
        </row>
        <row r="69">
          <cell r="G69">
            <v>196.4720000000525</v>
          </cell>
        </row>
        <row r="70">
          <cell r="G70">
            <v>2.6340000000004693</v>
          </cell>
        </row>
        <row r="72">
          <cell r="G72">
            <v>490.36299999999756</v>
          </cell>
        </row>
        <row r="73">
          <cell r="G73">
            <v>261.26</v>
          </cell>
        </row>
        <row r="74">
          <cell r="G74">
            <v>1001.944</v>
          </cell>
        </row>
        <row r="80">
          <cell r="G80">
            <v>2010.7000000000003</v>
          </cell>
        </row>
        <row r="81">
          <cell r="G81">
            <v>1584.5709999999999</v>
          </cell>
        </row>
        <row r="87">
          <cell r="G87">
            <v>875.07899999999427</v>
          </cell>
        </row>
        <row r="89">
          <cell r="G89">
            <v>7193.6779999999999</v>
          </cell>
        </row>
        <row r="91">
          <cell r="G91">
            <v>7409.1850000000004</v>
          </cell>
        </row>
        <row r="93">
          <cell r="G93">
            <v>2288.7240000000079</v>
          </cell>
        </row>
        <row r="97">
          <cell r="G97">
            <v>17900.637999999999</v>
          </cell>
        </row>
        <row r="99">
          <cell r="G99">
            <v>17775.025000000081</v>
          </cell>
        </row>
        <row r="101">
          <cell r="G101">
            <v>819.637000000017</v>
          </cell>
        </row>
        <row r="107">
          <cell r="G107">
            <v>6957.8649999999998</v>
          </cell>
        </row>
        <row r="111">
          <cell r="G111">
            <v>28002.054</v>
          </cell>
        </row>
        <row r="115">
          <cell r="G115">
            <v>2611.5469999999964</v>
          </cell>
        </row>
        <row r="117">
          <cell r="G117">
            <v>19308.976999999995</v>
          </cell>
        </row>
        <row r="119">
          <cell r="G119">
            <v>14976.093999999999</v>
          </cell>
        </row>
        <row r="121">
          <cell r="G121">
            <v>4194.545999999973</v>
          </cell>
        </row>
        <row r="123">
          <cell r="G123">
            <v>11979.215</v>
          </cell>
        </row>
        <row r="127">
          <cell r="G127">
            <v>12005.106</v>
          </cell>
        </row>
      </sheetData>
      <sheetData sheetId="94"/>
      <sheetData sheetId="9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G5">
            <v>371.61599999999999</v>
          </cell>
        </row>
        <row r="7">
          <cell r="G7">
            <v>1891.7629999999958</v>
          </cell>
        </row>
        <row r="17">
          <cell r="G17">
            <v>1322.4749999999999</v>
          </cell>
        </row>
        <row r="19">
          <cell r="G19">
            <v>1514.162</v>
          </cell>
        </row>
        <row r="21">
          <cell r="G21">
            <v>1502.1479999999999</v>
          </cell>
        </row>
        <row r="27">
          <cell r="G27">
            <v>1526.837</v>
          </cell>
        </row>
        <row r="29">
          <cell r="G29">
            <v>14980</v>
          </cell>
        </row>
        <row r="31">
          <cell r="G31">
            <v>838.64699999998265</v>
          </cell>
        </row>
        <row r="37">
          <cell r="G37">
            <v>16959</v>
          </cell>
        </row>
        <row r="39">
          <cell r="G39">
            <v>1350.5465719999629</v>
          </cell>
        </row>
        <row r="41">
          <cell r="G41">
            <v>2859.2159999999999</v>
          </cell>
        </row>
        <row r="47">
          <cell r="G47">
            <v>642.48100000004285</v>
          </cell>
        </row>
        <row r="49">
          <cell r="G49">
            <v>272.52499999999998</v>
          </cell>
        </row>
        <row r="51">
          <cell r="G51">
            <v>0.62100000000296873</v>
          </cell>
        </row>
        <row r="53">
          <cell r="G53">
            <v>1099.9159999999999</v>
          </cell>
        </row>
        <row r="57">
          <cell r="G57">
            <v>1098.2449999999999</v>
          </cell>
        </row>
        <row r="61">
          <cell r="G61">
            <v>343.3790000000003</v>
          </cell>
        </row>
        <row r="63">
          <cell r="G63">
            <v>755.06299999999987</v>
          </cell>
        </row>
        <row r="65">
          <cell r="G65">
            <v>524.06799999999998</v>
          </cell>
        </row>
        <row r="69">
          <cell r="G69">
            <v>2814.3710000000524</v>
          </cell>
        </row>
        <row r="70">
          <cell r="G70">
            <v>2.6340000000004693</v>
          </cell>
        </row>
        <row r="72">
          <cell r="G72">
            <v>-2.4442670110147446E-12</v>
          </cell>
        </row>
        <row r="73">
          <cell r="G73">
            <v>715.12300000000005</v>
          </cell>
        </row>
        <row r="74">
          <cell r="G74">
            <v>1001.944</v>
          </cell>
        </row>
        <row r="80">
          <cell r="G80">
            <v>1743.7000000000003</v>
          </cell>
        </row>
        <row r="81">
          <cell r="G81">
            <v>1584.5709999999999</v>
          </cell>
        </row>
        <row r="83">
          <cell r="G83">
            <v>1988.8340000000001</v>
          </cell>
        </row>
        <row r="87">
          <cell r="G87">
            <v>1672.8439999999941</v>
          </cell>
        </row>
        <row r="89">
          <cell r="G89">
            <v>7193.6779999999999</v>
          </cell>
        </row>
        <row r="91">
          <cell r="G91">
            <v>7409.1850000000004</v>
          </cell>
        </row>
        <row r="93">
          <cell r="G93">
            <v>2050.8040000000083</v>
          </cell>
        </row>
        <row r="97">
          <cell r="G97">
            <v>17900.637999999999</v>
          </cell>
        </row>
        <row r="99">
          <cell r="G99">
            <v>17775.025000000081</v>
          </cell>
        </row>
        <row r="101">
          <cell r="G101">
            <v>588.60000000001696</v>
          </cell>
        </row>
        <row r="102">
          <cell r="G102">
            <v>17.157</v>
          </cell>
        </row>
        <row r="108">
          <cell r="G108">
            <v>6957.8649999999998</v>
          </cell>
        </row>
        <row r="112">
          <cell r="G112">
            <v>27552.774000000001</v>
          </cell>
        </row>
        <row r="116">
          <cell r="G116">
            <v>2431.6669999999963</v>
          </cell>
        </row>
        <row r="118">
          <cell r="G118">
            <v>20599.858999999997</v>
          </cell>
        </row>
        <row r="120">
          <cell r="G120">
            <v>14976.093999999999</v>
          </cell>
        </row>
        <row r="122">
          <cell r="G122">
            <v>5576.7479999999732</v>
          </cell>
        </row>
        <row r="124">
          <cell r="G124">
            <v>11979.215</v>
          </cell>
        </row>
        <row r="128">
          <cell r="G128">
            <v>12005.106</v>
          </cell>
        </row>
      </sheetData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5">
          <cell r="G5">
            <v>245.55599999999993</v>
          </cell>
        </row>
        <row r="7">
          <cell r="G7">
            <v>1865.2429999999958</v>
          </cell>
        </row>
        <row r="17">
          <cell r="G17">
            <v>1322.4749999999999</v>
          </cell>
        </row>
        <row r="19">
          <cell r="G19">
            <v>1514.162</v>
          </cell>
        </row>
        <row r="21">
          <cell r="G21">
            <v>1502.1479999999999</v>
          </cell>
        </row>
        <row r="27">
          <cell r="G27">
            <v>1378.1769999999999</v>
          </cell>
        </row>
        <row r="29">
          <cell r="G29">
            <v>15464</v>
          </cell>
        </row>
        <row r="31">
          <cell r="G31">
            <v>9324.7529999999824</v>
          </cell>
        </row>
        <row r="37">
          <cell r="G37">
            <v>16959</v>
          </cell>
        </row>
        <row r="39">
          <cell r="G39">
            <v>3384.4625719999631</v>
          </cell>
        </row>
        <row r="41">
          <cell r="G41">
            <v>2835.7159999999999</v>
          </cell>
        </row>
        <row r="47">
          <cell r="G47">
            <v>524.84100000004287</v>
          </cell>
        </row>
        <row r="49">
          <cell r="G49">
            <v>272.52499999999998</v>
          </cell>
        </row>
        <row r="53">
          <cell r="G53">
            <v>1099.9159999999999</v>
          </cell>
        </row>
        <row r="57">
          <cell r="G57">
            <v>1098.2449999999999</v>
          </cell>
        </row>
        <row r="61">
          <cell r="G61">
            <v>232.23900000000026</v>
          </cell>
        </row>
        <row r="63">
          <cell r="G63">
            <v>755.06299999999987</v>
          </cell>
        </row>
        <row r="65">
          <cell r="G65">
            <v>524.06799999999998</v>
          </cell>
        </row>
        <row r="69">
          <cell r="G69">
            <v>1701.8010000000522</v>
          </cell>
        </row>
        <row r="70">
          <cell r="G70">
            <v>2.6340000000004693</v>
          </cell>
        </row>
        <row r="72">
          <cell r="G72">
            <v>-2.4442670110147446E-12</v>
          </cell>
        </row>
        <row r="73">
          <cell r="G73">
            <v>543.26300000000015</v>
          </cell>
        </row>
        <row r="74">
          <cell r="G74">
            <v>1001.944</v>
          </cell>
        </row>
        <row r="80">
          <cell r="G80">
            <v>1352.88</v>
          </cell>
        </row>
        <row r="81">
          <cell r="G81">
            <v>1584.5709999999999</v>
          </cell>
        </row>
        <row r="82">
          <cell r="G82">
            <v>0</v>
          </cell>
        </row>
        <row r="84">
          <cell r="G84">
            <v>1988.8340000000001</v>
          </cell>
        </row>
        <row r="88">
          <cell r="G88">
            <v>1672.8439999999941</v>
          </cell>
        </row>
        <row r="90">
          <cell r="G90">
            <v>7193.6779999999999</v>
          </cell>
        </row>
        <row r="92">
          <cell r="G92">
            <v>7409.1850000000004</v>
          </cell>
        </row>
        <row r="94">
          <cell r="G94">
            <v>1575.9640000000081</v>
          </cell>
        </row>
        <row r="96">
          <cell r="G96">
            <v>2000.7190000000001</v>
          </cell>
        </row>
        <row r="98">
          <cell r="G98">
            <v>17900.637999999999</v>
          </cell>
        </row>
        <row r="100">
          <cell r="G100">
            <v>17775.025000000081</v>
          </cell>
        </row>
        <row r="102">
          <cell r="G102">
            <v>82.120000000017171</v>
          </cell>
        </row>
        <row r="103">
          <cell r="G103">
            <v>17.157</v>
          </cell>
        </row>
        <row r="109">
          <cell r="G109">
            <v>6957.8649999999998</v>
          </cell>
        </row>
        <row r="113">
          <cell r="G113">
            <v>24941.454000000002</v>
          </cell>
        </row>
        <row r="114">
          <cell r="G114">
            <v>46.440000000000055</v>
          </cell>
        </row>
        <row r="118">
          <cell r="G118">
            <v>1709.8869999999961</v>
          </cell>
        </row>
        <row r="120">
          <cell r="G120">
            <v>15139.446999999996</v>
          </cell>
        </row>
        <row r="122">
          <cell r="G122">
            <v>14976.093999999999</v>
          </cell>
        </row>
        <row r="124">
          <cell r="G124">
            <v>16265.741999999973</v>
          </cell>
        </row>
        <row r="126">
          <cell r="G126">
            <v>11979.215</v>
          </cell>
        </row>
        <row r="130">
          <cell r="G130">
            <v>12005.106</v>
          </cell>
        </row>
      </sheetData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5">
          <cell r="G5">
            <v>245.55599999999993</v>
          </cell>
        </row>
        <row r="7">
          <cell r="G7">
            <v>1865.2429999999958</v>
          </cell>
        </row>
        <row r="17">
          <cell r="G17">
            <v>1322.4749999999999</v>
          </cell>
        </row>
        <row r="19">
          <cell r="G19">
            <v>32.761999999999944</v>
          </cell>
        </row>
        <row r="20">
          <cell r="G20">
            <v>270.04000000000002</v>
          </cell>
        </row>
        <row r="21">
          <cell r="G21">
            <v>1000</v>
          </cell>
        </row>
        <row r="23">
          <cell r="G23">
            <v>1502.1479999999999</v>
          </cell>
        </row>
        <row r="29">
          <cell r="G29">
            <v>1348.537</v>
          </cell>
        </row>
        <row r="31">
          <cell r="G31">
            <v>14896</v>
          </cell>
        </row>
        <row r="33">
          <cell r="G33">
            <v>9324.7529999999824</v>
          </cell>
        </row>
        <row r="39">
          <cell r="G39">
            <v>19201</v>
          </cell>
        </row>
        <row r="41">
          <cell r="G41">
            <v>3384.4625719999631</v>
          </cell>
        </row>
        <row r="43">
          <cell r="G43">
            <v>2835.7159999999999</v>
          </cell>
        </row>
        <row r="49">
          <cell r="G49">
            <v>468.64100000004282</v>
          </cell>
        </row>
        <row r="51">
          <cell r="G51">
            <v>272.52499999999998</v>
          </cell>
        </row>
        <row r="55">
          <cell r="G55">
            <v>1099.9159999999999</v>
          </cell>
        </row>
        <row r="59">
          <cell r="G59">
            <v>1098.2449999999999</v>
          </cell>
        </row>
        <row r="63">
          <cell r="G63">
            <v>204.15900000000028</v>
          </cell>
        </row>
        <row r="65">
          <cell r="G65">
            <v>755.06299999999987</v>
          </cell>
        </row>
        <row r="67">
          <cell r="G67">
            <v>524.06799999999998</v>
          </cell>
        </row>
        <row r="71">
          <cell r="G71">
            <v>1701.8010000000522</v>
          </cell>
        </row>
        <row r="72">
          <cell r="G72">
            <v>2.6340000000004693</v>
          </cell>
        </row>
        <row r="74">
          <cell r="G74">
            <v>1001.9439999999975</v>
          </cell>
        </row>
        <row r="75">
          <cell r="G75">
            <v>416.66300000000012</v>
          </cell>
        </row>
        <row r="76">
          <cell r="G76">
            <v>0</v>
          </cell>
        </row>
        <row r="82">
          <cell r="G82">
            <v>2815.9709999999995</v>
          </cell>
        </row>
        <row r="83">
          <cell r="G83">
            <v>0</v>
          </cell>
        </row>
        <row r="84">
          <cell r="G84">
            <v>0</v>
          </cell>
        </row>
        <row r="86">
          <cell r="G86">
            <v>1988.8340000000001</v>
          </cell>
        </row>
        <row r="90">
          <cell r="G90">
            <v>1672.8439999999941</v>
          </cell>
        </row>
        <row r="92">
          <cell r="G92">
            <v>4800.8420000000006</v>
          </cell>
        </row>
        <row r="94">
          <cell r="G94">
            <v>7409.1850000000004</v>
          </cell>
        </row>
        <row r="96">
          <cell r="G96">
            <v>1301.6640000000082</v>
          </cell>
        </row>
        <row r="98">
          <cell r="G98">
            <v>1820.1190000000001</v>
          </cell>
        </row>
        <row r="100">
          <cell r="G100">
            <v>17900.637999999999</v>
          </cell>
        </row>
        <row r="102">
          <cell r="G102">
            <v>15386.827000000081</v>
          </cell>
        </row>
        <row r="104">
          <cell r="G104">
            <v>52.420000000017126</v>
          </cell>
        </row>
        <row r="105">
          <cell r="G105">
            <v>0.23699999999999832</v>
          </cell>
        </row>
        <row r="111">
          <cell r="G111">
            <v>6957.8649999999998</v>
          </cell>
        </row>
        <row r="115">
          <cell r="G115">
            <v>22552.294000000002</v>
          </cell>
        </row>
        <row r="116">
          <cell r="G116">
            <v>838.86000000000013</v>
          </cell>
        </row>
        <row r="120">
          <cell r="G120">
            <v>1461.8069999999962</v>
          </cell>
        </row>
        <row r="122">
          <cell r="G122">
            <v>20133.837999999996</v>
          </cell>
        </row>
        <row r="124">
          <cell r="G124">
            <v>14976.093999999999</v>
          </cell>
        </row>
        <row r="126">
          <cell r="G126">
            <v>16265.741999999973</v>
          </cell>
        </row>
        <row r="128">
          <cell r="G128">
            <v>5979.2150000000001</v>
          </cell>
        </row>
        <row r="129">
          <cell r="G129">
            <v>6000</v>
          </cell>
        </row>
        <row r="133">
          <cell r="G133">
            <v>12005.106</v>
          </cell>
        </row>
      </sheetData>
      <sheetData sheetId="3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5">
          <cell r="G5">
            <v>245.55599999999993</v>
          </cell>
        </row>
        <row r="7">
          <cell r="G7">
            <v>1865.2429999999958</v>
          </cell>
        </row>
        <row r="9">
          <cell r="G9">
            <v>1801.452000000028</v>
          </cell>
        </row>
        <row r="13">
          <cell r="G13">
            <v>2964.8449999999998</v>
          </cell>
        </row>
        <row r="17">
          <cell r="G17">
            <v>1322.4749999999999</v>
          </cell>
        </row>
        <row r="19">
          <cell r="G19">
            <v>1.5219999999999345</v>
          </cell>
        </row>
        <row r="20">
          <cell r="G20">
            <v>240.36</v>
          </cell>
        </row>
        <row r="21">
          <cell r="G21">
            <v>1000</v>
          </cell>
        </row>
        <row r="23">
          <cell r="G23">
            <v>1502.1479999999999</v>
          </cell>
        </row>
        <row r="29">
          <cell r="G29">
            <v>1348.537</v>
          </cell>
        </row>
        <row r="31">
          <cell r="G31">
            <v>16398</v>
          </cell>
        </row>
        <row r="33">
          <cell r="G33">
            <v>6995.7529999999824</v>
          </cell>
        </row>
        <row r="39">
          <cell r="G39">
            <v>19198</v>
          </cell>
        </row>
        <row r="41">
          <cell r="G41">
            <v>3384.4625719999631</v>
          </cell>
        </row>
        <row r="43">
          <cell r="G43">
            <v>2811.9959999999996</v>
          </cell>
        </row>
        <row r="49">
          <cell r="G49">
            <v>379.40100000004281</v>
          </cell>
        </row>
        <row r="51">
          <cell r="G51">
            <v>272.52499999999998</v>
          </cell>
        </row>
        <row r="55">
          <cell r="G55">
            <v>1099.9159999999999</v>
          </cell>
        </row>
        <row r="59">
          <cell r="G59">
            <v>1098.2449999999999</v>
          </cell>
        </row>
        <row r="63">
          <cell r="G63">
            <v>704.5160000000003</v>
          </cell>
        </row>
        <row r="65">
          <cell r="G65">
            <v>755.06299999999987</v>
          </cell>
        </row>
        <row r="67">
          <cell r="G67">
            <v>524.06799999999998</v>
          </cell>
        </row>
        <row r="71">
          <cell r="G71">
            <v>1701.8010000000522</v>
          </cell>
        </row>
        <row r="72">
          <cell r="G72">
            <v>2.6340000000004693</v>
          </cell>
        </row>
        <row r="74">
          <cell r="G74">
            <v>1001.9439999999975</v>
          </cell>
        </row>
        <row r="75">
          <cell r="G75">
            <v>301.88300000000015</v>
          </cell>
        </row>
        <row r="82">
          <cell r="G82">
            <v>2692.5909999999994</v>
          </cell>
        </row>
        <row r="86">
          <cell r="G86">
            <v>1988.8340000000001</v>
          </cell>
        </row>
        <row r="90">
          <cell r="G90">
            <v>1672.8439999999941</v>
          </cell>
        </row>
        <row r="92">
          <cell r="G92">
            <v>4800.8420000000006</v>
          </cell>
        </row>
        <row r="94">
          <cell r="G94">
            <v>7409.1850000000004</v>
          </cell>
        </row>
        <row r="96">
          <cell r="G96">
            <v>1163.9040000000082</v>
          </cell>
        </row>
        <row r="98">
          <cell r="G98">
            <v>1392.3589999999999</v>
          </cell>
        </row>
        <row r="100">
          <cell r="G100">
            <v>17900.637999999999</v>
          </cell>
        </row>
        <row r="102">
          <cell r="G102">
            <v>15386.827000000081</v>
          </cell>
        </row>
        <row r="104">
          <cell r="G104">
            <v>52.420000000017126</v>
          </cell>
        </row>
        <row r="105">
          <cell r="G105">
            <v>0.23699999999999832</v>
          </cell>
        </row>
        <row r="111">
          <cell r="G111">
            <v>6957.8649999999998</v>
          </cell>
        </row>
        <row r="115">
          <cell r="G115">
            <v>20862.254000000001</v>
          </cell>
        </row>
        <row r="116">
          <cell r="G116">
            <v>620.92000000000007</v>
          </cell>
        </row>
        <row r="120">
          <cell r="G120">
            <v>1341.5869999999964</v>
          </cell>
        </row>
        <row r="122">
          <cell r="G122">
            <v>11225.962999999996</v>
          </cell>
        </row>
        <row r="124">
          <cell r="G124">
            <v>14976.093999999999</v>
          </cell>
        </row>
        <row r="126">
          <cell r="G126">
            <v>25173.616999999973</v>
          </cell>
        </row>
        <row r="128">
          <cell r="G128">
            <v>5979.2150000000001</v>
          </cell>
        </row>
        <row r="129">
          <cell r="G129">
            <v>6000</v>
          </cell>
        </row>
        <row r="133">
          <cell r="G133">
            <v>12005.106</v>
          </cell>
        </row>
      </sheetData>
      <sheetData sheetId="3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5">
          <cell r="G5">
            <v>245.55599999999993</v>
          </cell>
        </row>
        <row r="7">
          <cell r="G7">
            <v>1865.2429999999958</v>
          </cell>
        </row>
        <row r="9">
          <cell r="G9">
            <v>588.6320000000278</v>
          </cell>
        </row>
        <row r="13">
          <cell r="G13">
            <v>2964.8449999999998</v>
          </cell>
        </row>
        <row r="17">
          <cell r="G17">
            <v>1322.4749999999999</v>
          </cell>
        </row>
        <row r="19">
          <cell r="G19">
            <v>1.5219999999999345</v>
          </cell>
        </row>
        <row r="20">
          <cell r="G20">
            <v>211.28</v>
          </cell>
        </row>
        <row r="21">
          <cell r="G21">
            <v>1000</v>
          </cell>
        </row>
        <row r="23">
          <cell r="G23">
            <v>1502.1479999999999</v>
          </cell>
        </row>
        <row r="29">
          <cell r="G29">
            <v>1200.277</v>
          </cell>
        </row>
        <row r="31">
          <cell r="G31">
            <v>13174</v>
          </cell>
        </row>
        <row r="33">
          <cell r="G33">
            <v>6995.7529999999824</v>
          </cell>
        </row>
        <row r="39">
          <cell r="G39">
            <v>19198</v>
          </cell>
        </row>
        <row r="41">
          <cell r="G41">
            <v>3384.4625719999631</v>
          </cell>
        </row>
        <row r="43">
          <cell r="G43">
            <v>2788.2959999999998</v>
          </cell>
        </row>
        <row r="49">
          <cell r="G49">
            <v>169.10100000004286</v>
          </cell>
        </row>
        <row r="51">
          <cell r="G51">
            <v>272.52499999999998</v>
          </cell>
        </row>
        <row r="55">
          <cell r="G55">
            <v>1099.9159999999999</v>
          </cell>
        </row>
        <row r="59">
          <cell r="G59">
            <v>1098.2449999999999</v>
          </cell>
        </row>
        <row r="63">
          <cell r="G63">
            <v>704.5160000000003</v>
          </cell>
        </row>
        <row r="65">
          <cell r="G65">
            <v>755.06299999999987</v>
          </cell>
        </row>
        <row r="67">
          <cell r="G67">
            <v>0.19100000000003092</v>
          </cell>
        </row>
        <row r="71">
          <cell r="G71">
            <v>1117.4600000000523</v>
          </cell>
        </row>
        <row r="72">
          <cell r="G72">
            <v>2.6340000000004693</v>
          </cell>
        </row>
        <row r="74">
          <cell r="G74">
            <v>1001.9439999999975</v>
          </cell>
        </row>
        <row r="75">
          <cell r="G75">
            <v>216.78300000000013</v>
          </cell>
        </row>
        <row r="82">
          <cell r="G82">
            <v>2523.1109999999994</v>
          </cell>
        </row>
        <row r="86">
          <cell r="G86">
            <v>590.77800000000002</v>
          </cell>
        </row>
        <row r="90">
          <cell r="G90">
            <v>1672.8439999999941</v>
          </cell>
        </row>
        <row r="92">
          <cell r="G92">
            <v>2409.6100000000006</v>
          </cell>
        </row>
        <row r="94">
          <cell r="G94">
            <v>7409.1850000000004</v>
          </cell>
        </row>
        <row r="96">
          <cell r="G96">
            <v>946.32400000000825</v>
          </cell>
        </row>
        <row r="98">
          <cell r="G98">
            <v>1237.539</v>
          </cell>
        </row>
        <row r="100">
          <cell r="G100">
            <v>17900.637999999999</v>
          </cell>
        </row>
        <row r="102">
          <cell r="G102">
            <v>15386.827000000081</v>
          </cell>
        </row>
        <row r="104">
          <cell r="G104">
            <v>8.9600000000170894</v>
          </cell>
        </row>
        <row r="105">
          <cell r="G105">
            <v>0.23699999999999832</v>
          </cell>
        </row>
        <row r="111">
          <cell r="G111">
            <v>6957.8649999999998</v>
          </cell>
        </row>
        <row r="115">
          <cell r="G115">
            <v>20832.194</v>
          </cell>
        </row>
        <row r="116">
          <cell r="G116">
            <v>620.92000000000007</v>
          </cell>
        </row>
        <row r="120">
          <cell r="G120">
            <v>1159.4269999999965</v>
          </cell>
        </row>
        <row r="122">
          <cell r="G122">
            <v>11225.962999999996</v>
          </cell>
        </row>
        <row r="124">
          <cell r="G124">
            <v>14976.093999999999</v>
          </cell>
        </row>
        <row r="126">
          <cell r="G126">
            <v>25173.616999999973</v>
          </cell>
        </row>
        <row r="128">
          <cell r="G128">
            <v>5979.2150000000001</v>
          </cell>
        </row>
        <row r="129">
          <cell r="G129">
            <v>6000</v>
          </cell>
        </row>
        <row r="133">
          <cell r="G133">
            <v>12005.106</v>
          </cell>
        </row>
      </sheetData>
      <sheetData sheetId="4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1"/>
      <sheetName val="1202"/>
      <sheetName val="1203-1204"/>
      <sheetName val="1205"/>
      <sheetName val="1206"/>
      <sheetName val="1207"/>
      <sheetName val="1208"/>
      <sheetName val="1209"/>
      <sheetName val="1210"/>
      <sheetName val="1211-1212"/>
      <sheetName val="1213"/>
      <sheetName val="1214"/>
      <sheetName val="1215"/>
      <sheetName val="1216"/>
      <sheetName val="1217"/>
      <sheetName val="1218"/>
      <sheetName val="1219"/>
      <sheetName val="1220"/>
      <sheetName val="1221"/>
      <sheetName val="1222"/>
      <sheetName val="1223"/>
      <sheetName val="1224"/>
      <sheetName val="1225"/>
      <sheetName val="1226"/>
      <sheetName val="1227"/>
      <sheetName val="1228"/>
      <sheetName val="1229"/>
      <sheetName val="1230"/>
      <sheetName val="1231"/>
      <sheetName val="1231 0800后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副本"/>
      <sheetName val="Sheet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5">
          <cell r="G5">
            <v>213.43599999999992</v>
          </cell>
        </row>
        <row r="7">
          <cell r="G7">
            <v>1865.2429999999958</v>
          </cell>
        </row>
        <row r="9">
          <cell r="G9">
            <v>68.23200000002771</v>
          </cell>
        </row>
        <row r="11">
          <cell r="G11">
            <v>2940.4540000000002</v>
          </cell>
        </row>
        <row r="13">
          <cell r="G13">
            <v>2845.2649999999999</v>
          </cell>
        </row>
        <row r="17">
          <cell r="G17">
            <v>1322.4749999999999</v>
          </cell>
        </row>
        <row r="19">
          <cell r="G19">
            <v>1.5219999999999345</v>
          </cell>
        </row>
        <row r="20">
          <cell r="G20">
            <v>211.28</v>
          </cell>
        </row>
        <row r="21">
          <cell r="G21">
            <v>1000</v>
          </cell>
        </row>
        <row r="23">
          <cell r="G23">
            <v>1502.1479999999999</v>
          </cell>
        </row>
        <row r="29">
          <cell r="G29">
            <v>1170.597</v>
          </cell>
        </row>
        <row r="31">
          <cell r="G31">
            <v>17472</v>
          </cell>
        </row>
        <row r="33">
          <cell r="G33">
            <v>6995.7529999999824</v>
          </cell>
        </row>
        <row r="39">
          <cell r="G39">
            <v>15382</v>
          </cell>
        </row>
        <row r="41">
          <cell r="G41">
            <v>3384.4625719999631</v>
          </cell>
        </row>
        <row r="43">
          <cell r="G43">
            <v>2740.9359999999997</v>
          </cell>
        </row>
        <row r="49">
          <cell r="G49">
            <v>80.561000000042895</v>
          </cell>
        </row>
        <row r="51">
          <cell r="G51">
            <v>272.52499999999998</v>
          </cell>
        </row>
        <row r="55">
          <cell r="G55">
            <v>856.07599999999991</v>
          </cell>
        </row>
        <row r="59">
          <cell r="G59">
            <v>1098.2449999999999</v>
          </cell>
        </row>
        <row r="63">
          <cell r="G63">
            <v>645.89600000000019</v>
          </cell>
        </row>
        <row r="65">
          <cell r="G65">
            <v>755.06299999999987</v>
          </cell>
        </row>
        <row r="67">
          <cell r="G67">
            <v>0.19100000000003092</v>
          </cell>
        </row>
        <row r="71">
          <cell r="G71">
            <v>1061.6200000000524</v>
          </cell>
        </row>
        <row r="72">
          <cell r="G72">
            <v>2.6340000000004693</v>
          </cell>
        </row>
        <row r="74">
          <cell r="G74">
            <v>1001.9439999999975</v>
          </cell>
        </row>
        <row r="75">
          <cell r="G75">
            <v>130.84300000000007</v>
          </cell>
        </row>
        <row r="82">
          <cell r="G82">
            <v>2118.0909999999994</v>
          </cell>
        </row>
        <row r="86">
          <cell r="G86">
            <v>590.77800000000002</v>
          </cell>
        </row>
        <row r="88">
          <cell r="G88">
            <v>1984.8579999999999</v>
          </cell>
        </row>
        <row r="90">
          <cell r="G90">
            <v>1672.8439999999941</v>
          </cell>
        </row>
        <row r="92">
          <cell r="G92">
            <v>2409.6100000000006</v>
          </cell>
        </row>
        <row r="94">
          <cell r="G94">
            <v>5018.1350000000002</v>
          </cell>
        </row>
        <row r="96">
          <cell r="G96">
            <v>583.6640000000084</v>
          </cell>
        </row>
        <row r="98">
          <cell r="G98">
            <v>1176.0989999999999</v>
          </cell>
        </row>
        <row r="100">
          <cell r="G100">
            <v>17900.637999999999</v>
          </cell>
        </row>
        <row r="102">
          <cell r="G102">
            <v>15386.827000000081</v>
          </cell>
        </row>
        <row r="104">
          <cell r="G104">
            <v>8.9600000000170894</v>
          </cell>
        </row>
        <row r="105">
          <cell r="G105">
            <v>0.23699999999999832</v>
          </cell>
        </row>
        <row r="111">
          <cell r="G111">
            <v>6957.8649999999998</v>
          </cell>
        </row>
        <row r="115">
          <cell r="G115">
            <v>19432.194</v>
          </cell>
        </row>
        <row r="116">
          <cell r="G116">
            <v>959.90000000000009</v>
          </cell>
        </row>
        <row r="120">
          <cell r="G120">
            <v>891.10699999999633</v>
          </cell>
        </row>
        <row r="122">
          <cell r="G122">
            <v>20419.824000000001</v>
          </cell>
        </row>
        <row r="124">
          <cell r="G124">
            <v>14976.093999999999</v>
          </cell>
        </row>
        <row r="126">
          <cell r="G126">
            <v>25173.616999999973</v>
          </cell>
        </row>
        <row r="128">
          <cell r="G128">
            <v>5979.2150000000001</v>
          </cell>
        </row>
        <row r="129">
          <cell r="G129">
            <v>6000</v>
          </cell>
        </row>
        <row r="133">
          <cell r="G133">
            <v>12005.106</v>
          </cell>
        </row>
      </sheetData>
      <sheetData sheetId="4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62" activePane="bottomRight" state="frozen"/>
      <selection activeCell="G5" sqref="G5"/>
      <selection pane="topRight" activeCell="G5" sqref="G5"/>
      <selection pane="bottomLeft" activeCell="G5" sqref="G5"/>
      <selection pane="bottomRight" activeCell="D33" sqref="D33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4.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6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25" customFormat="1" ht="24" customHeight="1" x14ac:dyDescent="0.15">
      <c r="A1" s="29" t="s">
        <v>173</v>
      </c>
      <c r="B1" s="29" t="s">
        <v>172</v>
      </c>
      <c r="C1" s="29" t="s">
        <v>171</v>
      </c>
      <c r="D1" s="29" t="s">
        <v>170</v>
      </c>
      <c r="E1" s="29" t="s">
        <v>169</v>
      </c>
      <c r="F1" s="29" t="s">
        <v>168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24" customHeight="1" x14ac:dyDescent="0.15">
      <c r="A2" s="17">
        <v>20170101</v>
      </c>
      <c r="B2" s="19" t="s">
        <v>158</v>
      </c>
      <c r="C2" s="17" t="s">
        <v>63</v>
      </c>
      <c r="D2" s="19"/>
      <c r="E2" s="17" t="s">
        <v>141</v>
      </c>
      <c r="F2" s="17" t="s">
        <v>212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143</v>
      </c>
      <c r="O2" s="13" t="s">
        <v>124</v>
      </c>
      <c r="P2" s="12"/>
    </row>
    <row r="3" spans="1:17" s="11" customFormat="1" ht="24" customHeight="1" x14ac:dyDescent="0.15">
      <c r="A3" s="17">
        <v>20170101</v>
      </c>
      <c r="B3" s="19" t="s">
        <v>157</v>
      </c>
      <c r="C3" s="17" t="s">
        <v>63</v>
      </c>
      <c r="D3" s="19"/>
      <c r="E3" s="17" t="s">
        <v>156</v>
      </c>
      <c r="F3" s="17" t="s">
        <v>155</v>
      </c>
      <c r="G3" s="12"/>
      <c r="H3" s="18">
        <f>[1]副本!G7</f>
        <v>557.01599999999996</v>
      </c>
      <c r="I3" s="18">
        <f>H3-995.136+995.136</f>
        <v>557.01599999999996</v>
      </c>
      <c r="J3" s="17"/>
      <c r="K3" s="15"/>
      <c r="L3" s="16">
        <f>H3-I3</f>
        <v>0</v>
      </c>
      <c r="M3" s="15">
        <v>1500</v>
      </c>
      <c r="N3" s="14"/>
      <c r="O3" s="13"/>
      <c r="P3" s="12" t="s">
        <v>154</v>
      </c>
    </row>
    <row r="4" spans="1:17" s="11" customFormat="1" ht="24" customHeight="1" x14ac:dyDescent="0.15">
      <c r="A4" s="17">
        <v>20170101</v>
      </c>
      <c r="B4" s="19" t="s">
        <v>153</v>
      </c>
      <c r="C4" s="17" t="s">
        <v>63</v>
      </c>
      <c r="D4" s="19"/>
      <c r="E4" s="17" t="s">
        <v>56</v>
      </c>
      <c r="F4" s="17" t="s">
        <v>61</v>
      </c>
      <c r="G4" s="12" t="s">
        <v>54</v>
      </c>
      <c r="H4" s="18">
        <f>[1]副本!G9</f>
        <v>820.69399999999587</v>
      </c>
      <c r="I4" s="18">
        <f>H4</f>
        <v>820.69399999999587</v>
      </c>
      <c r="J4" s="17"/>
      <c r="K4" s="16"/>
      <c r="L4" s="16"/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24" customHeight="1" x14ac:dyDescent="0.15">
      <c r="A5" s="17">
        <v>20170101</v>
      </c>
      <c r="B5" s="19" t="s">
        <v>149</v>
      </c>
      <c r="C5" s="17" t="s">
        <v>63</v>
      </c>
      <c r="D5" s="17"/>
      <c r="E5" s="17" t="s">
        <v>148</v>
      </c>
      <c r="F5" s="17" t="s">
        <v>140</v>
      </c>
      <c r="G5" s="12" t="s">
        <v>54</v>
      </c>
      <c r="H5" s="18">
        <f>[1]副本!G11</f>
        <v>520.20800000002782</v>
      </c>
      <c r="I5" s="18">
        <f>H5</f>
        <v>520.20800000002782</v>
      </c>
      <c r="J5" s="17"/>
      <c r="K5" s="15"/>
      <c r="L5" s="16">
        <f>H5-I5</f>
        <v>0</v>
      </c>
      <c r="M5" s="15">
        <v>2000</v>
      </c>
      <c r="N5" s="14" t="s">
        <v>147</v>
      </c>
      <c r="O5" s="13" t="s">
        <v>124</v>
      </c>
      <c r="P5" s="12" t="s">
        <v>146</v>
      </c>
    </row>
    <row r="6" spans="1:17" s="11" customFormat="1" ht="24" customHeight="1" x14ac:dyDescent="0.15">
      <c r="A6" s="17">
        <v>20170101</v>
      </c>
      <c r="B6" s="19" t="s">
        <v>145</v>
      </c>
      <c r="C6" s="17" t="s">
        <v>63</v>
      </c>
      <c r="D6" s="17"/>
      <c r="E6" s="17" t="s">
        <v>141</v>
      </c>
      <c r="F6" s="17" t="s">
        <v>144</v>
      </c>
      <c r="G6" s="12" t="s">
        <v>54</v>
      </c>
      <c r="H6" s="18"/>
      <c r="I6" s="18"/>
      <c r="J6" s="17"/>
      <c r="K6" s="15"/>
      <c r="L6" s="16"/>
      <c r="M6" s="15">
        <v>3000</v>
      </c>
      <c r="N6" s="14" t="s">
        <v>143</v>
      </c>
      <c r="O6" s="13" t="s">
        <v>124</v>
      </c>
      <c r="P6" s="12"/>
      <c r="Q6" s="20"/>
    </row>
    <row r="7" spans="1:17" s="11" customFormat="1" ht="24" customHeight="1" x14ac:dyDescent="0.15">
      <c r="A7" s="17">
        <v>20170101</v>
      </c>
      <c r="B7" s="19" t="s">
        <v>142</v>
      </c>
      <c r="C7" s="17" t="s">
        <v>63</v>
      </c>
      <c r="D7" s="17"/>
      <c r="E7" s="17" t="s">
        <v>141</v>
      </c>
      <c r="F7" s="17" t="s">
        <v>140</v>
      </c>
      <c r="G7" s="17" t="s">
        <v>54</v>
      </c>
      <c r="H7" s="18"/>
      <c r="I7" s="18"/>
      <c r="J7" s="17"/>
      <c r="K7" s="15"/>
      <c r="L7" s="16"/>
      <c r="M7" s="15">
        <v>3000</v>
      </c>
      <c r="N7" s="14"/>
      <c r="O7" s="13"/>
      <c r="P7" s="12"/>
      <c r="Q7" s="20"/>
    </row>
    <row r="8" spans="1:17" s="11" customFormat="1" ht="24" customHeight="1" x14ac:dyDescent="0.15">
      <c r="A8" s="17">
        <v>20170101</v>
      </c>
      <c r="B8" s="19" t="s">
        <v>139</v>
      </c>
      <c r="C8" s="17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24" customHeight="1" x14ac:dyDescent="0.15">
      <c r="A9" s="17">
        <v>20170101</v>
      </c>
      <c r="B9" s="19" t="s">
        <v>138</v>
      </c>
      <c r="C9" s="17" t="s">
        <v>31</v>
      </c>
      <c r="D9" s="17"/>
      <c r="E9" s="17" t="s">
        <v>9</v>
      </c>
      <c r="F9" s="17" t="s">
        <v>213</v>
      </c>
      <c r="G9" s="17" t="s">
        <v>54</v>
      </c>
      <c r="H9" s="17">
        <f>[1]副本!G30</f>
        <v>1322.4750000000001</v>
      </c>
      <c r="I9" s="18">
        <f>H9</f>
        <v>1322.4750000000001</v>
      </c>
      <c r="J9" s="17"/>
      <c r="K9" s="15">
        <v>100</v>
      </c>
      <c r="L9" s="16">
        <f>H9-I9</f>
        <v>0</v>
      </c>
      <c r="M9" s="15">
        <v>5000</v>
      </c>
      <c r="N9" s="14" t="s">
        <v>137</v>
      </c>
      <c r="O9" s="13" t="s">
        <v>136</v>
      </c>
      <c r="P9" s="12" t="s">
        <v>101</v>
      </c>
    </row>
    <row r="10" spans="1:17" s="11" customFormat="1" ht="24" customHeight="1" x14ac:dyDescent="0.15">
      <c r="A10" s="17">
        <v>20170101</v>
      </c>
      <c r="B10" s="19" t="s">
        <v>135</v>
      </c>
      <c r="C10" s="17" t="s">
        <v>63</v>
      </c>
      <c r="D10" s="17"/>
      <c r="E10" s="17"/>
      <c r="F10" s="17"/>
      <c r="G10" s="17"/>
      <c r="H10" s="18"/>
      <c r="I10" s="18"/>
      <c r="J10" s="17"/>
      <c r="K10" s="15"/>
      <c r="L10" s="16"/>
      <c r="M10" s="15">
        <v>1500</v>
      </c>
      <c r="N10" s="14"/>
      <c r="O10" s="13"/>
      <c r="P10" s="12"/>
    </row>
    <row r="11" spans="1:17" s="11" customFormat="1" ht="24" customHeight="1" x14ac:dyDescent="0.15">
      <c r="A11" s="17">
        <v>20170101</v>
      </c>
      <c r="B11" s="19" t="s">
        <v>134</v>
      </c>
      <c r="C11" s="17" t="s">
        <v>63</v>
      </c>
      <c r="D11" s="17"/>
      <c r="E11" s="17" t="s">
        <v>116</v>
      </c>
      <c r="F11" s="17" t="s">
        <v>115</v>
      </c>
      <c r="G11" s="17" t="s">
        <v>54</v>
      </c>
      <c r="H11" s="18">
        <f>[1]副本!G41</f>
        <v>1502.1479999999999</v>
      </c>
      <c r="I11" s="18">
        <f>H11</f>
        <v>1502.1479999999999</v>
      </c>
      <c r="J11" s="17"/>
      <c r="K11" s="15"/>
      <c r="L11" s="16"/>
      <c r="M11" s="15">
        <v>1500</v>
      </c>
      <c r="N11" s="14"/>
      <c r="O11" s="13"/>
      <c r="P11" s="12"/>
    </row>
    <row r="12" spans="1:17" s="11" customFormat="1" ht="24" customHeight="1" x14ac:dyDescent="0.15">
      <c r="A12" s="17">
        <v>20170101</v>
      </c>
      <c r="B12" s="19" t="s">
        <v>133</v>
      </c>
      <c r="C12" s="17" t="s">
        <v>28</v>
      </c>
      <c r="D12" s="17"/>
      <c r="E12" s="17"/>
      <c r="F12" s="17"/>
      <c r="G12" s="17"/>
      <c r="H12" s="18"/>
      <c r="I12" s="18"/>
      <c r="J12" s="17"/>
      <c r="K12" s="15"/>
      <c r="L12" s="16"/>
      <c r="M12" s="15">
        <v>1500</v>
      </c>
      <c r="N12" s="14"/>
      <c r="O12" s="13"/>
      <c r="P12" s="12"/>
      <c r="Q12" s="20"/>
    </row>
    <row r="13" spans="1:17" s="11" customFormat="1" ht="24" customHeight="1" x14ac:dyDescent="0.15">
      <c r="A13" s="17">
        <v>20170101</v>
      </c>
      <c r="B13" s="19" t="s">
        <v>132</v>
      </c>
      <c r="C13" s="17" t="s">
        <v>28</v>
      </c>
      <c r="D13" s="17"/>
      <c r="E13" s="17"/>
      <c r="F13" s="17"/>
      <c r="G13" s="17"/>
      <c r="H13" s="18"/>
      <c r="I13" s="18"/>
      <c r="J13" s="17"/>
      <c r="K13" s="16"/>
      <c r="L13" s="16"/>
      <c r="M13" s="15">
        <v>1500</v>
      </c>
      <c r="N13" s="14"/>
      <c r="O13" s="13"/>
      <c r="P13" s="12"/>
    </row>
    <row r="14" spans="1:17" s="11" customFormat="1" ht="24" customHeight="1" x14ac:dyDescent="0.15">
      <c r="A14" s="17">
        <v>20170101</v>
      </c>
      <c r="B14" s="19" t="s">
        <v>131</v>
      </c>
      <c r="C14" s="17" t="s">
        <v>63</v>
      </c>
      <c r="D14" s="17"/>
      <c r="E14" s="17"/>
      <c r="F14" s="17"/>
      <c r="G14" s="17"/>
      <c r="H14" s="18"/>
      <c r="I14" s="18"/>
      <c r="J14" s="17"/>
      <c r="K14" s="15"/>
      <c r="L14" s="16"/>
      <c r="M14" s="15"/>
      <c r="N14" s="14"/>
      <c r="O14" s="13"/>
      <c r="P14" s="12"/>
    </row>
    <row r="15" spans="1:17" s="11" customFormat="1" ht="24" customHeight="1" x14ac:dyDescent="0.15">
      <c r="A15" s="17">
        <v>20170101</v>
      </c>
      <c r="B15" s="19" t="s">
        <v>129</v>
      </c>
      <c r="C15" s="17" t="s">
        <v>121</v>
      </c>
      <c r="D15" s="17"/>
      <c r="E15" s="17" t="s">
        <v>12</v>
      </c>
      <c r="F15" s="17" t="s">
        <v>214</v>
      </c>
      <c r="G15" s="17" t="s">
        <v>2</v>
      </c>
      <c r="H15" s="18">
        <f>[1]副本!G78-H16</f>
        <v>14483.353000000017</v>
      </c>
      <c r="I15" s="18">
        <f>H15</f>
        <v>14483.353000000017</v>
      </c>
      <c r="J15" s="17"/>
      <c r="K15" s="15"/>
      <c r="L15" s="16">
        <f>H15-I15</f>
        <v>0</v>
      </c>
      <c r="M15" s="15">
        <v>21000</v>
      </c>
      <c r="N15" s="14" t="s">
        <v>120</v>
      </c>
      <c r="O15" s="13" t="s">
        <v>124</v>
      </c>
      <c r="P15" s="12" t="s">
        <v>130</v>
      </c>
    </row>
    <row r="16" spans="1:17" s="11" customFormat="1" ht="24" customHeight="1" x14ac:dyDescent="0.15">
      <c r="A16" s="17">
        <v>20170101</v>
      </c>
      <c r="B16" s="19" t="s">
        <v>129</v>
      </c>
      <c r="C16" s="17" t="s">
        <v>121</v>
      </c>
      <c r="D16" s="17"/>
      <c r="E16" s="17" t="s">
        <v>12</v>
      </c>
      <c r="F16" s="17" t="s">
        <v>214</v>
      </c>
      <c r="G16" s="17" t="s">
        <v>2</v>
      </c>
      <c r="H16" s="18">
        <f>[1]副本!G80</f>
        <v>3053.6469999999827</v>
      </c>
      <c r="I16" s="18">
        <f>H16</f>
        <v>3053.6469999999827</v>
      </c>
      <c r="J16" s="17"/>
      <c r="K16" s="15"/>
      <c r="L16" s="16">
        <f>H16-I16</f>
        <v>0</v>
      </c>
      <c r="M16" s="15">
        <v>21000</v>
      </c>
      <c r="N16" s="14" t="s">
        <v>120</v>
      </c>
      <c r="O16" s="13" t="s">
        <v>119</v>
      </c>
      <c r="P16" s="12" t="s">
        <v>128</v>
      </c>
    </row>
    <row r="17" spans="1:17" s="11" customFormat="1" ht="24" customHeight="1" x14ac:dyDescent="0.15">
      <c r="A17" s="17">
        <v>20170101</v>
      </c>
      <c r="B17" s="19" t="s">
        <v>127</v>
      </c>
      <c r="C17" s="17" t="s">
        <v>63</v>
      </c>
      <c r="D17" s="17"/>
      <c r="E17" s="17"/>
      <c r="F17" s="17"/>
      <c r="G17" s="17"/>
      <c r="H17" s="18"/>
      <c r="I17" s="18"/>
      <c r="J17" s="17"/>
      <c r="K17" s="15"/>
      <c r="L17" s="16"/>
      <c r="M17" s="15">
        <v>5000</v>
      </c>
      <c r="N17" s="14"/>
      <c r="O17" s="13"/>
      <c r="P17" s="12"/>
    </row>
    <row r="18" spans="1:17" s="11" customFormat="1" ht="24" customHeight="1" x14ac:dyDescent="0.15">
      <c r="A18" s="17">
        <v>20170101</v>
      </c>
      <c r="B18" s="19" t="s">
        <v>126</v>
      </c>
      <c r="C18" s="17" t="s">
        <v>63</v>
      </c>
      <c r="D18" s="17"/>
      <c r="E18" s="17"/>
      <c r="F18" s="17"/>
      <c r="G18" s="17"/>
      <c r="H18" s="18"/>
      <c r="I18" s="18"/>
      <c r="J18" s="17"/>
      <c r="K18" s="15"/>
      <c r="L18" s="16"/>
      <c r="M18" s="15">
        <v>3000</v>
      </c>
      <c r="N18" s="14"/>
      <c r="O18" s="13"/>
      <c r="P18" s="12"/>
    </row>
    <row r="19" spans="1:17" s="11" customFormat="1" ht="24" customHeight="1" x14ac:dyDescent="0.15">
      <c r="A19" s="17">
        <v>20170101</v>
      </c>
      <c r="B19" s="19" t="s">
        <v>122</v>
      </c>
      <c r="C19" s="17" t="s">
        <v>121</v>
      </c>
      <c r="D19" s="17"/>
      <c r="E19" s="17" t="s">
        <v>12</v>
      </c>
      <c r="F19" s="17" t="s">
        <v>214</v>
      </c>
      <c r="G19" s="17" t="s">
        <v>2</v>
      </c>
      <c r="H19" s="18">
        <f>[1]副本!G97-[1]副本!G98</f>
        <v>5423.4534280000371</v>
      </c>
      <c r="I19" s="18">
        <f>H19</f>
        <v>5423.4534280000371</v>
      </c>
      <c r="J19" s="17"/>
      <c r="K19" s="15"/>
      <c r="L19" s="16">
        <f>H19-I19</f>
        <v>0</v>
      </c>
      <c r="M19" s="15">
        <v>21000</v>
      </c>
      <c r="N19" s="14" t="s">
        <v>125</v>
      </c>
      <c r="O19" s="13" t="s">
        <v>124</v>
      </c>
      <c r="P19" s="12" t="s">
        <v>123</v>
      </c>
    </row>
    <row r="20" spans="1:17" s="11" customFormat="1" ht="24" customHeight="1" x14ac:dyDescent="0.15">
      <c r="A20" s="17">
        <v>20170101</v>
      </c>
      <c r="B20" s="19" t="s">
        <v>122</v>
      </c>
      <c r="C20" s="17" t="s">
        <v>121</v>
      </c>
      <c r="D20" s="17"/>
      <c r="E20" s="17" t="s">
        <v>12</v>
      </c>
      <c r="F20" s="17" t="s">
        <v>215</v>
      </c>
      <c r="G20" s="17" t="s">
        <v>2</v>
      </c>
      <c r="H20" s="18">
        <f>[1]副本!G98</f>
        <v>1350.5465719999629</v>
      </c>
      <c r="I20" s="18">
        <f>H20</f>
        <v>1350.5465719999629</v>
      </c>
      <c r="J20" s="17"/>
      <c r="K20" s="28"/>
      <c r="L20" s="16">
        <f>H20-I20</f>
        <v>0</v>
      </c>
      <c r="M20" s="15">
        <v>21000</v>
      </c>
      <c r="N20" s="14" t="s">
        <v>120</v>
      </c>
      <c r="O20" s="13" t="s">
        <v>119</v>
      </c>
      <c r="P20" s="12" t="s">
        <v>118</v>
      </c>
    </row>
    <row r="21" spans="1:17" s="11" customFormat="1" ht="24" customHeight="1" x14ac:dyDescent="0.15">
      <c r="A21" s="17">
        <v>20170101</v>
      </c>
      <c r="B21" s="19" t="s">
        <v>117</v>
      </c>
      <c r="C21" s="17" t="s">
        <v>63</v>
      </c>
      <c r="D21" s="17"/>
      <c r="E21" s="17" t="s">
        <v>116</v>
      </c>
      <c r="F21" s="17" t="s">
        <v>115</v>
      </c>
      <c r="G21" s="17" t="s">
        <v>2</v>
      </c>
      <c r="H21" s="18">
        <f>[1]副本!G104</f>
        <v>2906.4359999999997</v>
      </c>
      <c r="I21" s="18">
        <f>H21</f>
        <v>2906.4359999999997</v>
      </c>
      <c r="J21" s="17"/>
      <c r="K21" s="15">
        <v>300</v>
      </c>
      <c r="L21" s="16">
        <f>H21-I21</f>
        <v>0</v>
      </c>
      <c r="M21" s="15">
        <v>5000</v>
      </c>
      <c r="N21" s="14"/>
      <c r="O21" s="13"/>
      <c r="P21" s="12" t="s">
        <v>114</v>
      </c>
    </row>
    <row r="22" spans="1:17" s="11" customFormat="1" ht="24" customHeight="1" x14ac:dyDescent="0.15">
      <c r="A22" s="17">
        <v>20170101</v>
      </c>
      <c r="B22" s="19" t="s">
        <v>113</v>
      </c>
      <c r="C22" s="17" t="s">
        <v>0</v>
      </c>
      <c r="D22" s="17"/>
      <c r="E22" s="12" t="s">
        <v>112</v>
      </c>
      <c r="F22" s="17" t="s">
        <v>39</v>
      </c>
      <c r="G22" s="17"/>
      <c r="H22" s="18">
        <f>[1]副本!G114</f>
        <v>0.52900000000045111</v>
      </c>
      <c r="I22" s="18">
        <f>H22</f>
        <v>0.52900000000045111</v>
      </c>
      <c r="J22" s="17"/>
      <c r="K22" s="15"/>
      <c r="L22" s="16">
        <f>H22-I22</f>
        <v>0</v>
      </c>
      <c r="M22" s="15">
        <v>5000</v>
      </c>
      <c r="N22" s="14"/>
      <c r="O22" s="13"/>
      <c r="P22" s="27" t="s">
        <v>111</v>
      </c>
    </row>
    <row r="23" spans="1:17" s="11" customFormat="1" ht="24" customHeight="1" x14ac:dyDescent="0.15">
      <c r="A23" s="17">
        <v>20170101</v>
      </c>
      <c r="B23" s="19" t="s">
        <v>110</v>
      </c>
      <c r="C23" s="17" t="s">
        <v>63</v>
      </c>
      <c r="D23" s="17"/>
      <c r="E23" s="17"/>
      <c r="F23" s="17"/>
      <c r="G23" s="17"/>
      <c r="H23" s="18"/>
      <c r="I23" s="18"/>
      <c r="J23" s="17"/>
      <c r="K23" s="15"/>
      <c r="L23" s="16"/>
      <c r="M23" s="15">
        <v>5000</v>
      </c>
      <c r="N23" s="14"/>
      <c r="O23" s="13"/>
      <c r="P23" s="12"/>
    </row>
    <row r="24" spans="1:17" s="11" customFormat="1" ht="24" customHeight="1" x14ac:dyDescent="0.15">
      <c r="A24" s="17">
        <v>20170101</v>
      </c>
      <c r="B24" s="19" t="s">
        <v>109</v>
      </c>
      <c r="C24" s="17" t="s">
        <v>63</v>
      </c>
      <c r="D24" s="17"/>
      <c r="E24" s="17" t="s">
        <v>108</v>
      </c>
      <c r="F24" s="17" t="s">
        <v>107</v>
      </c>
      <c r="G24" s="17" t="s">
        <v>2</v>
      </c>
      <c r="H24" s="18">
        <f>[1]副本!G124</f>
        <v>762.62100000004284</v>
      </c>
      <c r="I24" s="18">
        <f>H24</f>
        <v>762.62100000004284</v>
      </c>
      <c r="J24" s="17"/>
      <c r="K24" s="15"/>
      <c r="L24" s="16">
        <f t="shared" ref="L24:L30" si="0">H24-I24</f>
        <v>0</v>
      </c>
      <c r="M24" s="15">
        <v>4000</v>
      </c>
      <c r="N24" s="14" t="s">
        <v>47</v>
      </c>
      <c r="O24" s="13" t="s">
        <v>46</v>
      </c>
      <c r="P24" s="12"/>
    </row>
    <row r="25" spans="1:17" s="11" customFormat="1" ht="24" customHeight="1" x14ac:dyDescent="0.15">
      <c r="A25" s="17">
        <v>20170101</v>
      </c>
      <c r="B25" s="19" t="s">
        <v>106</v>
      </c>
      <c r="C25" s="17" t="s">
        <v>105</v>
      </c>
      <c r="D25" s="17"/>
      <c r="E25" s="17" t="s">
        <v>9</v>
      </c>
      <c r="F25" s="17" t="s">
        <v>104</v>
      </c>
      <c r="G25" s="17" t="s">
        <v>2</v>
      </c>
      <c r="H25" s="18">
        <f>[1]副本!G137</f>
        <v>272.52499999999964</v>
      </c>
      <c r="I25" s="18">
        <f>H25</f>
        <v>272.52499999999964</v>
      </c>
      <c r="J25" s="17"/>
      <c r="K25" s="15"/>
      <c r="L25" s="16">
        <f t="shared" si="0"/>
        <v>0</v>
      </c>
      <c r="M25" s="15">
        <v>5000</v>
      </c>
      <c r="N25" s="14" t="s">
        <v>103</v>
      </c>
      <c r="O25" s="13" t="s">
        <v>102</v>
      </c>
      <c r="P25" s="12" t="s">
        <v>101</v>
      </c>
    </row>
    <row r="26" spans="1:17" s="11" customFormat="1" ht="24" customHeight="1" x14ac:dyDescent="0.15">
      <c r="A26" s="17">
        <v>20170101</v>
      </c>
      <c r="B26" s="19" t="s">
        <v>100</v>
      </c>
      <c r="C26" s="17" t="s">
        <v>96</v>
      </c>
      <c r="D26" s="17"/>
      <c r="E26" s="17" t="s">
        <v>67</v>
      </c>
      <c r="F26" s="17" t="s">
        <v>39</v>
      </c>
      <c r="G26" s="17" t="s">
        <v>2</v>
      </c>
      <c r="H26" s="18">
        <f>[1]副本!G147</f>
        <v>19.961000000002969</v>
      </c>
      <c r="I26" s="18">
        <f>H26</f>
        <v>19.961000000002969</v>
      </c>
      <c r="J26" s="17"/>
      <c r="K26" s="15"/>
      <c r="L26" s="16">
        <f t="shared" si="0"/>
        <v>0</v>
      </c>
      <c r="M26" s="15">
        <v>2000</v>
      </c>
      <c r="N26" s="14"/>
      <c r="O26" s="13"/>
      <c r="P26" s="12" t="s">
        <v>38</v>
      </c>
    </row>
    <row r="27" spans="1:17" s="25" customFormat="1" ht="24" customHeight="1" x14ac:dyDescent="0.15">
      <c r="A27" s="17">
        <v>20170101</v>
      </c>
      <c r="B27" s="19" t="s">
        <v>100</v>
      </c>
      <c r="C27" s="17" t="s">
        <v>96</v>
      </c>
      <c r="D27" s="17"/>
      <c r="E27" s="17" t="s">
        <v>67</v>
      </c>
      <c r="F27" s="17" t="s">
        <v>71</v>
      </c>
      <c r="G27" s="17" t="s">
        <v>2</v>
      </c>
      <c r="H27" s="18">
        <f>[1]副本!G148</f>
        <v>0.11999999999989086</v>
      </c>
      <c r="I27" s="18">
        <f>H27</f>
        <v>0.11999999999989086</v>
      </c>
      <c r="J27" s="17"/>
      <c r="K27" s="15"/>
      <c r="L27" s="16">
        <f t="shared" si="0"/>
        <v>0</v>
      </c>
      <c r="M27" s="15">
        <v>2000</v>
      </c>
      <c r="N27" s="14"/>
      <c r="O27" s="13"/>
      <c r="P27" s="12" t="s">
        <v>38</v>
      </c>
    </row>
    <row r="28" spans="1:17" s="25" customFormat="1" ht="24" customHeight="1" x14ac:dyDescent="0.15">
      <c r="A28" s="17">
        <v>20170101</v>
      </c>
      <c r="B28" s="19" t="s">
        <v>99</v>
      </c>
      <c r="C28" s="17" t="s">
        <v>96</v>
      </c>
      <c r="D28" s="17"/>
      <c r="E28" s="17" t="s">
        <v>67</v>
      </c>
      <c r="F28" s="17" t="s">
        <v>217</v>
      </c>
      <c r="G28" s="17" t="s">
        <v>2</v>
      </c>
      <c r="H28" s="18">
        <f>[1]副本!G169</f>
        <v>1099.9159999999999</v>
      </c>
      <c r="I28" s="18">
        <f>H28-1099.916</f>
        <v>0</v>
      </c>
      <c r="J28" s="17"/>
      <c r="K28" s="15"/>
      <c r="L28" s="16">
        <f t="shared" si="0"/>
        <v>1099.9159999999999</v>
      </c>
      <c r="M28" s="15">
        <v>1500</v>
      </c>
      <c r="N28" s="14"/>
      <c r="O28" s="13"/>
      <c r="P28" s="12"/>
    </row>
    <row r="29" spans="1:17" s="25" customFormat="1" ht="24" customHeight="1" x14ac:dyDescent="0.15">
      <c r="A29" s="17">
        <v>20170101</v>
      </c>
      <c r="B29" s="19" t="s">
        <v>98</v>
      </c>
      <c r="C29" s="17" t="s">
        <v>96</v>
      </c>
      <c r="D29" s="17"/>
      <c r="E29" s="17"/>
      <c r="F29" s="17"/>
      <c r="G29" s="17"/>
      <c r="H29" s="18"/>
      <c r="I29" s="18"/>
      <c r="J29" s="17"/>
      <c r="K29" s="15"/>
      <c r="L29" s="16">
        <f t="shared" si="0"/>
        <v>0</v>
      </c>
      <c r="M29" s="15">
        <v>1500</v>
      </c>
      <c r="N29" s="14"/>
      <c r="O29" s="13"/>
      <c r="P29" s="12"/>
      <c r="Q29" s="26"/>
    </row>
    <row r="30" spans="1:17" s="25" customFormat="1" ht="24" customHeight="1" x14ac:dyDescent="0.15">
      <c r="A30" s="17">
        <v>20170101</v>
      </c>
      <c r="B30" s="19" t="s">
        <v>97</v>
      </c>
      <c r="C30" s="17" t="s">
        <v>96</v>
      </c>
      <c r="D30" s="17"/>
      <c r="E30" s="17" t="s">
        <v>67</v>
      </c>
      <c r="F30" s="17" t="s">
        <v>66</v>
      </c>
      <c r="G30" s="17" t="s">
        <v>2</v>
      </c>
      <c r="H30" s="18">
        <f>[1]副本!G189</f>
        <v>1098.2449999999999</v>
      </c>
      <c r="I30" s="18">
        <f>H30-1098.245</f>
        <v>0</v>
      </c>
      <c r="J30" s="17"/>
      <c r="K30" s="15"/>
      <c r="L30" s="16">
        <f t="shared" si="0"/>
        <v>1098.2449999999999</v>
      </c>
      <c r="M30" s="15">
        <v>1500</v>
      </c>
      <c r="N30" s="14"/>
      <c r="O30" s="13"/>
      <c r="P30" s="12"/>
    </row>
    <row r="31" spans="1:17" s="11" customFormat="1" ht="24" customHeight="1" x14ac:dyDescent="0.15">
      <c r="A31" s="17">
        <v>20170101</v>
      </c>
      <c r="B31" s="19" t="s">
        <v>95</v>
      </c>
      <c r="C31" s="17" t="s">
        <v>63</v>
      </c>
      <c r="D31" s="17"/>
      <c r="E31" s="17" t="s">
        <v>94</v>
      </c>
      <c r="F31" s="17"/>
      <c r="G31" s="17"/>
      <c r="H31" s="18"/>
      <c r="I31" s="18"/>
      <c r="J31" s="17"/>
      <c r="K31" s="15"/>
      <c r="L31" s="16"/>
      <c r="M31" s="15">
        <v>1500</v>
      </c>
      <c r="N31" s="14"/>
      <c r="O31" s="13"/>
      <c r="P31" s="12"/>
    </row>
    <row r="32" spans="1:17" s="11" customFormat="1" ht="24" customHeight="1" x14ac:dyDescent="0.15">
      <c r="A32" s="17">
        <v>20170101</v>
      </c>
      <c r="B32" s="19" t="s">
        <v>93</v>
      </c>
      <c r="C32" s="17" t="s">
        <v>57</v>
      </c>
      <c r="D32" s="17"/>
      <c r="E32" s="17" t="s">
        <v>92</v>
      </c>
      <c r="F32" s="17" t="s">
        <v>91</v>
      </c>
      <c r="G32" s="17"/>
      <c r="H32" s="17">
        <f>[1]副本!G205</f>
        <v>491.95900000000029</v>
      </c>
      <c r="I32" s="18">
        <f>H32-1035.099+1035.099</f>
        <v>491.95900000000029</v>
      </c>
      <c r="J32" s="17"/>
      <c r="K32" s="15">
        <v>30</v>
      </c>
      <c r="L32" s="16">
        <f>H32-I32</f>
        <v>0</v>
      </c>
      <c r="M32" s="15">
        <v>2000</v>
      </c>
      <c r="N32" s="14"/>
      <c r="O32" s="13"/>
      <c r="P32" s="12" t="s">
        <v>90</v>
      </c>
    </row>
    <row r="33" spans="1:16" s="11" customFormat="1" ht="24" customHeight="1" x14ac:dyDescent="0.15">
      <c r="A33" s="17">
        <v>20170101</v>
      </c>
      <c r="B33" s="19" t="s">
        <v>89</v>
      </c>
      <c r="C33" s="17" t="s">
        <v>63</v>
      </c>
      <c r="D33" s="17" t="s">
        <v>88</v>
      </c>
      <c r="E33" s="17" t="s">
        <v>87</v>
      </c>
      <c r="F33" s="17" t="s">
        <v>216</v>
      </c>
      <c r="G33" s="17" t="s">
        <v>54</v>
      </c>
      <c r="H33" s="18">
        <f>[1]副本!G212</f>
        <v>755.06299999999987</v>
      </c>
      <c r="I33" s="18">
        <f>H33-1037.023+500</f>
        <v>218.03999999999996</v>
      </c>
      <c r="J33" s="17"/>
      <c r="K33" s="15">
        <v>50</v>
      </c>
      <c r="L33" s="16">
        <f>H33-I33</f>
        <v>537.02299999999991</v>
      </c>
      <c r="M33" s="15">
        <v>3000</v>
      </c>
      <c r="N33" s="14"/>
      <c r="O33" s="13"/>
      <c r="P33" s="24" t="s">
        <v>86</v>
      </c>
    </row>
    <row r="34" spans="1:16" s="11" customFormat="1" ht="24" customHeight="1" x14ac:dyDescent="0.15">
      <c r="A34" s="17">
        <v>20170101</v>
      </c>
      <c r="B34" s="19" t="s">
        <v>85</v>
      </c>
      <c r="C34" s="17" t="s">
        <v>63</v>
      </c>
      <c r="D34" s="17" t="s">
        <v>5</v>
      </c>
      <c r="E34" s="17" t="s">
        <v>84</v>
      </c>
      <c r="F34" s="17" t="s">
        <v>81</v>
      </c>
      <c r="G34" s="17" t="s">
        <v>54</v>
      </c>
      <c r="H34" s="18">
        <f>[1]副本!G214</f>
        <v>0</v>
      </c>
      <c r="I34" s="18">
        <f>H34</f>
        <v>0</v>
      </c>
      <c r="J34" s="17"/>
      <c r="K34" s="15"/>
      <c r="L34" s="16">
        <f>H34-I34</f>
        <v>0</v>
      </c>
      <c r="M34" s="15">
        <v>4000</v>
      </c>
      <c r="N34" s="14"/>
      <c r="O34" s="13"/>
      <c r="P34" s="12" t="s">
        <v>83</v>
      </c>
    </row>
    <row r="35" spans="1:16" s="11" customFormat="1" ht="24" customHeight="1" x14ac:dyDescent="0.15">
      <c r="A35" s="17">
        <v>20170101</v>
      </c>
      <c r="B35" s="19" t="s">
        <v>82</v>
      </c>
      <c r="C35" s="17" t="s">
        <v>0</v>
      </c>
      <c r="D35" s="17"/>
      <c r="E35" s="17"/>
      <c r="F35" s="17"/>
      <c r="G35" s="17"/>
      <c r="H35" s="18"/>
      <c r="I35" s="18"/>
      <c r="J35" s="17"/>
      <c r="K35" s="15"/>
      <c r="L35" s="16"/>
      <c r="M35" s="15">
        <v>5000</v>
      </c>
      <c r="N35" s="14"/>
      <c r="O35" s="13"/>
      <c r="P35" s="12"/>
    </row>
    <row r="36" spans="1:16" s="11" customFormat="1" ht="24" customHeight="1" x14ac:dyDescent="0.15">
      <c r="A36" s="17">
        <v>20170101</v>
      </c>
      <c r="B36" s="19" t="s">
        <v>79</v>
      </c>
      <c r="C36" s="17" t="s">
        <v>57</v>
      </c>
      <c r="D36" s="17" t="s">
        <v>5</v>
      </c>
      <c r="E36" s="17" t="s">
        <v>78</v>
      </c>
      <c r="F36" s="17" t="s">
        <v>81</v>
      </c>
      <c r="G36" s="17" t="s">
        <v>2</v>
      </c>
      <c r="H36" s="18">
        <f>[1]副本!G235</f>
        <v>196.4720000000525</v>
      </c>
      <c r="I36" s="18">
        <f>H36-955.747+477.874+477.873-1042.865-2628.137+500+542.865+2102.57+525.567-499.112-3147.566+2100+525+525+496.678</f>
        <v>196.47200000005216</v>
      </c>
      <c r="J36" s="17"/>
      <c r="K36" s="15"/>
      <c r="L36" s="16">
        <f>H36-I36</f>
        <v>3.4106051316484809E-13</v>
      </c>
      <c r="M36" s="15">
        <v>5000</v>
      </c>
      <c r="N36" s="14"/>
      <c r="O36" s="13"/>
      <c r="P36" s="12" t="s">
        <v>80</v>
      </c>
    </row>
    <row r="37" spans="1:16" s="11" customFormat="1" ht="24" customHeight="1" x14ac:dyDescent="0.15">
      <c r="A37" s="17">
        <v>20170101</v>
      </c>
      <c r="B37" s="19" t="s">
        <v>79</v>
      </c>
      <c r="C37" s="17" t="s">
        <v>57</v>
      </c>
      <c r="D37" s="17" t="s">
        <v>5</v>
      </c>
      <c r="E37" s="17" t="s">
        <v>78</v>
      </c>
      <c r="F37" s="17" t="s">
        <v>77</v>
      </c>
      <c r="G37" s="17" t="s">
        <v>2</v>
      </c>
      <c r="H37" s="18">
        <f>[1]副本!G237</f>
        <v>2.6340000000004693</v>
      </c>
      <c r="I37" s="18">
        <f>H37</f>
        <v>2.6340000000004693</v>
      </c>
      <c r="J37" s="17"/>
      <c r="K37" s="15"/>
      <c r="L37" s="16">
        <f>H37-I37</f>
        <v>0</v>
      </c>
      <c r="M37" s="15">
        <v>5000</v>
      </c>
      <c r="N37" s="14"/>
      <c r="O37" s="13"/>
      <c r="P37" s="12" t="s">
        <v>76</v>
      </c>
    </row>
    <row r="38" spans="1:16" s="11" customFormat="1" ht="24" customHeight="1" x14ac:dyDescent="0.15">
      <c r="A38" s="17">
        <v>20170101</v>
      </c>
      <c r="B38" s="19" t="s">
        <v>74</v>
      </c>
      <c r="C38" s="17" t="s">
        <v>28</v>
      </c>
      <c r="D38" s="17"/>
      <c r="E38" s="17" t="s">
        <v>67</v>
      </c>
      <c r="F38" s="17" t="s">
        <v>39</v>
      </c>
      <c r="G38" s="17" t="s">
        <v>2</v>
      </c>
      <c r="H38" s="18">
        <f>[1]副本!G254</f>
        <v>490.36299999999756</v>
      </c>
      <c r="I38" s="18">
        <f>H38</f>
        <v>490.36299999999756</v>
      </c>
      <c r="J38" s="17"/>
      <c r="K38" s="15"/>
      <c r="L38" s="16">
        <f>H38-I38</f>
        <v>0</v>
      </c>
      <c r="M38" s="15">
        <v>4000</v>
      </c>
      <c r="N38" s="14"/>
      <c r="O38" s="13"/>
      <c r="P38" s="12" t="s">
        <v>75</v>
      </c>
    </row>
    <row r="39" spans="1:16" s="11" customFormat="1" ht="24" customHeight="1" x14ac:dyDescent="0.15">
      <c r="A39" s="17">
        <v>20170101</v>
      </c>
      <c r="B39" s="19" t="s">
        <v>74</v>
      </c>
      <c r="C39" s="17" t="s">
        <v>28</v>
      </c>
      <c r="D39" s="17"/>
      <c r="E39" s="17" t="s">
        <v>67</v>
      </c>
      <c r="F39" s="17" t="s">
        <v>71</v>
      </c>
      <c r="G39" s="17" t="s">
        <v>2</v>
      </c>
      <c r="H39" s="18">
        <f>[1]副本!G256</f>
        <v>383.01999999999987</v>
      </c>
      <c r="I39" s="18">
        <f>H39</f>
        <v>383.01999999999987</v>
      </c>
      <c r="J39" s="17"/>
      <c r="K39" s="15"/>
      <c r="L39" s="16"/>
      <c r="M39" s="15">
        <v>4000</v>
      </c>
      <c r="N39" s="14"/>
      <c r="O39" s="13"/>
      <c r="P39" s="12" t="s">
        <v>69</v>
      </c>
    </row>
    <row r="40" spans="1:16" s="11" customFormat="1" ht="24" customHeight="1" x14ac:dyDescent="0.15">
      <c r="A40" s="17">
        <v>20170101</v>
      </c>
      <c r="B40" s="19" t="s">
        <v>74</v>
      </c>
      <c r="C40" s="17" t="s">
        <v>28</v>
      </c>
      <c r="D40" s="17"/>
      <c r="E40" s="17" t="s">
        <v>67</v>
      </c>
      <c r="F40" s="17" t="s">
        <v>66</v>
      </c>
      <c r="G40" s="17" t="s">
        <v>2</v>
      </c>
      <c r="H40" s="18">
        <f>[1]副本!G257</f>
        <v>1001.944</v>
      </c>
      <c r="I40" s="18">
        <f>H40-1001.944</f>
        <v>0</v>
      </c>
      <c r="J40" s="17"/>
      <c r="K40" s="15"/>
      <c r="L40" s="16">
        <f>H40-I40</f>
        <v>1001.944</v>
      </c>
      <c r="M40" s="15">
        <v>4000</v>
      </c>
      <c r="N40" s="14"/>
      <c r="O40" s="13"/>
      <c r="P40" s="12"/>
    </row>
    <row r="41" spans="1:16" s="11" customFormat="1" ht="24" customHeight="1" x14ac:dyDescent="0.15">
      <c r="A41" s="17">
        <v>20170101</v>
      </c>
      <c r="B41" s="19" t="s">
        <v>73</v>
      </c>
      <c r="C41" s="17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24" customHeight="1" x14ac:dyDescent="0.15">
      <c r="A42" s="17">
        <v>20170101</v>
      </c>
      <c r="B42" s="19" t="s">
        <v>72</v>
      </c>
      <c r="C42" s="17" t="s">
        <v>28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24" customHeight="1" x14ac:dyDescent="0.15">
      <c r="A43" s="17">
        <v>20170101</v>
      </c>
      <c r="B43" s="19" t="s">
        <v>68</v>
      </c>
      <c r="C43" s="17" t="s">
        <v>28</v>
      </c>
      <c r="D43" s="17"/>
      <c r="E43" s="17" t="s">
        <v>67</v>
      </c>
      <c r="F43" s="17" t="s">
        <v>71</v>
      </c>
      <c r="G43" s="17" t="s">
        <v>2</v>
      </c>
      <c r="H43" s="18">
        <f>[1]副本!G303</f>
        <v>0.83100000000035834</v>
      </c>
      <c r="I43" s="18">
        <f>H43</f>
        <v>0.83100000000035834</v>
      </c>
      <c r="J43" s="17"/>
      <c r="K43" s="15"/>
      <c r="L43" s="16">
        <f>H43-I43</f>
        <v>0</v>
      </c>
      <c r="M43" s="15">
        <v>5000</v>
      </c>
      <c r="N43" s="14"/>
      <c r="O43" s="13"/>
      <c r="P43" s="12" t="s">
        <v>69</v>
      </c>
    </row>
    <row r="44" spans="1:16" s="11" customFormat="1" ht="24" customHeight="1" x14ac:dyDescent="0.15">
      <c r="A44" s="17">
        <v>20170101</v>
      </c>
      <c r="B44" s="19" t="s">
        <v>68</v>
      </c>
      <c r="C44" s="17" t="s">
        <v>28</v>
      </c>
      <c r="D44" s="17"/>
      <c r="E44" s="17" t="s">
        <v>67</v>
      </c>
      <c r="F44" s="17" t="s">
        <v>70</v>
      </c>
      <c r="G44" s="17" t="s">
        <v>2</v>
      </c>
      <c r="H44" s="18">
        <f>[1]副本!G302</f>
        <v>0</v>
      </c>
      <c r="I44" s="18">
        <f>H44</f>
        <v>0</v>
      </c>
      <c r="J44" s="17"/>
      <c r="K44" s="15"/>
      <c r="L44" s="16">
        <f>H44-I44</f>
        <v>0</v>
      </c>
      <c r="M44" s="15">
        <v>5000</v>
      </c>
      <c r="N44" s="14"/>
      <c r="O44" s="13"/>
      <c r="P44" s="12" t="s">
        <v>69</v>
      </c>
    </row>
    <row r="45" spans="1:16" s="11" customFormat="1" ht="24" customHeight="1" x14ac:dyDescent="0.15">
      <c r="A45" s="17">
        <v>20170101</v>
      </c>
      <c r="B45" s="19" t="s">
        <v>68</v>
      </c>
      <c r="C45" s="17" t="s">
        <v>28</v>
      </c>
      <c r="D45" s="17"/>
      <c r="E45" s="17" t="s">
        <v>67</v>
      </c>
      <c r="F45" s="17" t="s">
        <v>39</v>
      </c>
      <c r="G45" s="17" t="s">
        <v>2</v>
      </c>
      <c r="H45" s="18">
        <f>[1]副本!G301</f>
        <v>2231.8199999999997</v>
      </c>
      <c r="I45" s="18">
        <f>H45</f>
        <v>2231.8199999999997</v>
      </c>
      <c r="J45" s="17"/>
      <c r="K45" s="15">
        <v>1200</v>
      </c>
      <c r="L45" s="16">
        <f>H45-I45</f>
        <v>0</v>
      </c>
      <c r="M45" s="15">
        <v>5000</v>
      </c>
      <c r="N45" s="14"/>
      <c r="O45" s="13"/>
      <c r="P45" s="12" t="s">
        <v>69</v>
      </c>
    </row>
    <row r="46" spans="1:16" s="11" customFormat="1" ht="24" customHeight="1" x14ac:dyDescent="0.15">
      <c r="A46" s="17">
        <v>20170101</v>
      </c>
      <c r="B46" s="19" t="s">
        <v>68</v>
      </c>
      <c r="C46" s="17" t="s">
        <v>28</v>
      </c>
      <c r="D46" s="17"/>
      <c r="E46" s="17" t="s">
        <v>67</v>
      </c>
      <c r="F46" s="17" t="s">
        <v>66</v>
      </c>
      <c r="G46" s="17" t="s">
        <v>2</v>
      </c>
      <c r="H46" s="18">
        <f>[1]副本!G304</f>
        <v>1584.5709999999999</v>
      </c>
      <c r="I46" s="18">
        <f>H46-1584.571</f>
        <v>0</v>
      </c>
      <c r="J46" s="17"/>
      <c r="K46" s="15"/>
      <c r="L46" s="16">
        <f>H46-I46</f>
        <v>1584.5709999999999</v>
      </c>
      <c r="M46" s="15">
        <v>5000</v>
      </c>
      <c r="N46" s="14"/>
      <c r="O46" s="13"/>
      <c r="P46" s="12"/>
    </row>
    <row r="47" spans="1:16" s="11" customFormat="1" ht="24" customHeight="1" x14ac:dyDescent="0.15">
      <c r="A47" s="17">
        <v>20170101</v>
      </c>
      <c r="B47" s="19" t="s">
        <v>65</v>
      </c>
      <c r="C47" s="17" t="s">
        <v>63</v>
      </c>
      <c r="D47" s="17"/>
      <c r="E47" s="17"/>
      <c r="F47" s="17"/>
      <c r="G47" s="17"/>
      <c r="H47" s="18"/>
      <c r="I47" s="18"/>
      <c r="J47" s="17"/>
      <c r="K47" s="15"/>
      <c r="L47" s="16"/>
      <c r="M47" s="15">
        <v>5000</v>
      </c>
      <c r="N47" s="14"/>
      <c r="O47" s="13"/>
      <c r="P47" s="12"/>
    </row>
    <row r="48" spans="1:16" s="11" customFormat="1" ht="24" customHeight="1" x14ac:dyDescent="0.15">
      <c r="A48" s="17">
        <v>20170101</v>
      </c>
      <c r="B48" s="19" t="s">
        <v>64</v>
      </c>
      <c r="C48" s="17" t="s">
        <v>63</v>
      </c>
      <c r="D48" s="17"/>
      <c r="E48" s="17"/>
      <c r="F48" s="17"/>
      <c r="G48" s="17"/>
      <c r="H48" s="18"/>
      <c r="I48" s="18"/>
      <c r="J48" s="17"/>
      <c r="K48" s="15"/>
      <c r="L48" s="16"/>
      <c r="M48" s="15">
        <v>5000</v>
      </c>
      <c r="N48" s="14"/>
      <c r="O48" s="13"/>
      <c r="P48" s="12"/>
    </row>
    <row r="49" spans="1:17" s="11" customFormat="1" ht="24" customHeight="1" x14ac:dyDescent="0.15">
      <c r="A49" s="17">
        <v>20170101</v>
      </c>
      <c r="B49" s="19" t="s">
        <v>62</v>
      </c>
      <c r="C49" s="17" t="s">
        <v>57</v>
      </c>
      <c r="D49" s="17"/>
      <c r="E49" s="17" t="s">
        <v>56</v>
      </c>
      <c r="F49" s="17" t="s">
        <v>61</v>
      </c>
      <c r="G49" s="17" t="s">
        <v>2</v>
      </c>
      <c r="H49" s="18">
        <f>[1]副本!G318</f>
        <v>875.07899999999427</v>
      </c>
      <c r="I49" s="18">
        <f>H49</f>
        <v>875.07899999999427</v>
      </c>
      <c r="J49" s="17"/>
      <c r="K49" s="16"/>
      <c r="L49" s="16">
        <f>H49-I49</f>
        <v>0</v>
      </c>
      <c r="M49" s="15">
        <v>2000</v>
      </c>
      <c r="N49" s="14"/>
      <c r="O49" s="13"/>
      <c r="P49" s="12"/>
    </row>
    <row r="50" spans="1:17" s="11" customFormat="1" ht="24" customHeight="1" x14ac:dyDescent="0.15">
      <c r="A50" s="17">
        <v>20170101</v>
      </c>
      <c r="B50" s="19" t="s">
        <v>60</v>
      </c>
      <c r="C50" s="17" t="s">
        <v>43</v>
      </c>
      <c r="D50" s="17" t="s">
        <v>5</v>
      </c>
      <c r="E50" s="17" t="s">
        <v>34</v>
      </c>
      <c r="F50" s="17" t="s">
        <v>48</v>
      </c>
      <c r="G50" s="17" t="s">
        <v>2</v>
      </c>
      <c r="H50" s="18">
        <f>[1]副本!G323</f>
        <v>7193.6779999999999</v>
      </c>
      <c r="I50" s="18">
        <v>0</v>
      </c>
      <c r="J50" s="17"/>
      <c r="K50" s="15"/>
      <c r="L50" s="16">
        <f>H50-I50</f>
        <v>7193.6779999999999</v>
      </c>
      <c r="M50" s="15">
        <v>10000</v>
      </c>
      <c r="N50" s="14"/>
      <c r="O50" s="13"/>
      <c r="P50" s="12"/>
    </row>
    <row r="51" spans="1:17" s="11" customFormat="1" ht="24" customHeight="1" x14ac:dyDescent="0.15">
      <c r="A51" s="17">
        <v>20170101</v>
      </c>
      <c r="B51" s="19" t="s">
        <v>59</v>
      </c>
      <c r="C51" s="17" t="s">
        <v>28</v>
      </c>
      <c r="D51" s="17" t="s">
        <v>5</v>
      </c>
      <c r="E51" s="17" t="s">
        <v>34</v>
      </c>
      <c r="F51" s="17" t="s">
        <v>48</v>
      </c>
      <c r="G51" s="17" t="s">
        <v>2</v>
      </c>
      <c r="H51" s="18">
        <f>[1]副本!G335</f>
        <v>7409.1850000000004</v>
      </c>
      <c r="I51" s="18">
        <f>H51-7409.185</f>
        <v>0</v>
      </c>
      <c r="J51" s="17"/>
      <c r="K51" s="15"/>
      <c r="L51" s="16">
        <v>0</v>
      </c>
      <c r="M51" s="15">
        <v>10000</v>
      </c>
      <c r="N51" s="14"/>
      <c r="O51" s="13"/>
      <c r="P51" s="12"/>
    </row>
    <row r="52" spans="1:17" s="11" customFormat="1" ht="24" customHeight="1" x14ac:dyDescent="0.15">
      <c r="A52" s="17">
        <v>20170101</v>
      </c>
      <c r="B52" s="19" t="s">
        <v>58</v>
      </c>
      <c r="C52" s="17" t="s">
        <v>57</v>
      </c>
      <c r="D52" s="17"/>
      <c r="E52" s="17" t="s">
        <v>56</v>
      </c>
      <c r="F52" s="17" t="s">
        <v>55</v>
      </c>
      <c r="G52" s="17" t="s">
        <v>54</v>
      </c>
      <c r="H52" s="18">
        <f>[1]副本!G344</f>
        <v>2701.0040000000081</v>
      </c>
      <c r="I52" s="18">
        <f>H52</f>
        <v>2701.0040000000081</v>
      </c>
      <c r="J52" s="17"/>
      <c r="K52" s="16"/>
      <c r="L52" s="16">
        <v>0</v>
      </c>
      <c r="M52" s="15">
        <v>5000</v>
      </c>
      <c r="N52" s="23" t="s">
        <v>53</v>
      </c>
      <c r="O52" s="22" t="s">
        <v>52</v>
      </c>
      <c r="P52" s="12" t="s">
        <v>51</v>
      </c>
    </row>
    <row r="53" spans="1:17" s="11" customFormat="1" ht="24" customHeight="1" x14ac:dyDescent="0.15">
      <c r="A53" s="17">
        <v>20170101</v>
      </c>
      <c r="B53" s="19" t="s">
        <v>50</v>
      </c>
      <c r="C53" s="17" t="s">
        <v>28</v>
      </c>
      <c r="D53" s="17"/>
      <c r="E53" s="17"/>
      <c r="F53" s="17"/>
      <c r="G53" s="17"/>
      <c r="H53" s="18"/>
      <c r="I53" s="18"/>
      <c r="J53" s="17"/>
      <c r="K53" s="15"/>
      <c r="L53" s="16">
        <f>H53-I53</f>
        <v>0</v>
      </c>
      <c r="M53" s="15">
        <v>3000</v>
      </c>
      <c r="N53" s="14"/>
      <c r="O53" s="13"/>
      <c r="P53" s="12"/>
    </row>
    <row r="54" spans="1:17" s="11" customFormat="1" ht="24" customHeight="1" x14ac:dyDescent="0.15">
      <c r="A54" s="17">
        <v>20170101</v>
      </c>
      <c r="B54" s="19" t="s">
        <v>49</v>
      </c>
      <c r="C54" s="17" t="s">
        <v>28</v>
      </c>
      <c r="D54" s="17" t="s">
        <v>5</v>
      </c>
      <c r="E54" s="17" t="s">
        <v>34</v>
      </c>
      <c r="F54" s="17" t="s">
        <v>48</v>
      </c>
      <c r="G54" s="17" t="s">
        <v>22</v>
      </c>
      <c r="H54" s="18">
        <f>[1]副本!G360</f>
        <v>17900.637999999999</v>
      </c>
      <c r="I54" s="18">
        <v>0</v>
      </c>
      <c r="J54" s="17"/>
      <c r="K54" s="15"/>
      <c r="L54" s="16">
        <f>H54-I54</f>
        <v>17900.637999999999</v>
      </c>
      <c r="M54" s="15">
        <v>25000</v>
      </c>
      <c r="N54" s="14" t="s">
        <v>47</v>
      </c>
      <c r="O54" s="13" t="s">
        <v>46</v>
      </c>
      <c r="P54" s="12" t="s">
        <v>45</v>
      </c>
    </row>
    <row r="55" spans="1:17" s="11" customFormat="1" ht="24" customHeight="1" x14ac:dyDescent="0.15">
      <c r="A55" s="17">
        <v>20170101</v>
      </c>
      <c r="B55" s="19" t="s">
        <v>44</v>
      </c>
      <c r="C55" s="17" t="s">
        <v>43</v>
      </c>
      <c r="D55" s="17" t="s">
        <v>5</v>
      </c>
      <c r="E55" s="17" t="s">
        <v>34</v>
      </c>
      <c r="F55" s="17" t="s">
        <v>42</v>
      </c>
      <c r="G55" s="17" t="s">
        <v>22</v>
      </c>
      <c r="H55" s="18">
        <f>[1]副本!G363</f>
        <v>17775.025000000081</v>
      </c>
      <c r="I55" s="18">
        <v>0</v>
      </c>
      <c r="J55" s="17"/>
      <c r="K55" s="15"/>
      <c r="L55" s="16">
        <f>H55-I55</f>
        <v>17775.025000000081</v>
      </c>
      <c r="M55" s="15">
        <v>50000</v>
      </c>
      <c r="N55" s="14"/>
      <c r="O55" s="13"/>
      <c r="P55" s="12"/>
    </row>
    <row r="56" spans="1:17" s="11" customFormat="1" ht="24" customHeight="1" x14ac:dyDescent="0.15">
      <c r="A56" s="17">
        <v>20170101</v>
      </c>
      <c r="B56" s="19" t="s">
        <v>41</v>
      </c>
      <c r="C56" s="17" t="s">
        <v>28</v>
      </c>
      <c r="D56" s="17"/>
      <c r="E56" s="17" t="s">
        <v>40</v>
      </c>
      <c r="F56" s="17" t="s">
        <v>39</v>
      </c>
      <c r="G56" s="17" t="s">
        <v>22</v>
      </c>
      <c r="H56" s="18">
        <f>[1]副本!G371</f>
        <v>1402.637000000017</v>
      </c>
      <c r="I56" s="18">
        <f>H56</f>
        <v>1402.637000000017</v>
      </c>
      <c r="J56" s="17"/>
      <c r="K56" s="15"/>
      <c r="L56" s="16">
        <f>H56-I56</f>
        <v>0</v>
      </c>
      <c r="M56" s="15">
        <v>4000</v>
      </c>
      <c r="N56" s="14"/>
      <c r="O56" s="13"/>
      <c r="P56" s="12" t="s">
        <v>38</v>
      </c>
    </row>
    <row r="57" spans="1:17" s="11" customFormat="1" ht="24" customHeight="1" x14ac:dyDescent="0.15">
      <c r="A57" s="17">
        <v>20170101</v>
      </c>
      <c r="B57" s="19" t="s">
        <v>37</v>
      </c>
      <c r="C57" s="17" t="s">
        <v>31</v>
      </c>
      <c r="D57" s="17"/>
      <c r="E57" s="17"/>
      <c r="F57" s="17"/>
      <c r="G57" s="17"/>
      <c r="H57" s="18"/>
      <c r="I57" s="18"/>
      <c r="J57" s="17"/>
      <c r="K57" s="15"/>
      <c r="L57" s="16"/>
      <c r="M57" s="15">
        <v>37000</v>
      </c>
      <c r="N57" s="14"/>
      <c r="O57" s="13"/>
      <c r="P57" s="12"/>
    </row>
    <row r="58" spans="1:17" s="11" customFormat="1" ht="24" customHeight="1" x14ac:dyDescent="0.15">
      <c r="A58" s="17">
        <v>20170101</v>
      </c>
      <c r="B58" s="19" t="s">
        <v>36</v>
      </c>
      <c r="C58" s="17" t="s">
        <v>31</v>
      </c>
      <c r="D58" s="17"/>
      <c r="E58" s="17"/>
      <c r="F58" s="17"/>
      <c r="G58" s="17"/>
      <c r="H58" s="18"/>
      <c r="I58" s="17"/>
      <c r="J58" s="17"/>
      <c r="K58" s="15"/>
      <c r="L58" s="16"/>
      <c r="M58" s="15">
        <v>37000</v>
      </c>
      <c r="N58" s="14"/>
      <c r="O58" s="13"/>
      <c r="P58" s="12"/>
    </row>
    <row r="59" spans="1:17" s="11" customFormat="1" ht="24" customHeight="1" x14ac:dyDescent="0.15">
      <c r="A59" s="17">
        <v>20170101</v>
      </c>
      <c r="B59" s="19" t="s">
        <v>35</v>
      </c>
      <c r="C59" s="17" t="s">
        <v>28</v>
      </c>
      <c r="D59" s="17" t="s">
        <v>5</v>
      </c>
      <c r="E59" s="17" t="s">
        <v>34</v>
      </c>
      <c r="F59" s="17" t="s">
        <v>33</v>
      </c>
      <c r="G59" s="17" t="s">
        <v>22</v>
      </c>
      <c r="H59" s="18">
        <f>[1]副本!G402</f>
        <v>6957.8649999999998</v>
      </c>
      <c r="I59" s="18">
        <f>H59-6957.865</f>
        <v>0</v>
      </c>
      <c r="J59" s="17"/>
      <c r="K59" s="16"/>
      <c r="L59" s="16">
        <f>H59-I59</f>
        <v>6957.8649999999998</v>
      </c>
      <c r="M59" s="15">
        <v>10000</v>
      </c>
      <c r="N59" s="14"/>
      <c r="O59" s="13"/>
      <c r="P59" s="12"/>
      <c r="Q59" s="20"/>
    </row>
    <row r="60" spans="1:17" s="11" customFormat="1" ht="24" customHeight="1" x14ac:dyDescent="0.15">
      <c r="A60" s="17">
        <v>20170101</v>
      </c>
      <c r="B60" s="19" t="s">
        <v>32</v>
      </c>
      <c r="C60" s="17" t="s">
        <v>31</v>
      </c>
      <c r="D60" s="17" t="s">
        <v>5</v>
      </c>
      <c r="E60" s="17"/>
      <c r="F60" s="17"/>
      <c r="G60" s="17"/>
      <c r="H60" s="18"/>
      <c r="I60" s="18"/>
      <c r="J60" s="17"/>
      <c r="K60" s="21"/>
      <c r="L60" s="16"/>
      <c r="M60" s="15">
        <v>15000</v>
      </c>
      <c r="N60" s="14"/>
      <c r="O60" s="13"/>
      <c r="P60" s="12"/>
      <c r="Q60" s="20"/>
    </row>
    <row r="61" spans="1:17" s="11" customFormat="1" ht="24" customHeight="1" x14ac:dyDescent="0.15">
      <c r="A61" s="17">
        <v>20170101</v>
      </c>
      <c r="B61" s="19" t="s">
        <v>30</v>
      </c>
      <c r="C61" s="19" t="s">
        <v>28</v>
      </c>
      <c r="D61" s="17" t="s">
        <v>5</v>
      </c>
      <c r="E61" s="17" t="s">
        <v>4</v>
      </c>
      <c r="F61" s="17" t="s">
        <v>3</v>
      </c>
      <c r="G61" s="17" t="s">
        <v>22</v>
      </c>
      <c r="H61" s="18">
        <f>[1]副本!G436</f>
        <v>28002.054</v>
      </c>
      <c r="I61" s="18">
        <f>H61-28002.054</f>
        <v>0</v>
      </c>
      <c r="J61" s="17"/>
      <c r="K61" s="15"/>
      <c r="L61" s="16"/>
      <c r="M61" s="15">
        <v>43000</v>
      </c>
      <c r="N61" s="14"/>
      <c r="O61" s="13"/>
      <c r="P61" s="12"/>
      <c r="Q61" s="20"/>
    </row>
    <row r="62" spans="1:17" s="11" customFormat="1" ht="24" customHeight="1" x14ac:dyDescent="0.15">
      <c r="A62" s="17">
        <v>20170101</v>
      </c>
      <c r="B62" s="19" t="s">
        <v>29</v>
      </c>
      <c r="C62" s="19" t="s">
        <v>28</v>
      </c>
      <c r="D62" s="17" t="s">
        <v>5</v>
      </c>
      <c r="E62" s="17" t="s">
        <v>27</v>
      </c>
      <c r="F62" s="17" t="s">
        <v>26</v>
      </c>
      <c r="G62" s="17" t="s">
        <v>22</v>
      </c>
      <c r="H62" s="18">
        <v>0</v>
      </c>
      <c r="I62" s="18">
        <f>H62-20477.319+5000+5000+5000+5477.319</f>
        <v>0</v>
      </c>
      <c r="J62" s="17"/>
      <c r="K62" s="15"/>
      <c r="L62" s="16">
        <f>H62-I62</f>
        <v>0</v>
      </c>
      <c r="M62" s="15">
        <v>40000</v>
      </c>
      <c r="N62" s="14"/>
      <c r="O62" s="13"/>
      <c r="P62" s="12" t="s">
        <v>25</v>
      </c>
      <c r="Q62" s="20"/>
    </row>
    <row r="63" spans="1:17" s="11" customFormat="1" ht="38.25" customHeight="1" x14ac:dyDescent="0.15">
      <c r="A63" s="17">
        <v>20170101</v>
      </c>
      <c r="B63" s="19" t="s">
        <v>24</v>
      </c>
      <c r="C63" s="17" t="s">
        <v>0</v>
      </c>
      <c r="D63" s="17"/>
      <c r="E63" s="17" t="s">
        <v>4</v>
      </c>
      <c r="F63" s="17" t="s">
        <v>23</v>
      </c>
      <c r="G63" s="17" t="s">
        <v>22</v>
      </c>
      <c r="H63" s="18">
        <f>[1]副本!G471</f>
        <v>3773.1069999999963</v>
      </c>
      <c r="I63" s="18">
        <f>H63-15652.787+4092.929+8666.148+2893.71</f>
        <v>3773.1069999999954</v>
      </c>
      <c r="J63" s="17"/>
      <c r="K63" s="15">
        <v>200</v>
      </c>
      <c r="L63" s="16">
        <f>H63-I63</f>
        <v>0</v>
      </c>
      <c r="M63" s="15">
        <v>20000</v>
      </c>
      <c r="N63" s="14"/>
      <c r="O63" s="13"/>
      <c r="P63" s="12" t="s">
        <v>21</v>
      </c>
    </row>
    <row r="64" spans="1:17" s="11" customFormat="1" ht="24" customHeight="1" x14ac:dyDescent="0.15">
      <c r="A64" s="17">
        <v>20170101</v>
      </c>
      <c r="B64" s="19" t="s">
        <v>20</v>
      </c>
      <c r="C64" s="17" t="s">
        <v>0</v>
      </c>
      <c r="D64" s="17"/>
      <c r="E64" s="17" t="s">
        <v>12</v>
      </c>
      <c r="F64" s="17" t="s">
        <v>11</v>
      </c>
      <c r="G64" s="17" t="s">
        <v>2</v>
      </c>
      <c r="H64" s="18">
        <f>[1]副本!G475</f>
        <v>21897.301999999996</v>
      </c>
      <c r="I64" s="18">
        <f>H64-9993.226</f>
        <v>11904.075999999995</v>
      </c>
      <c r="J64" s="17"/>
      <c r="K64" s="15"/>
      <c r="L64" s="16">
        <f>H64-I64</f>
        <v>9993.2260000000006</v>
      </c>
      <c r="M64" s="15">
        <v>30000</v>
      </c>
      <c r="N64" s="14"/>
      <c r="O64" s="13"/>
      <c r="P64" s="12" t="s">
        <v>19</v>
      </c>
    </row>
    <row r="65" spans="1:16" s="11" customFormat="1" ht="24" customHeight="1" x14ac:dyDescent="0.15">
      <c r="A65" s="17">
        <v>20170101</v>
      </c>
      <c r="B65" s="19" t="s">
        <v>18</v>
      </c>
      <c r="C65" s="17" t="s">
        <v>0</v>
      </c>
      <c r="D65" s="17" t="s">
        <v>5</v>
      </c>
      <c r="E65" s="17" t="s">
        <v>4</v>
      </c>
      <c r="F65" s="17" t="s">
        <v>17</v>
      </c>
      <c r="G65" s="17" t="s">
        <v>2</v>
      </c>
      <c r="H65" s="18">
        <f>[1]副本!G486</f>
        <v>14976.093999999999</v>
      </c>
      <c r="I65" s="18">
        <f>H65-14976.094</f>
        <v>0</v>
      </c>
      <c r="J65" s="17"/>
      <c r="K65" s="15">
        <v>350</v>
      </c>
      <c r="L65" s="16">
        <f>H65-I65</f>
        <v>14976.093999999999</v>
      </c>
      <c r="M65" s="15">
        <v>20000</v>
      </c>
      <c r="N65" s="14" t="s">
        <v>16</v>
      </c>
      <c r="O65" s="13" t="s">
        <v>15</v>
      </c>
      <c r="P65" s="12" t="s">
        <v>14</v>
      </c>
    </row>
    <row r="66" spans="1:16" s="11" customFormat="1" ht="24" customHeight="1" x14ac:dyDescent="0.15">
      <c r="A66" s="17">
        <v>20170101</v>
      </c>
      <c r="B66" s="19" t="s">
        <v>13</v>
      </c>
      <c r="C66" s="17" t="s">
        <v>0</v>
      </c>
      <c r="D66" s="17"/>
      <c r="E66" s="17" t="s">
        <v>12</v>
      </c>
      <c r="F66" s="17" t="s">
        <v>11</v>
      </c>
      <c r="G66" s="17" t="s">
        <v>2</v>
      </c>
      <c r="H66" s="18">
        <f>[1]副本!G490</f>
        <v>4194.545999999973</v>
      </c>
      <c r="I66" s="18">
        <f>H66</f>
        <v>4194.545999999973</v>
      </c>
      <c r="J66" s="17"/>
      <c r="K66" s="15"/>
      <c r="L66" s="16">
        <v>0</v>
      </c>
      <c r="M66" s="15">
        <v>30000</v>
      </c>
      <c r="N66" s="14"/>
      <c r="O66" s="13"/>
      <c r="P66" s="12"/>
    </row>
    <row r="67" spans="1:16" s="11" customFormat="1" ht="24" customHeight="1" x14ac:dyDescent="0.15">
      <c r="A67" s="17">
        <v>20170101</v>
      </c>
      <c r="B67" s="19" t="s">
        <v>10</v>
      </c>
      <c r="C67" s="17" t="s">
        <v>0</v>
      </c>
      <c r="D67" s="17"/>
      <c r="E67" s="17" t="s">
        <v>9</v>
      </c>
      <c r="F67" s="17" t="s">
        <v>8</v>
      </c>
      <c r="G67" s="17" t="s">
        <v>2</v>
      </c>
      <c r="H67" s="18">
        <f>[1]副本!G504</f>
        <v>11979.215</v>
      </c>
      <c r="I67" s="18">
        <v>0</v>
      </c>
      <c r="J67" s="17"/>
      <c r="K67" s="15"/>
      <c r="L67" s="16">
        <f>H67-I67</f>
        <v>11979.215</v>
      </c>
      <c r="M67" s="15">
        <v>20000</v>
      </c>
      <c r="N67" s="14"/>
      <c r="O67" s="13"/>
      <c r="P67" s="12"/>
    </row>
    <row r="68" spans="1:16" s="11" customFormat="1" ht="24" customHeight="1" x14ac:dyDescent="0.15">
      <c r="A68" s="17">
        <v>20170101</v>
      </c>
      <c r="B68" s="19" t="s">
        <v>7</v>
      </c>
      <c r="C68" s="17" t="s">
        <v>0</v>
      </c>
      <c r="D68" s="17"/>
      <c r="E68" s="17"/>
      <c r="F68" s="17"/>
      <c r="G68" s="17"/>
      <c r="H68" s="18"/>
      <c r="I68" s="18"/>
      <c r="J68" s="17"/>
      <c r="K68" s="15"/>
      <c r="L68" s="16"/>
      <c r="M68" s="15">
        <v>15000</v>
      </c>
      <c r="N68" s="14"/>
      <c r="O68" s="13"/>
      <c r="P68" s="12"/>
    </row>
    <row r="69" spans="1:16" s="11" customFormat="1" ht="24" customHeight="1" x14ac:dyDescent="0.15">
      <c r="A69" s="17">
        <v>20170101</v>
      </c>
      <c r="B69" s="19" t="s">
        <v>6</v>
      </c>
      <c r="C69" s="17" t="s">
        <v>0</v>
      </c>
      <c r="D69" s="17" t="s">
        <v>5</v>
      </c>
      <c r="E69" s="17" t="s">
        <v>4</v>
      </c>
      <c r="F69" s="17" t="s">
        <v>3</v>
      </c>
      <c r="G69" s="17" t="s">
        <v>2</v>
      </c>
      <c r="H69" s="18">
        <f>[1]副本!G531</f>
        <v>12005.106</v>
      </c>
      <c r="I69" s="18">
        <f>H69-12005.106</f>
        <v>0</v>
      </c>
      <c r="J69" s="17"/>
      <c r="K69" s="15"/>
      <c r="L69" s="16">
        <f>H69-I69</f>
        <v>12005.106</v>
      </c>
      <c r="M69" s="15">
        <v>15000</v>
      </c>
      <c r="N69" s="14"/>
      <c r="O69" s="13"/>
      <c r="P69" s="12"/>
    </row>
    <row r="70" spans="1:16" s="11" customFormat="1" ht="24" customHeight="1" x14ac:dyDescent="0.15">
      <c r="A70" s="17">
        <v>20170101</v>
      </c>
      <c r="B70" s="19" t="s">
        <v>1</v>
      </c>
      <c r="C70" s="17" t="s">
        <v>0</v>
      </c>
      <c r="D70" s="17"/>
      <c r="E70" s="17"/>
      <c r="F70" s="17"/>
      <c r="G70" s="17"/>
      <c r="H70" s="18"/>
      <c r="I70" s="18"/>
      <c r="J70" s="17"/>
      <c r="K70" s="15"/>
      <c r="L70" s="16"/>
      <c r="M70" s="15">
        <v>15000</v>
      </c>
      <c r="N70" s="14"/>
      <c r="O70" s="13"/>
      <c r="P70" s="12"/>
    </row>
    <row r="76" spans="1:16" x14ac:dyDescent="0.15">
      <c r="L76" s="10"/>
    </row>
    <row r="228" spans="7:8" x14ac:dyDescent="0.15">
      <c r="G228" s="2"/>
      <c r="H228" s="2"/>
    </row>
  </sheetData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65" activePane="bottomRight" state="frozen"/>
      <selection activeCell="G5" sqref="G5"/>
      <selection pane="topRight" activeCell="G5" sqref="G5"/>
      <selection pane="bottomLeft" activeCell="G5" sqref="G5"/>
      <selection pane="bottomRight" activeCell="F21" sqref="F21:F22"/>
    </sheetView>
  </sheetViews>
  <sheetFormatPr defaultColWidth="8.875" defaultRowHeight="11.25" x14ac:dyDescent="0.15"/>
  <cols>
    <col min="1" max="1" width="8.875" style="41"/>
    <col min="2" max="2" width="5.875" style="43" customWidth="1"/>
    <col min="3" max="3" width="8.25" style="50" customWidth="1"/>
    <col min="4" max="4" width="4.625" style="49" customWidth="1"/>
    <col min="5" max="5" width="9.375" style="43" customWidth="1"/>
    <col min="6" max="6" width="25" style="43" customWidth="1"/>
    <col min="7" max="7" width="5.25" style="49" customWidth="1"/>
    <col min="8" max="8" width="10.125" style="48" customWidth="1"/>
    <col min="9" max="9" width="9.625" style="48" customWidth="1"/>
    <col min="10" max="10" width="8.25" style="42" hidden="1" customWidth="1"/>
    <col min="11" max="11" width="7" style="47" customWidth="1"/>
    <col min="12" max="12" width="8.375" style="46" customWidth="1"/>
    <col min="13" max="13" width="6" style="45" bestFit="1" customWidth="1"/>
    <col min="14" max="14" width="8.75" style="44" customWidth="1"/>
    <col min="15" max="15" width="8.25" style="44" customWidth="1"/>
    <col min="16" max="16" width="28.5" style="43" customWidth="1"/>
    <col min="17" max="17" width="8.875" style="42"/>
    <col min="18" max="16384" width="8.875" style="41"/>
  </cols>
  <sheetData>
    <row r="1" spans="1:17" s="52" customFormat="1" ht="22.5" x14ac:dyDescent="0.15">
      <c r="A1" s="54" t="s">
        <v>274</v>
      </c>
      <c r="B1" s="54" t="s">
        <v>172</v>
      </c>
      <c r="C1" s="55" t="s">
        <v>171</v>
      </c>
      <c r="D1" s="55" t="s">
        <v>170</v>
      </c>
      <c r="E1" s="55" t="s">
        <v>169</v>
      </c>
      <c r="F1" s="55" t="s">
        <v>210</v>
      </c>
      <c r="G1" s="56" t="s">
        <v>167</v>
      </c>
      <c r="H1" s="57" t="s">
        <v>166</v>
      </c>
      <c r="I1" s="58" t="s">
        <v>165</v>
      </c>
      <c r="J1" s="55"/>
      <c r="K1" s="60" t="s">
        <v>164</v>
      </c>
      <c r="L1" s="59" t="s">
        <v>163</v>
      </c>
      <c r="M1" s="60" t="s">
        <v>162</v>
      </c>
      <c r="N1" s="61" t="s">
        <v>161</v>
      </c>
      <c r="O1" s="61" t="s">
        <v>160</v>
      </c>
      <c r="P1" s="55" t="s">
        <v>159</v>
      </c>
    </row>
    <row r="2" spans="1:17" s="52" customFormat="1" ht="31.5" customHeight="1" x14ac:dyDescent="0.15">
      <c r="A2" s="63">
        <v>20170111</v>
      </c>
      <c r="B2" s="62" t="s">
        <v>158</v>
      </c>
      <c r="C2" s="74" t="s">
        <v>63</v>
      </c>
      <c r="D2" s="62"/>
      <c r="E2" s="63" t="s">
        <v>141</v>
      </c>
      <c r="F2" s="63" t="s">
        <v>144</v>
      </c>
      <c r="G2" s="64" t="s">
        <v>54</v>
      </c>
      <c r="H2" s="65"/>
      <c r="I2" s="65"/>
      <c r="J2" s="63"/>
      <c r="K2" s="67"/>
      <c r="L2" s="66"/>
      <c r="M2" s="67">
        <v>2000</v>
      </c>
      <c r="N2" s="68" t="s">
        <v>143</v>
      </c>
      <c r="O2" s="69" t="s">
        <v>124</v>
      </c>
      <c r="P2" s="64"/>
    </row>
    <row r="3" spans="1:17" s="52" customFormat="1" ht="31.5" customHeight="1" x14ac:dyDescent="0.15">
      <c r="A3" s="63">
        <v>20170111</v>
      </c>
      <c r="B3" s="62" t="s">
        <v>157</v>
      </c>
      <c r="C3" s="74" t="s">
        <v>63</v>
      </c>
      <c r="D3" s="62"/>
      <c r="E3" s="63" t="s">
        <v>156</v>
      </c>
      <c r="F3" s="63" t="s">
        <v>155</v>
      </c>
      <c r="G3" s="64" t="s">
        <v>54</v>
      </c>
      <c r="H3" s="65">
        <f>[10]副本!G5</f>
        <v>150.27599999999995</v>
      </c>
      <c r="I3" s="65">
        <f>H3-995.136+995.136</f>
        <v>150.27599999999995</v>
      </c>
      <c r="J3" s="63"/>
      <c r="K3" s="67"/>
      <c r="L3" s="66">
        <f>H3-I3</f>
        <v>0</v>
      </c>
      <c r="M3" s="67">
        <v>1500</v>
      </c>
      <c r="N3" s="68"/>
      <c r="O3" s="69"/>
      <c r="P3" s="64" t="s">
        <v>154</v>
      </c>
    </row>
    <row r="4" spans="1:17" s="52" customFormat="1" ht="31.5" customHeight="1" x14ac:dyDescent="0.15">
      <c r="A4" s="63">
        <v>20170111</v>
      </c>
      <c r="B4" s="62" t="s">
        <v>153</v>
      </c>
      <c r="C4" s="74" t="s">
        <v>63</v>
      </c>
      <c r="D4" s="62"/>
      <c r="E4" s="63" t="s">
        <v>56</v>
      </c>
      <c r="F4" s="63" t="s">
        <v>61</v>
      </c>
      <c r="G4" s="64" t="s">
        <v>54</v>
      </c>
      <c r="H4" s="65">
        <f>[10]副本!G7</f>
        <v>1865.2429999999958</v>
      </c>
      <c r="I4" s="65">
        <f>H4</f>
        <v>1865.2429999999958</v>
      </c>
      <c r="J4" s="63"/>
      <c r="K4" s="66"/>
      <c r="L4" s="66">
        <v>0</v>
      </c>
      <c r="M4" s="67">
        <v>2000</v>
      </c>
      <c r="N4" s="68" t="s">
        <v>152</v>
      </c>
      <c r="O4" s="69" t="s">
        <v>151</v>
      </c>
      <c r="P4" s="64" t="s">
        <v>150</v>
      </c>
    </row>
    <row r="5" spans="1:17" s="52" customFormat="1" ht="31.5" customHeight="1" x14ac:dyDescent="0.15">
      <c r="A5" s="63">
        <v>20170111</v>
      </c>
      <c r="B5" s="62" t="s">
        <v>149</v>
      </c>
      <c r="C5" s="74" t="s">
        <v>63</v>
      </c>
      <c r="D5" s="63"/>
      <c r="E5" s="63" t="s">
        <v>148</v>
      </c>
      <c r="F5" s="63" t="s">
        <v>140</v>
      </c>
      <c r="G5" s="64" t="s">
        <v>54</v>
      </c>
      <c r="H5" s="65"/>
      <c r="I5" s="65"/>
      <c r="J5" s="63"/>
      <c r="K5" s="67"/>
      <c r="L5" s="66"/>
      <c r="M5" s="67">
        <v>2000</v>
      </c>
      <c r="N5" s="68" t="s">
        <v>147</v>
      </c>
      <c r="O5" s="69" t="s">
        <v>124</v>
      </c>
      <c r="P5" s="64"/>
    </row>
    <row r="6" spans="1:17" s="52" customFormat="1" ht="31.5" customHeight="1" x14ac:dyDescent="0.15">
      <c r="A6" s="63">
        <v>20170111</v>
      </c>
      <c r="B6" s="62" t="s">
        <v>145</v>
      </c>
      <c r="C6" s="74" t="s">
        <v>63</v>
      </c>
      <c r="D6" s="63"/>
      <c r="E6" s="63" t="s">
        <v>141</v>
      </c>
      <c r="F6" s="63" t="s">
        <v>144</v>
      </c>
      <c r="G6" s="64" t="s">
        <v>54</v>
      </c>
      <c r="H6" s="65">
        <f>[10]副本!G11</f>
        <v>2041.2850000000003</v>
      </c>
      <c r="I6" s="65">
        <f>H6</f>
        <v>2041.2850000000003</v>
      </c>
      <c r="J6" s="63"/>
      <c r="K6" s="67"/>
      <c r="L6" s="66">
        <v>0</v>
      </c>
      <c r="M6" s="67">
        <v>3000</v>
      </c>
      <c r="N6" s="68" t="s">
        <v>143</v>
      </c>
      <c r="O6" s="69" t="s">
        <v>124</v>
      </c>
      <c r="P6" s="64" t="s">
        <v>267</v>
      </c>
      <c r="Q6" s="53"/>
    </row>
    <row r="7" spans="1:17" s="52" customFormat="1" ht="31.5" customHeight="1" x14ac:dyDescent="0.15">
      <c r="A7" s="63">
        <v>20170111</v>
      </c>
      <c r="B7" s="62" t="s">
        <v>142</v>
      </c>
      <c r="C7" s="74" t="s">
        <v>63</v>
      </c>
      <c r="D7" s="63"/>
      <c r="E7" s="63" t="s">
        <v>141</v>
      </c>
      <c r="F7" s="63" t="s">
        <v>140</v>
      </c>
      <c r="G7" s="63" t="s">
        <v>54</v>
      </c>
      <c r="H7" s="65">
        <f>[10]副本!G13</f>
        <v>2781.2449999999999</v>
      </c>
      <c r="I7" s="65">
        <f>H7</f>
        <v>2781.2449999999999</v>
      </c>
      <c r="J7" s="63"/>
      <c r="K7" s="67"/>
      <c r="L7" s="66">
        <v>0</v>
      </c>
      <c r="M7" s="67">
        <v>3000</v>
      </c>
      <c r="N7" s="68"/>
      <c r="O7" s="69"/>
      <c r="P7" s="64" t="s">
        <v>260</v>
      </c>
      <c r="Q7" s="53"/>
    </row>
    <row r="8" spans="1:17" s="52" customFormat="1" ht="31.5" customHeight="1" x14ac:dyDescent="0.15">
      <c r="A8" s="63">
        <v>20170111</v>
      </c>
      <c r="B8" s="62" t="s">
        <v>139</v>
      </c>
      <c r="C8" s="74" t="s">
        <v>63</v>
      </c>
      <c r="D8" s="63"/>
      <c r="E8" s="63"/>
      <c r="F8" s="63"/>
      <c r="G8" s="63"/>
      <c r="H8" s="65"/>
      <c r="I8" s="65"/>
      <c r="J8" s="63"/>
      <c r="K8" s="67"/>
      <c r="L8" s="66"/>
      <c r="M8" s="67">
        <v>3000</v>
      </c>
      <c r="N8" s="68"/>
      <c r="O8" s="69"/>
      <c r="P8" s="64"/>
    </row>
    <row r="9" spans="1:17" s="52" customFormat="1" ht="31.5" customHeight="1" x14ac:dyDescent="0.15">
      <c r="A9" s="63">
        <v>20170111</v>
      </c>
      <c r="B9" s="62" t="s">
        <v>138</v>
      </c>
      <c r="C9" s="74" t="s">
        <v>31</v>
      </c>
      <c r="D9" s="63"/>
      <c r="E9" s="63" t="s">
        <v>9</v>
      </c>
      <c r="F9" s="17" t="s">
        <v>104</v>
      </c>
      <c r="G9" s="63" t="s">
        <v>54</v>
      </c>
      <c r="H9" s="63">
        <f>[10]副本!G17</f>
        <v>1322.4749999999999</v>
      </c>
      <c r="I9" s="65">
        <f>H9</f>
        <v>1322.4749999999999</v>
      </c>
      <c r="J9" s="63"/>
      <c r="K9" s="67">
        <v>70</v>
      </c>
      <c r="L9" s="66">
        <f>H9-I9</f>
        <v>0</v>
      </c>
      <c r="M9" s="67">
        <v>5000</v>
      </c>
      <c r="N9" s="68" t="s">
        <v>137</v>
      </c>
      <c r="O9" s="69" t="s">
        <v>136</v>
      </c>
      <c r="P9" s="64" t="s">
        <v>101</v>
      </c>
    </row>
    <row r="10" spans="1:17" s="52" customFormat="1" ht="31.5" customHeight="1" x14ac:dyDescent="0.15">
      <c r="A10" s="63">
        <v>20170111</v>
      </c>
      <c r="B10" s="62" t="s">
        <v>135</v>
      </c>
      <c r="C10" s="63" t="s">
        <v>63</v>
      </c>
      <c r="D10" s="63"/>
      <c r="E10" s="63" t="s">
        <v>92</v>
      </c>
      <c r="F10" s="17" t="s">
        <v>232</v>
      </c>
      <c r="G10" s="63" t="s">
        <v>54</v>
      </c>
      <c r="H10" s="65">
        <f>[10]副本!G19</f>
        <v>1.5219999999999345</v>
      </c>
      <c r="I10" s="65">
        <f>H10</f>
        <v>1.5219999999999345</v>
      </c>
      <c r="J10" s="63"/>
      <c r="K10" s="67"/>
      <c r="L10" s="66">
        <f>H10-I10</f>
        <v>0</v>
      </c>
      <c r="M10" s="67">
        <v>1500</v>
      </c>
      <c r="N10" s="68"/>
      <c r="O10" s="69"/>
      <c r="P10" s="64" t="s">
        <v>229</v>
      </c>
    </row>
    <row r="11" spans="1:17" s="52" customFormat="1" ht="31.5" customHeight="1" x14ac:dyDescent="0.15">
      <c r="A11" s="63">
        <v>20170111</v>
      </c>
      <c r="B11" s="62" t="s">
        <v>135</v>
      </c>
      <c r="C11" s="63" t="s">
        <v>63</v>
      </c>
      <c r="D11" s="63"/>
      <c r="E11" s="63" t="s">
        <v>92</v>
      </c>
      <c r="F11" s="17" t="s">
        <v>261</v>
      </c>
      <c r="G11" s="63" t="s">
        <v>54</v>
      </c>
      <c r="H11" s="65">
        <f>[10]副本!G20</f>
        <v>181.78</v>
      </c>
      <c r="I11" s="65">
        <f>H11</f>
        <v>181.78</v>
      </c>
      <c r="J11" s="63"/>
      <c r="K11" s="67"/>
      <c r="L11" s="66">
        <f>H11-I11</f>
        <v>0</v>
      </c>
      <c r="M11" s="67">
        <v>1500</v>
      </c>
      <c r="N11" s="68"/>
      <c r="O11" s="69"/>
      <c r="P11" s="64" t="s">
        <v>253</v>
      </c>
    </row>
    <row r="12" spans="1:17" s="52" customFormat="1" ht="31.5" customHeight="1" x14ac:dyDescent="0.15">
      <c r="A12" s="63">
        <v>20170111</v>
      </c>
      <c r="B12" s="62" t="s">
        <v>135</v>
      </c>
      <c r="C12" s="63" t="s">
        <v>63</v>
      </c>
      <c r="D12" s="63"/>
      <c r="E12" s="63" t="s">
        <v>92</v>
      </c>
      <c r="F12" s="17" t="s">
        <v>91</v>
      </c>
      <c r="G12" s="63" t="s">
        <v>54</v>
      </c>
      <c r="H12" s="65">
        <f>[10]副本!G21</f>
        <v>1000</v>
      </c>
      <c r="I12" s="65">
        <f>H12</f>
        <v>1000</v>
      </c>
      <c r="J12" s="63"/>
      <c r="K12" s="67"/>
      <c r="L12" s="66">
        <f>H12-I12</f>
        <v>0</v>
      </c>
      <c r="M12" s="67">
        <v>1500</v>
      </c>
      <c r="N12" s="68"/>
      <c r="O12" s="69"/>
      <c r="P12" s="64" t="s">
        <v>253</v>
      </c>
    </row>
    <row r="13" spans="1:17" s="52" customFormat="1" ht="31.5" customHeight="1" x14ac:dyDescent="0.15">
      <c r="A13" s="63">
        <v>20170111</v>
      </c>
      <c r="B13" s="62" t="s">
        <v>134</v>
      </c>
      <c r="C13" s="63" t="s">
        <v>63</v>
      </c>
      <c r="D13" s="63"/>
      <c r="E13" s="63" t="s">
        <v>116</v>
      </c>
      <c r="F13" s="17" t="s">
        <v>256</v>
      </c>
      <c r="G13" s="63" t="s">
        <v>54</v>
      </c>
      <c r="H13" s="65">
        <f>[10]副本!G23</f>
        <v>1502.1479999999999</v>
      </c>
      <c r="I13" s="65">
        <f>H13</f>
        <v>1502.1479999999999</v>
      </c>
      <c r="J13" s="63"/>
      <c r="K13" s="67"/>
      <c r="L13" s="66">
        <f>H13-I13</f>
        <v>0</v>
      </c>
      <c r="M13" s="67">
        <v>1500</v>
      </c>
      <c r="N13" s="68"/>
      <c r="O13" s="69"/>
      <c r="P13" s="64"/>
    </row>
    <row r="14" spans="1:17" s="52" customFormat="1" ht="31.5" customHeight="1" x14ac:dyDescent="0.15">
      <c r="A14" s="63">
        <v>20170111</v>
      </c>
      <c r="B14" s="62" t="s">
        <v>133</v>
      </c>
      <c r="C14" s="74" t="s">
        <v>28</v>
      </c>
      <c r="D14" s="63"/>
      <c r="E14" s="63"/>
      <c r="F14" s="63"/>
      <c r="G14" s="63"/>
      <c r="H14" s="65"/>
      <c r="I14" s="65"/>
      <c r="J14" s="63"/>
      <c r="K14" s="67"/>
      <c r="L14" s="66"/>
      <c r="M14" s="67">
        <v>1500</v>
      </c>
      <c r="N14" s="68"/>
      <c r="O14" s="69"/>
      <c r="P14" s="64"/>
      <c r="Q14" s="53"/>
    </row>
    <row r="15" spans="1:17" s="52" customFormat="1" ht="31.5" customHeight="1" x14ac:dyDescent="0.15">
      <c r="A15" s="63">
        <v>20170111</v>
      </c>
      <c r="B15" s="62" t="s">
        <v>132</v>
      </c>
      <c r="C15" s="74" t="s">
        <v>28</v>
      </c>
      <c r="D15" s="63"/>
      <c r="E15" s="63"/>
      <c r="F15" s="63"/>
      <c r="G15" s="63"/>
      <c r="H15" s="65"/>
      <c r="I15" s="65"/>
      <c r="J15" s="63"/>
      <c r="K15" s="66"/>
      <c r="L15" s="66"/>
      <c r="M15" s="67">
        <v>1500</v>
      </c>
      <c r="N15" s="68"/>
      <c r="O15" s="69"/>
      <c r="P15" s="64"/>
    </row>
    <row r="16" spans="1:17" s="52" customFormat="1" ht="31.5" customHeight="1" x14ac:dyDescent="0.15">
      <c r="A16" s="63">
        <v>20170111</v>
      </c>
      <c r="B16" s="62" t="s">
        <v>131</v>
      </c>
      <c r="C16" s="74" t="s">
        <v>63</v>
      </c>
      <c r="D16" s="63"/>
      <c r="E16" s="63" t="s">
        <v>92</v>
      </c>
      <c r="F16" s="17" t="s">
        <v>232</v>
      </c>
      <c r="G16" s="63" t="s">
        <v>54</v>
      </c>
      <c r="H16" s="65">
        <f>[10]副本!G29</f>
        <v>1140.9569999999999</v>
      </c>
      <c r="I16" s="65">
        <f>H16</f>
        <v>1140.9569999999999</v>
      </c>
      <c r="J16" s="63"/>
      <c r="K16" s="67">
        <v>50</v>
      </c>
      <c r="L16" s="66"/>
      <c r="M16" s="67">
        <v>1500</v>
      </c>
      <c r="N16" s="68"/>
      <c r="O16" s="69"/>
      <c r="P16" s="64" t="s">
        <v>228</v>
      </c>
    </row>
    <row r="17" spans="1:17" s="52" customFormat="1" ht="31.5" customHeight="1" x14ac:dyDescent="0.15">
      <c r="A17" s="63">
        <v>20170111</v>
      </c>
      <c r="B17" s="62" t="s">
        <v>129</v>
      </c>
      <c r="C17" s="74" t="s">
        <v>121</v>
      </c>
      <c r="D17" s="63"/>
      <c r="E17" s="63" t="s">
        <v>12</v>
      </c>
      <c r="F17" s="17" t="s">
        <v>11</v>
      </c>
      <c r="G17" s="63" t="s">
        <v>2</v>
      </c>
      <c r="H17" s="65">
        <f>[10]副本!G31-H18</f>
        <v>10486.247000000018</v>
      </c>
      <c r="I17" s="65">
        <f>H17</f>
        <v>10486.247000000018</v>
      </c>
      <c r="J17" s="63"/>
      <c r="K17" s="67"/>
      <c r="L17" s="66">
        <f>H17-I17</f>
        <v>0</v>
      </c>
      <c r="M17" s="67">
        <v>21000</v>
      </c>
      <c r="N17" s="68" t="s">
        <v>120</v>
      </c>
      <c r="O17" s="69" t="s">
        <v>124</v>
      </c>
      <c r="P17" s="64" t="s">
        <v>130</v>
      </c>
    </row>
    <row r="18" spans="1:17" s="52" customFormat="1" ht="31.5" customHeight="1" x14ac:dyDescent="0.15">
      <c r="A18" s="63">
        <v>20170111</v>
      </c>
      <c r="B18" s="62" t="s">
        <v>129</v>
      </c>
      <c r="C18" s="74" t="s">
        <v>121</v>
      </c>
      <c r="D18" s="63"/>
      <c r="E18" s="63" t="s">
        <v>12</v>
      </c>
      <c r="F18" s="17" t="s">
        <v>11</v>
      </c>
      <c r="G18" s="63" t="s">
        <v>2</v>
      </c>
      <c r="H18" s="65">
        <f>[10]副本!G33</f>
        <v>6995.7529999999824</v>
      </c>
      <c r="I18" s="65">
        <f>H18</f>
        <v>6995.7529999999824</v>
      </c>
      <c r="J18" s="63"/>
      <c r="K18" s="67"/>
      <c r="L18" s="66">
        <f>H18-I18</f>
        <v>0</v>
      </c>
      <c r="M18" s="67">
        <v>21000</v>
      </c>
      <c r="N18" s="68" t="s">
        <v>120</v>
      </c>
      <c r="O18" s="69" t="s">
        <v>119</v>
      </c>
      <c r="P18" s="64" t="s">
        <v>244</v>
      </c>
    </row>
    <row r="19" spans="1:17" s="52" customFormat="1" ht="31.5" customHeight="1" x14ac:dyDescent="0.15">
      <c r="A19" s="63">
        <v>20170111</v>
      </c>
      <c r="B19" s="62" t="s">
        <v>127</v>
      </c>
      <c r="C19" s="74" t="s">
        <v>63</v>
      </c>
      <c r="D19" s="63"/>
      <c r="E19" s="63"/>
      <c r="F19" s="63"/>
      <c r="G19" s="63"/>
      <c r="H19" s="65"/>
      <c r="I19" s="65"/>
      <c r="J19" s="63"/>
      <c r="K19" s="67"/>
      <c r="L19" s="66"/>
      <c r="M19" s="67">
        <v>5000</v>
      </c>
      <c r="N19" s="68"/>
      <c r="O19" s="69"/>
      <c r="P19" s="64"/>
    </row>
    <row r="20" spans="1:17" s="52" customFormat="1" ht="31.5" customHeight="1" x14ac:dyDescent="0.15">
      <c r="A20" s="63">
        <v>20170111</v>
      </c>
      <c r="B20" s="62" t="s">
        <v>126</v>
      </c>
      <c r="C20" s="74" t="s">
        <v>63</v>
      </c>
      <c r="D20" s="63"/>
      <c r="E20" s="63"/>
      <c r="F20" s="63"/>
      <c r="G20" s="63"/>
      <c r="H20" s="65"/>
      <c r="I20" s="65"/>
      <c r="J20" s="63"/>
      <c r="K20" s="67"/>
      <c r="L20" s="66"/>
      <c r="M20" s="67">
        <v>3000</v>
      </c>
      <c r="N20" s="68"/>
      <c r="O20" s="69"/>
      <c r="P20" s="64"/>
    </row>
    <row r="21" spans="1:17" s="52" customFormat="1" ht="31.5" customHeight="1" x14ac:dyDescent="0.15">
      <c r="A21" s="63">
        <v>20170111</v>
      </c>
      <c r="B21" s="62" t="s">
        <v>122</v>
      </c>
      <c r="C21" s="74" t="s">
        <v>121</v>
      </c>
      <c r="D21" s="63"/>
      <c r="E21" s="63" t="s">
        <v>12</v>
      </c>
      <c r="F21" s="17" t="s">
        <v>11</v>
      </c>
      <c r="G21" s="63" t="s">
        <v>2</v>
      </c>
      <c r="H21" s="65">
        <f>[10]副本!G39-'20170111'!H22</f>
        <v>7379.5374280000369</v>
      </c>
      <c r="I21" s="65">
        <f>H21</f>
        <v>7379.5374280000369</v>
      </c>
      <c r="J21" s="63"/>
      <c r="K21" s="67"/>
      <c r="L21" s="66">
        <f>H21-I21</f>
        <v>0</v>
      </c>
      <c r="M21" s="67">
        <v>21000</v>
      </c>
      <c r="N21" s="68" t="s">
        <v>125</v>
      </c>
      <c r="O21" s="69" t="s">
        <v>124</v>
      </c>
      <c r="P21" s="64" t="s">
        <v>123</v>
      </c>
    </row>
    <row r="22" spans="1:17" s="52" customFormat="1" ht="31.5" customHeight="1" x14ac:dyDescent="0.15">
      <c r="A22" s="63">
        <v>20170111</v>
      </c>
      <c r="B22" s="62" t="s">
        <v>122</v>
      </c>
      <c r="C22" s="74" t="s">
        <v>121</v>
      </c>
      <c r="D22" s="63"/>
      <c r="E22" s="63" t="s">
        <v>12</v>
      </c>
      <c r="F22" s="17" t="s">
        <v>11</v>
      </c>
      <c r="G22" s="63" t="s">
        <v>2</v>
      </c>
      <c r="H22" s="65">
        <f>[10]副本!G41</f>
        <v>3384.4625719999631</v>
      </c>
      <c r="I22" s="65">
        <f>H22</f>
        <v>3384.4625719999631</v>
      </c>
      <c r="J22" s="63"/>
      <c r="K22" s="75"/>
      <c r="L22" s="66">
        <f>H22-I22</f>
        <v>0</v>
      </c>
      <c r="M22" s="67">
        <v>21000</v>
      </c>
      <c r="N22" s="68" t="s">
        <v>120</v>
      </c>
      <c r="O22" s="69" t="s">
        <v>119</v>
      </c>
      <c r="P22" s="64" t="s">
        <v>243</v>
      </c>
    </row>
    <row r="23" spans="1:17" s="52" customFormat="1" ht="31.5" customHeight="1" x14ac:dyDescent="0.15">
      <c r="A23" s="63">
        <v>20170111</v>
      </c>
      <c r="B23" s="62" t="s">
        <v>117</v>
      </c>
      <c r="C23" s="74" t="s">
        <v>63</v>
      </c>
      <c r="D23" s="63"/>
      <c r="E23" s="63" t="s">
        <v>116</v>
      </c>
      <c r="F23" s="17" t="s">
        <v>115</v>
      </c>
      <c r="G23" s="63" t="s">
        <v>2</v>
      </c>
      <c r="H23" s="65">
        <f>[10]副本!G43</f>
        <v>2013.2029999999995</v>
      </c>
      <c r="I23" s="65">
        <f>H23</f>
        <v>2013.2029999999995</v>
      </c>
      <c r="J23" s="63"/>
      <c r="K23" s="67">
        <v>200</v>
      </c>
      <c r="L23" s="66">
        <f>H23-I23</f>
        <v>0</v>
      </c>
      <c r="M23" s="67">
        <v>5000</v>
      </c>
      <c r="N23" s="68"/>
      <c r="O23" s="69"/>
      <c r="P23" s="64" t="s">
        <v>114</v>
      </c>
    </row>
    <row r="24" spans="1:17" s="52" customFormat="1" ht="31.5" customHeight="1" x14ac:dyDescent="0.15">
      <c r="A24" s="63">
        <v>20170111</v>
      </c>
      <c r="B24" s="62" t="s">
        <v>113</v>
      </c>
      <c r="C24" s="74" t="s">
        <v>0</v>
      </c>
      <c r="D24" s="63"/>
      <c r="E24" s="64"/>
      <c r="F24" s="63"/>
      <c r="G24" s="63"/>
      <c r="H24" s="65"/>
      <c r="I24" s="65"/>
      <c r="J24" s="63"/>
      <c r="K24" s="67"/>
      <c r="L24" s="66"/>
      <c r="M24" s="67">
        <v>5000</v>
      </c>
      <c r="N24" s="68"/>
      <c r="O24" s="69"/>
      <c r="P24" s="70"/>
    </row>
    <row r="25" spans="1:17" s="52" customFormat="1" ht="31.5" customHeight="1" x14ac:dyDescent="0.15">
      <c r="A25" s="63">
        <v>20170111</v>
      </c>
      <c r="B25" s="62" t="s">
        <v>110</v>
      </c>
      <c r="C25" s="74" t="s">
        <v>63</v>
      </c>
      <c r="D25" s="63"/>
      <c r="E25" s="63"/>
      <c r="F25" s="63"/>
      <c r="G25" s="63"/>
      <c r="H25" s="65"/>
      <c r="I25" s="65"/>
      <c r="J25" s="63"/>
      <c r="K25" s="67"/>
      <c r="L25" s="66"/>
      <c r="M25" s="67">
        <v>5000</v>
      </c>
      <c r="N25" s="68"/>
      <c r="O25" s="69"/>
      <c r="P25" s="64"/>
    </row>
    <row r="26" spans="1:17" s="52" customFormat="1" ht="31.5" customHeight="1" x14ac:dyDescent="0.15">
      <c r="A26" s="63">
        <v>20170111</v>
      </c>
      <c r="B26" s="62" t="s">
        <v>109</v>
      </c>
      <c r="C26" s="74" t="s">
        <v>63</v>
      </c>
      <c r="D26" s="63"/>
      <c r="E26" s="63" t="s">
        <v>108</v>
      </c>
      <c r="F26" s="17" t="s">
        <v>248</v>
      </c>
      <c r="G26" s="63" t="s">
        <v>2</v>
      </c>
      <c r="H26" s="65">
        <f>[10]副本!G49</f>
        <v>80.561000000042895</v>
      </c>
      <c r="I26" s="65">
        <f>H26</f>
        <v>80.561000000042895</v>
      </c>
      <c r="J26" s="63"/>
      <c r="K26" s="67">
        <v>80</v>
      </c>
      <c r="L26" s="66">
        <f>H26-I26</f>
        <v>0</v>
      </c>
      <c r="M26" s="67">
        <v>4000</v>
      </c>
      <c r="N26" s="68" t="s">
        <v>47</v>
      </c>
      <c r="O26" s="69" t="s">
        <v>46</v>
      </c>
      <c r="P26" s="64"/>
    </row>
    <row r="27" spans="1:17" s="52" customFormat="1" ht="31.5" customHeight="1" x14ac:dyDescent="0.15">
      <c r="A27" s="63">
        <v>20170111</v>
      </c>
      <c r="B27" s="62" t="s">
        <v>106</v>
      </c>
      <c r="C27" s="74" t="s">
        <v>105</v>
      </c>
      <c r="D27" s="63"/>
      <c r="E27" s="63" t="s">
        <v>9</v>
      </c>
      <c r="F27" s="17" t="s">
        <v>104</v>
      </c>
      <c r="G27" s="63" t="s">
        <v>2</v>
      </c>
      <c r="H27" s="65">
        <f>[10]副本!G51</f>
        <v>272.52499999999998</v>
      </c>
      <c r="I27" s="65">
        <f>H27</f>
        <v>272.52499999999998</v>
      </c>
      <c r="J27" s="63"/>
      <c r="K27" s="67"/>
      <c r="L27" s="66">
        <f>H27-I27</f>
        <v>0</v>
      </c>
      <c r="M27" s="67">
        <v>5000</v>
      </c>
      <c r="N27" s="68" t="s">
        <v>103</v>
      </c>
      <c r="O27" s="69" t="s">
        <v>102</v>
      </c>
      <c r="P27" s="64" t="s">
        <v>101</v>
      </c>
    </row>
    <row r="28" spans="1:17" s="52" customFormat="1" ht="31.5" customHeight="1" x14ac:dyDescent="0.15">
      <c r="A28" s="63">
        <v>20170111</v>
      </c>
      <c r="B28" s="62" t="s">
        <v>100</v>
      </c>
      <c r="C28" s="74" t="s">
        <v>96</v>
      </c>
      <c r="D28" s="63"/>
      <c r="E28" s="63"/>
      <c r="F28" s="63"/>
      <c r="G28" s="63"/>
      <c r="H28" s="65"/>
      <c r="I28" s="65"/>
      <c r="J28" s="63"/>
      <c r="K28" s="67"/>
      <c r="L28" s="66"/>
      <c r="M28" s="67">
        <v>2000</v>
      </c>
      <c r="N28" s="68"/>
      <c r="O28" s="69"/>
      <c r="P28" s="64"/>
    </row>
    <row r="29" spans="1:17" s="52" customFormat="1" ht="31.5" customHeight="1" x14ac:dyDescent="0.15">
      <c r="A29" s="63">
        <v>20170111</v>
      </c>
      <c r="B29" s="62" t="s">
        <v>99</v>
      </c>
      <c r="C29" s="74" t="s">
        <v>96</v>
      </c>
      <c r="D29" s="63"/>
      <c r="E29" s="63" t="s">
        <v>67</v>
      </c>
      <c r="F29" s="17" t="s">
        <v>39</v>
      </c>
      <c r="G29" s="63" t="s">
        <v>2</v>
      </c>
      <c r="H29" s="65">
        <f>[10]副本!G55</f>
        <v>223.97599999999989</v>
      </c>
      <c r="I29" s="65">
        <f>H29</f>
        <v>223.97599999999989</v>
      </c>
      <c r="J29" s="63"/>
      <c r="K29" s="67"/>
      <c r="L29" s="66">
        <f>H29-I29</f>
        <v>0</v>
      </c>
      <c r="M29" s="67">
        <v>1500</v>
      </c>
      <c r="N29" s="68"/>
      <c r="O29" s="69"/>
      <c r="P29" s="64" t="s">
        <v>240</v>
      </c>
    </row>
    <row r="30" spans="1:17" s="52" customFormat="1" ht="31.5" customHeight="1" x14ac:dyDescent="0.15">
      <c r="A30" s="63">
        <v>20170111</v>
      </c>
      <c r="B30" s="62" t="s">
        <v>98</v>
      </c>
      <c r="C30" s="74" t="s">
        <v>96</v>
      </c>
      <c r="D30" s="63"/>
      <c r="E30" s="63"/>
      <c r="F30" s="63"/>
      <c r="G30" s="63"/>
      <c r="H30" s="65"/>
      <c r="I30" s="65"/>
      <c r="J30" s="63"/>
      <c r="K30" s="67"/>
      <c r="L30" s="66">
        <f>H30-I30</f>
        <v>0</v>
      </c>
      <c r="M30" s="67">
        <v>1500</v>
      </c>
      <c r="N30" s="68"/>
      <c r="O30" s="69"/>
      <c r="P30" s="64"/>
      <c r="Q30" s="53"/>
    </row>
    <row r="31" spans="1:17" s="52" customFormat="1" ht="31.5" customHeight="1" x14ac:dyDescent="0.15">
      <c r="A31" s="63">
        <v>20170111</v>
      </c>
      <c r="B31" s="62" t="s">
        <v>97</v>
      </c>
      <c r="C31" s="74" t="s">
        <v>96</v>
      </c>
      <c r="D31" s="63"/>
      <c r="E31" s="63" t="s">
        <v>67</v>
      </c>
      <c r="F31" s="17" t="s">
        <v>39</v>
      </c>
      <c r="G31" s="63" t="s">
        <v>2</v>
      </c>
      <c r="H31" s="65">
        <f>[10]副本!G59</f>
        <v>1098.2449999999999</v>
      </c>
      <c r="I31" s="65">
        <f>H31</f>
        <v>1098.2449999999999</v>
      </c>
      <c r="J31" s="63"/>
      <c r="K31" s="67"/>
      <c r="L31" s="66">
        <f>H31-I31</f>
        <v>0</v>
      </c>
      <c r="M31" s="67">
        <v>1500</v>
      </c>
      <c r="N31" s="68"/>
      <c r="O31" s="69"/>
      <c r="P31" s="64" t="s">
        <v>240</v>
      </c>
    </row>
    <row r="32" spans="1:17" s="52" customFormat="1" ht="31.5" customHeight="1" x14ac:dyDescent="0.15">
      <c r="A32" s="63">
        <v>20170111</v>
      </c>
      <c r="B32" s="62" t="s">
        <v>95</v>
      </c>
      <c r="C32" s="74" t="s">
        <v>63</v>
      </c>
      <c r="D32" s="63"/>
      <c r="E32" s="63"/>
      <c r="F32" s="63"/>
      <c r="G32" s="63"/>
      <c r="H32" s="65"/>
      <c r="I32" s="65"/>
      <c r="J32" s="63"/>
      <c r="K32" s="67"/>
      <c r="L32" s="66"/>
      <c r="M32" s="67">
        <v>1500</v>
      </c>
      <c r="N32" s="68"/>
      <c r="O32" s="69"/>
      <c r="P32" s="64"/>
    </row>
    <row r="33" spans="1:16" s="52" customFormat="1" ht="31.5" customHeight="1" x14ac:dyDescent="0.15">
      <c r="A33" s="63">
        <v>20170111</v>
      </c>
      <c r="B33" s="62" t="s">
        <v>93</v>
      </c>
      <c r="C33" s="74" t="s">
        <v>57</v>
      </c>
      <c r="D33" s="63"/>
      <c r="E33" s="63" t="s">
        <v>92</v>
      </c>
      <c r="F33" s="17" t="s">
        <v>91</v>
      </c>
      <c r="G33" s="63"/>
      <c r="H33" s="63">
        <f>[10]副本!G63</f>
        <v>616.15600000000018</v>
      </c>
      <c r="I33" s="65">
        <f>H33-1035.099+1035.099-500.357</f>
        <v>115.79900000000015</v>
      </c>
      <c r="J33" s="63"/>
      <c r="K33" s="67">
        <v>20</v>
      </c>
      <c r="L33" s="66">
        <f>H33-I33</f>
        <v>500.35700000000003</v>
      </c>
      <c r="M33" s="67">
        <v>2000</v>
      </c>
      <c r="N33" s="68"/>
      <c r="O33" s="69"/>
      <c r="P33" s="64" t="s">
        <v>259</v>
      </c>
    </row>
    <row r="34" spans="1:16" s="52" customFormat="1" ht="31.5" customHeight="1" x14ac:dyDescent="0.15">
      <c r="A34" s="63">
        <v>20170111</v>
      </c>
      <c r="B34" s="62" t="s">
        <v>89</v>
      </c>
      <c r="C34" s="74" t="s">
        <v>63</v>
      </c>
      <c r="D34" s="63" t="s">
        <v>88</v>
      </c>
      <c r="E34" s="63" t="s">
        <v>87</v>
      </c>
      <c r="F34" s="17" t="s">
        <v>216</v>
      </c>
      <c r="G34" s="63" t="s">
        <v>54</v>
      </c>
      <c r="H34" s="65">
        <f>[10]副本!G65</f>
        <v>725.54299999999989</v>
      </c>
      <c r="I34" s="65">
        <f>H34-1037.023+500+537.023</f>
        <v>725.54300000000001</v>
      </c>
      <c r="J34" s="63"/>
      <c r="K34" s="67">
        <v>70</v>
      </c>
      <c r="L34" s="66">
        <f>H34-I34</f>
        <v>0</v>
      </c>
      <c r="M34" s="67">
        <v>3000</v>
      </c>
      <c r="N34" s="68"/>
      <c r="O34" s="69"/>
      <c r="P34" s="71" t="s">
        <v>222</v>
      </c>
    </row>
    <row r="35" spans="1:16" s="52" customFormat="1" ht="31.5" customHeight="1" x14ac:dyDescent="0.15">
      <c r="A35" s="63">
        <v>20170111</v>
      </c>
      <c r="B35" s="62" t="s">
        <v>85</v>
      </c>
      <c r="C35" s="74" t="s">
        <v>63</v>
      </c>
      <c r="D35" s="63" t="s">
        <v>5</v>
      </c>
      <c r="E35" s="63" t="s">
        <v>84</v>
      </c>
      <c r="F35" s="17" t="s">
        <v>81</v>
      </c>
      <c r="G35" s="63" t="s">
        <v>54</v>
      </c>
      <c r="H35" s="65"/>
      <c r="I35" s="65"/>
      <c r="J35" s="63"/>
      <c r="K35" s="67"/>
      <c r="L35" s="66"/>
      <c r="M35" s="67">
        <v>4000</v>
      </c>
      <c r="N35" s="68"/>
      <c r="O35" s="69"/>
      <c r="P35" s="64"/>
    </row>
    <row r="36" spans="1:16" s="52" customFormat="1" ht="31.5" customHeight="1" x14ac:dyDescent="0.15">
      <c r="A36" s="63">
        <v>20170111</v>
      </c>
      <c r="B36" s="62" t="s">
        <v>82</v>
      </c>
      <c r="C36" s="74" t="s">
        <v>0</v>
      </c>
      <c r="D36" s="63"/>
      <c r="E36" s="63"/>
      <c r="F36" s="63"/>
      <c r="G36" s="63"/>
      <c r="H36" s="65"/>
      <c r="I36" s="65"/>
      <c r="J36" s="63"/>
      <c r="K36" s="67"/>
      <c r="L36" s="66"/>
      <c r="M36" s="67">
        <v>5000</v>
      </c>
      <c r="N36" s="68"/>
      <c r="O36" s="69"/>
      <c r="P36" s="64"/>
    </row>
    <row r="37" spans="1:16" s="52" customFormat="1" ht="31.5" customHeight="1" x14ac:dyDescent="0.15">
      <c r="A37" s="63">
        <v>20170111</v>
      </c>
      <c r="B37" s="62" t="s">
        <v>273</v>
      </c>
      <c r="C37" s="74" t="s">
        <v>57</v>
      </c>
      <c r="D37" s="63" t="s">
        <v>5</v>
      </c>
      <c r="E37" s="63" t="s">
        <v>78</v>
      </c>
      <c r="F37" s="17" t="s">
        <v>81</v>
      </c>
      <c r="G37" s="63" t="s">
        <v>2</v>
      </c>
      <c r="H37" s="65">
        <f>[10]副本!G71</f>
        <v>1042.8200000000525</v>
      </c>
      <c r="I37" s="65">
        <f>H37-955.747+477.874+477.873-1042.865-2628.137+500+542.865+2102.57+525.567-499.112-3147.566+2100+525+525+496.678-2617.899+1574.891</f>
        <v>-0.18799999994735117</v>
      </c>
      <c r="J37" s="63"/>
      <c r="K37" s="67"/>
      <c r="L37" s="66">
        <f>H37-I37</f>
        <v>1043.0079999999998</v>
      </c>
      <c r="M37" s="67">
        <v>5000</v>
      </c>
      <c r="N37" s="68"/>
      <c r="O37" s="69"/>
      <c r="P37" s="64" t="s">
        <v>241</v>
      </c>
    </row>
    <row r="38" spans="1:16" s="52" customFormat="1" ht="31.5" customHeight="1" x14ac:dyDescent="0.15">
      <c r="A38" s="63">
        <v>20170111</v>
      </c>
      <c r="B38" s="62" t="s">
        <v>273</v>
      </c>
      <c r="C38" s="74" t="s">
        <v>57</v>
      </c>
      <c r="D38" s="63" t="s">
        <v>5</v>
      </c>
      <c r="E38" s="63" t="s">
        <v>78</v>
      </c>
      <c r="F38" s="17" t="s">
        <v>77</v>
      </c>
      <c r="G38" s="63" t="s">
        <v>2</v>
      </c>
      <c r="H38" s="65">
        <f>[10]副本!G72</f>
        <v>2.6340000000004693</v>
      </c>
      <c r="I38" s="65">
        <f>H38</f>
        <v>2.6340000000004693</v>
      </c>
      <c r="J38" s="63"/>
      <c r="K38" s="67"/>
      <c r="L38" s="66">
        <f>H38-I38</f>
        <v>0</v>
      </c>
      <c r="M38" s="67">
        <v>5000</v>
      </c>
      <c r="N38" s="68"/>
      <c r="O38" s="69"/>
      <c r="P38" s="64" t="s">
        <v>76</v>
      </c>
    </row>
    <row r="39" spans="1:16" s="52" customFormat="1" ht="31.5" customHeight="1" x14ac:dyDescent="0.15">
      <c r="A39" s="63">
        <v>20170111</v>
      </c>
      <c r="B39" s="62" t="s">
        <v>74</v>
      </c>
      <c r="C39" s="74" t="s">
        <v>28</v>
      </c>
      <c r="D39" s="63"/>
      <c r="E39" s="63" t="s">
        <v>67</v>
      </c>
      <c r="F39" s="17" t="s">
        <v>39</v>
      </c>
      <c r="G39" s="63" t="s">
        <v>2</v>
      </c>
      <c r="H39" s="65">
        <f>[10]副本!G74</f>
        <v>1001.9439999999975</v>
      </c>
      <c r="I39" s="65">
        <f>H39</f>
        <v>1001.9439999999975</v>
      </c>
      <c r="J39" s="63"/>
      <c r="K39" s="67"/>
      <c r="L39" s="66">
        <f>H39-I39</f>
        <v>0</v>
      </c>
      <c r="M39" s="67">
        <v>4000</v>
      </c>
      <c r="N39" s="68"/>
      <c r="O39" s="69"/>
      <c r="P39" s="64" t="s">
        <v>75</v>
      </c>
    </row>
    <row r="40" spans="1:16" s="52" customFormat="1" ht="31.5" customHeight="1" x14ac:dyDescent="0.15">
      <c r="A40" s="63">
        <v>20170111</v>
      </c>
      <c r="B40" s="62" t="s">
        <v>74</v>
      </c>
      <c r="C40" s="74" t="s">
        <v>28</v>
      </c>
      <c r="D40" s="63"/>
      <c r="E40" s="63" t="s">
        <v>67</v>
      </c>
      <c r="F40" s="17" t="s">
        <v>71</v>
      </c>
      <c r="G40" s="63" t="s">
        <v>2</v>
      </c>
      <c r="H40" s="65">
        <f>[10]副本!G75</f>
        <v>72.863000000000056</v>
      </c>
      <c r="I40" s="65">
        <f>H40</f>
        <v>72.863000000000056</v>
      </c>
      <c r="J40" s="63"/>
      <c r="K40" s="67"/>
      <c r="L40" s="66"/>
      <c r="M40" s="67">
        <v>4000</v>
      </c>
      <c r="N40" s="68"/>
      <c r="O40" s="69"/>
      <c r="P40" s="64" t="s">
        <v>240</v>
      </c>
    </row>
    <row r="41" spans="1:16" s="52" customFormat="1" ht="31.5" customHeight="1" x14ac:dyDescent="0.15">
      <c r="A41" s="63">
        <v>20170111</v>
      </c>
      <c r="B41" s="62" t="s">
        <v>73</v>
      </c>
      <c r="C41" s="74" t="s">
        <v>28</v>
      </c>
      <c r="D41" s="63"/>
      <c r="E41" s="63"/>
      <c r="F41" s="63"/>
      <c r="G41" s="63"/>
      <c r="H41" s="65"/>
      <c r="I41" s="65"/>
      <c r="J41" s="63"/>
      <c r="K41" s="67"/>
      <c r="L41" s="66"/>
      <c r="M41" s="67">
        <v>2000</v>
      </c>
      <c r="N41" s="68"/>
      <c r="O41" s="69"/>
      <c r="P41" s="64"/>
    </row>
    <row r="42" spans="1:16" s="52" customFormat="1" ht="31.5" customHeight="1" x14ac:dyDescent="0.15">
      <c r="A42" s="63">
        <v>20170111</v>
      </c>
      <c r="B42" s="62" t="s">
        <v>72</v>
      </c>
      <c r="C42" s="74" t="s">
        <v>43</v>
      </c>
      <c r="D42" s="63"/>
      <c r="E42" s="63"/>
      <c r="F42" s="63"/>
      <c r="G42" s="63"/>
      <c r="H42" s="65"/>
      <c r="I42" s="65"/>
      <c r="J42" s="63"/>
      <c r="K42" s="67"/>
      <c r="L42" s="66"/>
      <c r="M42" s="67">
        <v>3000</v>
      </c>
      <c r="N42" s="68"/>
      <c r="O42" s="69"/>
      <c r="P42" s="64"/>
    </row>
    <row r="43" spans="1:16" s="52" customFormat="1" ht="31.5" customHeight="1" x14ac:dyDescent="0.15">
      <c r="A43" s="63">
        <v>20170111</v>
      </c>
      <c r="B43" s="62" t="s">
        <v>68</v>
      </c>
      <c r="C43" s="74" t="s">
        <v>43</v>
      </c>
      <c r="D43" s="63"/>
      <c r="E43" s="63" t="s">
        <v>67</v>
      </c>
      <c r="F43" s="17" t="s">
        <v>39</v>
      </c>
      <c r="G43" s="63" t="s">
        <v>2</v>
      </c>
      <c r="H43" s="65">
        <f>[10]副本!G82</f>
        <v>2027.7909999999993</v>
      </c>
      <c r="I43" s="65">
        <f>H43</f>
        <v>2027.7909999999993</v>
      </c>
      <c r="J43" s="63"/>
      <c r="K43" s="67"/>
      <c r="L43" s="66">
        <f>H43-I43</f>
        <v>0</v>
      </c>
      <c r="M43" s="67">
        <v>5000</v>
      </c>
      <c r="N43" s="68"/>
      <c r="O43" s="69"/>
      <c r="P43" s="64" t="s">
        <v>258</v>
      </c>
    </row>
    <row r="44" spans="1:16" s="52" customFormat="1" ht="31.5" customHeight="1" x14ac:dyDescent="0.15">
      <c r="A44" s="63">
        <v>20170111</v>
      </c>
      <c r="B44" s="62" t="s">
        <v>65</v>
      </c>
      <c r="C44" s="74" t="s">
        <v>63</v>
      </c>
      <c r="D44" s="63"/>
      <c r="E44" s="63"/>
      <c r="F44" s="63"/>
      <c r="G44" s="63"/>
      <c r="H44" s="65"/>
      <c r="I44" s="65"/>
      <c r="J44" s="63"/>
      <c r="K44" s="67"/>
      <c r="L44" s="66"/>
      <c r="M44" s="67">
        <v>5000</v>
      </c>
      <c r="N44" s="68"/>
      <c r="O44" s="69"/>
      <c r="P44" s="64"/>
    </row>
    <row r="45" spans="1:16" s="52" customFormat="1" ht="31.5" customHeight="1" x14ac:dyDescent="0.15">
      <c r="A45" s="63">
        <v>20170111</v>
      </c>
      <c r="B45" s="62" t="s">
        <v>64</v>
      </c>
      <c r="C45" s="74" t="s">
        <v>63</v>
      </c>
      <c r="D45" s="63"/>
      <c r="E45" s="63" t="s">
        <v>271</v>
      </c>
      <c r="F45" s="17" t="s">
        <v>232</v>
      </c>
      <c r="G45" s="63" t="s">
        <v>2</v>
      </c>
      <c r="H45" s="65">
        <f>[10]副本!G88</f>
        <v>984.85799999999995</v>
      </c>
      <c r="I45" s="65">
        <f>H45</f>
        <v>984.85799999999995</v>
      </c>
      <c r="J45" s="63"/>
      <c r="K45" s="67"/>
      <c r="L45" s="66">
        <f>H45-I45</f>
        <v>0</v>
      </c>
      <c r="M45" s="67">
        <v>5000</v>
      </c>
      <c r="N45" s="68"/>
      <c r="O45" s="69"/>
      <c r="P45" s="64" t="s">
        <v>270</v>
      </c>
    </row>
    <row r="46" spans="1:16" s="52" customFormat="1" ht="31.5" customHeight="1" x14ac:dyDescent="0.15">
      <c r="A46" s="63">
        <v>20170111</v>
      </c>
      <c r="B46" s="62" t="s">
        <v>64</v>
      </c>
      <c r="C46" s="74"/>
      <c r="D46" s="63"/>
      <c r="E46" s="63" t="s">
        <v>271</v>
      </c>
      <c r="F46" s="17" t="s">
        <v>140</v>
      </c>
      <c r="G46" s="63"/>
      <c r="H46" s="65">
        <f>[10]副本!G89</f>
        <v>1000</v>
      </c>
      <c r="I46" s="65">
        <f>H46</f>
        <v>1000</v>
      </c>
      <c r="J46" s="63"/>
      <c r="K46" s="67"/>
      <c r="L46" s="66"/>
      <c r="M46" s="67"/>
      <c r="N46" s="68"/>
      <c r="O46" s="69"/>
      <c r="P46" s="64" t="s">
        <v>270</v>
      </c>
    </row>
    <row r="47" spans="1:16" s="52" customFormat="1" ht="31.5" customHeight="1" x14ac:dyDescent="0.15">
      <c r="A47" s="63">
        <v>20170111</v>
      </c>
      <c r="B47" s="62" t="s">
        <v>62</v>
      </c>
      <c r="C47" s="74" t="s">
        <v>57</v>
      </c>
      <c r="D47" s="63"/>
      <c r="E47" s="63" t="s">
        <v>56</v>
      </c>
      <c r="F47" s="17" t="s">
        <v>61</v>
      </c>
      <c r="G47" s="63" t="s">
        <v>2</v>
      </c>
      <c r="H47" s="65">
        <f>[10]副本!G91</f>
        <v>1672.8439999999941</v>
      </c>
      <c r="I47" s="65">
        <f>H47</f>
        <v>1672.8439999999941</v>
      </c>
      <c r="J47" s="63"/>
      <c r="K47" s="66"/>
      <c r="L47" s="66">
        <f>H47-I47</f>
        <v>0</v>
      </c>
      <c r="M47" s="67">
        <v>2000</v>
      </c>
      <c r="N47" s="68"/>
      <c r="O47" s="69"/>
      <c r="P47" s="64"/>
    </row>
    <row r="48" spans="1:16" s="52" customFormat="1" ht="31.5" customHeight="1" x14ac:dyDescent="0.15">
      <c r="A48" s="63">
        <v>20170111</v>
      </c>
      <c r="B48" s="62" t="s">
        <v>60</v>
      </c>
      <c r="C48" s="74" t="s">
        <v>43</v>
      </c>
      <c r="D48" s="63" t="s">
        <v>5</v>
      </c>
      <c r="E48" s="63" t="s">
        <v>34</v>
      </c>
      <c r="F48" s="17" t="s">
        <v>48</v>
      </c>
      <c r="G48" s="63" t="s">
        <v>2</v>
      </c>
      <c r="H48" s="65">
        <f>[10]副本!G93</f>
        <v>2409.6100000000006</v>
      </c>
      <c r="I48" s="65">
        <v>0</v>
      </c>
      <c r="J48" s="63"/>
      <c r="K48" s="67"/>
      <c r="L48" s="66">
        <f>H48-I48</f>
        <v>2409.6100000000006</v>
      </c>
      <c r="M48" s="67">
        <v>10000</v>
      </c>
      <c r="N48" s="68"/>
      <c r="O48" s="69"/>
      <c r="P48" s="64"/>
    </row>
    <row r="49" spans="1:17" s="52" customFormat="1" ht="31.5" customHeight="1" x14ac:dyDescent="0.15">
      <c r="A49" s="63">
        <v>20170111</v>
      </c>
      <c r="B49" s="62" t="s">
        <v>59</v>
      </c>
      <c r="C49" s="74" t="s">
        <v>28</v>
      </c>
      <c r="D49" s="63" t="s">
        <v>5</v>
      </c>
      <c r="E49" s="63" t="s">
        <v>34</v>
      </c>
      <c r="F49" s="17" t="s">
        <v>48</v>
      </c>
      <c r="G49" s="63" t="s">
        <v>2</v>
      </c>
      <c r="H49" s="65">
        <f>[10]副本!G95</f>
        <v>5018.1350000000002</v>
      </c>
      <c r="I49" s="65">
        <v>0</v>
      </c>
      <c r="J49" s="63"/>
      <c r="K49" s="67"/>
      <c r="L49" s="66">
        <v>0</v>
      </c>
      <c r="M49" s="67">
        <v>10000</v>
      </c>
      <c r="N49" s="68"/>
      <c r="O49" s="69"/>
      <c r="P49" s="64"/>
    </row>
    <row r="50" spans="1:17" s="52" customFormat="1" ht="31.5" customHeight="1" x14ac:dyDescent="0.15">
      <c r="A50" s="63">
        <v>20170111</v>
      </c>
      <c r="B50" s="62" t="s">
        <v>58</v>
      </c>
      <c r="C50" s="74" t="s">
        <v>57</v>
      </c>
      <c r="D50" s="63"/>
      <c r="E50" s="63" t="s">
        <v>56</v>
      </c>
      <c r="F50" s="17" t="s">
        <v>268</v>
      </c>
      <c r="G50" s="63" t="s">
        <v>54</v>
      </c>
      <c r="H50" s="65">
        <f>[10]副本!G97</f>
        <v>301.56400000000849</v>
      </c>
      <c r="I50" s="65">
        <f>H50</f>
        <v>301.56400000000849</v>
      </c>
      <c r="J50" s="63"/>
      <c r="K50" s="66"/>
      <c r="L50" s="66">
        <v>0</v>
      </c>
      <c r="M50" s="67">
        <v>5000</v>
      </c>
      <c r="N50" s="72" t="s">
        <v>53</v>
      </c>
      <c r="O50" s="73" t="s">
        <v>52</v>
      </c>
      <c r="P50" s="64" t="s">
        <v>51</v>
      </c>
    </row>
    <row r="51" spans="1:17" s="52" customFormat="1" ht="31.5" customHeight="1" x14ac:dyDescent="0.15">
      <c r="A51" s="63">
        <v>20170111</v>
      </c>
      <c r="B51" s="62" t="s">
        <v>50</v>
      </c>
      <c r="C51" s="74" t="s">
        <v>28</v>
      </c>
      <c r="D51" s="63"/>
      <c r="E51" s="63" t="s">
        <v>238</v>
      </c>
      <c r="F51" s="17" t="s">
        <v>249</v>
      </c>
      <c r="G51" s="63" t="s">
        <v>2</v>
      </c>
      <c r="H51" s="65">
        <f>[10]副本!G99</f>
        <v>924.6389999999999</v>
      </c>
      <c r="I51" s="65">
        <f>H51</f>
        <v>924.6389999999999</v>
      </c>
      <c r="J51" s="63"/>
      <c r="K51" s="67"/>
      <c r="L51" s="66">
        <f>H51-I51</f>
        <v>0</v>
      </c>
      <c r="M51" s="67">
        <v>3000</v>
      </c>
      <c r="N51" s="68"/>
      <c r="O51" s="69"/>
      <c r="P51" s="64" t="s">
        <v>237</v>
      </c>
    </row>
    <row r="52" spans="1:17" s="52" customFormat="1" ht="31.5" customHeight="1" x14ac:dyDescent="0.15">
      <c r="A52" s="63">
        <v>20170111</v>
      </c>
      <c r="B52" s="62" t="s">
        <v>49</v>
      </c>
      <c r="C52" s="74" t="s">
        <v>28</v>
      </c>
      <c r="D52" s="63" t="s">
        <v>5</v>
      </c>
      <c r="E52" s="63" t="s">
        <v>34</v>
      </c>
      <c r="F52" s="17" t="s">
        <v>48</v>
      </c>
      <c r="G52" s="63" t="s">
        <v>22</v>
      </c>
      <c r="H52" s="65">
        <f>[10]副本!G101</f>
        <v>17900.637999999999</v>
      </c>
      <c r="I52" s="65">
        <v>0</v>
      </c>
      <c r="J52" s="63"/>
      <c r="K52" s="67"/>
      <c r="L52" s="66">
        <f>H52-I52</f>
        <v>17900.637999999999</v>
      </c>
      <c r="M52" s="67">
        <v>25000</v>
      </c>
      <c r="N52" s="68" t="s">
        <v>47</v>
      </c>
      <c r="O52" s="69" t="s">
        <v>46</v>
      </c>
      <c r="P52" s="64" t="s">
        <v>45</v>
      </c>
    </row>
    <row r="53" spans="1:17" s="52" customFormat="1" ht="31.5" customHeight="1" x14ac:dyDescent="0.15">
      <c r="A53" s="63">
        <v>20170111</v>
      </c>
      <c r="B53" s="62" t="s">
        <v>44</v>
      </c>
      <c r="C53" s="74" t="s">
        <v>43</v>
      </c>
      <c r="D53" s="63" t="s">
        <v>5</v>
      </c>
      <c r="E53" s="63" t="s">
        <v>34</v>
      </c>
      <c r="F53" s="17" t="s">
        <v>234</v>
      </c>
      <c r="G53" s="63" t="s">
        <v>22</v>
      </c>
      <c r="H53" s="65">
        <f>[10]副本!G103</f>
        <v>15386.827000000081</v>
      </c>
      <c r="I53" s="65">
        <v>0</v>
      </c>
      <c r="J53" s="63"/>
      <c r="K53" s="67"/>
      <c r="L53" s="66">
        <f>H53-I53</f>
        <v>15386.827000000081</v>
      </c>
      <c r="M53" s="67">
        <v>50000</v>
      </c>
      <c r="N53" s="68"/>
      <c r="O53" s="69"/>
      <c r="P53" s="64"/>
    </row>
    <row r="54" spans="1:17" s="52" customFormat="1" ht="31.5" customHeight="1" x14ac:dyDescent="0.15">
      <c r="A54" s="63">
        <v>20170111</v>
      </c>
      <c r="B54" s="62" t="s">
        <v>41</v>
      </c>
      <c r="C54" s="74" t="s">
        <v>28</v>
      </c>
      <c r="D54" s="63"/>
      <c r="E54" s="63"/>
      <c r="F54" s="63"/>
      <c r="G54" s="63"/>
      <c r="H54" s="65"/>
      <c r="I54" s="65"/>
      <c r="J54" s="63"/>
      <c r="K54" s="67"/>
      <c r="L54" s="66">
        <f>H54-I54</f>
        <v>0</v>
      </c>
      <c r="M54" s="67">
        <v>4000</v>
      </c>
      <c r="N54" s="68"/>
      <c r="O54" s="69"/>
      <c r="P54" s="64"/>
    </row>
    <row r="55" spans="1:17" s="52" customFormat="1" ht="31.5" customHeight="1" x14ac:dyDescent="0.15">
      <c r="A55" s="63">
        <v>20170111</v>
      </c>
      <c r="B55" s="62" t="s">
        <v>37</v>
      </c>
      <c r="C55" s="74" t="s">
        <v>31</v>
      </c>
      <c r="D55" s="63"/>
      <c r="E55" s="63"/>
      <c r="F55" s="63"/>
      <c r="G55" s="63"/>
      <c r="H55" s="65"/>
      <c r="I55" s="65"/>
      <c r="J55" s="63"/>
      <c r="K55" s="67"/>
      <c r="L55" s="66"/>
      <c r="M55" s="67">
        <v>37000</v>
      </c>
      <c r="N55" s="68"/>
      <c r="O55" s="69"/>
      <c r="P55" s="64"/>
    </row>
    <row r="56" spans="1:17" s="52" customFormat="1" ht="31.5" customHeight="1" x14ac:dyDescent="0.15">
      <c r="A56" s="63">
        <v>20170111</v>
      </c>
      <c r="B56" s="62" t="s">
        <v>36</v>
      </c>
      <c r="C56" s="74" t="s">
        <v>31</v>
      </c>
      <c r="D56" s="63"/>
      <c r="E56" s="63"/>
      <c r="F56" s="63"/>
      <c r="G56" s="63"/>
      <c r="H56" s="65"/>
      <c r="I56" s="63"/>
      <c r="J56" s="63"/>
      <c r="K56" s="67"/>
      <c r="L56" s="66"/>
      <c r="M56" s="67">
        <v>37000</v>
      </c>
      <c r="N56" s="68"/>
      <c r="O56" s="69"/>
      <c r="P56" s="64"/>
    </row>
    <row r="57" spans="1:17" s="52" customFormat="1" ht="31.5" customHeight="1" x14ac:dyDescent="0.15">
      <c r="A57" s="63">
        <v>20170111</v>
      </c>
      <c r="B57" s="62" t="s">
        <v>35</v>
      </c>
      <c r="C57" s="74" t="s">
        <v>28</v>
      </c>
      <c r="D57" s="63" t="s">
        <v>5</v>
      </c>
      <c r="E57" s="63" t="s">
        <v>34</v>
      </c>
      <c r="F57" s="17" t="s">
        <v>48</v>
      </c>
      <c r="G57" s="63" t="s">
        <v>22</v>
      </c>
      <c r="H57" s="65">
        <f>[10]副本!G112</f>
        <v>6957.8649999999998</v>
      </c>
      <c r="I57" s="65">
        <f>H57-6957.865</f>
        <v>0</v>
      </c>
      <c r="J57" s="63"/>
      <c r="K57" s="66"/>
      <c r="L57" s="66">
        <f>H57-I57</f>
        <v>6957.8649999999998</v>
      </c>
      <c r="M57" s="67">
        <v>10000</v>
      </c>
      <c r="N57" s="68"/>
      <c r="O57" s="69"/>
      <c r="P57" s="64"/>
      <c r="Q57" s="53"/>
    </row>
    <row r="58" spans="1:17" s="52" customFormat="1" ht="31.5" customHeight="1" x14ac:dyDescent="0.15">
      <c r="A58" s="63">
        <v>20170111</v>
      </c>
      <c r="B58" s="62" t="s">
        <v>32</v>
      </c>
      <c r="C58" s="74" t="s">
        <v>31</v>
      </c>
      <c r="D58" s="63" t="s">
        <v>5</v>
      </c>
      <c r="E58" s="63"/>
      <c r="F58" s="63"/>
      <c r="G58" s="63"/>
      <c r="H58" s="65"/>
      <c r="I58" s="65"/>
      <c r="J58" s="63"/>
      <c r="K58" s="76"/>
      <c r="L58" s="66"/>
      <c r="M58" s="67">
        <v>15000</v>
      </c>
      <c r="N58" s="68"/>
      <c r="O58" s="69"/>
      <c r="P58" s="64"/>
      <c r="Q58" s="53"/>
    </row>
    <row r="59" spans="1:17" s="52" customFormat="1" ht="31.5" customHeight="1" x14ac:dyDescent="0.15">
      <c r="A59" s="63">
        <v>20170111</v>
      </c>
      <c r="B59" s="62" t="s">
        <v>30</v>
      </c>
      <c r="C59" s="62" t="s">
        <v>28</v>
      </c>
      <c r="D59" s="63" t="s">
        <v>5</v>
      </c>
      <c r="E59" s="63" t="s">
        <v>4</v>
      </c>
      <c r="F59" s="17" t="s">
        <v>3</v>
      </c>
      <c r="G59" s="63" t="s">
        <v>22</v>
      </c>
      <c r="H59" s="65">
        <f>[10]副本!G116</f>
        <v>18507.574000000001</v>
      </c>
      <c r="I59" s="65">
        <f>H59</f>
        <v>18507.574000000001</v>
      </c>
      <c r="J59" s="63"/>
      <c r="K59" s="67"/>
      <c r="L59" s="66"/>
      <c r="M59" s="67">
        <v>43000</v>
      </c>
      <c r="N59" s="68"/>
      <c r="O59" s="69"/>
      <c r="P59" s="64" t="s">
        <v>220</v>
      </c>
      <c r="Q59" s="53"/>
    </row>
    <row r="60" spans="1:17" s="52" customFormat="1" ht="31.5" customHeight="1" x14ac:dyDescent="0.15">
      <c r="A60" s="63">
        <v>20170111</v>
      </c>
      <c r="B60" s="62" t="s">
        <v>30</v>
      </c>
      <c r="C60" s="62" t="s">
        <v>28</v>
      </c>
      <c r="D60" s="63" t="s">
        <v>5</v>
      </c>
      <c r="E60" s="63" t="s">
        <v>4</v>
      </c>
      <c r="F60" s="17" t="s">
        <v>251</v>
      </c>
      <c r="G60" s="63" t="s">
        <v>22</v>
      </c>
      <c r="H60" s="65">
        <f>[10]副本!G117</f>
        <v>301.46000000000004</v>
      </c>
      <c r="I60" s="65">
        <f>H60</f>
        <v>301.46000000000004</v>
      </c>
      <c r="J60" s="63"/>
      <c r="K60" s="67">
        <v>450</v>
      </c>
      <c r="L60" s="66"/>
      <c r="M60" s="67">
        <v>43000</v>
      </c>
      <c r="N60" s="68"/>
      <c r="O60" s="69"/>
      <c r="P60" s="64" t="s">
        <v>220</v>
      </c>
      <c r="Q60" s="53"/>
    </row>
    <row r="61" spans="1:17" s="52" customFormat="1" ht="31.5" customHeight="1" x14ac:dyDescent="0.15">
      <c r="A61" s="63">
        <v>20170111</v>
      </c>
      <c r="B61" s="62" t="s">
        <v>29</v>
      </c>
      <c r="C61" s="62" t="s">
        <v>28</v>
      </c>
      <c r="D61" s="63" t="s">
        <v>5</v>
      </c>
      <c r="E61" s="63"/>
      <c r="F61" s="63"/>
      <c r="G61" s="63"/>
      <c r="H61" s="65"/>
      <c r="I61" s="65"/>
      <c r="J61" s="63"/>
      <c r="K61" s="67"/>
      <c r="L61" s="66"/>
      <c r="M61" s="67"/>
      <c r="N61" s="68"/>
      <c r="O61" s="69"/>
      <c r="P61" s="64"/>
      <c r="Q61" s="53"/>
    </row>
    <row r="62" spans="1:17" s="52" customFormat="1" ht="31.5" customHeight="1" x14ac:dyDescent="0.15">
      <c r="A62" s="63">
        <v>20170111</v>
      </c>
      <c r="B62" s="62" t="s">
        <v>24</v>
      </c>
      <c r="C62" s="74" t="s">
        <v>0</v>
      </c>
      <c r="D62" s="63"/>
      <c r="E62" s="63" t="s">
        <v>4</v>
      </c>
      <c r="F62" s="17" t="s">
        <v>23</v>
      </c>
      <c r="G62" s="63" t="s">
        <v>22</v>
      </c>
      <c r="H62" s="65">
        <f>[10]副本!G121</f>
        <v>505.10699999999633</v>
      </c>
      <c r="I62" s="65">
        <f>H62-15652.787+4092.929+8666.148+2893.71</f>
        <v>505.10699999999542</v>
      </c>
      <c r="J62" s="63"/>
      <c r="K62" s="67">
        <v>150</v>
      </c>
      <c r="L62" s="66">
        <f>H62-I62</f>
        <v>9.0949470177292824E-13</v>
      </c>
      <c r="M62" s="67">
        <v>20000</v>
      </c>
      <c r="N62" s="68"/>
      <c r="O62" s="69"/>
      <c r="P62" s="64" t="s">
        <v>21</v>
      </c>
    </row>
    <row r="63" spans="1:17" s="52" customFormat="1" ht="31.5" customHeight="1" x14ac:dyDescent="0.15">
      <c r="A63" s="63">
        <v>20170111</v>
      </c>
      <c r="B63" s="62" t="s">
        <v>20</v>
      </c>
      <c r="C63" s="74" t="s">
        <v>0</v>
      </c>
      <c r="D63" s="63"/>
      <c r="E63" s="63" t="s">
        <v>12</v>
      </c>
      <c r="F63" s="17" t="s">
        <v>11</v>
      </c>
      <c r="G63" s="63" t="s">
        <v>2</v>
      </c>
      <c r="H63" s="65">
        <f>[10]副本!G123</f>
        <v>25317.152999999998</v>
      </c>
      <c r="I63" s="65">
        <f>H63-4994.391</f>
        <v>20322.761999999999</v>
      </c>
      <c r="J63" s="63"/>
      <c r="K63" s="67"/>
      <c r="L63" s="66">
        <f>H63-I63</f>
        <v>4994.3909999999996</v>
      </c>
      <c r="M63" s="67">
        <v>30000</v>
      </c>
      <c r="N63" s="68"/>
      <c r="O63" s="69"/>
      <c r="P63" s="64" t="s">
        <v>269</v>
      </c>
    </row>
    <row r="64" spans="1:17" s="52" customFormat="1" ht="31.5" customHeight="1" x14ac:dyDescent="0.15">
      <c r="A64" s="63">
        <v>20170111</v>
      </c>
      <c r="B64" s="62" t="s">
        <v>18</v>
      </c>
      <c r="C64" s="74" t="s">
        <v>0</v>
      </c>
      <c r="D64" s="63" t="s">
        <v>5</v>
      </c>
      <c r="E64" s="63" t="s">
        <v>4</v>
      </c>
      <c r="F64" s="17" t="s">
        <v>17</v>
      </c>
      <c r="G64" s="63" t="s">
        <v>2</v>
      </c>
      <c r="H64" s="65">
        <f>[10]副本!G125</f>
        <v>14976.093999999999</v>
      </c>
      <c r="I64" s="65">
        <f>H64-14976.094</f>
        <v>0</v>
      </c>
      <c r="J64" s="63"/>
      <c r="K64" s="67">
        <v>200</v>
      </c>
      <c r="L64" s="66">
        <f>H64-I64</f>
        <v>14976.093999999999</v>
      </c>
      <c r="M64" s="67">
        <v>20000</v>
      </c>
      <c r="N64" s="68" t="s">
        <v>16</v>
      </c>
      <c r="O64" s="69" t="s">
        <v>15</v>
      </c>
      <c r="P64" s="64" t="s">
        <v>14</v>
      </c>
    </row>
    <row r="65" spans="1:16" s="52" customFormat="1" ht="31.5" customHeight="1" x14ac:dyDescent="0.15">
      <c r="A65" s="63">
        <v>20170111</v>
      </c>
      <c r="B65" s="62" t="s">
        <v>13</v>
      </c>
      <c r="C65" s="74" t="s">
        <v>0</v>
      </c>
      <c r="D65" s="63"/>
      <c r="E65" s="63" t="s">
        <v>12</v>
      </c>
      <c r="F65" s="17" t="s">
        <v>11</v>
      </c>
      <c r="G65" s="63" t="s">
        <v>2</v>
      </c>
      <c r="H65" s="65">
        <f>[10]副本!G127</f>
        <v>25173.616999999973</v>
      </c>
      <c r="I65" s="65">
        <f>H65</f>
        <v>25173.616999999973</v>
      </c>
      <c r="J65" s="63"/>
      <c r="K65" s="67"/>
      <c r="L65" s="66">
        <v>0</v>
      </c>
      <c r="M65" s="67">
        <v>30000</v>
      </c>
      <c r="N65" s="68"/>
      <c r="O65" s="69"/>
      <c r="P65" s="64"/>
    </row>
    <row r="66" spans="1:16" s="52" customFormat="1" ht="31.5" customHeight="1" x14ac:dyDescent="0.15">
      <c r="A66" s="63">
        <v>20170111</v>
      </c>
      <c r="B66" s="62" t="s">
        <v>10</v>
      </c>
      <c r="C66" s="74" t="s">
        <v>0</v>
      </c>
      <c r="D66" s="63"/>
      <c r="E66" s="63" t="s">
        <v>9</v>
      </c>
      <c r="F66" s="12" t="s">
        <v>8</v>
      </c>
      <c r="G66" s="63" t="s">
        <v>2</v>
      </c>
      <c r="H66" s="65">
        <f>[10]副本!G129</f>
        <v>5979.2150000000001</v>
      </c>
      <c r="I66" s="65">
        <v>0</v>
      </c>
      <c r="J66" s="63"/>
      <c r="K66" s="67"/>
      <c r="L66" s="66">
        <f>H66-I66</f>
        <v>5979.2150000000001</v>
      </c>
      <c r="M66" s="67">
        <v>20000</v>
      </c>
      <c r="N66" s="68"/>
      <c r="O66" s="69"/>
      <c r="P66" s="63"/>
    </row>
    <row r="67" spans="1:16" s="52" customFormat="1" ht="31.5" customHeight="1" x14ac:dyDescent="0.15">
      <c r="A67" s="63">
        <v>20170111</v>
      </c>
      <c r="B67" s="62" t="s">
        <v>10</v>
      </c>
      <c r="C67" s="74" t="s">
        <v>0</v>
      </c>
      <c r="D67" s="63"/>
      <c r="E67" s="63" t="s">
        <v>9</v>
      </c>
      <c r="F67" s="17" t="s">
        <v>257</v>
      </c>
      <c r="G67" s="63" t="s">
        <v>2</v>
      </c>
      <c r="H67" s="65">
        <f>[10]副本!G130</f>
        <v>6000</v>
      </c>
      <c r="I67" s="65">
        <f>H67</f>
        <v>6000</v>
      </c>
      <c r="J67" s="63"/>
      <c r="K67" s="67">
        <v>200</v>
      </c>
      <c r="L67" s="66">
        <v>0</v>
      </c>
      <c r="M67" s="67">
        <v>20000</v>
      </c>
      <c r="N67" s="68"/>
      <c r="O67" s="69"/>
      <c r="P67" s="64" t="s">
        <v>252</v>
      </c>
    </row>
    <row r="68" spans="1:16" s="52" customFormat="1" ht="31.5" customHeight="1" x14ac:dyDescent="0.15">
      <c r="A68" s="63">
        <v>20170111</v>
      </c>
      <c r="B68" s="62" t="s">
        <v>7</v>
      </c>
      <c r="C68" s="74" t="s">
        <v>0</v>
      </c>
      <c r="D68" s="63"/>
      <c r="E68" s="63"/>
      <c r="F68" s="63"/>
      <c r="G68" s="63"/>
      <c r="H68" s="65"/>
      <c r="I68" s="65"/>
      <c r="J68" s="63"/>
      <c r="K68" s="67"/>
      <c r="L68" s="66"/>
      <c r="M68" s="67">
        <v>15000</v>
      </c>
      <c r="N68" s="68"/>
      <c r="O68" s="69"/>
      <c r="P68" s="64"/>
    </row>
    <row r="69" spans="1:16" s="52" customFormat="1" ht="31.5" customHeight="1" x14ac:dyDescent="0.15">
      <c r="A69" s="63">
        <v>20170111</v>
      </c>
      <c r="B69" s="62" t="s">
        <v>6</v>
      </c>
      <c r="C69" s="74" t="s">
        <v>0</v>
      </c>
      <c r="D69" s="63" t="s">
        <v>5</v>
      </c>
      <c r="E69" s="63" t="s">
        <v>4</v>
      </c>
      <c r="F69" s="17" t="s">
        <v>3</v>
      </c>
      <c r="G69" s="63" t="s">
        <v>2</v>
      </c>
      <c r="H69" s="65">
        <f>[10]副本!G134</f>
        <v>12005.106</v>
      </c>
      <c r="I69" s="65">
        <f>H69-12005.106</f>
        <v>0</v>
      </c>
      <c r="J69" s="63"/>
      <c r="K69" s="67"/>
      <c r="L69" s="66">
        <f>H69-I69</f>
        <v>12005.106</v>
      </c>
      <c r="M69" s="67">
        <v>15000</v>
      </c>
      <c r="N69" s="68"/>
      <c r="O69" s="69"/>
      <c r="P69" s="64"/>
    </row>
    <row r="70" spans="1:16" s="52" customFormat="1" ht="31.5" customHeight="1" x14ac:dyDescent="0.15">
      <c r="A70" s="63">
        <v>20170111</v>
      </c>
      <c r="B70" s="62" t="s">
        <v>1</v>
      </c>
      <c r="C70" s="74" t="s">
        <v>0</v>
      </c>
      <c r="D70" s="63"/>
      <c r="E70" s="63"/>
      <c r="F70" s="63"/>
      <c r="G70" s="63"/>
      <c r="H70" s="65"/>
      <c r="I70" s="65"/>
      <c r="J70" s="63"/>
      <c r="K70" s="67"/>
      <c r="L70" s="66"/>
      <c r="M70" s="67">
        <v>15000</v>
      </c>
      <c r="N70" s="68"/>
      <c r="O70" s="69"/>
      <c r="P70" s="64"/>
    </row>
    <row r="76" spans="1:16" s="42" customFormat="1" x14ac:dyDescent="0.15">
      <c r="B76" s="43"/>
      <c r="C76" s="50"/>
      <c r="D76" s="49"/>
      <c r="E76" s="43"/>
      <c r="F76" s="43"/>
      <c r="G76" s="49"/>
      <c r="H76" s="48"/>
      <c r="I76" s="48"/>
      <c r="K76" s="47"/>
      <c r="L76" s="51"/>
      <c r="M76" s="45"/>
      <c r="N76" s="44"/>
      <c r="O76" s="44"/>
      <c r="P76" s="43"/>
    </row>
    <row r="228" spans="2:16" s="42" customFormat="1" x14ac:dyDescent="0.15">
      <c r="B228" s="43"/>
      <c r="C228" s="50"/>
      <c r="D228" s="49"/>
      <c r="E228" s="43"/>
      <c r="F228" s="43"/>
      <c r="G228" s="43"/>
      <c r="H228" s="43"/>
      <c r="I228" s="48"/>
      <c r="K228" s="47"/>
      <c r="L228" s="46"/>
      <c r="M228" s="45"/>
      <c r="N228" s="44"/>
      <c r="O228" s="44"/>
      <c r="P228" s="43"/>
    </row>
  </sheetData>
  <autoFilter ref="B1:I70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65" activePane="bottomRight" state="frozen"/>
      <selection activeCell="G5" sqref="G5"/>
      <selection pane="topRight" activeCell="G5" sqref="G5"/>
      <selection pane="bottomLeft" activeCell="G5" sqref="G5"/>
      <selection pane="bottomRight" activeCell="F21" sqref="F21:F22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6.2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77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29" t="s">
        <v>272</v>
      </c>
      <c r="B1" s="38" t="s">
        <v>374</v>
      </c>
      <c r="C1" s="29" t="s">
        <v>171</v>
      </c>
      <c r="D1" s="29" t="s">
        <v>170</v>
      </c>
      <c r="E1" s="29" t="s">
        <v>169</v>
      </c>
      <c r="F1" s="29" t="s">
        <v>373</v>
      </c>
      <c r="G1" s="35" t="s">
        <v>167</v>
      </c>
      <c r="H1" s="34" t="s">
        <v>166</v>
      </c>
      <c r="I1" s="33" t="s">
        <v>372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34.5" customHeight="1" x14ac:dyDescent="0.15">
      <c r="A2" s="17">
        <v>20170112</v>
      </c>
      <c r="B2" s="19" t="s">
        <v>158</v>
      </c>
      <c r="C2" s="36" t="s">
        <v>63</v>
      </c>
      <c r="D2" s="19"/>
      <c r="E2" s="17" t="s">
        <v>141</v>
      </c>
      <c r="F2" s="63" t="s">
        <v>144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371</v>
      </c>
      <c r="O2" s="13" t="s">
        <v>370</v>
      </c>
      <c r="P2" s="12"/>
    </row>
    <row r="3" spans="1:17" s="11" customFormat="1" ht="34.5" customHeight="1" x14ac:dyDescent="0.15">
      <c r="A3" s="17">
        <v>20170112</v>
      </c>
      <c r="B3" s="19" t="s">
        <v>157</v>
      </c>
      <c r="C3" s="36" t="s">
        <v>63</v>
      </c>
      <c r="D3" s="19"/>
      <c r="E3" s="17" t="s">
        <v>369</v>
      </c>
      <c r="F3" s="63" t="s">
        <v>155</v>
      </c>
      <c r="G3" s="12" t="s">
        <v>54</v>
      </c>
      <c r="H3" s="18">
        <f>[11]副本!G5</f>
        <v>117.95599999999996</v>
      </c>
      <c r="I3" s="18">
        <f>H3-995.136+995.136</f>
        <v>117.9559999999999</v>
      </c>
      <c r="J3" s="17"/>
      <c r="K3" s="15"/>
      <c r="L3" s="16">
        <f>H3-I3</f>
        <v>0</v>
      </c>
      <c r="M3" s="15">
        <v>1500</v>
      </c>
      <c r="N3" s="14"/>
      <c r="O3" s="13"/>
      <c r="P3" s="12" t="s">
        <v>154</v>
      </c>
    </row>
    <row r="4" spans="1:17" s="11" customFormat="1" ht="34.5" customHeight="1" x14ac:dyDescent="0.15">
      <c r="A4" s="17">
        <v>20170112</v>
      </c>
      <c r="B4" s="19" t="s">
        <v>153</v>
      </c>
      <c r="C4" s="36" t="s">
        <v>63</v>
      </c>
      <c r="D4" s="19"/>
      <c r="E4" s="17" t="s">
        <v>315</v>
      </c>
      <c r="F4" s="63" t="s">
        <v>61</v>
      </c>
      <c r="G4" s="12" t="s">
        <v>54</v>
      </c>
      <c r="H4" s="18">
        <f>[11]副本!G7</f>
        <v>1865.2429999999958</v>
      </c>
      <c r="I4" s="18">
        <f>H4</f>
        <v>1865.2429999999958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368</v>
      </c>
    </row>
    <row r="5" spans="1:17" s="11" customFormat="1" ht="34.5" customHeight="1" x14ac:dyDescent="0.15">
      <c r="A5" s="17">
        <v>20170112</v>
      </c>
      <c r="B5" s="19" t="s">
        <v>149</v>
      </c>
      <c r="C5" s="36" t="s">
        <v>63</v>
      </c>
      <c r="D5" s="17"/>
      <c r="E5" s="17" t="s">
        <v>367</v>
      </c>
      <c r="F5" s="63" t="s">
        <v>140</v>
      </c>
      <c r="G5" s="12" t="s">
        <v>54</v>
      </c>
      <c r="H5" s="18"/>
      <c r="I5" s="18"/>
      <c r="J5" s="17"/>
      <c r="K5" s="15"/>
      <c r="L5" s="16"/>
      <c r="M5" s="15">
        <v>2000</v>
      </c>
      <c r="N5" s="14" t="s">
        <v>147</v>
      </c>
      <c r="O5" s="13" t="s">
        <v>348</v>
      </c>
      <c r="P5" s="12"/>
    </row>
    <row r="6" spans="1:17" s="11" customFormat="1" ht="34.5" customHeight="1" x14ac:dyDescent="0.15">
      <c r="A6" s="17">
        <v>20170112</v>
      </c>
      <c r="B6" s="19" t="s">
        <v>145</v>
      </c>
      <c r="C6" s="36" t="s">
        <v>63</v>
      </c>
      <c r="D6" s="17"/>
      <c r="E6" s="17" t="s">
        <v>141</v>
      </c>
      <c r="F6" s="63" t="s">
        <v>144</v>
      </c>
      <c r="G6" s="12" t="s">
        <v>54</v>
      </c>
      <c r="H6" s="18">
        <f>[11]副本!G11</f>
        <v>2041.2850000000003</v>
      </c>
      <c r="I6" s="18">
        <f>H6</f>
        <v>2041.2850000000003</v>
      </c>
      <c r="J6" s="17"/>
      <c r="K6" s="15"/>
      <c r="L6" s="16">
        <v>0</v>
      </c>
      <c r="M6" s="15">
        <v>3000</v>
      </c>
      <c r="N6" s="14" t="s">
        <v>366</v>
      </c>
      <c r="O6" s="13" t="s">
        <v>348</v>
      </c>
      <c r="P6" s="12" t="s">
        <v>365</v>
      </c>
      <c r="Q6" s="20"/>
    </row>
    <row r="7" spans="1:17" s="11" customFormat="1" ht="34.5" customHeight="1" x14ac:dyDescent="0.15">
      <c r="A7" s="17">
        <v>20170112</v>
      </c>
      <c r="B7" s="19" t="s">
        <v>142</v>
      </c>
      <c r="C7" s="36" t="s">
        <v>63</v>
      </c>
      <c r="D7" s="17"/>
      <c r="E7" s="17" t="s">
        <v>141</v>
      </c>
      <c r="F7" s="63" t="s">
        <v>140</v>
      </c>
      <c r="G7" s="17" t="s">
        <v>54</v>
      </c>
      <c r="H7" s="18">
        <f>[11]副本!G13</f>
        <v>2276.8249999999998</v>
      </c>
      <c r="I7" s="18">
        <f>H7</f>
        <v>2276.8249999999998</v>
      </c>
      <c r="J7" s="17"/>
      <c r="K7" s="15"/>
      <c r="L7" s="16">
        <v>0</v>
      </c>
      <c r="M7" s="15">
        <v>3000</v>
      </c>
      <c r="N7" s="14"/>
      <c r="O7" s="13"/>
      <c r="P7" s="12" t="s">
        <v>364</v>
      </c>
      <c r="Q7" s="20"/>
    </row>
    <row r="8" spans="1:17" s="11" customFormat="1" ht="34.5" customHeight="1" x14ac:dyDescent="0.15">
      <c r="A8" s="17">
        <v>20170112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34.5" customHeight="1" x14ac:dyDescent="0.15">
      <c r="A9" s="17">
        <v>20170112</v>
      </c>
      <c r="B9" s="19" t="s">
        <v>363</v>
      </c>
      <c r="C9" s="36" t="s">
        <v>362</v>
      </c>
      <c r="D9" s="17"/>
      <c r="E9" s="17" t="s">
        <v>361</v>
      </c>
      <c r="F9" s="17" t="s">
        <v>104</v>
      </c>
      <c r="G9" s="17" t="s">
        <v>54</v>
      </c>
      <c r="H9" s="17">
        <f>[11]副本!G17</f>
        <v>1322.4749999999999</v>
      </c>
      <c r="I9" s="18">
        <f>H9</f>
        <v>1322.4749999999999</v>
      </c>
      <c r="J9" s="17"/>
      <c r="K9" s="15">
        <v>70</v>
      </c>
      <c r="L9" s="16">
        <f>H9-I9</f>
        <v>0</v>
      </c>
      <c r="M9" s="15">
        <v>5000</v>
      </c>
      <c r="N9" s="14" t="s">
        <v>360</v>
      </c>
      <c r="O9" s="13" t="s">
        <v>359</v>
      </c>
      <c r="P9" s="12" t="s">
        <v>101</v>
      </c>
    </row>
    <row r="10" spans="1:17" s="11" customFormat="1" ht="34.5" customHeight="1" x14ac:dyDescent="0.15">
      <c r="A10" s="17">
        <v>20170112</v>
      </c>
      <c r="B10" s="19" t="s">
        <v>135</v>
      </c>
      <c r="C10" s="17" t="s">
        <v>63</v>
      </c>
      <c r="D10" s="17"/>
      <c r="E10" s="17" t="s">
        <v>353</v>
      </c>
      <c r="F10" s="17" t="s">
        <v>232</v>
      </c>
      <c r="G10" s="17" t="s">
        <v>54</v>
      </c>
      <c r="H10" s="18">
        <f>[11]副本!G19</f>
        <v>1.5219999999999345</v>
      </c>
      <c r="I10" s="18">
        <f>H10</f>
        <v>1.5219999999999345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358</v>
      </c>
    </row>
    <row r="11" spans="1:17" s="11" customFormat="1" ht="34.5" customHeight="1" x14ac:dyDescent="0.15">
      <c r="A11" s="17">
        <v>20170112</v>
      </c>
      <c r="B11" s="19" t="s">
        <v>135</v>
      </c>
      <c r="C11" s="17" t="s">
        <v>63</v>
      </c>
      <c r="D11" s="17"/>
      <c r="E11" s="17" t="s">
        <v>353</v>
      </c>
      <c r="F11" s="17" t="s">
        <v>261</v>
      </c>
      <c r="G11" s="17" t="s">
        <v>54</v>
      </c>
      <c r="H11" s="18">
        <f>[11]副本!G20</f>
        <v>151.84</v>
      </c>
      <c r="I11" s="18">
        <f>H11</f>
        <v>151.84</v>
      </c>
      <c r="J11" s="17"/>
      <c r="K11" s="15"/>
      <c r="L11" s="16">
        <f>H11-I11</f>
        <v>0</v>
      </c>
      <c r="M11" s="15">
        <v>1500</v>
      </c>
      <c r="N11" s="14"/>
      <c r="O11" s="13"/>
      <c r="P11" s="12" t="s">
        <v>356</v>
      </c>
    </row>
    <row r="12" spans="1:17" s="11" customFormat="1" ht="34.5" customHeight="1" x14ac:dyDescent="0.15">
      <c r="A12" s="17">
        <v>20170112</v>
      </c>
      <c r="B12" s="19" t="s">
        <v>135</v>
      </c>
      <c r="C12" s="17" t="s">
        <v>63</v>
      </c>
      <c r="D12" s="17"/>
      <c r="E12" s="17" t="s">
        <v>353</v>
      </c>
      <c r="F12" s="17" t="s">
        <v>91</v>
      </c>
      <c r="G12" s="17" t="s">
        <v>54</v>
      </c>
      <c r="H12" s="18">
        <f>[11]副本!G21</f>
        <v>1000</v>
      </c>
      <c r="I12" s="18">
        <f>H12</f>
        <v>1000</v>
      </c>
      <c r="J12" s="17"/>
      <c r="K12" s="15"/>
      <c r="L12" s="16">
        <f>H12-I12</f>
        <v>0</v>
      </c>
      <c r="M12" s="15">
        <v>1500</v>
      </c>
      <c r="N12" s="14"/>
      <c r="O12" s="13"/>
      <c r="P12" s="12" t="s">
        <v>356</v>
      </c>
    </row>
    <row r="13" spans="1:17" s="11" customFormat="1" ht="34.5" customHeight="1" x14ac:dyDescent="0.15">
      <c r="A13" s="17">
        <v>20170112</v>
      </c>
      <c r="B13" s="19" t="s">
        <v>134</v>
      </c>
      <c r="C13" s="17" t="s">
        <v>63</v>
      </c>
      <c r="D13" s="17"/>
      <c r="E13" s="17" t="s">
        <v>345</v>
      </c>
      <c r="F13" s="17" t="s">
        <v>256</v>
      </c>
      <c r="G13" s="17" t="s">
        <v>54</v>
      </c>
      <c r="H13" s="18">
        <f>[11]副本!G23</f>
        <v>1502.1479999999999</v>
      </c>
      <c r="I13" s="18">
        <f>H13</f>
        <v>1502.1479999999999</v>
      </c>
      <c r="J13" s="17"/>
      <c r="K13" s="15"/>
      <c r="L13" s="16">
        <f>H13-I13</f>
        <v>0</v>
      </c>
      <c r="M13" s="15">
        <v>1500</v>
      </c>
      <c r="N13" s="14"/>
      <c r="O13" s="13"/>
      <c r="P13" s="12"/>
    </row>
    <row r="14" spans="1:17" s="11" customFormat="1" ht="34.5" customHeight="1" x14ac:dyDescent="0.15">
      <c r="A14" s="17">
        <v>20170112</v>
      </c>
      <c r="B14" s="19" t="s">
        <v>133</v>
      </c>
      <c r="C14" s="36" t="s">
        <v>28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  <c r="Q14" s="20"/>
    </row>
    <row r="15" spans="1:17" s="11" customFormat="1" ht="34.5" customHeight="1" x14ac:dyDescent="0.15">
      <c r="A15" s="17">
        <v>20170112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34.5" customHeight="1" x14ac:dyDescent="0.15">
      <c r="A16" s="17">
        <v>20170112</v>
      </c>
      <c r="B16" s="19" t="s">
        <v>354</v>
      </c>
      <c r="C16" s="36" t="s">
        <v>63</v>
      </c>
      <c r="D16" s="17"/>
      <c r="E16" s="17" t="s">
        <v>353</v>
      </c>
      <c r="F16" s="17" t="s">
        <v>232</v>
      </c>
      <c r="G16" s="17" t="s">
        <v>54</v>
      </c>
      <c r="H16" s="18">
        <f>[11]副本!G29</f>
        <v>1081.577</v>
      </c>
      <c r="I16" s="18">
        <f>H16</f>
        <v>1081.577</v>
      </c>
      <c r="J16" s="17"/>
      <c r="K16" s="15">
        <v>50</v>
      </c>
      <c r="L16" s="16"/>
      <c r="M16" s="15">
        <v>1500</v>
      </c>
      <c r="N16" s="14"/>
      <c r="O16" s="13"/>
      <c r="P16" s="12" t="s">
        <v>352</v>
      </c>
    </row>
    <row r="17" spans="1:17" s="11" customFormat="1" ht="34.5" customHeight="1" x14ac:dyDescent="0.15">
      <c r="A17" s="17">
        <v>20170112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304</v>
      </c>
      <c r="H17" s="18">
        <f>[11]副本!G31-H18</f>
        <v>7042.2470000000176</v>
      </c>
      <c r="I17" s="18">
        <f>H17</f>
        <v>7042.2470000000176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348</v>
      </c>
      <c r="P17" s="12" t="s">
        <v>350</v>
      </c>
    </row>
    <row r="18" spans="1:17" s="11" customFormat="1" ht="34.5" customHeight="1" x14ac:dyDescent="0.15">
      <c r="A18" s="17">
        <v>20170112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 t="s">
        <v>304</v>
      </c>
      <c r="H18" s="18">
        <f>[11]副本!G33</f>
        <v>6995.7529999999824</v>
      </c>
      <c r="I18" s="18">
        <f>H18</f>
        <v>6995.7529999999824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349</v>
      </c>
    </row>
    <row r="19" spans="1:17" s="11" customFormat="1" ht="34.5" customHeight="1" x14ac:dyDescent="0.15">
      <c r="A19" s="17">
        <v>20170112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34.5" customHeight="1" x14ac:dyDescent="0.15">
      <c r="A20" s="17">
        <v>20170112</v>
      </c>
      <c r="B20" s="19" t="s">
        <v>126</v>
      </c>
      <c r="C20" s="36" t="s">
        <v>63</v>
      </c>
      <c r="D20" s="17"/>
      <c r="E20" s="17"/>
      <c r="F20" s="17"/>
      <c r="G20" s="17"/>
      <c r="H20" s="18"/>
      <c r="I20" s="18"/>
      <c r="J20" s="17"/>
      <c r="K20" s="15"/>
      <c r="L20" s="16"/>
      <c r="M20" s="15">
        <v>3000</v>
      </c>
      <c r="N20" s="14"/>
      <c r="O20" s="13"/>
      <c r="P20" s="12"/>
    </row>
    <row r="21" spans="1:17" s="11" customFormat="1" ht="34.5" customHeight="1" x14ac:dyDescent="0.15">
      <c r="A21" s="17">
        <v>20170112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304</v>
      </c>
      <c r="H21" s="18">
        <f>[11]副本!G39-'20170112'!H22</f>
        <v>12546.537428000036</v>
      </c>
      <c r="I21" s="18">
        <f>H21</f>
        <v>12546.537428000036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348</v>
      </c>
      <c r="P21" s="12" t="s">
        <v>347</v>
      </c>
    </row>
    <row r="22" spans="1:17" s="11" customFormat="1" ht="34.5" customHeight="1" x14ac:dyDescent="0.15">
      <c r="A22" s="17">
        <v>20170112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 t="s">
        <v>304</v>
      </c>
      <c r="H22" s="18">
        <f>[11]副本!G41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346</v>
      </c>
    </row>
    <row r="23" spans="1:17" s="11" customFormat="1" ht="34.5" customHeight="1" x14ac:dyDescent="0.15">
      <c r="A23" s="17">
        <v>20170112</v>
      </c>
      <c r="B23" s="19" t="s">
        <v>117</v>
      </c>
      <c r="C23" s="36" t="s">
        <v>63</v>
      </c>
      <c r="D23" s="17"/>
      <c r="E23" s="17" t="s">
        <v>345</v>
      </c>
      <c r="F23" s="17" t="s">
        <v>115</v>
      </c>
      <c r="G23" s="17" t="s">
        <v>304</v>
      </c>
      <c r="H23" s="18">
        <f>[11]副本!G43</f>
        <v>1989.5429999999997</v>
      </c>
      <c r="I23" s="18">
        <f>H23</f>
        <v>1989.5429999999997</v>
      </c>
      <c r="J23" s="17"/>
      <c r="K23" s="15">
        <v>200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34.5" customHeight="1" x14ac:dyDescent="0.15">
      <c r="A24" s="17">
        <v>20170112</v>
      </c>
      <c r="B24" s="19" t="s">
        <v>113</v>
      </c>
      <c r="C24" s="36" t="s">
        <v>0</v>
      </c>
      <c r="D24" s="17"/>
      <c r="E24" s="12" t="s">
        <v>344</v>
      </c>
      <c r="F24" s="17" t="s">
        <v>39</v>
      </c>
      <c r="G24" s="17" t="s">
        <v>304</v>
      </c>
      <c r="H24" s="18">
        <f>[11]副本!G45</f>
        <v>1890.6130000000001</v>
      </c>
      <c r="I24" s="18">
        <v>0</v>
      </c>
      <c r="J24" s="17"/>
      <c r="K24" s="15"/>
      <c r="L24" s="16">
        <f>H24-I24</f>
        <v>1890.6130000000001</v>
      </c>
      <c r="M24" s="15">
        <v>5000</v>
      </c>
      <c r="N24" s="14"/>
      <c r="O24" s="13"/>
      <c r="P24" s="37" t="s">
        <v>343</v>
      </c>
    </row>
    <row r="25" spans="1:17" s="11" customFormat="1" ht="34.5" customHeight="1" x14ac:dyDescent="0.15">
      <c r="A25" s="17">
        <v>20170112</v>
      </c>
      <c r="B25" s="19" t="s">
        <v>341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34.5" customHeight="1" x14ac:dyDescent="0.15">
      <c r="A26" s="17">
        <v>20170112</v>
      </c>
      <c r="B26" s="19" t="s">
        <v>109</v>
      </c>
      <c r="C26" s="36" t="s">
        <v>63</v>
      </c>
      <c r="D26" s="17"/>
      <c r="E26" s="17" t="s">
        <v>108</v>
      </c>
      <c r="F26" s="17" t="s">
        <v>248</v>
      </c>
      <c r="G26" s="17" t="s">
        <v>304</v>
      </c>
      <c r="H26" s="18">
        <f>[11]副本!G49</f>
        <v>80.561000000042895</v>
      </c>
      <c r="I26" s="18">
        <f>H26</f>
        <v>80.561000000042895</v>
      </c>
      <c r="J26" s="17"/>
      <c r="K26" s="15">
        <v>80</v>
      </c>
      <c r="L26" s="16">
        <f>H26-I26</f>
        <v>0</v>
      </c>
      <c r="M26" s="15">
        <v>4000</v>
      </c>
      <c r="N26" s="14" t="s">
        <v>340</v>
      </c>
      <c r="O26" s="13" t="s">
        <v>339</v>
      </c>
      <c r="P26" s="12"/>
    </row>
    <row r="27" spans="1:17" s="11" customFormat="1" ht="34.5" customHeight="1" x14ac:dyDescent="0.15">
      <c r="A27" s="17">
        <v>20170112</v>
      </c>
      <c r="B27" s="19" t="s">
        <v>106</v>
      </c>
      <c r="C27" s="36" t="s">
        <v>338</v>
      </c>
      <c r="D27" s="17"/>
      <c r="E27" s="17" t="s">
        <v>337</v>
      </c>
      <c r="F27" s="17" t="s">
        <v>104</v>
      </c>
      <c r="G27" s="17" t="s">
        <v>311</v>
      </c>
      <c r="H27" s="18">
        <f>[11]副本!G51</f>
        <v>272.52499999999998</v>
      </c>
      <c r="I27" s="18">
        <f>H27</f>
        <v>272.52499999999998</v>
      </c>
      <c r="J27" s="17"/>
      <c r="K27" s="15"/>
      <c r="L27" s="16">
        <f>H27-I27</f>
        <v>0</v>
      </c>
      <c r="M27" s="15">
        <v>5000</v>
      </c>
      <c r="N27" s="14" t="s">
        <v>336</v>
      </c>
      <c r="O27" s="13" t="s">
        <v>335</v>
      </c>
      <c r="P27" s="12" t="s">
        <v>101</v>
      </c>
    </row>
    <row r="28" spans="1:17" s="11" customFormat="1" ht="34.5" customHeight="1" x14ac:dyDescent="0.15">
      <c r="A28" s="17">
        <v>20170112</v>
      </c>
      <c r="B28" s="19" t="s">
        <v>100</v>
      </c>
      <c r="C28" s="36" t="s">
        <v>96</v>
      </c>
      <c r="D28" s="17"/>
      <c r="E28" s="17"/>
      <c r="F28" s="17"/>
      <c r="G28" s="17"/>
      <c r="H28" s="18"/>
      <c r="I28" s="18"/>
      <c r="J28" s="17"/>
      <c r="K28" s="15"/>
      <c r="L28" s="16"/>
      <c r="M28" s="15">
        <v>2000</v>
      </c>
      <c r="N28" s="14"/>
      <c r="O28" s="13"/>
      <c r="P28" s="12"/>
    </row>
    <row r="29" spans="1:17" s="11" customFormat="1" ht="34.5" customHeight="1" x14ac:dyDescent="0.15">
      <c r="A29" s="17">
        <v>20170112</v>
      </c>
      <c r="B29" s="19" t="s">
        <v>334</v>
      </c>
      <c r="C29" s="36" t="s">
        <v>96</v>
      </c>
      <c r="D29" s="17"/>
      <c r="E29" s="17" t="s">
        <v>319</v>
      </c>
      <c r="F29" s="17"/>
      <c r="G29" s="17"/>
      <c r="H29" s="18"/>
      <c r="I29" s="18"/>
      <c r="J29" s="17"/>
      <c r="K29" s="15"/>
      <c r="L29" s="16"/>
      <c r="M29" s="15">
        <v>1500</v>
      </c>
      <c r="N29" s="14"/>
      <c r="O29" s="13"/>
      <c r="P29" s="12"/>
    </row>
    <row r="30" spans="1:17" s="11" customFormat="1" ht="34.5" customHeight="1" x14ac:dyDescent="0.15">
      <c r="A30" s="17">
        <v>20170112</v>
      </c>
      <c r="B30" s="19" t="s">
        <v>98</v>
      </c>
      <c r="C30" s="36" t="s">
        <v>96</v>
      </c>
      <c r="D30" s="17"/>
      <c r="E30" s="17"/>
      <c r="F30" s="17"/>
      <c r="G30" s="17"/>
      <c r="H30" s="18"/>
      <c r="I30" s="18"/>
      <c r="J30" s="17"/>
      <c r="K30" s="15"/>
      <c r="L30" s="16">
        <f>H30-I30</f>
        <v>0</v>
      </c>
      <c r="M30" s="15">
        <v>1500</v>
      </c>
      <c r="N30" s="14"/>
      <c r="O30" s="13"/>
      <c r="P30" s="12"/>
      <c r="Q30" s="20"/>
    </row>
    <row r="31" spans="1:17" s="11" customFormat="1" ht="34.5" customHeight="1" x14ac:dyDescent="0.15">
      <c r="A31" s="17">
        <v>20170112</v>
      </c>
      <c r="B31" s="19" t="s">
        <v>97</v>
      </c>
      <c r="C31" s="36" t="s">
        <v>96</v>
      </c>
      <c r="D31" s="17"/>
      <c r="E31" s="17" t="s">
        <v>319</v>
      </c>
      <c r="F31" s="17" t="s">
        <v>39</v>
      </c>
      <c r="G31" s="17" t="s">
        <v>311</v>
      </c>
      <c r="H31" s="18">
        <f>[11]副本!G59</f>
        <v>843.76499999999987</v>
      </c>
      <c r="I31" s="18">
        <f>H31</f>
        <v>843.76499999999987</v>
      </c>
      <c r="J31" s="17"/>
      <c r="K31" s="15"/>
      <c r="L31" s="16">
        <f>H31-I31</f>
        <v>0</v>
      </c>
      <c r="M31" s="15">
        <v>1500</v>
      </c>
      <c r="N31" s="14"/>
      <c r="O31" s="13"/>
      <c r="P31" s="12" t="s">
        <v>333</v>
      </c>
    </row>
    <row r="32" spans="1:17" s="11" customFormat="1" ht="34.5" customHeight="1" x14ac:dyDescent="0.15">
      <c r="A32" s="17">
        <v>20170112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34.5" customHeight="1" x14ac:dyDescent="0.15">
      <c r="A33" s="17">
        <v>20170112</v>
      </c>
      <c r="B33" s="19" t="s">
        <v>332</v>
      </c>
      <c r="C33" s="36" t="s">
        <v>309</v>
      </c>
      <c r="D33" s="17"/>
      <c r="E33" s="17" t="s">
        <v>331</v>
      </c>
      <c r="F33" s="17" t="s">
        <v>91</v>
      </c>
      <c r="G33" s="17"/>
      <c r="H33" s="17">
        <f>[11]副本!G63</f>
        <v>556.69600000000025</v>
      </c>
      <c r="I33" s="18">
        <f>H33-1035.099+1035.099-500.357</f>
        <v>56.339000000000226</v>
      </c>
      <c r="J33" s="17"/>
      <c r="K33" s="15">
        <v>20</v>
      </c>
      <c r="L33" s="16">
        <f>H33-I33</f>
        <v>500.35700000000003</v>
      </c>
      <c r="M33" s="15">
        <v>2000</v>
      </c>
      <c r="N33" s="14"/>
      <c r="O33" s="13"/>
      <c r="P33" s="12" t="s">
        <v>330</v>
      </c>
    </row>
    <row r="34" spans="1:16" s="11" customFormat="1" ht="34.5" customHeight="1" x14ac:dyDescent="0.15">
      <c r="A34" s="17">
        <v>20170112</v>
      </c>
      <c r="B34" s="19" t="s">
        <v>89</v>
      </c>
      <c r="C34" s="36" t="s">
        <v>63</v>
      </c>
      <c r="D34" s="17" t="s">
        <v>88</v>
      </c>
      <c r="E34" s="17" t="s">
        <v>329</v>
      </c>
      <c r="F34" s="17" t="s">
        <v>216</v>
      </c>
      <c r="G34" s="17" t="s">
        <v>54</v>
      </c>
      <c r="H34" s="18">
        <f>[11]副本!G65</f>
        <v>725.54299999999989</v>
      </c>
      <c r="I34" s="18">
        <f>H34-1037.023+500+537.023</f>
        <v>725.54300000000001</v>
      </c>
      <c r="J34" s="17"/>
      <c r="K34" s="15">
        <v>70</v>
      </c>
      <c r="L34" s="16">
        <f>H34-I34</f>
        <v>0</v>
      </c>
      <c r="M34" s="15">
        <v>3000</v>
      </c>
      <c r="N34" s="14"/>
      <c r="O34" s="13"/>
      <c r="P34" s="24" t="s">
        <v>222</v>
      </c>
    </row>
    <row r="35" spans="1:16" s="11" customFormat="1" ht="34.5" customHeight="1" x14ac:dyDescent="0.15">
      <c r="A35" s="17">
        <v>20170112</v>
      </c>
      <c r="B35" s="19" t="s">
        <v>85</v>
      </c>
      <c r="C35" s="36" t="s">
        <v>63</v>
      </c>
      <c r="D35" s="17" t="s">
        <v>301</v>
      </c>
      <c r="E35" s="17" t="s">
        <v>84</v>
      </c>
      <c r="F35" s="17" t="s">
        <v>81</v>
      </c>
      <c r="G35" s="17" t="s">
        <v>54</v>
      </c>
      <c r="H35" s="18"/>
      <c r="I35" s="18"/>
      <c r="J35" s="17"/>
      <c r="K35" s="15"/>
      <c r="L35" s="16"/>
      <c r="M35" s="15">
        <v>4000</v>
      </c>
      <c r="N35" s="14"/>
      <c r="O35" s="13"/>
      <c r="P35" s="12"/>
    </row>
    <row r="36" spans="1:16" s="11" customFormat="1" ht="34.5" customHeight="1" x14ac:dyDescent="0.15">
      <c r="A36" s="17">
        <v>20170112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34.5" customHeight="1" x14ac:dyDescent="0.15">
      <c r="A37" s="17">
        <v>20170112</v>
      </c>
      <c r="B37" s="19" t="s">
        <v>328</v>
      </c>
      <c r="C37" s="36" t="s">
        <v>309</v>
      </c>
      <c r="D37" s="17" t="s">
        <v>301</v>
      </c>
      <c r="E37" s="17" t="s">
        <v>327</v>
      </c>
      <c r="F37" s="17" t="s">
        <v>81</v>
      </c>
      <c r="G37" s="17" t="s">
        <v>311</v>
      </c>
      <c r="H37" s="18">
        <f>[11]副本!G71</f>
        <v>1042.8200000000525</v>
      </c>
      <c r="I37" s="18">
        <f>H37-955.747+477.874+477.873-1042.865-2628.137+500+542.865+2102.57+525.567-499.112-3147.566+2100+525+525+496.678-2617.899+1574.891</f>
        <v>-0.18799999994735117</v>
      </c>
      <c r="J37" s="17"/>
      <c r="K37" s="15"/>
      <c r="L37" s="16">
        <f>H37-I37</f>
        <v>1043.0079999999998</v>
      </c>
      <c r="M37" s="15">
        <v>5000</v>
      </c>
      <c r="N37" s="14"/>
      <c r="O37" s="13"/>
      <c r="P37" s="12" t="s">
        <v>326</v>
      </c>
    </row>
    <row r="38" spans="1:16" s="11" customFormat="1" ht="34.5" customHeight="1" x14ac:dyDescent="0.15">
      <c r="A38" s="17">
        <v>20170112</v>
      </c>
      <c r="B38" s="19" t="s">
        <v>328</v>
      </c>
      <c r="C38" s="36" t="s">
        <v>309</v>
      </c>
      <c r="D38" s="17" t="s">
        <v>301</v>
      </c>
      <c r="E38" s="17" t="s">
        <v>325</v>
      </c>
      <c r="F38" s="17" t="s">
        <v>77</v>
      </c>
      <c r="G38" s="17"/>
      <c r="H38" s="18">
        <f>[11]副本!G72</f>
        <v>2.6340000000004693</v>
      </c>
      <c r="I38" s="18">
        <f>H38</f>
        <v>2.6340000000004693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76</v>
      </c>
    </row>
    <row r="39" spans="1:16" s="11" customFormat="1" ht="34.5" customHeight="1" x14ac:dyDescent="0.15">
      <c r="A39" s="17">
        <v>20170112</v>
      </c>
      <c r="B39" s="19" t="s">
        <v>74</v>
      </c>
      <c r="C39" s="36" t="s">
        <v>28</v>
      </c>
      <c r="D39" s="17"/>
      <c r="E39" s="17" t="s">
        <v>324</v>
      </c>
      <c r="F39" s="17" t="s">
        <v>39</v>
      </c>
      <c r="G39" s="17" t="s">
        <v>304</v>
      </c>
      <c r="H39" s="18">
        <f>[11]副本!G74</f>
        <v>983.9039999999975</v>
      </c>
      <c r="I39" s="18">
        <f>H39</f>
        <v>983.9039999999975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323</v>
      </c>
    </row>
    <row r="40" spans="1:16" s="11" customFormat="1" ht="34.5" customHeight="1" x14ac:dyDescent="0.15">
      <c r="A40" s="17">
        <v>20170112</v>
      </c>
      <c r="B40" s="19" t="s">
        <v>74</v>
      </c>
      <c r="C40" s="36" t="s">
        <v>28</v>
      </c>
      <c r="D40" s="17"/>
      <c r="E40" s="17" t="s">
        <v>324</v>
      </c>
      <c r="F40" s="17" t="s">
        <v>71</v>
      </c>
      <c r="G40" s="17"/>
      <c r="H40" s="18">
        <f>[11]副本!G75</f>
        <v>17.683000000000106</v>
      </c>
      <c r="I40" s="18">
        <f>H40</f>
        <v>17.683000000000106</v>
      </c>
      <c r="J40" s="17"/>
      <c r="K40" s="15"/>
      <c r="L40" s="16"/>
      <c r="M40" s="15">
        <v>4000</v>
      </c>
      <c r="N40" s="14"/>
      <c r="O40" s="13"/>
      <c r="P40" s="12" t="s">
        <v>322</v>
      </c>
    </row>
    <row r="41" spans="1:16" s="11" customFormat="1" ht="34.5" customHeight="1" x14ac:dyDescent="0.15">
      <c r="A41" s="17">
        <v>20170112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34.5" customHeight="1" x14ac:dyDescent="0.15">
      <c r="A42" s="17">
        <v>20170112</v>
      </c>
      <c r="B42" s="19" t="s">
        <v>72</v>
      </c>
      <c r="C42" s="36" t="s">
        <v>321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34.5" customHeight="1" x14ac:dyDescent="0.15">
      <c r="A43" s="17">
        <v>20170112</v>
      </c>
      <c r="B43" s="19" t="s">
        <v>320</v>
      </c>
      <c r="C43" s="36" t="s">
        <v>313</v>
      </c>
      <c r="D43" s="17"/>
      <c r="E43" s="17" t="s">
        <v>319</v>
      </c>
      <c r="F43" s="17" t="s">
        <v>39</v>
      </c>
      <c r="G43" s="17" t="s">
        <v>311</v>
      </c>
      <c r="H43" s="18">
        <f>[11]副本!G82</f>
        <v>1967.530999999999</v>
      </c>
      <c r="I43" s="18">
        <f>H43</f>
        <v>1967.530999999999</v>
      </c>
      <c r="J43" s="17"/>
      <c r="K43" s="15"/>
      <c r="L43" s="16">
        <f>H43-I43</f>
        <v>0</v>
      </c>
      <c r="M43" s="15">
        <v>5000</v>
      </c>
      <c r="N43" s="21"/>
      <c r="O43" s="13"/>
      <c r="P43" s="12" t="s">
        <v>318</v>
      </c>
    </row>
    <row r="44" spans="1:16" s="11" customFormat="1" ht="34.5" customHeight="1" x14ac:dyDescent="0.15">
      <c r="A44" s="17">
        <v>20170112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34.5" customHeight="1" x14ac:dyDescent="0.15">
      <c r="A45" s="17">
        <v>20170112</v>
      </c>
      <c r="B45" s="19" t="s">
        <v>64</v>
      </c>
      <c r="C45" s="36" t="s">
        <v>63</v>
      </c>
      <c r="D45" s="17"/>
      <c r="E45" s="17" t="s">
        <v>317</v>
      </c>
      <c r="F45" s="17" t="s">
        <v>232</v>
      </c>
      <c r="G45" s="17" t="s">
        <v>311</v>
      </c>
      <c r="H45" s="18">
        <f>[11]副本!G88</f>
        <v>984.85799999999995</v>
      </c>
      <c r="I45" s="18">
        <f>H45</f>
        <v>984.85799999999995</v>
      </c>
      <c r="J45" s="17"/>
      <c r="K45" s="15"/>
      <c r="L45" s="16">
        <f>H45-I45</f>
        <v>0</v>
      </c>
      <c r="M45" s="15">
        <v>5000</v>
      </c>
      <c r="N45" s="14"/>
      <c r="O45" s="13"/>
      <c r="P45" s="12" t="s">
        <v>316</v>
      </c>
    </row>
    <row r="46" spans="1:16" s="11" customFormat="1" ht="34.5" customHeight="1" x14ac:dyDescent="0.15">
      <c r="A46" s="17">
        <v>20170112</v>
      </c>
      <c r="B46" s="19" t="s">
        <v>64</v>
      </c>
      <c r="C46" s="36" t="s">
        <v>63</v>
      </c>
      <c r="D46" s="17"/>
      <c r="E46" s="17" t="s">
        <v>317</v>
      </c>
      <c r="F46" s="17" t="s">
        <v>140</v>
      </c>
      <c r="G46" s="17" t="s">
        <v>311</v>
      </c>
      <c r="H46" s="18">
        <f>[11]副本!G89</f>
        <v>1000</v>
      </c>
      <c r="I46" s="18">
        <f>H46</f>
        <v>1000</v>
      </c>
      <c r="J46" s="17"/>
      <c r="K46" s="15"/>
      <c r="L46" s="16"/>
      <c r="M46" s="15">
        <v>5000</v>
      </c>
      <c r="N46" s="14"/>
      <c r="O46" s="13"/>
      <c r="P46" s="12" t="s">
        <v>316</v>
      </c>
    </row>
    <row r="47" spans="1:16" s="11" customFormat="1" ht="34.5" customHeight="1" x14ac:dyDescent="0.15">
      <c r="A47" s="17">
        <v>20170112</v>
      </c>
      <c r="B47" s="19" t="s">
        <v>62</v>
      </c>
      <c r="C47" s="36" t="s">
        <v>309</v>
      </c>
      <c r="D47" s="17"/>
      <c r="E47" s="17" t="s">
        <v>315</v>
      </c>
      <c r="F47" s="17" t="s">
        <v>61</v>
      </c>
      <c r="G47" s="17" t="s">
        <v>311</v>
      </c>
      <c r="H47" s="18">
        <f>[11]副本!G91</f>
        <v>1552.6839999999941</v>
      </c>
      <c r="I47" s="18">
        <f>H47</f>
        <v>1552.6839999999941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34.5" customHeight="1" x14ac:dyDescent="0.15">
      <c r="A48" s="17">
        <v>20170112</v>
      </c>
      <c r="B48" s="19" t="s">
        <v>314</v>
      </c>
      <c r="C48" s="36" t="s">
        <v>313</v>
      </c>
      <c r="D48" s="17" t="s">
        <v>301</v>
      </c>
      <c r="E48" s="17" t="s">
        <v>300</v>
      </c>
      <c r="F48" s="17" t="s">
        <v>48</v>
      </c>
      <c r="G48" s="17" t="s">
        <v>311</v>
      </c>
      <c r="H48" s="18">
        <f>[11]副本!G93</f>
        <v>2409.6100000000006</v>
      </c>
      <c r="I48" s="18">
        <v>0</v>
      </c>
      <c r="J48" s="17"/>
      <c r="K48" s="15"/>
      <c r="L48" s="16">
        <f>H48-I48</f>
        <v>2409.6100000000006</v>
      </c>
      <c r="M48" s="15">
        <v>10000</v>
      </c>
      <c r="N48" s="14"/>
      <c r="O48" s="13"/>
      <c r="P48" s="12"/>
    </row>
    <row r="49" spans="1:17" s="11" customFormat="1" ht="34.5" customHeight="1" x14ac:dyDescent="0.15">
      <c r="A49" s="17">
        <v>20170112</v>
      </c>
      <c r="B49" s="19" t="s">
        <v>312</v>
      </c>
      <c r="C49" s="36" t="s">
        <v>28</v>
      </c>
      <c r="D49" s="17" t="s">
        <v>301</v>
      </c>
      <c r="E49" s="17" t="s">
        <v>300</v>
      </c>
      <c r="F49" s="17" t="s">
        <v>48</v>
      </c>
      <c r="G49" s="17" t="s">
        <v>311</v>
      </c>
      <c r="H49" s="18">
        <f>[11]副本!G95</f>
        <v>5018.1350000000002</v>
      </c>
      <c r="I49" s="18"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34.5" customHeight="1" x14ac:dyDescent="0.15">
      <c r="A50" s="17">
        <v>20170112</v>
      </c>
      <c r="B50" s="19" t="s">
        <v>310</v>
      </c>
      <c r="C50" s="36" t="s">
        <v>309</v>
      </c>
      <c r="D50" s="17"/>
      <c r="E50" s="17" t="s">
        <v>308</v>
      </c>
      <c r="F50" s="17" t="s">
        <v>268</v>
      </c>
      <c r="G50" s="17" t="s">
        <v>54</v>
      </c>
      <c r="H50" s="18">
        <f>[11]副本!G97</f>
        <v>3214.5620000000081</v>
      </c>
      <c r="I50" s="18">
        <f>H50</f>
        <v>3214.5620000000081</v>
      </c>
      <c r="J50" s="17"/>
      <c r="K50" s="16"/>
      <c r="L50" s="16">
        <v>0</v>
      </c>
      <c r="M50" s="15">
        <v>5000</v>
      </c>
      <c r="N50" s="23" t="s">
        <v>307</v>
      </c>
      <c r="O50" s="22" t="s">
        <v>306</v>
      </c>
      <c r="P50" s="12" t="s">
        <v>51</v>
      </c>
    </row>
    <row r="51" spans="1:17" s="11" customFormat="1" ht="34.5" customHeight="1" x14ac:dyDescent="0.15">
      <c r="A51" s="17">
        <v>20170112</v>
      </c>
      <c r="B51" s="19" t="s">
        <v>50</v>
      </c>
      <c r="C51" s="36" t="s">
        <v>28</v>
      </c>
      <c r="D51" s="17"/>
      <c r="E51" s="17" t="s">
        <v>305</v>
      </c>
      <c r="F51" s="17" t="s">
        <v>249</v>
      </c>
      <c r="G51" s="17" t="s">
        <v>304</v>
      </c>
      <c r="H51" s="18">
        <f>[11]副本!G99</f>
        <v>565.279</v>
      </c>
      <c r="I51" s="18">
        <f>H51</f>
        <v>565.279</v>
      </c>
      <c r="J51" s="17"/>
      <c r="K51" s="15"/>
      <c r="L51" s="16">
        <f>H51-I51</f>
        <v>0</v>
      </c>
      <c r="M51" s="15">
        <v>3000</v>
      </c>
      <c r="N51" s="14"/>
      <c r="O51" s="13"/>
      <c r="P51" s="12" t="s">
        <v>303</v>
      </c>
    </row>
    <row r="52" spans="1:17" s="11" customFormat="1" ht="34.5" customHeight="1" x14ac:dyDescent="0.15">
      <c r="A52" s="17">
        <v>20170112</v>
      </c>
      <c r="B52" s="19" t="s">
        <v>302</v>
      </c>
      <c r="C52" s="36" t="s">
        <v>28</v>
      </c>
      <c r="D52" s="17" t="s">
        <v>301</v>
      </c>
      <c r="E52" s="17" t="s">
        <v>300</v>
      </c>
      <c r="F52" s="17" t="s">
        <v>48</v>
      </c>
      <c r="G52" s="17" t="s">
        <v>299</v>
      </c>
      <c r="H52" s="18">
        <f>[11]副本!G101</f>
        <v>17900.637999999999</v>
      </c>
      <c r="I52" s="18">
        <v>0</v>
      </c>
      <c r="J52" s="17"/>
      <c r="K52" s="15"/>
      <c r="L52" s="16">
        <f>H52-I52</f>
        <v>17900.637999999999</v>
      </c>
      <c r="M52" s="15">
        <v>25000</v>
      </c>
      <c r="N52" s="14" t="s">
        <v>298</v>
      </c>
      <c r="O52" s="13" t="s">
        <v>297</v>
      </c>
      <c r="P52" s="12" t="s">
        <v>296</v>
      </c>
    </row>
    <row r="53" spans="1:17" s="11" customFormat="1" ht="34.5" customHeight="1" x14ac:dyDescent="0.15">
      <c r="A53" s="17">
        <v>20170112</v>
      </c>
      <c r="B53" s="19" t="s">
        <v>295</v>
      </c>
      <c r="C53" s="36" t="s">
        <v>294</v>
      </c>
      <c r="D53" s="17" t="s">
        <v>277</v>
      </c>
      <c r="E53" s="17" t="s">
        <v>292</v>
      </c>
      <c r="F53" s="17" t="s">
        <v>234</v>
      </c>
      <c r="G53" s="17" t="s">
        <v>287</v>
      </c>
      <c r="H53" s="18">
        <f>[11]副本!G103</f>
        <v>12990.035000000082</v>
      </c>
      <c r="I53" s="18">
        <v>0</v>
      </c>
      <c r="J53" s="17"/>
      <c r="K53" s="15"/>
      <c r="L53" s="16">
        <f>H53-I53</f>
        <v>12990.035000000082</v>
      </c>
      <c r="M53" s="15">
        <v>50000</v>
      </c>
      <c r="N53" s="14"/>
      <c r="O53" s="13"/>
      <c r="P53" s="12"/>
    </row>
    <row r="54" spans="1:17" s="11" customFormat="1" ht="34.5" customHeight="1" x14ac:dyDescent="0.15">
      <c r="A54" s="17">
        <v>20170112</v>
      </c>
      <c r="B54" s="19" t="s">
        <v>41</v>
      </c>
      <c r="C54" s="36" t="s">
        <v>28</v>
      </c>
      <c r="D54" s="17"/>
      <c r="E54" s="17"/>
      <c r="F54" s="17"/>
      <c r="G54" s="17"/>
      <c r="H54" s="18"/>
      <c r="I54" s="18"/>
      <c r="J54" s="17"/>
      <c r="K54" s="15"/>
      <c r="L54" s="16">
        <f>H54-I54</f>
        <v>0</v>
      </c>
      <c r="M54" s="15">
        <v>4000</v>
      </c>
      <c r="N54" s="14"/>
      <c r="O54" s="13"/>
      <c r="P54" s="12"/>
    </row>
    <row r="55" spans="1:17" s="11" customFormat="1" ht="34.5" customHeight="1" x14ac:dyDescent="0.15">
      <c r="A55" s="17">
        <v>20170112</v>
      </c>
      <c r="B55" s="19" t="s">
        <v>293</v>
      </c>
      <c r="C55" s="36" t="s">
        <v>290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34.5" customHeight="1" x14ac:dyDescent="0.15">
      <c r="A56" s="17">
        <v>20170112</v>
      </c>
      <c r="B56" s="19" t="s">
        <v>36</v>
      </c>
      <c r="C56" s="36" t="s">
        <v>290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34.5" customHeight="1" x14ac:dyDescent="0.15">
      <c r="A57" s="17">
        <v>20170112</v>
      </c>
      <c r="B57" s="19" t="s">
        <v>35</v>
      </c>
      <c r="C57" s="36" t="s">
        <v>28</v>
      </c>
      <c r="D57" s="17" t="s">
        <v>277</v>
      </c>
      <c r="E57" s="17" t="s">
        <v>292</v>
      </c>
      <c r="F57" s="17" t="s">
        <v>435</v>
      </c>
      <c r="G57" s="17" t="s">
        <v>287</v>
      </c>
      <c r="H57" s="18">
        <f>[11]副本!G112</f>
        <v>6957.8649999999998</v>
      </c>
      <c r="I57" s="18">
        <f>H57-6957.865</f>
        <v>0</v>
      </c>
      <c r="J57" s="17"/>
      <c r="K57" s="16"/>
      <c r="L57" s="16">
        <f>H57-I57</f>
        <v>6957.8649999999998</v>
      </c>
      <c r="M57" s="15">
        <v>10000</v>
      </c>
      <c r="N57" s="14"/>
      <c r="O57" s="13"/>
      <c r="P57" s="12"/>
      <c r="Q57" s="20"/>
    </row>
    <row r="58" spans="1:17" s="11" customFormat="1" ht="34.5" customHeight="1" x14ac:dyDescent="0.15">
      <c r="A58" s="17">
        <v>20170112</v>
      </c>
      <c r="B58" s="19" t="s">
        <v>291</v>
      </c>
      <c r="C58" s="36" t="s">
        <v>290</v>
      </c>
      <c r="D58" s="17" t="s">
        <v>277</v>
      </c>
      <c r="E58" s="17"/>
      <c r="F58" s="17"/>
      <c r="G58" s="17"/>
      <c r="H58" s="18"/>
      <c r="I58" s="18"/>
      <c r="J58" s="17"/>
      <c r="K58" s="21"/>
      <c r="L58" s="16"/>
      <c r="M58" s="15">
        <v>15000</v>
      </c>
      <c r="N58" s="14"/>
      <c r="O58" s="13"/>
      <c r="P58" s="12"/>
      <c r="Q58" s="20"/>
    </row>
    <row r="59" spans="1:17" s="11" customFormat="1" ht="34.5" customHeight="1" x14ac:dyDescent="0.15">
      <c r="A59" s="17">
        <v>20170112</v>
      </c>
      <c r="B59" s="19" t="s">
        <v>30</v>
      </c>
      <c r="C59" s="19" t="s">
        <v>28</v>
      </c>
      <c r="D59" s="17" t="s">
        <v>277</v>
      </c>
      <c r="E59" s="17" t="s">
        <v>276</v>
      </c>
      <c r="F59" s="17" t="s">
        <v>3</v>
      </c>
      <c r="G59" s="17" t="s">
        <v>287</v>
      </c>
      <c r="H59" s="18">
        <f>[11]副本!G116</f>
        <v>17941.613999999998</v>
      </c>
      <c r="I59" s="18">
        <f>H59</f>
        <v>17941.613999999998</v>
      </c>
      <c r="J59" s="17"/>
      <c r="K59" s="15"/>
      <c r="L59" s="16"/>
      <c r="M59" s="15">
        <v>43000</v>
      </c>
      <c r="N59" s="14"/>
      <c r="O59" s="13"/>
      <c r="P59" s="12" t="s">
        <v>289</v>
      </c>
      <c r="Q59" s="20"/>
    </row>
    <row r="60" spans="1:17" s="11" customFormat="1" ht="34.5" customHeight="1" x14ac:dyDescent="0.15">
      <c r="A60" s="17">
        <v>20170112</v>
      </c>
      <c r="B60" s="19" t="s">
        <v>30</v>
      </c>
      <c r="C60" s="19" t="s">
        <v>28</v>
      </c>
      <c r="D60" s="17" t="s">
        <v>277</v>
      </c>
      <c r="E60" s="17" t="s">
        <v>276</v>
      </c>
      <c r="F60" s="17" t="s">
        <v>251</v>
      </c>
      <c r="G60" s="17" t="s">
        <v>287</v>
      </c>
      <c r="H60" s="18">
        <f>[11]副本!G117</f>
        <v>9.6599999999998545</v>
      </c>
      <c r="I60" s="18">
        <f>H60</f>
        <v>9.6599999999998545</v>
      </c>
      <c r="J60" s="17"/>
      <c r="K60" s="15">
        <v>450</v>
      </c>
      <c r="L60" s="16"/>
      <c r="M60" s="15"/>
      <c r="N60" s="14"/>
      <c r="O60" s="13"/>
      <c r="P60" s="12" t="s">
        <v>289</v>
      </c>
      <c r="Q60" s="20"/>
    </row>
    <row r="61" spans="1:17" s="11" customFormat="1" ht="34.5" customHeight="1" x14ac:dyDescent="0.15">
      <c r="A61" s="17">
        <v>20170112</v>
      </c>
      <c r="B61" s="19" t="s">
        <v>288</v>
      </c>
      <c r="C61" s="19" t="s">
        <v>28</v>
      </c>
      <c r="D61" s="17" t="s">
        <v>277</v>
      </c>
      <c r="E61" s="17"/>
      <c r="F61" s="63"/>
      <c r="G61" s="17"/>
      <c r="H61" s="18"/>
      <c r="I61" s="18"/>
      <c r="J61" s="17"/>
      <c r="K61" s="15"/>
      <c r="L61" s="16"/>
      <c r="M61" s="15"/>
      <c r="N61" s="14"/>
      <c r="O61" s="13"/>
      <c r="P61" s="12"/>
      <c r="Q61" s="20"/>
    </row>
    <row r="62" spans="1:17" s="11" customFormat="1" ht="34.5" customHeight="1" x14ac:dyDescent="0.15">
      <c r="A62" s="17">
        <v>20170112</v>
      </c>
      <c r="B62" s="19" t="s">
        <v>24</v>
      </c>
      <c r="C62" s="36" t="s">
        <v>0</v>
      </c>
      <c r="D62" s="17"/>
      <c r="E62" s="17" t="s">
        <v>276</v>
      </c>
      <c r="F62" s="17" t="s">
        <v>23</v>
      </c>
      <c r="G62" s="17" t="s">
        <v>287</v>
      </c>
      <c r="H62" s="18">
        <f>[11]副本!G121</f>
        <v>420.62699999999631</v>
      </c>
      <c r="I62" s="18">
        <f>H62-15652.787+4092.929+8666.148+2893.71</f>
        <v>420.62699999999586</v>
      </c>
      <c r="J62" s="17"/>
      <c r="K62" s="15">
        <v>150</v>
      </c>
      <c r="L62" s="16">
        <f>H62-I62</f>
        <v>4.5474735088646412E-13</v>
      </c>
      <c r="M62" s="15">
        <v>20000</v>
      </c>
      <c r="N62" s="14"/>
      <c r="O62" s="13"/>
      <c r="P62" s="12" t="s">
        <v>286</v>
      </c>
    </row>
    <row r="63" spans="1:17" s="11" customFormat="1" ht="34.5" customHeight="1" x14ac:dyDescent="0.15">
      <c r="A63" s="17">
        <v>20170112</v>
      </c>
      <c r="B63" s="19" t="s">
        <v>20</v>
      </c>
      <c r="C63" s="36" t="s">
        <v>0</v>
      </c>
      <c r="D63" s="17"/>
      <c r="E63" s="17" t="s">
        <v>12</v>
      </c>
      <c r="F63" s="17" t="s">
        <v>11</v>
      </c>
      <c r="G63" s="17" t="s">
        <v>275</v>
      </c>
      <c r="H63" s="18">
        <f>[11]副本!G123</f>
        <v>25317.152999999998</v>
      </c>
      <c r="I63" s="18">
        <f>H63</f>
        <v>25317.152999999998</v>
      </c>
      <c r="J63" s="17"/>
      <c r="K63" s="15"/>
      <c r="L63" s="16">
        <f>H63-I63</f>
        <v>0</v>
      </c>
      <c r="M63" s="15">
        <v>30000</v>
      </c>
      <c r="N63" s="14"/>
      <c r="O63" s="13"/>
      <c r="P63" s="12" t="s">
        <v>285</v>
      </c>
    </row>
    <row r="64" spans="1:17" s="11" customFormat="1" ht="34.5" customHeight="1" x14ac:dyDescent="0.15">
      <c r="A64" s="17">
        <v>20170112</v>
      </c>
      <c r="B64" s="19" t="s">
        <v>284</v>
      </c>
      <c r="C64" s="36" t="s">
        <v>0</v>
      </c>
      <c r="D64" s="17" t="s">
        <v>277</v>
      </c>
      <c r="E64" s="17" t="s">
        <v>276</v>
      </c>
      <c r="F64" s="17" t="s">
        <v>17</v>
      </c>
      <c r="G64" s="17" t="s">
        <v>275</v>
      </c>
      <c r="H64" s="18">
        <f>[11]副本!G125</f>
        <v>14976.093999999999</v>
      </c>
      <c r="I64" s="18">
        <f>H64-14976.094</f>
        <v>0</v>
      </c>
      <c r="J64" s="17"/>
      <c r="K64" s="15">
        <v>200</v>
      </c>
      <c r="L64" s="16">
        <f>H64-I64</f>
        <v>14976.093999999999</v>
      </c>
      <c r="M64" s="15">
        <v>20000</v>
      </c>
      <c r="N64" s="14" t="s">
        <v>283</v>
      </c>
      <c r="O64" s="13" t="s">
        <v>282</v>
      </c>
      <c r="P64" s="12" t="s">
        <v>281</v>
      </c>
    </row>
    <row r="65" spans="1:16" s="11" customFormat="1" ht="34.5" customHeight="1" x14ac:dyDescent="0.15">
      <c r="A65" s="17">
        <v>20170112</v>
      </c>
      <c r="B65" s="19" t="s">
        <v>13</v>
      </c>
      <c r="C65" s="36" t="s">
        <v>0</v>
      </c>
      <c r="D65" s="17"/>
      <c r="E65" s="17" t="s">
        <v>12</v>
      </c>
      <c r="F65" s="17" t="s">
        <v>11</v>
      </c>
      <c r="G65" s="17" t="s">
        <v>275</v>
      </c>
      <c r="H65" s="18">
        <f>[11]副本!G127</f>
        <v>25173.616999999973</v>
      </c>
      <c r="I65" s="18">
        <f>H65</f>
        <v>25173.616999999973</v>
      </c>
      <c r="J65" s="17"/>
      <c r="K65" s="15"/>
      <c r="L65" s="16">
        <v>0</v>
      </c>
      <c r="M65" s="15">
        <v>30000</v>
      </c>
      <c r="N65" s="14"/>
      <c r="O65" s="13"/>
      <c r="P65" s="12"/>
    </row>
    <row r="66" spans="1:16" s="11" customFormat="1" ht="34.5" customHeight="1" x14ac:dyDescent="0.15">
      <c r="A66" s="17">
        <v>20170112</v>
      </c>
      <c r="B66" s="19" t="s">
        <v>10</v>
      </c>
      <c r="C66" s="36" t="s">
        <v>0</v>
      </c>
      <c r="D66" s="17"/>
      <c r="E66" s="17" t="s">
        <v>280</v>
      </c>
      <c r="F66" s="12" t="s">
        <v>8</v>
      </c>
      <c r="G66" s="17" t="s">
        <v>275</v>
      </c>
      <c r="H66" s="18">
        <f>[11]副本!G129</f>
        <v>5979.2150000000001</v>
      </c>
      <c r="I66" s="18">
        <v>0</v>
      </c>
      <c r="J66" s="17"/>
      <c r="K66" s="15"/>
      <c r="L66" s="16">
        <f>H66-I66</f>
        <v>5979.2150000000001</v>
      </c>
      <c r="M66" s="15">
        <v>20000</v>
      </c>
      <c r="N66" s="14"/>
      <c r="O66" s="13"/>
      <c r="P66" s="17"/>
    </row>
    <row r="67" spans="1:16" s="11" customFormat="1" ht="34.5" customHeight="1" x14ac:dyDescent="0.15">
      <c r="A67" s="17">
        <v>20170112</v>
      </c>
      <c r="B67" s="19" t="s">
        <v>30</v>
      </c>
      <c r="C67" s="19" t="s">
        <v>28</v>
      </c>
      <c r="D67" s="17" t="s">
        <v>277</v>
      </c>
      <c r="E67" s="17" t="s">
        <v>276</v>
      </c>
      <c r="F67" s="17" t="s">
        <v>257</v>
      </c>
      <c r="G67" s="17" t="s">
        <v>275</v>
      </c>
      <c r="H67" s="18">
        <f>[11]副本!G130</f>
        <v>5412.74</v>
      </c>
      <c r="I67" s="18">
        <f>H67</f>
        <v>5412.74</v>
      </c>
      <c r="J67" s="17"/>
      <c r="K67" s="15">
        <v>200</v>
      </c>
      <c r="L67" s="16">
        <v>0</v>
      </c>
      <c r="M67" s="15">
        <v>20000</v>
      </c>
      <c r="N67" s="14"/>
      <c r="O67" s="13"/>
      <c r="P67" s="12" t="s">
        <v>279</v>
      </c>
    </row>
    <row r="68" spans="1:16" s="11" customFormat="1" ht="34.5" customHeight="1" x14ac:dyDescent="0.15">
      <c r="A68" s="17">
        <v>20170112</v>
      </c>
      <c r="B68" s="19" t="s">
        <v>7</v>
      </c>
      <c r="C68" s="36" t="s">
        <v>0</v>
      </c>
      <c r="D68" s="17"/>
      <c r="E68" s="17"/>
      <c r="F68" s="63"/>
      <c r="G68" s="17"/>
      <c r="H68" s="18"/>
      <c r="I68" s="18"/>
      <c r="J68" s="17"/>
      <c r="K68" s="15"/>
      <c r="L68" s="16"/>
      <c r="M68" s="15">
        <v>15000</v>
      </c>
      <c r="N68" s="14"/>
      <c r="O68" s="13"/>
      <c r="P68" s="12"/>
    </row>
    <row r="69" spans="1:16" s="11" customFormat="1" ht="34.5" customHeight="1" x14ac:dyDescent="0.15">
      <c r="A69" s="17">
        <v>20170112</v>
      </c>
      <c r="B69" s="19" t="s">
        <v>278</v>
      </c>
      <c r="C69" s="36" t="s">
        <v>0</v>
      </c>
      <c r="D69" s="17" t="s">
        <v>277</v>
      </c>
      <c r="E69" s="17" t="s">
        <v>276</v>
      </c>
      <c r="F69" s="17" t="s">
        <v>3</v>
      </c>
      <c r="G69" s="17" t="s">
        <v>275</v>
      </c>
      <c r="H69" s="18">
        <f>[11]副本!G134</f>
        <v>12005.106</v>
      </c>
      <c r="I69" s="18">
        <f>H69-12005.106</f>
        <v>0</v>
      </c>
      <c r="J69" s="17"/>
      <c r="K69" s="15"/>
      <c r="L69" s="16">
        <f>H69-I69</f>
        <v>12005.106</v>
      </c>
      <c r="M69" s="15">
        <v>15000</v>
      </c>
      <c r="N69" s="14"/>
      <c r="O69" s="13"/>
      <c r="P69" s="12"/>
    </row>
    <row r="70" spans="1:16" s="11" customFormat="1" ht="34.5" customHeight="1" x14ac:dyDescent="0.15">
      <c r="A70" s="17">
        <v>20170112</v>
      </c>
      <c r="B70" s="19" t="s">
        <v>1</v>
      </c>
      <c r="C70" s="36" t="s">
        <v>0</v>
      </c>
      <c r="D70" s="17"/>
      <c r="E70" s="17"/>
      <c r="F70" s="63"/>
      <c r="G70" s="17"/>
      <c r="H70" s="18"/>
      <c r="I70" s="18"/>
      <c r="J70" s="17"/>
      <c r="K70" s="15"/>
      <c r="L70" s="16"/>
      <c r="M70" s="15">
        <v>15000</v>
      </c>
      <c r="N70" s="14"/>
      <c r="O70" s="13"/>
      <c r="P70" s="12"/>
    </row>
    <row r="76" spans="1:16" x14ac:dyDescent="0.15">
      <c r="L76" s="10"/>
    </row>
    <row r="228" spans="7:8" x14ac:dyDescent="0.15">
      <c r="G228" s="2"/>
      <c r="H228" s="2"/>
    </row>
  </sheetData>
  <autoFilter ref="B1:I70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35" activePane="bottomRight" state="frozen"/>
      <selection activeCell="G5" sqref="G5"/>
      <selection pane="topRight" activeCell="G5" sqref="G5"/>
      <selection pane="bottomLeft" activeCell="G5" sqref="G5"/>
      <selection pane="bottomRight" activeCell="F21" sqref="F21:F22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8.12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77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29" t="s">
        <v>272</v>
      </c>
      <c r="B1" s="38" t="s">
        <v>434</v>
      </c>
      <c r="C1" s="29" t="s">
        <v>171</v>
      </c>
      <c r="D1" s="29" t="s">
        <v>170</v>
      </c>
      <c r="E1" s="29" t="s">
        <v>169</v>
      </c>
      <c r="F1" s="29" t="s">
        <v>433</v>
      </c>
      <c r="G1" s="35" t="s">
        <v>167</v>
      </c>
      <c r="H1" s="34" t="s">
        <v>166</v>
      </c>
      <c r="I1" s="33" t="s">
        <v>432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33" customHeight="1" x14ac:dyDescent="0.15">
      <c r="A2" s="17">
        <v>20170113</v>
      </c>
      <c r="B2" s="19" t="s">
        <v>158</v>
      </c>
      <c r="C2" s="36" t="s">
        <v>63</v>
      </c>
      <c r="D2" s="19"/>
      <c r="E2" s="17" t="s">
        <v>141</v>
      </c>
      <c r="F2" s="63" t="s">
        <v>144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428</v>
      </c>
      <c r="O2" s="13" t="s">
        <v>416</v>
      </c>
      <c r="P2" s="12"/>
    </row>
    <row r="3" spans="1:17" s="11" customFormat="1" ht="33" customHeight="1" x14ac:dyDescent="0.15">
      <c r="A3" s="17">
        <v>20170113</v>
      </c>
      <c r="B3" s="19" t="s">
        <v>157</v>
      </c>
      <c r="C3" s="36" t="s">
        <v>63</v>
      </c>
      <c r="D3" s="19"/>
      <c r="E3" s="17" t="s">
        <v>431</v>
      </c>
      <c r="F3" s="63" t="s">
        <v>155</v>
      </c>
      <c r="G3" s="12" t="s">
        <v>54</v>
      </c>
      <c r="H3" s="18">
        <f>[12]副本!G5</f>
        <v>85.715999999999951</v>
      </c>
      <c r="I3" s="18">
        <f>H3-995.136+995.136</f>
        <v>85.715999999999894</v>
      </c>
      <c r="J3" s="17"/>
      <c r="K3" s="15"/>
      <c r="L3" s="16">
        <f>H3-I3</f>
        <v>0</v>
      </c>
      <c r="M3" s="15">
        <v>1500</v>
      </c>
      <c r="N3" s="14"/>
      <c r="O3" s="13"/>
      <c r="P3" s="12" t="s">
        <v>154</v>
      </c>
    </row>
    <row r="4" spans="1:17" s="11" customFormat="1" ht="33" customHeight="1" x14ac:dyDescent="0.15">
      <c r="A4" s="17">
        <v>20170113</v>
      </c>
      <c r="B4" s="19" t="s">
        <v>153</v>
      </c>
      <c r="C4" s="36" t="s">
        <v>63</v>
      </c>
      <c r="D4" s="19"/>
      <c r="E4" s="17" t="s">
        <v>386</v>
      </c>
      <c r="F4" s="63" t="s">
        <v>61</v>
      </c>
      <c r="G4" s="12" t="s">
        <v>54</v>
      </c>
      <c r="H4" s="18">
        <f>[12]副本!G7</f>
        <v>1865.2429999999958</v>
      </c>
      <c r="I4" s="18">
        <f>H4</f>
        <v>1865.2429999999958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430</v>
      </c>
    </row>
    <row r="5" spans="1:17" s="11" customFormat="1" ht="33" customHeight="1" x14ac:dyDescent="0.15">
      <c r="A5" s="17">
        <v>20170113</v>
      </c>
      <c r="B5" s="19" t="s">
        <v>149</v>
      </c>
      <c r="C5" s="36" t="s">
        <v>63</v>
      </c>
      <c r="D5" s="17"/>
      <c r="E5" s="17" t="s">
        <v>429</v>
      </c>
      <c r="F5" s="63" t="s">
        <v>140</v>
      </c>
      <c r="G5" s="12" t="s">
        <v>54</v>
      </c>
      <c r="H5" s="18"/>
      <c r="I5" s="18"/>
      <c r="J5" s="17"/>
      <c r="K5" s="15"/>
      <c r="L5" s="16"/>
      <c r="M5" s="15">
        <v>2000</v>
      </c>
      <c r="N5" s="14" t="s">
        <v>147</v>
      </c>
      <c r="O5" s="13" t="s">
        <v>416</v>
      </c>
      <c r="P5" s="12"/>
    </row>
    <row r="6" spans="1:17" s="11" customFormat="1" ht="33" customHeight="1" x14ac:dyDescent="0.15">
      <c r="A6" s="17">
        <v>20170113</v>
      </c>
      <c r="B6" s="19" t="s">
        <v>145</v>
      </c>
      <c r="C6" s="36" t="s">
        <v>63</v>
      </c>
      <c r="D6" s="17"/>
      <c r="E6" s="17" t="s">
        <v>141</v>
      </c>
      <c r="F6" s="63" t="s">
        <v>144</v>
      </c>
      <c r="G6" s="12" t="s">
        <v>54</v>
      </c>
      <c r="H6" s="18">
        <f>[12]副本!G11</f>
        <v>546.43000000000029</v>
      </c>
      <c r="I6" s="18">
        <f>H6</f>
        <v>546.43000000000029</v>
      </c>
      <c r="J6" s="17"/>
      <c r="K6" s="15"/>
      <c r="L6" s="16">
        <v>0</v>
      </c>
      <c r="M6" s="15">
        <v>3000</v>
      </c>
      <c r="N6" s="14" t="s">
        <v>428</v>
      </c>
      <c r="O6" s="13" t="s">
        <v>416</v>
      </c>
      <c r="P6" s="12" t="s">
        <v>427</v>
      </c>
      <c r="Q6" s="20"/>
    </row>
    <row r="7" spans="1:17" s="11" customFormat="1" ht="33" customHeight="1" x14ac:dyDescent="0.15">
      <c r="A7" s="17">
        <v>20170113</v>
      </c>
      <c r="B7" s="19" t="s">
        <v>142</v>
      </c>
      <c r="C7" s="36" t="s">
        <v>63</v>
      </c>
      <c r="D7" s="17"/>
      <c r="E7" s="17" t="s">
        <v>141</v>
      </c>
      <c r="F7" s="63" t="s">
        <v>140</v>
      </c>
      <c r="G7" s="17" t="s">
        <v>54</v>
      </c>
      <c r="H7" s="18">
        <f>[12]副本!G13</f>
        <v>1721.4849999999997</v>
      </c>
      <c r="I7" s="18">
        <f>H7</f>
        <v>1721.4849999999997</v>
      </c>
      <c r="J7" s="17"/>
      <c r="K7" s="15"/>
      <c r="L7" s="16">
        <v>0</v>
      </c>
      <c r="M7" s="15">
        <v>3000</v>
      </c>
      <c r="N7" s="14"/>
      <c r="O7" s="13"/>
      <c r="P7" s="12" t="s">
        <v>426</v>
      </c>
      <c r="Q7" s="20"/>
    </row>
    <row r="8" spans="1:17" s="11" customFormat="1" ht="33" customHeight="1" x14ac:dyDescent="0.15">
      <c r="A8" s="17">
        <v>20170113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33" customHeight="1" x14ac:dyDescent="0.15">
      <c r="A9" s="17">
        <v>20170113</v>
      </c>
      <c r="B9" s="19" t="s">
        <v>425</v>
      </c>
      <c r="C9" s="36" t="s">
        <v>290</v>
      </c>
      <c r="D9" s="17"/>
      <c r="E9" s="17" t="s">
        <v>280</v>
      </c>
      <c r="F9" s="17" t="s">
        <v>104</v>
      </c>
      <c r="G9" s="17" t="s">
        <v>54</v>
      </c>
      <c r="H9" s="17">
        <f>[12]副本!G17</f>
        <v>1322.4749999999999</v>
      </c>
      <c r="I9" s="18">
        <f>H9</f>
        <v>1322.4749999999999</v>
      </c>
      <c r="J9" s="17"/>
      <c r="K9" s="15">
        <v>70</v>
      </c>
      <c r="L9" s="16">
        <f>H9-I9</f>
        <v>0</v>
      </c>
      <c r="M9" s="15">
        <v>5000</v>
      </c>
      <c r="N9" s="14" t="s">
        <v>424</v>
      </c>
      <c r="O9" s="13" t="s">
        <v>423</v>
      </c>
      <c r="P9" s="12" t="s">
        <v>101</v>
      </c>
    </row>
    <row r="10" spans="1:17" s="11" customFormat="1" ht="33" customHeight="1" x14ac:dyDescent="0.15">
      <c r="A10" s="17">
        <v>20170113</v>
      </c>
      <c r="B10" s="19" t="s">
        <v>135</v>
      </c>
      <c r="C10" s="17" t="s">
        <v>63</v>
      </c>
      <c r="D10" s="17"/>
      <c r="E10" s="17" t="s">
        <v>404</v>
      </c>
      <c r="F10" s="17" t="s">
        <v>232</v>
      </c>
      <c r="G10" s="17" t="s">
        <v>54</v>
      </c>
      <c r="H10" s="18">
        <f>[12]副本!G19</f>
        <v>1.5219999999999345</v>
      </c>
      <c r="I10" s="18">
        <f>H10</f>
        <v>1.5219999999999345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422</v>
      </c>
    </row>
    <row r="11" spans="1:17" s="11" customFormat="1" ht="33" customHeight="1" x14ac:dyDescent="0.15">
      <c r="A11" s="17">
        <v>20170113</v>
      </c>
      <c r="B11" s="19" t="s">
        <v>135</v>
      </c>
      <c r="C11" s="17" t="s">
        <v>63</v>
      </c>
      <c r="D11" s="17"/>
      <c r="E11" s="17" t="s">
        <v>404</v>
      </c>
      <c r="F11" s="17" t="s">
        <v>261</v>
      </c>
      <c r="G11" s="17"/>
      <c r="H11" s="18">
        <f>[12]副本!G20</f>
        <v>122.22</v>
      </c>
      <c r="I11" s="18">
        <f>H11</f>
        <v>122.22</v>
      </c>
      <c r="J11" s="17"/>
      <c r="K11" s="15"/>
      <c r="L11" s="16">
        <f>H11-I11</f>
        <v>0</v>
      </c>
      <c r="M11" s="15">
        <v>1500</v>
      </c>
      <c r="N11" s="14"/>
      <c r="O11" s="13"/>
      <c r="P11" s="12" t="s">
        <v>421</v>
      </c>
    </row>
    <row r="12" spans="1:17" s="11" customFormat="1" ht="33" customHeight="1" x14ac:dyDescent="0.15">
      <c r="A12" s="17">
        <v>20170113</v>
      </c>
      <c r="B12" s="19" t="s">
        <v>135</v>
      </c>
      <c r="C12" s="17" t="s">
        <v>63</v>
      </c>
      <c r="D12" s="17"/>
      <c r="E12" s="17" t="s">
        <v>404</v>
      </c>
      <c r="F12" s="17" t="s">
        <v>91</v>
      </c>
      <c r="G12" s="17"/>
      <c r="H12" s="18">
        <f>[12]副本!G21</f>
        <v>1000</v>
      </c>
      <c r="I12" s="18">
        <f>H12</f>
        <v>1000</v>
      </c>
      <c r="J12" s="17"/>
      <c r="K12" s="15"/>
      <c r="L12" s="16">
        <f>H12-I12</f>
        <v>0</v>
      </c>
      <c r="M12" s="15">
        <v>1500</v>
      </c>
      <c r="N12" s="14"/>
      <c r="O12" s="13"/>
      <c r="P12" s="12" t="s">
        <v>421</v>
      </c>
    </row>
    <row r="13" spans="1:17" s="11" customFormat="1" ht="33" customHeight="1" x14ac:dyDescent="0.15">
      <c r="A13" s="17">
        <v>20170113</v>
      </c>
      <c r="B13" s="19" t="s">
        <v>134</v>
      </c>
      <c r="C13" s="17" t="s">
        <v>63</v>
      </c>
      <c r="D13" s="17"/>
      <c r="E13" s="17" t="s">
        <v>413</v>
      </c>
      <c r="F13" s="17" t="s">
        <v>256</v>
      </c>
      <c r="G13" s="17" t="s">
        <v>54</v>
      </c>
      <c r="H13" s="18">
        <f>[12]副本!G23</f>
        <v>1502.1479999999999</v>
      </c>
      <c r="I13" s="18">
        <f>H13</f>
        <v>1502.1479999999999</v>
      </c>
      <c r="J13" s="17"/>
      <c r="K13" s="15"/>
      <c r="L13" s="16">
        <f>H13-I13</f>
        <v>0</v>
      </c>
      <c r="M13" s="15">
        <v>1500</v>
      </c>
      <c r="N13" s="14"/>
      <c r="O13" s="13"/>
      <c r="P13" s="12"/>
    </row>
    <row r="14" spans="1:17" s="11" customFormat="1" ht="33" customHeight="1" x14ac:dyDescent="0.15">
      <c r="A14" s="17">
        <v>20170113</v>
      </c>
      <c r="B14" s="19" t="s">
        <v>133</v>
      </c>
      <c r="C14" s="36" t="s">
        <v>28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  <c r="Q14" s="20"/>
    </row>
    <row r="15" spans="1:17" s="11" customFormat="1" ht="33" customHeight="1" x14ac:dyDescent="0.15">
      <c r="A15" s="17">
        <v>20170113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33" customHeight="1" x14ac:dyDescent="0.15">
      <c r="A16" s="17">
        <v>20170113</v>
      </c>
      <c r="B16" s="19" t="s">
        <v>420</v>
      </c>
      <c r="C16" s="36" t="s">
        <v>63</v>
      </c>
      <c r="D16" s="17"/>
      <c r="E16" s="17" t="s">
        <v>404</v>
      </c>
      <c r="F16" s="17" t="s">
        <v>232</v>
      </c>
      <c r="G16" s="17" t="s">
        <v>54</v>
      </c>
      <c r="H16" s="18">
        <f>[12]副本!G29</f>
        <v>1051.9169999999999</v>
      </c>
      <c r="I16" s="18">
        <f>H16</f>
        <v>1051.9169999999999</v>
      </c>
      <c r="J16" s="17"/>
      <c r="K16" s="15">
        <v>50</v>
      </c>
      <c r="L16" s="16"/>
      <c r="M16" s="15">
        <v>1500</v>
      </c>
      <c r="N16" s="14"/>
      <c r="O16" s="13"/>
      <c r="P16" s="12" t="s">
        <v>419</v>
      </c>
    </row>
    <row r="17" spans="1:17" s="11" customFormat="1" ht="33" customHeight="1" x14ac:dyDescent="0.15">
      <c r="A17" s="17">
        <v>20170113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275</v>
      </c>
      <c r="H17" s="18">
        <f>[12]副本!G31-H18</f>
        <v>11855.247000000018</v>
      </c>
      <c r="I17" s="18">
        <f>H17</f>
        <v>11855.247000000018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416</v>
      </c>
      <c r="P17" s="12" t="s">
        <v>418</v>
      </c>
    </row>
    <row r="18" spans="1:17" s="11" customFormat="1" ht="33" customHeight="1" x14ac:dyDescent="0.15">
      <c r="A18" s="17">
        <v>20170113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/>
      <c r="H18" s="18">
        <f>[12]副本!G33</f>
        <v>6995.7529999999824</v>
      </c>
      <c r="I18" s="18">
        <f>H18</f>
        <v>6995.7529999999824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417</v>
      </c>
    </row>
    <row r="19" spans="1:17" s="11" customFormat="1" ht="33" customHeight="1" x14ac:dyDescent="0.15">
      <c r="A19" s="17">
        <v>20170113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33" customHeight="1" x14ac:dyDescent="0.15">
      <c r="A20" s="17">
        <v>20170113</v>
      </c>
      <c r="B20" s="19" t="s">
        <v>126</v>
      </c>
      <c r="C20" s="36" t="s">
        <v>63</v>
      </c>
      <c r="D20" s="17"/>
      <c r="E20" s="17"/>
      <c r="F20" s="17"/>
      <c r="G20" s="17"/>
      <c r="H20" s="18"/>
      <c r="I20" s="18"/>
      <c r="J20" s="17"/>
      <c r="K20" s="15"/>
      <c r="L20" s="16"/>
      <c r="M20" s="15">
        <v>3000</v>
      </c>
      <c r="N20" s="14"/>
      <c r="O20" s="13"/>
      <c r="P20" s="12"/>
    </row>
    <row r="21" spans="1:17" s="11" customFormat="1" ht="33" customHeight="1" x14ac:dyDescent="0.15">
      <c r="A21" s="17">
        <v>20170113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275</v>
      </c>
      <c r="H21" s="18">
        <f>[12]副本!G39-'20170113'!H22</f>
        <v>14915.537428000036</v>
      </c>
      <c r="I21" s="18">
        <f>H21</f>
        <v>14915.537428000036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416</v>
      </c>
      <c r="P21" s="12" t="s">
        <v>415</v>
      </c>
    </row>
    <row r="22" spans="1:17" s="11" customFormat="1" ht="33" customHeight="1" x14ac:dyDescent="0.15">
      <c r="A22" s="17">
        <v>20170113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/>
      <c r="H22" s="18">
        <f>[12]副本!G41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414</v>
      </c>
    </row>
    <row r="23" spans="1:17" s="11" customFormat="1" ht="33" customHeight="1" x14ac:dyDescent="0.15">
      <c r="A23" s="17">
        <v>20170113</v>
      </c>
      <c r="B23" s="19" t="s">
        <v>117</v>
      </c>
      <c r="C23" s="36" t="s">
        <v>63</v>
      </c>
      <c r="D23" s="17"/>
      <c r="E23" s="17" t="s">
        <v>413</v>
      </c>
      <c r="F23" s="17" t="s">
        <v>115</v>
      </c>
      <c r="G23" s="17" t="s">
        <v>275</v>
      </c>
      <c r="H23" s="18">
        <f>[12]副本!G43</f>
        <v>1965.8429999999996</v>
      </c>
      <c r="I23" s="18">
        <f>H23</f>
        <v>1965.8429999999996</v>
      </c>
      <c r="J23" s="17"/>
      <c r="K23" s="15">
        <v>200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33" customHeight="1" x14ac:dyDescent="0.15">
      <c r="A24" s="17">
        <v>20170113</v>
      </c>
      <c r="B24" s="19" t="s">
        <v>113</v>
      </c>
      <c r="C24" s="36" t="s">
        <v>0</v>
      </c>
      <c r="D24" s="17"/>
      <c r="E24" s="12" t="s">
        <v>412</v>
      </c>
      <c r="F24" s="17" t="s">
        <v>39</v>
      </c>
      <c r="G24" s="17" t="s">
        <v>275</v>
      </c>
      <c r="H24" s="18">
        <f>[12]副本!G45</f>
        <v>1890.6130000000001</v>
      </c>
      <c r="I24" s="18">
        <v>0</v>
      </c>
      <c r="J24" s="17"/>
      <c r="K24" s="15"/>
      <c r="L24" s="16">
        <f>H24-I24</f>
        <v>1890.6130000000001</v>
      </c>
      <c r="M24" s="15">
        <v>5000</v>
      </c>
      <c r="N24" s="14"/>
      <c r="O24" s="13"/>
      <c r="P24" s="37" t="s">
        <v>411</v>
      </c>
    </row>
    <row r="25" spans="1:17" s="11" customFormat="1" ht="33" customHeight="1" x14ac:dyDescent="0.15">
      <c r="A25" s="17">
        <v>20170113</v>
      </c>
      <c r="B25" s="19" t="s">
        <v>410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33" customHeight="1" x14ac:dyDescent="0.15">
      <c r="A26" s="17">
        <v>20170113</v>
      </c>
      <c r="B26" s="19" t="s">
        <v>109</v>
      </c>
      <c r="C26" s="36" t="s">
        <v>63</v>
      </c>
      <c r="D26" s="17"/>
      <c r="E26" s="17" t="s">
        <v>108</v>
      </c>
      <c r="F26" s="17" t="s">
        <v>248</v>
      </c>
      <c r="G26" s="17" t="s">
        <v>275</v>
      </c>
      <c r="H26" s="18">
        <f>[12]副本!G49</f>
        <v>80.561000000042895</v>
      </c>
      <c r="I26" s="18">
        <f>H26</f>
        <v>80.561000000042895</v>
      </c>
      <c r="J26" s="17"/>
      <c r="K26" s="15">
        <v>80</v>
      </c>
      <c r="L26" s="16">
        <f>H26-I26</f>
        <v>0</v>
      </c>
      <c r="M26" s="15">
        <v>4000</v>
      </c>
      <c r="N26" s="14" t="s">
        <v>380</v>
      </c>
      <c r="O26" s="13" t="s">
        <v>379</v>
      </c>
      <c r="P26" s="12"/>
    </row>
    <row r="27" spans="1:17" s="11" customFormat="1" ht="33" customHeight="1" x14ac:dyDescent="0.15">
      <c r="A27" s="17">
        <v>20170113</v>
      </c>
      <c r="B27" s="19" t="s">
        <v>106</v>
      </c>
      <c r="C27" s="36" t="s">
        <v>409</v>
      </c>
      <c r="D27" s="17"/>
      <c r="E27" s="17" t="s">
        <v>280</v>
      </c>
      <c r="F27" s="17" t="s">
        <v>104</v>
      </c>
      <c r="G27" s="17" t="s">
        <v>275</v>
      </c>
      <c r="H27" s="18">
        <f>[12]副本!G51</f>
        <v>125.36499999999998</v>
      </c>
      <c r="I27" s="18">
        <f>H27</f>
        <v>125.36499999999998</v>
      </c>
      <c r="J27" s="17"/>
      <c r="K27" s="15"/>
      <c r="L27" s="16">
        <f>H27-I27</f>
        <v>0</v>
      </c>
      <c r="M27" s="15">
        <v>5000</v>
      </c>
      <c r="N27" s="14" t="s">
        <v>408</v>
      </c>
      <c r="O27" s="13" t="s">
        <v>407</v>
      </c>
      <c r="P27" s="12" t="s">
        <v>101</v>
      </c>
    </row>
    <row r="28" spans="1:17" s="11" customFormat="1" ht="33" customHeight="1" x14ac:dyDescent="0.15">
      <c r="A28" s="17">
        <v>20170113</v>
      </c>
      <c r="B28" s="19" t="s">
        <v>100</v>
      </c>
      <c r="C28" s="36" t="s">
        <v>96</v>
      </c>
      <c r="D28" s="17"/>
      <c r="E28" s="17"/>
      <c r="F28" s="17"/>
      <c r="G28" s="17"/>
      <c r="H28" s="18"/>
      <c r="I28" s="18"/>
      <c r="J28" s="17"/>
      <c r="K28" s="15"/>
      <c r="L28" s="16"/>
      <c r="M28" s="15">
        <v>2000</v>
      </c>
      <c r="N28" s="14"/>
      <c r="O28" s="13"/>
      <c r="P28" s="12"/>
    </row>
    <row r="29" spans="1:17" s="11" customFormat="1" ht="33" customHeight="1" x14ac:dyDescent="0.15">
      <c r="A29" s="17">
        <v>20170113</v>
      </c>
      <c r="B29" s="19" t="s">
        <v>406</v>
      </c>
      <c r="C29" s="36" t="s">
        <v>96</v>
      </c>
      <c r="D29" s="17"/>
      <c r="E29" s="17" t="s">
        <v>394</v>
      </c>
      <c r="F29" s="17"/>
      <c r="G29" s="17"/>
      <c r="H29" s="18"/>
      <c r="I29" s="18"/>
      <c r="J29" s="17"/>
      <c r="K29" s="15"/>
      <c r="L29" s="16"/>
      <c r="M29" s="15">
        <v>1500</v>
      </c>
      <c r="N29" s="14"/>
      <c r="O29" s="13"/>
      <c r="P29" s="12"/>
    </row>
    <row r="30" spans="1:17" s="11" customFormat="1" ht="33" customHeight="1" x14ac:dyDescent="0.15">
      <c r="A30" s="17">
        <v>20170113</v>
      </c>
      <c r="B30" s="19" t="s">
        <v>98</v>
      </c>
      <c r="C30" s="36" t="s">
        <v>96</v>
      </c>
      <c r="D30" s="17"/>
      <c r="E30" s="17"/>
      <c r="F30" s="17"/>
      <c r="G30" s="17"/>
      <c r="H30" s="18"/>
      <c r="I30" s="18"/>
      <c r="J30" s="17"/>
      <c r="K30" s="15"/>
      <c r="L30" s="16">
        <f>H30-I30</f>
        <v>0</v>
      </c>
      <c r="M30" s="15">
        <v>1500</v>
      </c>
      <c r="N30" s="14"/>
      <c r="O30" s="13"/>
      <c r="P30" s="12"/>
      <c r="Q30" s="20"/>
    </row>
    <row r="31" spans="1:17" s="11" customFormat="1" ht="33" customHeight="1" x14ac:dyDescent="0.15">
      <c r="A31" s="17">
        <v>20170113</v>
      </c>
      <c r="B31" s="19" t="s">
        <v>97</v>
      </c>
      <c r="C31" s="36" t="s">
        <v>96</v>
      </c>
      <c r="D31" s="17"/>
      <c r="E31" s="17" t="s">
        <v>394</v>
      </c>
      <c r="F31" s="17" t="s">
        <v>39</v>
      </c>
      <c r="G31" s="17" t="s">
        <v>275</v>
      </c>
      <c r="H31" s="18">
        <f>[12]副本!G59</f>
        <v>566.52499999999986</v>
      </c>
      <c r="I31" s="18">
        <f>H31</f>
        <v>566.52499999999986</v>
      </c>
      <c r="J31" s="17"/>
      <c r="K31" s="15"/>
      <c r="L31" s="16">
        <f>H31-I31</f>
        <v>0</v>
      </c>
      <c r="M31" s="15">
        <v>1500</v>
      </c>
      <c r="N31" s="14"/>
      <c r="O31" s="13"/>
      <c r="P31" s="12" t="s">
        <v>396</v>
      </c>
    </row>
    <row r="32" spans="1:17" s="11" customFormat="1" ht="33" customHeight="1" x14ac:dyDescent="0.15">
      <c r="A32" s="17">
        <v>20170113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33" customHeight="1" x14ac:dyDescent="0.15">
      <c r="A33" s="17">
        <v>20170113</v>
      </c>
      <c r="B33" s="19" t="s">
        <v>405</v>
      </c>
      <c r="C33" s="36" t="s">
        <v>387</v>
      </c>
      <c r="D33" s="17"/>
      <c r="E33" s="17" t="s">
        <v>404</v>
      </c>
      <c r="F33" s="17" t="s">
        <v>91</v>
      </c>
      <c r="G33" s="17"/>
      <c r="H33" s="17">
        <f>[12]副本!G63</f>
        <v>497.47600000000023</v>
      </c>
      <c r="I33" s="18">
        <f>H33-1035.099+1035.099</f>
        <v>497.47600000000023</v>
      </c>
      <c r="J33" s="17"/>
      <c r="K33" s="15">
        <v>20</v>
      </c>
      <c r="L33" s="16">
        <f>H33-I33</f>
        <v>0</v>
      </c>
      <c r="M33" s="15">
        <v>2000</v>
      </c>
      <c r="N33" s="14"/>
      <c r="O33" s="13"/>
      <c r="P33" s="12" t="s">
        <v>403</v>
      </c>
    </row>
    <row r="34" spans="1:16" s="11" customFormat="1" ht="33" customHeight="1" x14ac:dyDescent="0.15">
      <c r="A34" s="17">
        <v>20170113</v>
      </c>
      <c r="B34" s="19" t="s">
        <v>89</v>
      </c>
      <c r="C34" s="36" t="s">
        <v>63</v>
      </c>
      <c r="D34" s="17" t="s">
        <v>88</v>
      </c>
      <c r="E34" s="17" t="s">
        <v>401</v>
      </c>
      <c r="F34" s="17" t="s">
        <v>216</v>
      </c>
      <c r="G34" s="17" t="s">
        <v>54</v>
      </c>
      <c r="H34" s="18">
        <f>[12]副本!G65</f>
        <v>725.54299999999989</v>
      </c>
      <c r="I34" s="18">
        <f>H34-1037.023+500+537.023</f>
        <v>725.54300000000001</v>
      </c>
      <c r="J34" s="17"/>
      <c r="K34" s="15">
        <v>70</v>
      </c>
      <c r="L34" s="16">
        <f>H34-I34</f>
        <v>0</v>
      </c>
      <c r="M34" s="15">
        <v>3000</v>
      </c>
      <c r="N34" s="14"/>
      <c r="O34" s="13"/>
      <c r="P34" s="24" t="s">
        <v>222</v>
      </c>
    </row>
    <row r="35" spans="1:16" s="11" customFormat="1" ht="33" customHeight="1" x14ac:dyDescent="0.15">
      <c r="A35" s="17">
        <v>20170113</v>
      </c>
      <c r="B35" s="19" t="s">
        <v>85</v>
      </c>
      <c r="C35" s="36" t="s">
        <v>63</v>
      </c>
      <c r="D35" s="17" t="s">
        <v>277</v>
      </c>
      <c r="E35" s="17" t="s">
        <v>84</v>
      </c>
      <c r="F35" s="17" t="s">
        <v>81</v>
      </c>
      <c r="G35" s="17" t="s">
        <v>54</v>
      </c>
      <c r="H35" s="18"/>
      <c r="I35" s="18"/>
      <c r="J35" s="17"/>
      <c r="K35" s="15"/>
      <c r="L35" s="16"/>
      <c r="M35" s="15">
        <v>4000</v>
      </c>
      <c r="N35" s="14"/>
      <c r="O35" s="13"/>
      <c r="P35" s="12"/>
    </row>
    <row r="36" spans="1:16" s="11" customFormat="1" ht="33" customHeight="1" x14ac:dyDescent="0.15">
      <c r="A36" s="17">
        <v>20170113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33" customHeight="1" x14ac:dyDescent="0.15">
      <c r="A37" s="17">
        <v>20170113</v>
      </c>
      <c r="B37" s="19" t="s">
        <v>400</v>
      </c>
      <c r="C37" s="36" t="s">
        <v>387</v>
      </c>
      <c r="D37" s="17" t="s">
        <v>277</v>
      </c>
      <c r="E37" s="17" t="s">
        <v>398</v>
      </c>
      <c r="F37" s="17" t="s">
        <v>81</v>
      </c>
      <c r="G37" s="17" t="s">
        <v>275</v>
      </c>
      <c r="H37" s="18">
        <f>[12]副本!G71</f>
        <v>1042.8200000000525</v>
      </c>
      <c r="I37" s="18">
        <f>H37-955.747+477.874+477.873-1042.865-2628.137+500+542.865+2102.57+525.567-499.112-3147.566+2100+525+525+496.678-2617.899+1574.891+525</f>
        <v>524.81200000005265</v>
      </c>
      <c r="J37" s="17"/>
      <c r="K37" s="15"/>
      <c r="L37" s="16">
        <f>H37-I37</f>
        <v>518.00799999999981</v>
      </c>
      <c r="M37" s="15">
        <v>5000</v>
      </c>
      <c r="N37" s="14"/>
      <c r="O37" s="13"/>
      <c r="P37" s="12" t="s">
        <v>399</v>
      </c>
    </row>
    <row r="38" spans="1:16" s="11" customFormat="1" ht="33" customHeight="1" x14ac:dyDescent="0.15">
      <c r="A38" s="17">
        <v>20170113</v>
      </c>
      <c r="B38" s="19" t="s">
        <v>400</v>
      </c>
      <c r="C38" s="36" t="s">
        <v>387</v>
      </c>
      <c r="D38" s="17" t="s">
        <v>277</v>
      </c>
      <c r="E38" s="17" t="s">
        <v>398</v>
      </c>
      <c r="F38" s="17" t="s">
        <v>77</v>
      </c>
      <c r="G38" s="17" t="s">
        <v>275</v>
      </c>
      <c r="H38" s="18">
        <f>[12]副本!G72</f>
        <v>2.6340000000004693</v>
      </c>
      <c r="I38" s="18">
        <f>H38</f>
        <v>2.6340000000004693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76</v>
      </c>
    </row>
    <row r="39" spans="1:16" s="11" customFormat="1" ht="33" customHeight="1" x14ac:dyDescent="0.15">
      <c r="A39" s="17">
        <v>20170113</v>
      </c>
      <c r="B39" s="19" t="s">
        <v>74</v>
      </c>
      <c r="C39" s="36" t="s">
        <v>28</v>
      </c>
      <c r="D39" s="17"/>
      <c r="E39" s="17" t="s">
        <v>394</v>
      </c>
      <c r="F39" s="17" t="s">
        <v>39</v>
      </c>
      <c r="G39" s="17" t="s">
        <v>275</v>
      </c>
      <c r="H39" s="18">
        <f>[12]副本!G74</f>
        <v>983.9039999999975</v>
      </c>
      <c r="I39" s="18">
        <f>H39</f>
        <v>983.9039999999975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397</v>
      </c>
    </row>
    <row r="40" spans="1:16" s="11" customFormat="1" ht="33" customHeight="1" x14ac:dyDescent="0.15">
      <c r="A40" s="17">
        <v>20170113</v>
      </c>
      <c r="B40" s="19" t="s">
        <v>74</v>
      </c>
      <c r="C40" s="36" t="s">
        <v>28</v>
      </c>
      <c r="D40" s="17"/>
      <c r="E40" s="17" t="s">
        <v>394</v>
      </c>
      <c r="F40" s="17" t="s">
        <v>71</v>
      </c>
      <c r="G40" s="17" t="s">
        <v>275</v>
      </c>
      <c r="H40" s="18">
        <f>[12]副本!G75</f>
        <v>17.683000000000106</v>
      </c>
      <c r="I40" s="18">
        <f>H40</f>
        <v>17.683000000000106</v>
      </c>
      <c r="J40" s="17"/>
      <c r="K40" s="15"/>
      <c r="L40" s="16"/>
      <c r="M40" s="15">
        <v>4000</v>
      </c>
      <c r="N40" s="14"/>
      <c r="O40" s="13"/>
      <c r="P40" s="12" t="s">
        <v>396</v>
      </c>
    </row>
    <row r="41" spans="1:16" s="11" customFormat="1" ht="33" customHeight="1" x14ac:dyDescent="0.15">
      <c r="A41" s="17">
        <v>20170113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33" customHeight="1" x14ac:dyDescent="0.15">
      <c r="A42" s="17">
        <v>20170113</v>
      </c>
      <c r="B42" s="19" t="s">
        <v>72</v>
      </c>
      <c r="C42" s="36" t="s">
        <v>294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33" customHeight="1" x14ac:dyDescent="0.15">
      <c r="A43" s="17">
        <v>20170113</v>
      </c>
      <c r="B43" s="19" t="s">
        <v>395</v>
      </c>
      <c r="C43" s="36" t="s">
        <v>294</v>
      </c>
      <c r="D43" s="17"/>
      <c r="E43" s="17" t="s">
        <v>394</v>
      </c>
      <c r="F43" s="17" t="s">
        <v>39</v>
      </c>
      <c r="G43" s="17" t="s">
        <v>275</v>
      </c>
      <c r="H43" s="18">
        <f>[12]副本!G82</f>
        <v>1906.4709999999991</v>
      </c>
      <c r="I43" s="18">
        <f>H43</f>
        <v>1906.4709999999991</v>
      </c>
      <c r="J43" s="17"/>
      <c r="K43" s="15"/>
      <c r="L43" s="16">
        <f>H43-I43</f>
        <v>0</v>
      </c>
      <c r="M43" s="15">
        <v>5000</v>
      </c>
      <c r="N43" s="21"/>
      <c r="O43" s="13"/>
      <c r="P43" s="12" t="s">
        <v>393</v>
      </c>
    </row>
    <row r="44" spans="1:16" s="11" customFormat="1" ht="33" customHeight="1" x14ac:dyDescent="0.15">
      <c r="A44" s="17">
        <v>20170113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33" customHeight="1" x14ac:dyDescent="0.15">
      <c r="A45" s="17">
        <v>20170113</v>
      </c>
      <c r="B45" s="19" t="s">
        <v>64</v>
      </c>
      <c r="C45" s="36" t="s">
        <v>63</v>
      </c>
      <c r="D45" s="17"/>
      <c r="E45" s="17" t="s">
        <v>392</v>
      </c>
      <c r="F45" s="17" t="s">
        <v>232</v>
      </c>
      <c r="G45" s="17" t="s">
        <v>275</v>
      </c>
      <c r="H45" s="18">
        <f>[12]副本!G88</f>
        <v>984.85799999999995</v>
      </c>
      <c r="I45" s="18">
        <f>H45</f>
        <v>984.85799999999995</v>
      </c>
      <c r="J45" s="17"/>
      <c r="K45" s="15"/>
      <c r="L45" s="16">
        <f>H45-I45</f>
        <v>0</v>
      </c>
      <c r="M45" s="15">
        <v>5000</v>
      </c>
      <c r="N45" s="14"/>
      <c r="O45" s="13"/>
      <c r="P45" s="12" t="s">
        <v>391</v>
      </c>
    </row>
    <row r="46" spans="1:16" s="11" customFormat="1" ht="33" customHeight="1" x14ac:dyDescent="0.15">
      <c r="A46" s="17">
        <v>20170113</v>
      </c>
      <c r="B46" s="19" t="s">
        <v>64</v>
      </c>
      <c r="C46" s="36" t="s">
        <v>63</v>
      </c>
      <c r="D46" s="17"/>
      <c r="E46" s="17" t="s">
        <v>392</v>
      </c>
      <c r="F46" s="17" t="s">
        <v>140</v>
      </c>
      <c r="G46" s="17"/>
      <c r="H46" s="18">
        <f>[12]副本!G89</f>
        <v>1000</v>
      </c>
      <c r="I46" s="18">
        <f>H46</f>
        <v>1000</v>
      </c>
      <c r="J46" s="17"/>
      <c r="K46" s="15"/>
      <c r="L46" s="16"/>
      <c r="M46" s="15">
        <v>5000</v>
      </c>
      <c r="N46" s="14"/>
      <c r="O46" s="13"/>
      <c r="P46" s="12" t="s">
        <v>391</v>
      </c>
    </row>
    <row r="47" spans="1:16" s="11" customFormat="1" ht="33" customHeight="1" x14ac:dyDescent="0.15">
      <c r="A47" s="17">
        <v>20170113</v>
      </c>
      <c r="B47" s="19" t="s">
        <v>62</v>
      </c>
      <c r="C47" s="36" t="s">
        <v>387</v>
      </c>
      <c r="D47" s="17"/>
      <c r="E47" s="17" t="s">
        <v>386</v>
      </c>
      <c r="F47" s="17" t="s">
        <v>61</v>
      </c>
      <c r="G47" s="17" t="s">
        <v>275</v>
      </c>
      <c r="H47" s="18">
        <f>[12]副本!G91</f>
        <v>1432.963999999994</v>
      </c>
      <c r="I47" s="18">
        <f>H47</f>
        <v>1432.963999999994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33" customHeight="1" x14ac:dyDescent="0.15">
      <c r="A48" s="17">
        <v>20170113</v>
      </c>
      <c r="B48" s="19" t="s">
        <v>390</v>
      </c>
      <c r="C48" s="36" t="s">
        <v>294</v>
      </c>
      <c r="D48" s="17" t="s">
        <v>277</v>
      </c>
      <c r="E48" s="17" t="s">
        <v>292</v>
      </c>
      <c r="F48" s="17" t="s">
        <v>48</v>
      </c>
      <c r="G48" s="17" t="s">
        <v>275</v>
      </c>
      <c r="H48" s="18">
        <f>[12]副本!G93</f>
        <v>2409.6100000000006</v>
      </c>
      <c r="I48" s="18">
        <v>0</v>
      </c>
      <c r="J48" s="17"/>
      <c r="K48" s="15"/>
      <c r="L48" s="16">
        <f>H48-I48</f>
        <v>2409.6100000000006</v>
      </c>
      <c r="M48" s="15">
        <v>10000</v>
      </c>
      <c r="N48" s="14"/>
      <c r="O48" s="13"/>
      <c r="P48" s="12"/>
    </row>
    <row r="49" spans="1:17" s="11" customFormat="1" ht="33" customHeight="1" x14ac:dyDescent="0.15">
      <c r="A49" s="17">
        <v>20170113</v>
      </c>
      <c r="B49" s="19" t="s">
        <v>389</v>
      </c>
      <c r="C49" s="36" t="s">
        <v>28</v>
      </c>
      <c r="D49" s="17" t="s">
        <v>277</v>
      </c>
      <c r="E49" s="17" t="s">
        <v>292</v>
      </c>
      <c r="F49" s="17" t="s">
        <v>48</v>
      </c>
      <c r="G49" s="17" t="s">
        <v>275</v>
      </c>
      <c r="H49" s="18">
        <f>[12]副本!G95</f>
        <v>5018.1350000000002</v>
      </c>
      <c r="I49" s="18"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33" customHeight="1" x14ac:dyDescent="0.15">
      <c r="A50" s="17">
        <v>20170113</v>
      </c>
      <c r="B50" s="19" t="s">
        <v>388</v>
      </c>
      <c r="C50" s="36" t="s">
        <v>387</v>
      </c>
      <c r="D50" s="17"/>
      <c r="E50" s="17" t="s">
        <v>386</v>
      </c>
      <c r="F50" s="17" t="s">
        <v>268</v>
      </c>
      <c r="G50" s="17" t="s">
        <v>54</v>
      </c>
      <c r="H50" s="18">
        <f>[12]副本!G97</f>
        <v>2897.4420000000082</v>
      </c>
      <c r="I50" s="18">
        <f>H50</f>
        <v>2897.4420000000082</v>
      </c>
      <c r="J50" s="17"/>
      <c r="K50" s="16"/>
      <c r="L50" s="16">
        <v>0</v>
      </c>
      <c r="M50" s="15">
        <v>5000</v>
      </c>
      <c r="N50" s="23" t="s">
        <v>385</v>
      </c>
      <c r="O50" s="22" t="s">
        <v>384</v>
      </c>
      <c r="P50" s="12" t="s">
        <v>51</v>
      </c>
    </row>
    <row r="51" spans="1:17" s="11" customFormat="1" ht="33" customHeight="1" x14ac:dyDescent="0.15">
      <c r="A51" s="17">
        <v>20170113</v>
      </c>
      <c r="B51" s="19" t="s">
        <v>50</v>
      </c>
      <c r="C51" s="36" t="s">
        <v>28</v>
      </c>
      <c r="D51" s="17"/>
      <c r="E51" s="17" t="s">
        <v>383</v>
      </c>
      <c r="F51" s="17" t="s">
        <v>249</v>
      </c>
      <c r="G51" s="17" t="s">
        <v>275</v>
      </c>
      <c r="H51" s="18">
        <f>[12]副本!G99</f>
        <v>565.279</v>
      </c>
      <c r="I51" s="18">
        <f>H51</f>
        <v>565.279</v>
      </c>
      <c r="J51" s="17"/>
      <c r="K51" s="15"/>
      <c r="L51" s="16">
        <f>H51-I51</f>
        <v>0</v>
      </c>
      <c r="M51" s="15">
        <v>3000</v>
      </c>
      <c r="N51" s="14"/>
      <c r="O51" s="13"/>
      <c r="P51" s="12" t="s">
        <v>382</v>
      </c>
    </row>
    <row r="52" spans="1:17" s="11" customFormat="1" ht="33" customHeight="1" x14ac:dyDescent="0.15">
      <c r="A52" s="17">
        <v>20170113</v>
      </c>
      <c r="B52" s="19" t="s">
        <v>381</v>
      </c>
      <c r="C52" s="36" t="s">
        <v>28</v>
      </c>
      <c r="D52" s="17" t="s">
        <v>277</v>
      </c>
      <c r="E52" s="17" t="s">
        <v>292</v>
      </c>
      <c r="F52" s="17" t="s">
        <v>48</v>
      </c>
      <c r="G52" s="17" t="s">
        <v>287</v>
      </c>
      <c r="H52" s="18">
        <f>[12]副本!G101</f>
        <v>17900.637999999999</v>
      </c>
      <c r="I52" s="18">
        <v>0</v>
      </c>
      <c r="J52" s="17"/>
      <c r="K52" s="15"/>
      <c r="L52" s="16">
        <f>H52-I52</f>
        <v>17900.637999999999</v>
      </c>
      <c r="M52" s="15">
        <v>25000</v>
      </c>
      <c r="N52" s="14" t="s">
        <v>380</v>
      </c>
      <c r="O52" s="13" t="s">
        <v>379</v>
      </c>
      <c r="P52" s="12" t="s">
        <v>378</v>
      </c>
    </row>
    <row r="53" spans="1:17" s="11" customFormat="1" ht="33" customHeight="1" x14ac:dyDescent="0.15">
      <c r="A53" s="17">
        <v>20170113</v>
      </c>
      <c r="B53" s="19" t="s">
        <v>377</v>
      </c>
      <c r="C53" s="36" t="s">
        <v>294</v>
      </c>
      <c r="D53" s="17" t="s">
        <v>277</v>
      </c>
      <c r="E53" s="17" t="s">
        <v>292</v>
      </c>
      <c r="F53" s="17" t="s">
        <v>234</v>
      </c>
      <c r="G53" s="17" t="s">
        <v>287</v>
      </c>
      <c r="H53" s="18">
        <f>[12]副本!G103</f>
        <v>12990.035000000082</v>
      </c>
      <c r="I53" s="18">
        <v>0</v>
      </c>
      <c r="J53" s="17"/>
      <c r="K53" s="15"/>
      <c r="L53" s="16">
        <f>H53-I53</f>
        <v>12990.035000000082</v>
      </c>
      <c r="M53" s="15">
        <v>50000</v>
      </c>
      <c r="N53" s="14"/>
      <c r="O53" s="13"/>
      <c r="P53" s="12"/>
    </row>
    <row r="54" spans="1:17" s="11" customFormat="1" ht="33" customHeight="1" x14ac:dyDescent="0.15">
      <c r="A54" s="17">
        <v>20170113</v>
      </c>
      <c r="B54" s="19" t="s">
        <v>41</v>
      </c>
      <c r="C54" s="36" t="s">
        <v>28</v>
      </c>
      <c r="D54" s="17"/>
      <c r="E54" s="17"/>
      <c r="F54" s="17"/>
      <c r="G54" s="17"/>
      <c r="H54" s="18"/>
      <c r="I54" s="18"/>
      <c r="J54" s="17"/>
      <c r="K54" s="15"/>
      <c r="L54" s="16">
        <f>H54-I54</f>
        <v>0</v>
      </c>
      <c r="M54" s="15">
        <v>4000</v>
      </c>
      <c r="N54" s="14"/>
      <c r="O54" s="13"/>
      <c r="P54" s="12"/>
    </row>
    <row r="55" spans="1:17" s="11" customFormat="1" ht="33" customHeight="1" x14ac:dyDescent="0.15">
      <c r="A55" s="17">
        <v>20170113</v>
      </c>
      <c r="B55" s="19" t="s">
        <v>293</v>
      </c>
      <c r="C55" s="36" t="s">
        <v>290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33" customHeight="1" x14ac:dyDescent="0.15">
      <c r="A56" s="17">
        <v>20170113</v>
      </c>
      <c r="B56" s="19" t="s">
        <v>36</v>
      </c>
      <c r="C56" s="36" t="s">
        <v>290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33" customHeight="1" x14ac:dyDescent="0.15">
      <c r="A57" s="17">
        <v>20170113</v>
      </c>
      <c r="B57" s="19" t="s">
        <v>35</v>
      </c>
      <c r="C57" s="36" t="s">
        <v>28</v>
      </c>
      <c r="D57" s="17" t="s">
        <v>277</v>
      </c>
      <c r="E57" s="17" t="s">
        <v>292</v>
      </c>
      <c r="F57" s="17" t="s">
        <v>435</v>
      </c>
      <c r="G57" s="17" t="s">
        <v>287</v>
      </c>
      <c r="H57" s="18">
        <f>[12]副本!G112</f>
        <v>6957.8649999999998</v>
      </c>
      <c r="I57" s="18">
        <f>H57-6957.865</f>
        <v>0</v>
      </c>
      <c r="J57" s="17"/>
      <c r="K57" s="16"/>
      <c r="L57" s="16">
        <f>H57-I57</f>
        <v>6957.8649999999998</v>
      </c>
      <c r="M57" s="15">
        <v>10000</v>
      </c>
      <c r="N57" s="14"/>
      <c r="O57" s="13"/>
      <c r="P57" s="12"/>
      <c r="Q57" s="20"/>
    </row>
    <row r="58" spans="1:17" s="11" customFormat="1" ht="33" customHeight="1" x14ac:dyDescent="0.15">
      <c r="A58" s="17">
        <v>20170113</v>
      </c>
      <c r="B58" s="19" t="s">
        <v>291</v>
      </c>
      <c r="C58" s="36" t="s">
        <v>290</v>
      </c>
      <c r="D58" s="17" t="s">
        <v>277</v>
      </c>
      <c r="E58" s="17" t="s">
        <v>276</v>
      </c>
      <c r="F58" s="17" t="s">
        <v>436</v>
      </c>
      <c r="G58" s="17" t="s">
        <v>287</v>
      </c>
      <c r="H58" s="18">
        <f>[12]副本!G114</f>
        <v>9990.9</v>
      </c>
      <c r="I58" s="18">
        <v>0</v>
      </c>
      <c r="J58" s="17"/>
      <c r="K58" s="21"/>
      <c r="L58" s="16">
        <f>H58-I58</f>
        <v>9990.9</v>
      </c>
      <c r="M58" s="15">
        <v>15000</v>
      </c>
      <c r="N58" s="14"/>
      <c r="O58" s="13"/>
      <c r="P58" s="12" t="s">
        <v>376</v>
      </c>
      <c r="Q58" s="20"/>
    </row>
    <row r="59" spans="1:17" s="11" customFormat="1" ht="33" customHeight="1" x14ac:dyDescent="0.15">
      <c r="A59" s="17">
        <v>20170113</v>
      </c>
      <c r="B59" s="19" t="s">
        <v>30</v>
      </c>
      <c r="C59" s="19" t="s">
        <v>28</v>
      </c>
      <c r="D59" s="17" t="s">
        <v>277</v>
      </c>
      <c r="E59" s="17" t="s">
        <v>276</v>
      </c>
      <c r="F59" s="17" t="s">
        <v>3</v>
      </c>
      <c r="G59" s="17" t="s">
        <v>287</v>
      </c>
      <c r="H59" s="18">
        <f>[12]副本!G116</f>
        <v>17062.353999999999</v>
      </c>
      <c r="I59" s="18">
        <f>H59</f>
        <v>17062.353999999999</v>
      </c>
      <c r="J59" s="17"/>
      <c r="K59" s="15"/>
      <c r="L59" s="16"/>
      <c r="M59" s="15">
        <v>43000</v>
      </c>
      <c r="N59" s="14"/>
      <c r="O59" s="13"/>
      <c r="P59" s="12" t="s">
        <v>289</v>
      </c>
      <c r="Q59" s="20"/>
    </row>
    <row r="60" spans="1:17" s="11" customFormat="1" ht="33" customHeight="1" x14ac:dyDescent="0.15">
      <c r="A60" s="17">
        <v>20170113</v>
      </c>
      <c r="B60" s="19" t="s">
        <v>30</v>
      </c>
      <c r="C60" s="19" t="s">
        <v>28</v>
      </c>
      <c r="D60" s="17" t="s">
        <v>277</v>
      </c>
      <c r="E60" s="17" t="s">
        <v>276</v>
      </c>
      <c r="F60" s="17" t="s">
        <v>251</v>
      </c>
      <c r="G60" s="17" t="s">
        <v>287</v>
      </c>
      <c r="H60" s="18">
        <f>[12]副本!G117</f>
        <v>9.6599999999998545</v>
      </c>
      <c r="I60" s="18">
        <f>H60</f>
        <v>9.6599999999998545</v>
      </c>
      <c r="J60" s="17"/>
      <c r="K60" s="15">
        <v>450</v>
      </c>
      <c r="L60" s="16"/>
      <c r="M60" s="15">
        <v>43000</v>
      </c>
      <c r="N60" s="14"/>
      <c r="O60" s="13"/>
      <c r="P60" s="12" t="s">
        <v>289</v>
      </c>
      <c r="Q60" s="20"/>
    </row>
    <row r="61" spans="1:17" s="11" customFormat="1" ht="33" customHeight="1" x14ac:dyDescent="0.15">
      <c r="A61" s="17">
        <v>20170113</v>
      </c>
      <c r="B61" s="19" t="s">
        <v>288</v>
      </c>
      <c r="C61" s="19" t="s">
        <v>28</v>
      </c>
      <c r="D61" s="17" t="s">
        <v>277</v>
      </c>
      <c r="E61" s="17"/>
      <c r="F61" s="17"/>
      <c r="G61" s="17"/>
      <c r="H61" s="18"/>
      <c r="I61" s="18"/>
      <c r="J61" s="17"/>
      <c r="K61" s="15"/>
      <c r="L61" s="16"/>
      <c r="M61" s="15">
        <v>43000</v>
      </c>
      <c r="N61" s="14"/>
      <c r="O61" s="13"/>
      <c r="P61" s="12"/>
      <c r="Q61" s="20"/>
    </row>
    <row r="62" spans="1:17" s="11" customFormat="1" ht="33" customHeight="1" x14ac:dyDescent="0.15">
      <c r="A62" s="17">
        <v>20170113</v>
      </c>
      <c r="B62" s="19" t="s">
        <v>24</v>
      </c>
      <c r="C62" s="36" t="s">
        <v>0</v>
      </c>
      <c r="D62" s="17"/>
      <c r="E62" s="17" t="s">
        <v>276</v>
      </c>
      <c r="F62" s="17" t="s">
        <v>23</v>
      </c>
      <c r="G62" s="17" t="s">
        <v>287</v>
      </c>
      <c r="H62" s="18">
        <f>[12]副本!G121</f>
        <v>363.8669999999961</v>
      </c>
      <c r="I62" s="18">
        <f>H62-15652.787+4092.929+8666.148+2893.71</f>
        <v>363.86699999999564</v>
      </c>
      <c r="J62" s="17"/>
      <c r="K62" s="15">
        <v>150</v>
      </c>
      <c r="L62" s="16">
        <f>H62-I62</f>
        <v>4.5474735088646412E-13</v>
      </c>
      <c r="M62" s="15">
        <v>20000</v>
      </c>
      <c r="N62" s="14"/>
      <c r="O62" s="13"/>
      <c r="P62" s="12" t="s">
        <v>286</v>
      </c>
    </row>
    <row r="63" spans="1:17" s="11" customFormat="1" ht="33" customHeight="1" x14ac:dyDescent="0.15">
      <c r="A63" s="17">
        <v>20170113</v>
      </c>
      <c r="B63" s="19" t="s">
        <v>20</v>
      </c>
      <c r="C63" s="36" t="s">
        <v>0</v>
      </c>
      <c r="D63" s="17"/>
      <c r="E63" s="17" t="s">
        <v>12</v>
      </c>
      <c r="F63" s="17" t="s">
        <v>447</v>
      </c>
      <c r="G63" s="17" t="s">
        <v>275</v>
      </c>
      <c r="H63" s="18">
        <f>[12]副本!G123</f>
        <v>25317.152999999998</v>
      </c>
      <c r="I63" s="18">
        <f>H63</f>
        <v>25317.152999999998</v>
      </c>
      <c r="J63" s="17"/>
      <c r="K63" s="15"/>
      <c r="L63" s="16">
        <f>H63-I63</f>
        <v>0</v>
      </c>
      <c r="M63" s="15">
        <v>30000</v>
      </c>
      <c r="N63" s="14"/>
      <c r="O63" s="13"/>
      <c r="P63" s="12" t="s">
        <v>285</v>
      </c>
    </row>
    <row r="64" spans="1:17" s="11" customFormat="1" ht="33" customHeight="1" x14ac:dyDescent="0.15">
      <c r="A64" s="17">
        <v>20170113</v>
      </c>
      <c r="B64" s="19" t="s">
        <v>284</v>
      </c>
      <c r="C64" s="36" t="s">
        <v>0</v>
      </c>
      <c r="D64" s="17" t="s">
        <v>277</v>
      </c>
      <c r="E64" s="17" t="s">
        <v>276</v>
      </c>
      <c r="F64" s="17" t="s">
        <v>17</v>
      </c>
      <c r="G64" s="17" t="s">
        <v>275</v>
      </c>
      <c r="H64" s="18">
        <f>[12]副本!G125</f>
        <v>14976.093999999999</v>
      </c>
      <c r="I64" s="18">
        <f>H64-14976.094</f>
        <v>0</v>
      </c>
      <c r="J64" s="17"/>
      <c r="K64" s="15">
        <v>200</v>
      </c>
      <c r="L64" s="16">
        <f>H64-I64</f>
        <v>14976.093999999999</v>
      </c>
      <c r="M64" s="15">
        <v>20000</v>
      </c>
      <c r="N64" s="14" t="s">
        <v>283</v>
      </c>
      <c r="O64" s="13" t="s">
        <v>282</v>
      </c>
      <c r="P64" s="12" t="s">
        <v>281</v>
      </c>
    </row>
    <row r="65" spans="1:16" s="11" customFormat="1" ht="33" customHeight="1" x14ac:dyDescent="0.15">
      <c r="A65" s="17">
        <v>20170113</v>
      </c>
      <c r="B65" s="19" t="s">
        <v>13</v>
      </c>
      <c r="C65" s="36" t="s">
        <v>0</v>
      </c>
      <c r="D65" s="17"/>
      <c r="E65" s="17" t="s">
        <v>12</v>
      </c>
      <c r="F65" s="17" t="s">
        <v>11</v>
      </c>
      <c r="G65" s="17" t="s">
        <v>275</v>
      </c>
      <c r="H65" s="18">
        <f>[12]副本!G127</f>
        <v>25173.616999999973</v>
      </c>
      <c r="I65" s="18">
        <f>H65</f>
        <v>25173.616999999973</v>
      </c>
      <c r="J65" s="17"/>
      <c r="K65" s="15"/>
      <c r="L65" s="16">
        <v>0</v>
      </c>
      <c r="M65" s="15">
        <v>30000</v>
      </c>
      <c r="N65" s="14"/>
      <c r="O65" s="13"/>
      <c r="P65" s="12"/>
    </row>
    <row r="66" spans="1:16" s="11" customFormat="1" ht="33" customHeight="1" x14ac:dyDescent="0.15">
      <c r="A66" s="17">
        <v>20170113</v>
      </c>
      <c r="B66" s="19" t="s">
        <v>10</v>
      </c>
      <c r="C66" s="36" t="s">
        <v>0</v>
      </c>
      <c r="D66" s="17"/>
      <c r="E66" s="17" t="s">
        <v>280</v>
      </c>
      <c r="F66" s="12" t="s">
        <v>8</v>
      </c>
      <c r="G66" s="17" t="s">
        <v>275</v>
      </c>
      <c r="H66" s="18">
        <f>[12]副本!G129</f>
        <v>5979.2150000000001</v>
      </c>
      <c r="I66" s="18">
        <v>0</v>
      </c>
      <c r="J66" s="17"/>
      <c r="K66" s="15"/>
      <c r="L66" s="16">
        <f>H66-I66</f>
        <v>5979.2150000000001</v>
      </c>
      <c r="M66" s="15">
        <v>20000</v>
      </c>
      <c r="N66" s="14"/>
      <c r="O66" s="13"/>
      <c r="P66" s="17"/>
    </row>
    <row r="67" spans="1:16" s="11" customFormat="1" ht="33" customHeight="1" x14ac:dyDescent="0.15">
      <c r="A67" s="17">
        <v>20170113</v>
      </c>
      <c r="B67" s="19" t="s">
        <v>10</v>
      </c>
      <c r="C67" s="36" t="s">
        <v>0</v>
      </c>
      <c r="D67" s="17"/>
      <c r="E67" s="17" t="s">
        <v>280</v>
      </c>
      <c r="F67" s="12" t="s">
        <v>257</v>
      </c>
      <c r="G67" s="17" t="s">
        <v>275</v>
      </c>
      <c r="H67" s="18">
        <f>[12]副本!G130</f>
        <v>4438.16</v>
      </c>
      <c r="I67" s="18">
        <f>H67</f>
        <v>4438.16</v>
      </c>
      <c r="J67" s="17"/>
      <c r="K67" s="15">
        <v>200</v>
      </c>
      <c r="L67" s="16">
        <v>0</v>
      </c>
      <c r="M67" s="15">
        <v>20000</v>
      </c>
      <c r="N67" s="14"/>
      <c r="O67" s="13"/>
      <c r="P67" s="12" t="s">
        <v>279</v>
      </c>
    </row>
    <row r="68" spans="1:16" s="11" customFormat="1" ht="33" customHeight="1" x14ac:dyDescent="0.15">
      <c r="A68" s="17">
        <v>20170113</v>
      </c>
      <c r="B68" s="19" t="s">
        <v>7</v>
      </c>
      <c r="C68" s="36" t="s">
        <v>0</v>
      </c>
      <c r="D68" s="17"/>
      <c r="E68" s="17"/>
      <c r="F68" s="17"/>
      <c r="G68" s="17"/>
      <c r="H68" s="18"/>
      <c r="I68" s="18"/>
      <c r="J68" s="17"/>
      <c r="K68" s="15"/>
      <c r="L68" s="16"/>
      <c r="M68" s="15">
        <v>15000</v>
      </c>
      <c r="N68" s="14"/>
      <c r="O68" s="13"/>
      <c r="P68" s="12"/>
    </row>
    <row r="69" spans="1:16" s="11" customFormat="1" ht="33" customHeight="1" x14ac:dyDescent="0.15">
      <c r="A69" s="17">
        <v>20170113</v>
      </c>
      <c r="B69" s="19" t="s">
        <v>278</v>
      </c>
      <c r="C69" s="36" t="s">
        <v>0</v>
      </c>
      <c r="D69" s="17" t="s">
        <v>277</v>
      </c>
      <c r="E69" s="17" t="s">
        <v>276</v>
      </c>
      <c r="F69" s="17" t="s">
        <v>3</v>
      </c>
      <c r="G69" s="17" t="s">
        <v>275</v>
      </c>
      <c r="H69" s="18">
        <f>[12]副本!G134</f>
        <v>12005.106</v>
      </c>
      <c r="I69" s="18">
        <f>H69-12005.106</f>
        <v>0</v>
      </c>
      <c r="J69" s="17"/>
      <c r="K69" s="15"/>
      <c r="L69" s="16">
        <f>H69-I69</f>
        <v>12005.106</v>
      </c>
      <c r="M69" s="15">
        <v>15000</v>
      </c>
      <c r="N69" s="14"/>
      <c r="O69" s="13"/>
      <c r="P69" s="12"/>
    </row>
    <row r="70" spans="1:16" s="11" customFormat="1" ht="33" customHeight="1" x14ac:dyDescent="0.15">
      <c r="A70" s="17">
        <v>20170113</v>
      </c>
      <c r="B70" s="19" t="s">
        <v>1</v>
      </c>
      <c r="C70" s="36" t="s">
        <v>0</v>
      </c>
      <c r="D70" s="17"/>
      <c r="E70" s="17" t="s">
        <v>276</v>
      </c>
      <c r="F70" s="17" t="s">
        <v>437</v>
      </c>
      <c r="G70" s="17" t="s">
        <v>275</v>
      </c>
      <c r="H70" s="18">
        <f>[12]副本!G136</f>
        <v>9989.5499999999993</v>
      </c>
      <c r="I70" s="18">
        <v>0</v>
      </c>
      <c r="J70" s="17"/>
      <c r="K70" s="15"/>
      <c r="L70" s="16">
        <f>H70-I70</f>
        <v>9989.5499999999993</v>
      </c>
      <c r="M70" s="15">
        <v>15000</v>
      </c>
      <c r="N70" s="14"/>
      <c r="O70" s="13"/>
      <c r="P70" s="12" t="s">
        <v>375</v>
      </c>
    </row>
    <row r="76" spans="1:16" x14ac:dyDescent="0.15">
      <c r="L76" s="10"/>
    </row>
    <row r="228" spans="7:8" x14ac:dyDescent="0.15">
      <c r="G228" s="2"/>
      <c r="H228" s="2"/>
    </row>
  </sheetData>
  <autoFilter ref="B1:I70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65" activePane="bottomRight" state="frozen"/>
      <selection activeCell="G5" sqref="G5"/>
      <selection pane="topRight" activeCell="G5" sqref="G5"/>
      <selection pane="bottomLeft" activeCell="G5" sqref="G5"/>
      <selection pane="bottomRight" activeCell="F64" sqref="F64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4.87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78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29" t="s">
        <v>272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34.5" customHeight="1" x14ac:dyDescent="0.15">
      <c r="A2" s="17">
        <v>20170116</v>
      </c>
      <c r="B2" s="19" t="s">
        <v>158</v>
      </c>
      <c r="C2" s="36" t="s">
        <v>63</v>
      </c>
      <c r="D2" s="19"/>
      <c r="E2" s="17" t="s">
        <v>141</v>
      </c>
      <c r="F2" s="63" t="s">
        <v>144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143</v>
      </c>
      <c r="O2" s="13" t="s">
        <v>124</v>
      </c>
      <c r="P2" s="12" t="s">
        <v>445</v>
      </c>
    </row>
    <row r="3" spans="1:17" s="11" customFormat="1" ht="34.5" customHeight="1" x14ac:dyDescent="0.15">
      <c r="A3" s="17">
        <v>20170116</v>
      </c>
      <c r="B3" s="19" t="s">
        <v>157</v>
      </c>
      <c r="C3" s="36" t="s">
        <v>63</v>
      </c>
      <c r="D3" s="19"/>
      <c r="E3" s="17" t="s">
        <v>156</v>
      </c>
      <c r="F3" s="63"/>
      <c r="G3" s="12"/>
      <c r="H3" s="18"/>
      <c r="I3" s="18"/>
      <c r="J3" s="17"/>
      <c r="K3" s="15"/>
      <c r="L3" s="16"/>
      <c r="M3" s="15">
        <v>1500</v>
      </c>
      <c r="N3" s="14"/>
      <c r="O3" s="13"/>
      <c r="P3" s="12"/>
    </row>
    <row r="4" spans="1:17" s="11" customFormat="1" ht="34.5" customHeight="1" x14ac:dyDescent="0.15">
      <c r="A4" s="17">
        <v>20170116</v>
      </c>
      <c r="B4" s="19" t="s">
        <v>153</v>
      </c>
      <c r="C4" s="36" t="s">
        <v>63</v>
      </c>
      <c r="D4" s="19"/>
      <c r="E4" s="17" t="s">
        <v>56</v>
      </c>
      <c r="F4" s="63" t="s">
        <v>61</v>
      </c>
      <c r="G4" s="12" t="s">
        <v>54</v>
      </c>
      <c r="H4" s="18">
        <f>[13]副本!G7</f>
        <v>1710.5029999999958</v>
      </c>
      <c r="I4" s="18">
        <f>H4</f>
        <v>1710.5029999999958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34.5" customHeight="1" x14ac:dyDescent="0.15">
      <c r="A5" s="17">
        <v>20170116</v>
      </c>
      <c r="B5" s="19" t="s">
        <v>149</v>
      </c>
      <c r="C5" s="36" t="s">
        <v>63</v>
      </c>
      <c r="D5" s="17"/>
      <c r="E5" s="17" t="s">
        <v>148</v>
      </c>
      <c r="F5" s="63" t="s">
        <v>140</v>
      </c>
      <c r="G5" s="12" t="s">
        <v>54</v>
      </c>
      <c r="H5" s="18"/>
      <c r="I5" s="18"/>
      <c r="J5" s="17"/>
      <c r="K5" s="15"/>
      <c r="L5" s="16"/>
      <c r="M5" s="15">
        <v>2000</v>
      </c>
      <c r="N5" s="14" t="s">
        <v>147</v>
      </c>
      <c r="O5" s="13" t="s">
        <v>124</v>
      </c>
      <c r="P5" s="12"/>
    </row>
    <row r="6" spans="1:17" s="11" customFormat="1" ht="34.5" customHeight="1" x14ac:dyDescent="0.15">
      <c r="A6" s="17">
        <v>20170116</v>
      </c>
      <c r="B6" s="19" t="s">
        <v>145</v>
      </c>
      <c r="C6" s="36" t="s">
        <v>63</v>
      </c>
      <c r="D6" s="17"/>
      <c r="E6" s="17" t="s">
        <v>141</v>
      </c>
      <c r="F6" s="63" t="s">
        <v>144</v>
      </c>
      <c r="G6" s="12" t="s">
        <v>54</v>
      </c>
      <c r="H6" s="18">
        <f>[13]副本!G11</f>
        <v>546.43000000000029</v>
      </c>
      <c r="I6" s="18">
        <f>H6</f>
        <v>546.43000000000029</v>
      </c>
      <c r="J6" s="17"/>
      <c r="K6" s="15"/>
      <c r="L6" s="16">
        <v>0</v>
      </c>
      <c r="M6" s="15">
        <v>3000</v>
      </c>
      <c r="N6" s="14" t="s">
        <v>143</v>
      </c>
      <c r="O6" s="13" t="s">
        <v>124</v>
      </c>
      <c r="P6" s="12" t="s">
        <v>267</v>
      </c>
      <c r="Q6" s="20"/>
    </row>
    <row r="7" spans="1:17" s="11" customFormat="1" ht="34.5" customHeight="1" x14ac:dyDescent="0.15">
      <c r="A7" s="17">
        <v>20170116</v>
      </c>
      <c r="B7" s="19" t="s">
        <v>142</v>
      </c>
      <c r="C7" s="36" t="s">
        <v>63</v>
      </c>
      <c r="D7" s="17"/>
      <c r="E7" s="17" t="s">
        <v>141</v>
      </c>
      <c r="F7" s="63" t="s">
        <v>140</v>
      </c>
      <c r="G7" s="17" t="s">
        <v>54</v>
      </c>
      <c r="H7" s="18">
        <f>[13]副本!G13</f>
        <v>322.48499999999967</v>
      </c>
      <c r="I7" s="18">
        <f>H7</f>
        <v>322.48499999999967</v>
      </c>
      <c r="J7" s="17"/>
      <c r="K7" s="15"/>
      <c r="L7" s="16">
        <v>0</v>
      </c>
      <c r="M7" s="15">
        <v>3000</v>
      </c>
      <c r="N7" s="14"/>
      <c r="O7" s="13"/>
      <c r="P7" s="12" t="s">
        <v>260</v>
      </c>
      <c r="Q7" s="20"/>
    </row>
    <row r="8" spans="1:17" s="11" customFormat="1" ht="34.5" customHeight="1" x14ac:dyDescent="0.15">
      <c r="A8" s="17">
        <v>20170116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34.5" customHeight="1" x14ac:dyDescent="0.15">
      <c r="A9" s="17">
        <v>20170116</v>
      </c>
      <c r="B9" s="19" t="s">
        <v>138</v>
      </c>
      <c r="C9" s="36" t="s">
        <v>31</v>
      </c>
      <c r="D9" s="17"/>
      <c r="E9" s="17" t="s">
        <v>9</v>
      </c>
      <c r="F9" s="17" t="s">
        <v>104</v>
      </c>
      <c r="G9" s="17" t="s">
        <v>54</v>
      </c>
      <c r="H9" s="17">
        <f>[13]副本!G17</f>
        <v>1322.4749999999999</v>
      </c>
      <c r="I9" s="18">
        <f>H9</f>
        <v>1322.4749999999999</v>
      </c>
      <c r="J9" s="17"/>
      <c r="K9" s="15">
        <v>70</v>
      </c>
      <c r="L9" s="16">
        <f>H9-I9</f>
        <v>0</v>
      </c>
      <c r="M9" s="15">
        <v>5000</v>
      </c>
      <c r="N9" s="14" t="s">
        <v>137</v>
      </c>
      <c r="O9" s="13" t="s">
        <v>136</v>
      </c>
      <c r="P9" s="12" t="s">
        <v>101</v>
      </c>
    </row>
    <row r="10" spans="1:17" s="11" customFormat="1" ht="34.5" customHeight="1" x14ac:dyDescent="0.15">
      <c r="A10" s="17">
        <v>20170116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[13]副本!G19</f>
        <v>1.5219999999999345</v>
      </c>
      <c r="I10" s="18">
        <f>H10</f>
        <v>1.5219999999999345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357</v>
      </c>
    </row>
    <row r="11" spans="1:17" s="11" customFormat="1" ht="34.5" customHeight="1" x14ac:dyDescent="0.15">
      <c r="A11" s="17">
        <v>20170116</v>
      </c>
      <c r="B11" s="19" t="s">
        <v>135</v>
      </c>
      <c r="C11" s="17" t="s">
        <v>63</v>
      </c>
      <c r="D11" s="17"/>
      <c r="E11" s="17" t="s">
        <v>92</v>
      </c>
      <c r="F11" s="17" t="s">
        <v>261</v>
      </c>
      <c r="G11" s="17" t="s">
        <v>54</v>
      </c>
      <c r="H11" s="18">
        <f>[13]副本!G20</f>
        <v>63.16</v>
      </c>
      <c r="I11" s="18">
        <f>H11</f>
        <v>63.16</v>
      </c>
      <c r="J11" s="17"/>
      <c r="K11" s="15"/>
      <c r="L11" s="16">
        <f>H11-I11</f>
        <v>0</v>
      </c>
      <c r="M11" s="15">
        <v>1500</v>
      </c>
      <c r="N11" s="14"/>
      <c r="O11" s="13"/>
      <c r="P11" s="12" t="s">
        <v>355</v>
      </c>
    </row>
    <row r="12" spans="1:17" s="11" customFormat="1" ht="34.5" customHeight="1" x14ac:dyDescent="0.15">
      <c r="A12" s="17">
        <v>20170116</v>
      </c>
      <c r="B12" s="19" t="s">
        <v>135</v>
      </c>
      <c r="C12" s="17" t="s">
        <v>63</v>
      </c>
      <c r="D12" s="17"/>
      <c r="E12" s="17" t="s">
        <v>92</v>
      </c>
      <c r="F12" s="17" t="s">
        <v>91</v>
      </c>
      <c r="G12" s="17" t="s">
        <v>54</v>
      </c>
      <c r="H12" s="18">
        <f>[13]副本!G21</f>
        <v>1000</v>
      </c>
      <c r="I12" s="18">
        <f>H12</f>
        <v>1000</v>
      </c>
      <c r="J12" s="17"/>
      <c r="K12" s="15"/>
      <c r="L12" s="16">
        <f>H12-I12</f>
        <v>0</v>
      </c>
      <c r="M12" s="15">
        <v>1500</v>
      </c>
      <c r="N12" s="14"/>
      <c r="O12" s="13"/>
      <c r="P12" s="12" t="s">
        <v>355</v>
      </c>
    </row>
    <row r="13" spans="1:17" s="11" customFormat="1" ht="34.5" customHeight="1" x14ac:dyDescent="0.15">
      <c r="A13" s="17">
        <v>20170116</v>
      </c>
      <c r="B13" s="19" t="s">
        <v>134</v>
      </c>
      <c r="C13" s="17" t="s">
        <v>63</v>
      </c>
      <c r="D13" s="17"/>
      <c r="E13" s="17" t="s">
        <v>116</v>
      </c>
      <c r="F13" s="17" t="s">
        <v>256</v>
      </c>
      <c r="G13" s="17" t="s">
        <v>54</v>
      </c>
      <c r="H13" s="18">
        <f>[13]副本!G23</f>
        <v>1502.1479999999999</v>
      </c>
      <c r="I13" s="18">
        <f>H13</f>
        <v>1502.1479999999999</v>
      </c>
      <c r="J13" s="17"/>
      <c r="K13" s="15"/>
      <c r="L13" s="16">
        <f>H13-I13</f>
        <v>0</v>
      </c>
      <c r="M13" s="15">
        <v>1500</v>
      </c>
      <c r="N13" s="14"/>
      <c r="O13" s="13"/>
      <c r="P13" s="12"/>
    </row>
    <row r="14" spans="1:17" s="11" customFormat="1" ht="34.5" customHeight="1" x14ac:dyDescent="0.15">
      <c r="A14" s="17">
        <v>20170116</v>
      </c>
      <c r="B14" s="19" t="s">
        <v>133</v>
      </c>
      <c r="C14" s="36" t="s">
        <v>28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  <c r="Q14" s="20"/>
    </row>
    <row r="15" spans="1:17" s="11" customFormat="1" ht="34.5" customHeight="1" x14ac:dyDescent="0.15">
      <c r="A15" s="17">
        <v>20170116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34.5" customHeight="1" x14ac:dyDescent="0.15">
      <c r="A16" s="17">
        <v>20170116</v>
      </c>
      <c r="B16" s="19" t="s">
        <v>131</v>
      </c>
      <c r="C16" s="36" t="s">
        <v>63</v>
      </c>
      <c r="D16" s="17"/>
      <c r="E16" s="17" t="s">
        <v>92</v>
      </c>
      <c r="F16" s="17" t="s">
        <v>232</v>
      </c>
      <c r="G16" s="17" t="s">
        <v>54</v>
      </c>
      <c r="H16" s="18">
        <f>[13]副本!G29</f>
        <v>1051.9169999999999</v>
      </c>
      <c r="I16" s="18">
        <f>H16</f>
        <v>1051.9169999999999</v>
      </c>
      <c r="J16" s="17"/>
      <c r="K16" s="15">
        <v>50</v>
      </c>
      <c r="L16" s="16"/>
      <c r="M16" s="15">
        <v>1500</v>
      </c>
      <c r="N16" s="14"/>
      <c r="O16" s="13"/>
      <c r="P16" s="12" t="s">
        <v>351</v>
      </c>
    </row>
    <row r="17" spans="1:17" s="11" customFormat="1" ht="34.5" customHeight="1" x14ac:dyDescent="0.15">
      <c r="A17" s="17">
        <v>20170116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</v>
      </c>
      <c r="H17" s="18">
        <f>[13]副本!G31-H18</f>
        <v>11852.247000000018</v>
      </c>
      <c r="I17" s="18">
        <f>H17</f>
        <v>11852.247000000018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124</v>
      </c>
      <c r="P17" s="12" t="s">
        <v>130</v>
      </c>
    </row>
    <row r="18" spans="1:17" s="11" customFormat="1" ht="34.5" customHeight="1" x14ac:dyDescent="0.15">
      <c r="A18" s="17">
        <v>20170116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 t="s">
        <v>2</v>
      </c>
      <c r="H18" s="18">
        <f>[13]副本!G33</f>
        <v>6995.7529999999824</v>
      </c>
      <c r="I18" s="18">
        <f>H18</f>
        <v>6995.7529999999824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244</v>
      </c>
    </row>
    <row r="19" spans="1:17" s="11" customFormat="1" ht="34.5" customHeight="1" x14ac:dyDescent="0.15">
      <c r="A19" s="17">
        <v>20170116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34.5" customHeight="1" x14ac:dyDescent="0.15">
      <c r="A20" s="17">
        <v>20170116</v>
      </c>
      <c r="B20" s="19" t="s">
        <v>126</v>
      </c>
      <c r="C20" s="36" t="s">
        <v>63</v>
      </c>
      <c r="D20" s="17"/>
      <c r="E20" s="17"/>
      <c r="F20" s="17"/>
      <c r="G20" s="17"/>
      <c r="H20" s="18"/>
      <c r="I20" s="18"/>
      <c r="J20" s="17"/>
      <c r="K20" s="15"/>
      <c r="L20" s="16"/>
      <c r="M20" s="15">
        <v>3000</v>
      </c>
      <c r="N20" s="14"/>
      <c r="O20" s="13"/>
      <c r="P20" s="12"/>
    </row>
    <row r="21" spans="1:17" s="11" customFormat="1" ht="34.5" customHeight="1" x14ac:dyDescent="0.15">
      <c r="A21" s="17">
        <v>20170116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</v>
      </c>
      <c r="H21" s="18">
        <f>[13]副本!G39-'20170116'!H22</f>
        <v>4498.5374280000369</v>
      </c>
      <c r="I21" s="18">
        <f>H21</f>
        <v>4498.5374280000369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124</v>
      </c>
      <c r="P21" s="12" t="s">
        <v>123</v>
      </c>
    </row>
    <row r="22" spans="1:17" s="11" customFormat="1" ht="34.5" customHeight="1" x14ac:dyDescent="0.15">
      <c r="A22" s="17">
        <v>20170116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 t="s">
        <v>2</v>
      </c>
      <c r="H22" s="18">
        <f>[13]副本!G41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243</v>
      </c>
    </row>
    <row r="23" spans="1:17" s="11" customFormat="1" ht="34.5" customHeight="1" x14ac:dyDescent="0.15">
      <c r="A23" s="17">
        <v>20170116</v>
      </c>
      <c r="B23" s="19" t="s">
        <v>117</v>
      </c>
      <c r="C23" s="36" t="s">
        <v>63</v>
      </c>
      <c r="D23" s="17"/>
      <c r="E23" s="17" t="s">
        <v>116</v>
      </c>
      <c r="F23" s="17" t="s">
        <v>115</v>
      </c>
      <c r="G23" s="17" t="s">
        <v>2</v>
      </c>
      <c r="H23" s="18">
        <f>[13]副本!G43</f>
        <v>1094.3589999999995</v>
      </c>
      <c r="I23" s="18">
        <f>H23</f>
        <v>1094.3589999999995</v>
      </c>
      <c r="J23" s="17"/>
      <c r="K23" s="15">
        <v>200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34.5" customHeight="1" x14ac:dyDescent="0.15">
      <c r="A24" s="17">
        <v>20170116</v>
      </c>
      <c r="B24" s="19" t="s">
        <v>113</v>
      </c>
      <c r="C24" s="36" t="s">
        <v>0</v>
      </c>
      <c r="D24" s="17"/>
      <c r="E24" s="12" t="s">
        <v>112</v>
      </c>
      <c r="F24" s="17" t="s">
        <v>39</v>
      </c>
      <c r="G24" s="17" t="s">
        <v>2</v>
      </c>
      <c r="H24" s="18">
        <f>[13]副本!G45</f>
        <v>1890.6130000000001</v>
      </c>
      <c r="I24" s="18">
        <v>0</v>
      </c>
      <c r="J24" s="17"/>
      <c r="K24" s="15"/>
      <c r="L24" s="16">
        <f>H24-I24</f>
        <v>1890.6130000000001</v>
      </c>
      <c r="M24" s="15">
        <v>5000</v>
      </c>
      <c r="N24" s="14"/>
      <c r="O24" s="13"/>
      <c r="P24" s="37" t="s">
        <v>342</v>
      </c>
    </row>
    <row r="25" spans="1:17" s="11" customFormat="1" ht="34.5" customHeight="1" x14ac:dyDescent="0.15">
      <c r="A25" s="17">
        <v>20170116</v>
      </c>
      <c r="B25" s="19" t="s">
        <v>110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34.5" customHeight="1" x14ac:dyDescent="0.15">
      <c r="A26" s="17">
        <v>20170116</v>
      </c>
      <c r="B26" s="19" t="s">
        <v>109</v>
      </c>
      <c r="C26" s="36" t="s">
        <v>63</v>
      </c>
      <c r="D26" s="17"/>
      <c r="E26" s="17" t="s">
        <v>108</v>
      </c>
      <c r="F26" s="17" t="s">
        <v>248</v>
      </c>
      <c r="G26" s="17" t="s">
        <v>2</v>
      </c>
      <c r="H26" s="18">
        <f>[13]副本!G49</f>
        <v>5.1210000000428408</v>
      </c>
      <c r="I26" s="18">
        <f>H26</f>
        <v>5.1210000000428408</v>
      </c>
      <c r="J26" s="17"/>
      <c r="K26" s="15"/>
      <c r="L26" s="16">
        <f>H26-I26</f>
        <v>0</v>
      </c>
      <c r="M26" s="15">
        <v>4000</v>
      </c>
      <c r="N26" s="14" t="s">
        <v>47</v>
      </c>
      <c r="O26" s="13" t="s">
        <v>46</v>
      </c>
      <c r="P26" s="12"/>
    </row>
    <row r="27" spans="1:17" s="11" customFormat="1" ht="34.5" customHeight="1" x14ac:dyDescent="0.15">
      <c r="A27" s="17">
        <v>20170116</v>
      </c>
      <c r="B27" s="19" t="s">
        <v>106</v>
      </c>
      <c r="C27" s="36" t="s">
        <v>105</v>
      </c>
      <c r="D27" s="17"/>
      <c r="E27" s="17" t="s">
        <v>9</v>
      </c>
      <c r="F27" s="17" t="s">
        <v>104</v>
      </c>
      <c r="G27" s="17" t="s">
        <v>2</v>
      </c>
      <c r="H27" s="18">
        <f>[13]副本!G51</f>
        <v>11.544999999999959</v>
      </c>
      <c r="I27" s="18">
        <f>H27</f>
        <v>11.544999999999959</v>
      </c>
      <c r="J27" s="17"/>
      <c r="K27" s="15"/>
      <c r="L27" s="16">
        <f>H27-I27</f>
        <v>0</v>
      </c>
      <c r="M27" s="15">
        <v>5000</v>
      </c>
      <c r="N27" s="14" t="s">
        <v>103</v>
      </c>
      <c r="O27" s="13" t="s">
        <v>102</v>
      </c>
      <c r="P27" s="12" t="s">
        <v>101</v>
      </c>
    </row>
    <row r="28" spans="1:17" s="11" customFormat="1" ht="34.5" customHeight="1" x14ac:dyDescent="0.15">
      <c r="A28" s="17">
        <v>20170116</v>
      </c>
      <c r="B28" s="19" t="s">
        <v>100</v>
      </c>
      <c r="C28" s="36" t="s">
        <v>96</v>
      </c>
      <c r="D28" s="17"/>
      <c r="E28" s="17" t="s">
        <v>67</v>
      </c>
      <c r="F28" s="17" t="s">
        <v>446</v>
      </c>
      <c r="G28" s="17" t="s">
        <v>2</v>
      </c>
      <c r="H28" s="18">
        <f>[13]副本!G54</f>
        <v>1496.749</v>
      </c>
      <c r="I28" s="18">
        <v>0</v>
      </c>
      <c r="J28" s="17"/>
      <c r="K28" s="15">
        <v>1200</v>
      </c>
      <c r="L28" s="16">
        <f>H28-I28</f>
        <v>1496.749</v>
      </c>
      <c r="M28" s="15">
        <v>2000</v>
      </c>
      <c r="N28" s="14"/>
      <c r="O28" s="13"/>
      <c r="P28" s="12"/>
    </row>
    <row r="29" spans="1:17" s="11" customFormat="1" ht="34.5" customHeight="1" x14ac:dyDescent="0.15">
      <c r="A29" s="17">
        <v>20170116</v>
      </c>
      <c r="B29" s="19" t="s">
        <v>99</v>
      </c>
      <c r="C29" s="36" t="s">
        <v>96</v>
      </c>
      <c r="D29" s="17"/>
      <c r="E29" s="17"/>
      <c r="F29" s="17"/>
      <c r="G29" s="17"/>
      <c r="H29" s="18"/>
      <c r="I29" s="18"/>
      <c r="J29" s="17"/>
      <c r="K29" s="15"/>
      <c r="L29" s="16"/>
      <c r="M29" s="15">
        <v>1500</v>
      </c>
      <c r="N29" s="14"/>
      <c r="O29" s="13"/>
      <c r="P29" s="12"/>
    </row>
    <row r="30" spans="1:17" s="11" customFormat="1" ht="34.5" customHeight="1" x14ac:dyDescent="0.15">
      <c r="A30" s="17">
        <v>20170116</v>
      </c>
      <c r="B30" s="19" t="s">
        <v>98</v>
      </c>
      <c r="C30" s="36" t="s">
        <v>96</v>
      </c>
      <c r="D30" s="17"/>
      <c r="E30" s="17" t="s">
        <v>67</v>
      </c>
      <c r="F30" s="17" t="s">
        <v>446</v>
      </c>
      <c r="G30" s="17" t="s">
        <v>2</v>
      </c>
      <c r="H30" s="18">
        <f>[13]副本!G58</f>
        <v>1099.527</v>
      </c>
      <c r="I30" s="18">
        <v>0</v>
      </c>
      <c r="J30" s="17"/>
      <c r="K30" s="15"/>
      <c r="L30" s="16">
        <f>H30-I30</f>
        <v>1099.527</v>
      </c>
      <c r="M30" s="15">
        <v>1500</v>
      </c>
      <c r="N30" s="14"/>
      <c r="O30" s="13"/>
      <c r="P30" s="12"/>
      <c r="Q30" s="20"/>
    </row>
    <row r="31" spans="1:17" s="11" customFormat="1" ht="34.5" customHeight="1" x14ac:dyDescent="0.15">
      <c r="A31" s="17">
        <v>20170116</v>
      </c>
      <c r="B31" s="19" t="s">
        <v>97</v>
      </c>
      <c r="C31" s="36" t="s">
        <v>96</v>
      </c>
      <c r="D31" s="17"/>
      <c r="E31" s="17" t="s">
        <v>67</v>
      </c>
      <c r="F31" s="17"/>
      <c r="G31" s="17"/>
      <c r="H31" s="18"/>
      <c r="I31" s="18"/>
      <c r="J31" s="17"/>
      <c r="K31" s="15"/>
      <c r="L31" s="16"/>
      <c r="M31" s="15">
        <v>1500</v>
      </c>
      <c r="N31" s="14"/>
      <c r="O31" s="13"/>
      <c r="P31" s="12"/>
    </row>
    <row r="32" spans="1:17" s="11" customFormat="1" ht="34.5" customHeight="1" x14ac:dyDescent="0.15">
      <c r="A32" s="17">
        <v>20170116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34.5" customHeight="1" x14ac:dyDescent="0.15">
      <c r="A33" s="17">
        <v>20170116</v>
      </c>
      <c r="B33" s="19" t="s">
        <v>93</v>
      </c>
      <c r="C33" s="36" t="s">
        <v>57</v>
      </c>
      <c r="D33" s="17"/>
      <c r="E33" s="17" t="s">
        <v>92</v>
      </c>
      <c r="F33" s="17" t="s">
        <v>91</v>
      </c>
      <c r="G33" s="17" t="s">
        <v>2</v>
      </c>
      <c r="H33" s="17">
        <f>[13]副本!G64</f>
        <v>497.47600000000023</v>
      </c>
      <c r="I33" s="18">
        <f>H33-1035.099+1035.099</f>
        <v>497.47600000000023</v>
      </c>
      <c r="J33" s="17"/>
      <c r="K33" s="15">
        <v>30</v>
      </c>
      <c r="L33" s="16">
        <f>H33-I33</f>
        <v>0</v>
      </c>
      <c r="M33" s="15">
        <v>2000</v>
      </c>
      <c r="N33" s="14"/>
      <c r="O33" s="13"/>
      <c r="P33" s="12" t="s">
        <v>402</v>
      </c>
    </row>
    <row r="34" spans="1:16" s="11" customFormat="1" ht="34.5" customHeight="1" x14ac:dyDescent="0.15">
      <c r="A34" s="17">
        <v>20170116</v>
      </c>
      <c r="B34" s="19" t="s">
        <v>89</v>
      </c>
      <c r="C34" s="36" t="s">
        <v>63</v>
      </c>
      <c r="D34" s="17" t="s">
        <v>88</v>
      </c>
      <c r="E34" s="17" t="s">
        <v>87</v>
      </c>
      <c r="F34" s="17" t="s">
        <v>216</v>
      </c>
      <c r="G34" s="17" t="s">
        <v>54</v>
      </c>
      <c r="H34" s="18">
        <f>[13]副本!G66</f>
        <v>696.58299999999986</v>
      </c>
      <c r="I34" s="18">
        <f>H34-1037.023+500+537.023</f>
        <v>696.58299999999997</v>
      </c>
      <c r="J34" s="17"/>
      <c r="K34" s="15">
        <v>70</v>
      </c>
      <c r="L34" s="16">
        <f>H34-I34</f>
        <v>0</v>
      </c>
      <c r="M34" s="15">
        <v>3000</v>
      </c>
      <c r="N34" s="14"/>
      <c r="O34" s="13"/>
      <c r="P34" s="24" t="s">
        <v>222</v>
      </c>
    </row>
    <row r="35" spans="1:16" s="11" customFormat="1" ht="34.5" customHeight="1" x14ac:dyDescent="0.15">
      <c r="A35" s="17">
        <v>20170116</v>
      </c>
      <c r="B35" s="19" t="s">
        <v>85</v>
      </c>
      <c r="C35" s="36" t="s">
        <v>63</v>
      </c>
      <c r="D35" s="17" t="s">
        <v>5</v>
      </c>
      <c r="E35" s="17" t="s">
        <v>84</v>
      </c>
      <c r="F35" s="17" t="s">
        <v>81</v>
      </c>
      <c r="G35" s="17" t="s">
        <v>54</v>
      </c>
      <c r="H35" s="18"/>
      <c r="I35" s="18"/>
      <c r="J35" s="17"/>
      <c r="K35" s="15"/>
      <c r="L35" s="16"/>
      <c r="M35" s="15">
        <v>4000</v>
      </c>
      <c r="N35" s="14"/>
      <c r="O35" s="13"/>
      <c r="P35" s="12"/>
    </row>
    <row r="36" spans="1:16" s="11" customFormat="1" ht="34.5" customHeight="1" x14ac:dyDescent="0.15">
      <c r="A36" s="17">
        <v>20170116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34.5" customHeight="1" x14ac:dyDescent="0.15">
      <c r="A37" s="17">
        <v>20170116</v>
      </c>
      <c r="B37" s="19" t="s">
        <v>79</v>
      </c>
      <c r="C37" s="36" t="s">
        <v>57</v>
      </c>
      <c r="D37" s="17" t="s">
        <v>5</v>
      </c>
      <c r="E37" s="17" t="s">
        <v>78</v>
      </c>
      <c r="F37" s="17" t="s">
        <v>81</v>
      </c>
      <c r="G37" s="17" t="s">
        <v>2</v>
      </c>
      <c r="H37" s="18">
        <f>[13]副本!G72</f>
        <v>519.12800000005245</v>
      </c>
      <c r="I37" s="18">
        <f>H37-955.747+477.874+477.873-1042.865-2628.137+500+542.865+2102.57+525.567-499.112-3147.566+2100+525+525+496.678-2617.899+1574.891+523.692</f>
        <v>-0.18799999994780592</v>
      </c>
      <c r="J37" s="17"/>
      <c r="K37" s="15"/>
      <c r="L37" s="16">
        <f>H37-I37</f>
        <v>519.31600000000026</v>
      </c>
      <c r="M37" s="15">
        <v>5000</v>
      </c>
      <c r="N37" s="14"/>
      <c r="O37" s="13"/>
      <c r="P37" s="12"/>
    </row>
    <row r="38" spans="1:16" s="11" customFormat="1" ht="34.5" customHeight="1" x14ac:dyDescent="0.15">
      <c r="A38" s="17">
        <v>20170116</v>
      </c>
      <c r="B38" s="19" t="s">
        <v>79</v>
      </c>
      <c r="C38" s="36" t="s">
        <v>57</v>
      </c>
      <c r="D38" s="17" t="s">
        <v>5</v>
      </c>
      <c r="E38" s="17" t="s">
        <v>78</v>
      </c>
      <c r="F38" s="17" t="s">
        <v>77</v>
      </c>
      <c r="G38" s="17" t="s">
        <v>2</v>
      </c>
      <c r="H38" s="18">
        <f>[13]副本!G73</f>
        <v>468.94600000000048</v>
      </c>
      <c r="I38" s="18">
        <f>H38</f>
        <v>468.94600000000048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444</v>
      </c>
    </row>
    <row r="39" spans="1:16" s="11" customFormat="1" ht="34.5" customHeight="1" x14ac:dyDescent="0.15">
      <c r="A39" s="17">
        <v>20170116</v>
      </c>
      <c r="B39" s="19" t="s">
        <v>74</v>
      </c>
      <c r="C39" s="36" t="s">
        <v>28</v>
      </c>
      <c r="D39" s="17"/>
      <c r="E39" s="17" t="s">
        <v>67</v>
      </c>
      <c r="F39" s="17" t="s">
        <v>39</v>
      </c>
      <c r="G39" s="17" t="s">
        <v>2</v>
      </c>
      <c r="H39" s="18">
        <f>[13]副本!G75</f>
        <v>522.26399999999751</v>
      </c>
      <c r="I39" s="18">
        <f>H39</f>
        <v>522.26399999999751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75</v>
      </c>
    </row>
    <row r="40" spans="1:16" s="11" customFormat="1" ht="34.5" customHeight="1" x14ac:dyDescent="0.15">
      <c r="A40" s="17">
        <v>20170116</v>
      </c>
      <c r="B40" s="19" t="s">
        <v>74</v>
      </c>
      <c r="C40" s="36" t="s">
        <v>28</v>
      </c>
      <c r="D40" s="17"/>
      <c r="E40" s="17" t="s">
        <v>67</v>
      </c>
      <c r="F40" s="17" t="s">
        <v>71</v>
      </c>
      <c r="G40" s="17" t="s">
        <v>2</v>
      </c>
      <c r="H40" s="18">
        <f>[13]副本!G76</f>
        <v>17.683000000000106</v>
      </c>
      <c r="I40" s="18">
        <f>H40</f>
        <v>17.683000000000106</v>
      </c>
      <c r="J40" s="17"/>
      <c r="K40" s="15"/>
      <c r="L40" s="16"/>
      <c r="M40" s="15">
        <v>4000</v>
      </c>
      <c r="N40" s="14"/>
      <c r="O40" s="13"/>
      <c r="P40" s="12" t="s">
        <v>240</v>
      </c>
    </row>
    <row r="41" spans="1:16" s="11" customFormat="1" ht="34.5" customHeight="1" x14ac:dyDescent="0.15">
      <c r="A41" s="17">
        <v>20170116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34.5" customHeight="1" x14ac:dyDescent="0.15">
      <c r="A42" s="17">
        <v>20170116</v>
      </c>
      <c r="B42" s="19" t="s">
        <v>72</v>
      </c>
      <c r="C42" s="36" t="s">
        <v>43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34.5" customHeight="1" x14ac:dyDescent="0.15">
      <c r="A43" s="17">
        <v>20170116</v>
      </c>
      <c r="B43" s="19" t="s">
        <v>68</v>
      </c>
      <c r="C43" s="36" t="s">
        <v>43</v>
      </c>
      <c r="D43" s="17"/>
      <c r="E43" s="17" t="s">
        <v>67</v>
      </c>
      <c r="F43" s="17" t="s">
        <v>39</v>
      </c>
      <c r="G43" s="17" t="s">
        <v>2</v>
      </c>
      <c r="H43" s="18">
        <f>[13]副本!G83</f>
        <v>1664.1909999999993</v>
      </c>
      <c r="I43" s="18">
        <f>H43</f>
        <v>1664.1909999999993</v>
      </c>
      <c r="J43" s="17"/>
      <c r="K43" s="15"/>
      <c r="L43" s="16">
        <f>H43-I43</f>
        <v>0</v>
      </c>
      <c r="M43" s="15">
        <v>5000</v>
      </c>
      <c r="N43" s="21"/>
      <c r="O43" s="13"/>
      <c r="P43" s="12" t="s">
        <v>258</v>
      </c>
    </row>
    <row r="44" spans="1:16" s="11" customFormat="1" ht="34.5" customHeight="1" x14ac:dyDescent="0.15">
      <c r="A44" s="17">
        <v>20170116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34.5" customHeight="1" x14ac:dyDescent="0.15">
      <c r="A45" s="17">
        <v>20170116</v>
      </c>
      <c r="B45" s="19" t="s">
        <v>64</v>
      </c>
      <c r="C45" s="36" t="s">
        <v>63</v>
      </c>
      <c r="D45" s="17"/>
      <c r="E45" s="17" t="s">
        <v>271</v>
      </c>
      <c r="F45" s="17" t="s">
        <v>232</v>
      </c>
      <c r="G45" s="17" t="s">
        <v>2</v>
      </c>
      <c r="H45" s="18">
        <f>[13]副本!G89</f>
        <v>984.85799999999995</v>
      </c>
      <c r="I45" s="18">
        <f>H45</f>
        <v>984.85799999999995</v>
      </c>
      <c r="J45" s="17"/>
      <c r="K45" s="15"/>
      <c r="L45" s="16">
        <f>H45-I45</f>
        <v>0</v>
      </c>
      <c r="M45" s="15">
        <v>5000</v>
      </c>
      <c r="N45" s="14"/>
      <c r="O45" s="13"/>
      <c r="P45" s="12" t="s">
        <v>270</v>
      </c>
    </row>
    <row r="46" spans="1:16" s="11" customFormat="1" ht="34.5" customHeight="1" x14ac:dyDescent="0.15">
      <c r="A46" s="17">
        <v>20170116</v>
      </c>
      <c r="B46" s="19" t="s">
        <v>64</v>
      </c>
      <c r="C46" s="36" t="s">
        <v>63</v>
      </c>
      <c r="D46" s="17"/>
      <c r="E46" s="17" t="s">
        <v>271</v>
      </c>
      <c r="F46" s="17" t="s">
        <v>140</v>
      </c>
      <c r="G46" s="17" t="s">
        <v>2</v>
      </c>
      <c r="H46" s="18">
        <f>[13]副本!G90</f>
        <v>1000</v>
      </c>
      <c r="I46" s="18">
        <f>H46</f>
        <v>1000</v>
      </c>
      <c r="J46" s="17"/>
      <c r="K46" s="15"/>
      <c r="L46" s="16"/>
      <c r="M46" s="15">
        <v>5000</v>
      </c>
      <c r="N46" s="14"/>
      <c r="O46" s="13"/>
      <c r="P46" s="12" t="s">
        <v>270</v>
      </c>
    </row>
    <row r="47" spans="1:16" s="11" customFormat="1" ht="34.5" customHeight="1" x14ac:dyDescent="0.15">
      <c r="A47" s="17">
        <v>20170116</v>
      </c>
      <c r="B47" s="19" t="s">
        <v>62</v>
      </c>
      <c r="C47" s="36" t="s">
        <v>57</v>
      </c>
      <c r="D47" s="17"/>
      <c r="E47" s="17" t="s">
        <v>56</v>
      </c>
      <c r="F47" s="17" t="s">
        <v>61</v>
      </c>
      <c r="G47" s="17" t="s">
        <v>2</v>
      </c>
      <c r="H47" s="18">
        <f>[13]副本!G92</f>
        <v>1275.8239999999942</v>
      </c>
      <c r="I47" s="18">
        <f>H47</f>
        <v>1275.8239999999942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34.5" customHeight="1" x14ac:dyDescent="0.15">
      <c r="A48" s="17">
        <v>20170116</v>
      </c>
      <c r="B48" s="19" t="s">
        <v>60</v>
      </c>
      <c r="C48" s="36" t="s">
        <v>43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[13]副本!G94</f>
        <v>2409.6100000000006</v>
      </c>
      <c r="I48" s="18">
        <v>0</v>
      </c>
      <c r="J48" s="17"/>
      <c r="K48" s="15"/>
      <c r="L48" s="16">
        <f>H48-I48</f>
        <v>2409.6100000000006</v>
      </c>
      <c r="M48" s="15">
        <v>10000</v>
      </c>
      <c r="N48" s="14"/>
      <c r="O48" s="13"/>
      <c r="P48" s="12"/>
    </row>
    <row r="49" spans="1:17" s="11" customFormat="1" ht="34.5" customHeight="1" x14ac:dyDescent="0.15">
      <c r="A49" s="17">
        <v>20170116</v>
      </c>
      <c r="B49" s="19" t="s">
        <v>59</v>
      </c>
      <c r="C49" s="36" t="s">
        <v>28</v>
      </c>
      <c r="D49" s="17" t="s">
        <v>5</v>
      </c>
      <c r="E49" s="17" t="s">
        <v>34</v>
      </c>
      <c r="F49" s="17" t="s">
        <v>48</v>
      </c>
      <c r="G49" s="17" t="s">
        <v>2</v>
      </c>
      <c r="H49" s="18">
        <f>[13]副本!G96</f>
        <v>2625.0060000000003</v>
      </c>
      <c r="I49" s="18"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34.5" customHeight="1" x14ac:dyDescent="0.15">
      <c r="A50" s="17">
        <v>20170116</v>
      </c>
      <c r="B50" s="19" t="s">
        <v>58</v>
      </c>
      <c r="C50" s="36" t="s">
        <v>57</v>
      </c>
      <c r="D50" s="17"/>
      <c r="E50" s="17" t="s">
        <v>56</v>
      </c>
      <c r="F50" s="17" t="s">
        <v>268</v>
      </c>
      <c r="G50" s="17" t="s">
        <v>54</v>
      </c>
      <c r="H50" s="18">
        <f>[13]副本!G98</f>
        <v>2052.2220000000084</v>
      </c>
      <c r="I50" s="18">
        <f>H50</f>
        <v>2052.2220000000084</v>
      </c>
      <c r="J50" s="17"/>
      <c r="K50" s="16"/>
      <c r="L50" s="16">
        <v>0</v>
      </c>
      <c r="M50" s="15">
        <v>5000</v>
      </c>
      <c r="N50" s="23" t="s">
        <v>53</v>
      </c>
      <c r="O50" s="22" t="s">
        <v>52</v>
      </c>
      <c r="P50" s="12" t="s">
        <v>51</v>
      </c>
    </row>
    <row r="51" spans="1:17" s="11" customFormat="1" ht="34.5" customHeight="1" x14ac:dyDescent="0.15">
      <c r="A51" s="17">
        <v>20170116</v>
      </c>
      <c r="B51" s="19" t="s">
        <v>50</v>
      </c>
      <c r="C51" s="36" t="s">
        <v>28</v>
      </c>
      <c r="D51" s="17"/>
      <c r="E51" s="17" t="s">
        <v>238</v>
      </c>
      <c r="F51" s="17" t="s">
        <v>249</v>
      </c>
      <c r="G51" s="17" t="s">
        <v>2</v>
      </c>
      <c r="H51" s="18">
        <f>[13]副本!G100</f>
        <v>107.03899999999999</v>
      </c>
      <c r="I51" s="18">
        <f>H51</f>
        <v>107.03899999999999</v>
      </c>
      <c r="J51" s="17"/>
      <c r="K51" s="15"/>
      <c r="L51" s="16">
        <f>H51-I51</f>
        <v>0</v>
      </c>
      <c r="M51" s="15">
        <v>3000</v>
      </c>
      <c r="N51" s="14"/>
      <c r="O51" s="13"/>
      <c r="P51" s="12" t="s">
        <v>237</v>
      </c>
    </row>
    <row r="52" spans="1:17" s="11" customFormat="1" ht="34.5" customHeight="1" x14ac:dyDescent="0.15">
      <c r="A52" s="17">
        <v>20170116</v>
      </c>
      <c r="B52" s="19" t="s">
        <v>49</v>
      </c>
      <c r="C52" s="36" t="s">
        <v>28</v>
      </c>
      <c r="D52" s="17" t="s">
        <v>5</v>
      </c>
      <c r="E52" s="17" t="s">
        <v>34</v>
      </c>
      <c r="F52" s="17" t="s">
        <v>48</v>
      </c>
      <c r="G52" s="17" t="s">
        <v>22</v>
      </c>
      <c r="H52" s="18">
        <f>[13]副本!G102</f>
        <v>17900.637999999999</v>
      </c>
      <c r="I52" s="18">
        <v>0</v>
      </c>
      <c r="J52" s="17"/>
      <c r="K52" s="15"/>
      <c r="L52" s="16">
        <f>H52-I52</f>
        <v>17900.637999999999</v>
      </c>
      <c r="M52" s="15">
        <v>25000</v>
      </c>
      <c r="N52" s="14" t="s">
        <v>47</v>
      </c>
      <c r="O52" s="13" t="s">
        <v>46</v>
      </c>
      <c r="P52" s="12" t="s">
        <v>45</v>
      </c>
    </row>
    <row r="53" spans="1:17" s="11" customFormat="1" ht="34.5" customHeight="1" x14ac:dyDescent="0.15">
      <c r="A53" s="17">
        <v>20170116</v>
      </c>
      <c r="B53" s="19" t="s">
        <v>44</v>
      </c>
      <c r="C53" s="36" t="s">
        <v>43</v>
      </c>
      <c r="D53" s="17" t="s">
        <v>5</v>
      </c>
      <c r="E53" s="17" t="s">
        <v>34</v>
      </c>
      <c r="F53" s="17" t="s">
        <v>234</v>
      </c>
      <c r="G53" s="17" t="s">
        <v>22</v>
      </c>
      <c r="H53" s="18">
        <f>[13]副本!G104</f>
        <v>12990.035000000082</v>
      </c>
      <c r="I53" s="18">
        <v>0</v>
      </c>
      <c r="J53" s="17"/>
      <c r="K53" s="15"/>
      <c r="L53" s="16">
        <f>H53-I53</f>
        <v>12990.035000000082</v>
      </c>
      <c r="M53" s="15">
        <v>50000</v>
      </c>
      <c r="N53" s="14"/>
      <c r="O53" s="13"/>
      <c r="P53" s="12"/>
    </row>
    <row r="54" spans="1:17" s="11" customFormat="1" ht="34.5" customHeight="1" x14ac:dyDescent="0.15">
      <c r="A54" s="17">
        <v>20170116</v>
      </c>
      <c r="B54" s="19" t="s">
        <v>41</v>
      </c>
      <c r="C54" s="36" t="s">
        <v>28</v>
      </c>
      <c r="D54" s="17"/>
      <c r="E54" s="17" t="s">
        <v>67</v>
      </c>
      <c r="F54" s="17" t="s">
        <v>446</v>
      </c>
      <c r="G54" s="17" t="s">
        <v>22</v>
      </c>
      <c r="H54" s="18">
        <f>[13]副本!G108</f>
        <v>2593.6109999999999</v>
      </c>
      <c r="I54" s="18">
        <v>0</v>
      </c>
      <c r="J54" s="17"/>
      <c r="K54" s="15"/>
      <c r="L54" s="16">
        <f>H54-I54</f>
        <v>2593.6109999999999</v>
      </c>
      <c r="M54" s="15">
        <v>4000</v>
      </c>
      <c r="N54" s="14"/>
      <c r="O54" s="13"/>
      <c r="P54" s="12"/>
    </row>
    <row r="55" spans="1:17" s="11" customFormat="1" ht="34.5" customHeight="1" x14ac:dyDescent="0.15">
      <c r="A55" s="17">
        <v>20170116</v>
      </c>
      <c r="B55" s="19" t="s">
        <v>37</v>
      </c>
      <c r="C55" s="36" t="s">
        <v>31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34.5" customHeight="1" x14ac:dyDescent="0.15">
      <c r="A56" s="17">
        <v>20170116</v>
      </c>
      <c r="B56" s="19" t="s">
        <v>36</v>
      </c>
      <c r="C56" s="36" t="s">
        <v>31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34.5" customHeight="1" x14ac:dyDescent="0.15">
      <c r="A57" s="17">
        <v>20170116</v>
      </c>
      <c r="B57" s="19" t="s">
        <v>35</v>
      </c>
      <c r="C57" s="36" t="s">
        <v>28</v>
      </c>
      <c r="D57" s="17" t="s">
        <v>5</v>
      </c>
      <c r="E57" s="17" t="s">
        <v>34</v>
      </c>
      <c r="F57" s="17" t="s">
        <v>435</v>
      </c>
      <c r="G57" s="17" t="s">
        <v>22</v>
      </c>
      <c r="H57" s="18">
        <f>[13]副本!G114</f>
        <v>6957.8649999999998</v>
      </c>
      <c r="I57" s="18">
        <f>H57-6957.865</f>
        <v>0</v>
      </c>
      <c r="J57" s="17"/>
      <c r="K57" s="16"/>
      <c r="L57" s="16">
        <f>H57-I57</f>
        <v>6957.8649999999998</v>
      </c>
      <c r="M57" s="15">
        <v>10000</v>
      </c>
      <c r="N57" s="14"/>
      <c r="O57" s="13"/>
      <c r="P57" s="12"/>
      <c r="Q57" s="20"/>
    </row>
    <row r="58" spans="1:17" s="11" customFormat="1" ht="34.5" customHeight="1" x14ac:dyDescent="0.15">
      <c r="A58" s="17">
        <v>20170116</v>
      </c>
      <c r="B58" s="19" t="s">
        <v>32</v>
      </c>
      <c r="C58" s="36" t="s">
        <v>31</v>
      </c>
      <c r="D58" s="17" t="s">
        <v>5</v>
      </c>
      <c r="E58" s="17" t="s">
        <v>4</v>
      </c>
      <c r="F58" s="17" t="s">
        <v>436</v>
      </c>
      <c r="G58" s="17" t="s">
        <v>22</v>
      </c>
      <c r="H58" s="18">
        <f>[13]副本!G116</f>
        <v>9990.9</v>
      </c>
      <c r="I58" s="18">
        <v>0</v>
      </c>
      <c r="J58" s="17"/>
      <c r="K58" s="21"/>
      <c r="L58" s="16">
        <f>H58-I58</f>
        <v>9990.9</v>
      </c>
      <c r="M58" s="15">
        <v>15000</v>
      </c>
      <c r="N58" s="14"/>
      <c r="O58" s="13"/>
      <c r="P58" s="12" t="s">
        <v>376</v>
      </c>
      <c r="Q58" s="20"/>
    </row>
    <row r="59" spans="1:17" s="11" customFormat="1" ht="34.5" customHeight="1" x14ac:dyDescent="0.15">
      <c r="A59" s="17">
        <v>20170116</v>
      </c>
      <c r="B59" s="19" t="s">
        <v>30</v>
      </c>
      <c r="C59" s="19" t="s">
        <v>28</v>
      </c>
      <c r="D59" s="17" t="s">
        <v>5</v>
      </c>
      <c r="E59" s="17" t="s">
        <v>4</v>
      </c>
      <c r="F59" s="17" t="s">
        <v>3</v>
      </c>
      <c r="G59" s="17" t="s">
        <v>22</v>
      </c>
      <c r="H59" s="18">
        <f>[13]副本!G118</f>
        <v>14268.313999999997</v>
      </c>
      <c r="I59" s="18">
        <f>H59</f>
        <v>14268.313999999997</v>
      </c>
      <c r="J59" s="17"/>
      <c r="K59" s="15">
        <v>450</v>
      </c>
      <c r="L59" s="16"/>
      <c r="M59" s="15">
        <v>43000</v>
      </c>
      <c r="N59" s="14"/>
      <c r="O59" s="13"/>
      <c r="P59" s="12" t="s">
        <v>220</v>
      </c>
      <c r="Q59" s="20"/>
    </row>
    <row r="60" spans="1:17" s="11" customFormat="1" ht="34.5" customHeight="1" x14ac:dyDescent="0.15">
      <c r="A60" s="17">
        <v>20170116</v>
      </c>
      <c r="B60" s="19" t="s">
        <v>30</v>
      </c>
      <c r="C60" s="19" t="s">
        <v>28</v>
      </c>
      <c r="D60" s="17" t="s">
        <v>5</v>
      </c>
      <c r="E60" s="17" t="s">
        <v>4</v>
      </c>
      <c r="F60" s="17" t="s">
        <v>251</v>
      </c>
      <c r="G60" s="17" t="s">
        <v>22</v>
      </c>
      <c r="H60" s="18">
        <f>[13]副本!G119</f>
        <v>30.4399999999996</v>
      </c>
      <c r="I60" s="18">
        <f>H60</f>
        <v>30.4399999999996</v>
      </c>
      <c r="J60" s="17"/>
      <c r="K60" s="17"/>
      <c r="L60" s="16"/>
      <c r="M60" s="15">
        <v>43000</v>
      </c>
      <c r="N60" s="14"/>
      <c r="O60" s="13"/>
      <c r="P60" s="12" t="s">
        <v>220</v>
      </c>
      <c r="Q60" s="20"/>
    </row>
    <row r="61" spans="1:17" s="11" customFormat="1" ht="34.5" customHeight="1" x14ac:dyDescent="0.15">
      <c r="A61" s="17">
        <v>20170116</v>
      </c>
      <c r="B61" s="19" t="s">
        <v>29</v>
      </c>
      <c r="C61" s="19" t="s">
        <v>28</v>
      </c>
      <c r="D61" s="17" t="s">
        <v>5</v>
      </c>
      <c r="E61" s="17"/>
      <c r="F61" s="17"/>
      <c r="G61" s="17"/>
      <c r="H61" s="18"/>
      <c r="I61" s="18"/>
      <c r="J61" s="17"/>
      <c r="K61" s="15"/>
      <c r="L61" s="16"/>
      <c r="M61" s="15">
        <v>43000</v>
      </c>
      <c r="N61" s="14"/>
      <c r="O61" s="13"/>
      <c r="P61" s="12"/>
      <c r="Q61" s="20"/>
    </row>
    <row r="62" spans="1:17" s="11" customFormat="1" ht="34.5" customHeight="1" x14ac:dyDescent="0.15">
      <c r="A62" s="17">
        <v>20170116</v>
      </c>
      <c r="B62" s="19" t="s">
        <v>24</v>
      </c>
      <c r="C62" s="36" t="s">
        <v>0</v>
      </c>
      <c r="D62" s="17"/>
      <c r="E62" s="17" t="s">
        <v>4</v>
      </c>
      <c r="F62" s="17" t="s">
        <v>23</v>
      </c>
      <c r="G62" s="17" t="s">
        <v>22</v>
      </c>
      <c r="H62" s="18">
        <f>[13]副本!G123</f>
        <v>157.6469999999963</v>
      </c>
      <c r="I62" s="18">
        <f>H62-15652.787+4092.929+8666.148+2893.71</f>
        <v>157.6469999999963</v>
      </c>
      <c r="J62" s="17"/>
      <c r="K62" s="15">
        <v>120</v>
      </c>
      <c r="L62" s="16">
        <f>H62-I62</f>
        <v>0</v>
      </c>
      <c r="M62" s="15">
        <v>20000</v>
      </c>
      <c r="N62" s="14"/>
      <c r="O62" s="13"/>
      <c r="P62" s="12" t="s">
        <v>443</v>
      </c>
    </row>
    <row r="63" spans="1:17" s="11" customFormat="1" ht="34.5" customHeight="1" x14ac:dyDescent="0.15">
      <c r="A63" s="17">
        <v>20170116</v>
      </c>
      <c r="B63" s="19" t="s">
        <v>442</v>
      </c>
      <c r="C63" s="36" t="s">
        <v>0</v>
      </c>
      <c r="D63" s="17"/>
      <c r="E63" s="17" t="s">
        <v>12</v>
      </c>
      <c r="F63" s="17" t="s">
        <v>596</v>
      </c>
      <c r="G63" s="17" t="s">
        <v>2</v>
      </c>
      <c r="H63" s="18">
        <f>[13]副本!G125</f>
        <v>14479.917000000001</v>
      </c>
      <c r="I63" s="18">
        <f>H63-5000.991</f>
        <v>9478.9260000000013</v>
      </c>
      <c r="J63" s="17"/>
      <c r="K63" s="15"/>
      <c r="L63" s="16">
        <f>H63-I63</f>
        <v>5000.991</v>
      </c>
      <c r="M63" s="15">
        <v>30000</v>
      </c>
      <c r="N63" s="14"/>
      <c r="O63" s="13"/>
      <c r="P63" s="12" t="s">
        <v>441</v>
      </c>
    </row>
    <row r="64" spans="1:17" s="11" customFormat="1" ht="34.5" customHeight="1" x14ac:dyDescent="0.15">
      <c r="A64" s="17">
        <v>20170116</v>
      </c>
      <c r="B64" s="19" t="s">
        <v>442</v>
      </c>
      <c r="C64" s="36" t="s">
        <v>0</v>
      </c>
      <c r="D64" s="17"/>
      <c r="E64" s="17" t="s">
        <v>12</v>
      </c>
      <c r="F64" s="17" t="s">
        <v>597</v>
      </c>
      <c r="G64" s="17" t="s">
        <v>2</v>
      </c>
      <c r="H64" s="18">
        <f>[13]副本!G126</f>
        <v>5000.9920000000002</v>
      </c>
      <c r="I64" s="18">
        <f>H64</f>
        <v>5000.9920000000002</v>
      </c>
      <c r="J64" s="17"/>
      <c r="K64" s="15"/>
      <c r="L64" s="16">
        <f>H64-I64</f>
        <v>0</v>
      </c>
      <c r="M64" s="15">
        <v>30000</v>
      </c>
      <c r="N64" s="14"/>
      <c r="O64" s="13"/>
      <c r="P64" s="12" t="s">
        <v>440</v>
      </c>
    </row>
    <row r="65" spans="1:16" s="11" customFormat="1" ht="34.5" customHeight="1" x14ac:dyDescent="0.15">
      <c r="A65" s="17">
        <v>20170116</v>
      </c>
      <c r="B65" s="19" t="s">
        <v>18</v>
      </c>
      <c r="C65" s="36" t="s">
        <v>0</v>
      </c>
      <c r="D65" s="17" t="s">
        <v>5</v>
      </c>
      <c r="E65" s="17" t="s">
        <v>4</v>
      </c>
      <c r="F65" s="17" t="s">
        <v>17</v>
      </c>
      <c r="G65" s="17" t="s">
        <v>2</v>
      </c>
      <c r="H65" s="18">
        <f>[13]副本!G128</f>
        <v>14976.093999999999</v>
      </c>
      <c r="I65" s="18">
        <f>H65-14976.094</f>
        <v>0</v>
      </c>
      <c r="J65" s="17"/>
      <c r="K65" s="15">
        <v>200</v>
      </c>
      <c r="L65" s="16">
        <f>H65-I65</f>
        <v>14976.093999999999</v>
      </c>
      <c r="M65" s="15">
        <v>20000</v>
      </c>
      <c r="N65" s="14" t="s">
        <v>16</v>
      </c>
      <c r="O65" s="13" t="s">
        <v>15</v>
      </c>
      <c r="P65" s="12" t="s">
        <v>14</v>
      </c>
    </row>
    <row r="66" spans="1:16" s="11" customFormat="1" ht="34.5" customHeight="1" x14ac:dyDescent="0.15">
      <c r="A66" s="17">
        <v>20170116</v>
      </c>
      <c r="B66" s="19" t="s">
        <v>13</v>
      </c>
      <c r="C66" s="36" t="s">
        <v>0</v>
      </c>
      <c r="D66" s="17"/>
      <c r="E66" s="17" t="s">
        <v>12</v>
      </c>
      <c r="F66" s="17" t="s">
        <v>11</v>
      </c>
      <c r="G66" s="17" t="s">
        <v>2</v>
      </c>
      <c r="H66" s="18">
        <f>[13]副本!G130</f>
        <v>25173.616999999973</v>
      </c>
      <c r="I66" s="18">
        <f>H66</f>
        <v>25173.616999999973</v>
      </c>
      <c r="J66" s="17"/>
      <c r="K66" s="15"/>
      <c r="L66" s="16">
        <v>0</v>
      </c>
      <c r="M66" s="15">
        <v>30000</v>
      </c>
      <c r="N66" s="14"/>
      <c r="O66" s="13"/>
      <c r="P66" s="12"/>
    </row>
    <row r="67" spans="1:16" s="11" customFormat="1" ht="34.5" customHeight="1" x14ac:dyDescent="0.15">
      <c r="A67" s="17">
        <v>20170116</v>
      </c>
      <c r="B67" s="19" t="s">
        <v>10</v>
      </c>
      <c r="C67" s="36" t="s">
        <v>0</v>
      </c>
      <c r="D67" s="17"/>
      <c r="E67" s="17" t="s">
        <v>9</v>
      </c>
      <c r="F67" s="12" t="s">
        <v>8</v>
      </c>
      <c r="G67" s="17" t="s">
        <v>2</v>
      </c>
      <c r="H67" s="18">
        <f>[13]副本!G132</f>
        <v>5979.2150000000001</v>
      </c>
      <c r="I67" s="18">
        <f>H67</f>
        <v>5979.2150000000001</v>
      </c>
      <c r="J67" s="17"/>
      <c r="K67" s="15"/>
      <c r="L67" s="16">
        <f>H67-I67</f>
        <v>0</v>
      </c>
      <c r="M67" s="15">
        <v>20000</v>
      </c>
      <c r="N67" s="14"/>
      <c r="O67" s="13"/>
      <c r="P67" s="17"/>
    </row>
    <row r="68" spans="1:16" s="11" customFormat="1" ht="34.5" customHeight="1" x14ac:dyDescent="0.15">
      <c r="A68" s="17">
        <v>20170116</v>
      </c>
      <c r="B68" s="19" t="s">
        <v>10</v>
      </c>
      <c r="C68" s="36" t="s">
        <v>0</v>
      </c>
      <c r="D68" s="17"/>
      <c r="E68" s="17" t="s">
        <v>9</v>
      </c>
      <c r="F68" s="12" t="s">
        <v>257</v>
      </c>
      <c r="G68" s="17" t="s">
        <v>2</v>
      </c>
      <c r="H68" s="18">
        <f>[13]副本!G133</f>
        <v>1332.7399999999998</v>
      </c>
      <c r="I68" s="18">
        <f>H68</f>
        <v>1332.7399999999998</v>
      </c>
      <c r="J68" s="17"/>
      <c r="K68" s="15">
        <v>250</v>
      </c>
      <c r="L68" s="16">
        <v>0</v>
      </c>
      <c r="M68" s="15">
        <v>20000</v>
      </c>
      <c r="N68" s="14"/>
      <c r="O68" s="13"/>
      <c r="P68" s="12" t="s">
        <v>439</v>
      </c>
    </row>
    <row r="69" spans="1:16" s="11" customFormat="1" ht="34.5" customHeight="1" x14ac:dyDescent="0.15">
      <c r="A69" s="17">
        <v>20170116</v>
      </c>
      <c r="B69" s="19" t="s">
        <v>7</v>
      </c>
      <c r="C69" s="36" t="s">
        <v>0</v>
      </c>
      <c r="D69" s="17"/>
      <c r="E69" s="17"/>
      <c r="F69" s="17"/>
      <c r="G69" s="17"/>
      <c r="H69" s="18"/>
      <c r="I69" s="18"/>
      <c r="J69" s="17"/>
      <c r="K69" s="15"/>
      <c r="L69" s="16"/>
      <c r="M69" s="15">
        <v>15000</v>
      </c>
      <c r="N69" s="14"/>
      <c r="O69" s="13"/>
      <c r="P69" s="12"/>
    </row>
    <row r="70" spans="1:16" s="11" customFormat="1" ht="34.5" customHeight="1" x14ac:dyDescent="0.15">
      <c r="A70" s="17">
        <v>20170116</v>
      </c>
      <c r="B70" s="19" t="s">
        <v>6</v>
      </c>
      <c r="C70" s="36" t="s">
        <v>0</v>
      </c>
      <c r="D70" s="17" t="s">
        <v>5</v>
      </c>
      <c r="E70" s="17" t="s">
        <v>4</v>
      </c>
      <c r="F70" s="17" t="s">
        <v>3</v>
      </c>
      <c r="G70" s="17" t="s">
        <v>2</v>
      </c>
      <c r="H70" s="18">
        <f>[13]副本!G137</f>
        <v>12005.106</v>
      </c>
      <c r="I70" s="18">
        <f>H70-12005.106</f>
        <v>0</v>
      </c>
      <c r="J70" s="17"/>
      <c r="K70" s="15"/>
      <c r="L70" s="16">
        <f>H70-I70</f>
        <v>12005.106</v>
      </c>
      <c r="M70" s="15">
        <v>15000</v>
      </c>
      <c r="N70" s="14"/>
      <c r="O70" s="13"/>
      <c r="P70" s="12"/>
    </row>
    <row r="71" spans="1:16" s="11" customFormat="1" ht="34.5" customHeight="1" x14ac:dyDescent="0.15">
      <c r="A71" s="17">
        <v>20170116</v>
      </c>
      <c r="B71" s="19" t="s">
        <v>1</v>
      </c>
      <c r="C71" s="36" t="s">
        <v>0</v>
      </c>
      <c r="D71" s="17"/>
      <c r="E71" s="17" t="s">
        <v>4</v>
      </c>
      <c r="F71" s="17" t="s">
        <v>437</v>
      </c>
      <c r="G71" s="17" t="s">
        <v>2</v>
      </c>
      <c r="H71" s="18">
        <f>[13]副本!G139</f>
        <v>9989.5499999999993</v>
      </c>
      <c r="I71" s="18">
        <v>3000</v>
      </c>
      <c r="J71" s="17"/>
      <c r="K71" s="15"/>
      <c r="L71" s="16">
        <f>H71-I71</f>
        <v>6989.5499999999993</v>
      </c>
      <c r="M71" s="15">
        <v>15000</v>
      </c>
      <c r="N71" s="14"/>
      <c r="O71" s="13"/>
      <c r="P71" s="12" t="s">
        <v>438</v>
      </c>
    </row>
    <row r="77" spans="1:16" x14ac:dyDescent="0.15">
      <c r="L77" s="10"/>
    </row>
    <row r="229" spans="7:8" x14ac:dyDescent="0.15">
      <c r="G229" s="2"/>
      <c r="H229" s="2"/>
    </row>
  </sheetData>
  <autoFilter ref="B1:I71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62" activePane="bottomRight" state="frozen"/>
      <selection activeCell="G5" sqref="G5"/>
      <selection pane="topRight" activeCell="G5" sqref="G5"/>
      <selection pane="bottomLeft" activeCell="G5" sqref="G5"/>
      <selection pane="bottomRight" activeCell="F64" sqref="F64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31.7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78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29" t="s">
        <v>272</v>
      </c>
      <c r="B1" s="38" t="s">
        <v>434</v>
      </c>
      <c r="C1" s="29" t="s">
        <v>171</v>
      </c>
      <c r="D1" s="29" t="s">
        <v>170</v>
      </c>
      <c r="E1" s="29" t="s">
        <v>169</v>
      </c>
      <c r="F1" s="29" t="s">
        <v>433</v>
      </c>
      <c r="G1" s="35" t="s">
        <v>167</v>
      </c>
      <c r="H1" s="34" t="s">
        <v>166</v>
      </c>
      <c r="I1" s="33" t="s">
        <v>432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23.25" customHeight="1" x14ac:dyDescent="0.15">
      <c r="A2" s="17">
        <v>20170118</v>
      </c>
      <c r="B2" s="19" t="s">
        <v>158</v>
      </c>
      <c r="C2" s="36" t="s">
        <v>63</v>
      </c>
      <c r="D2" s="19"/>
      <c r="E2" s="17" t="s">
        <v>141</v>
      </c>
      <c r="F2" s="63" t="s">
        <v>144</v>
      </c>
      <c r="G2" s="12" t="s">
        <v>54</v>
      </c>
      <c r="H2" s="18">
        <f>[14]副本!G3</f>
        <v>1947.127</v>
      </c>
      <c r="I2" s="18">
        <f>H2</f>
        <v>1947.127</v>
      </c>
      <c r="J2" s="17"/>
      <c r="K2" s="15"/>
      <c r="L2" s="16">
        <v>0</v>
      </c>
      <c r="M2" s="15">
        <v>2000</v>
      </c>
      <c r="N2" s="14" t="s">
        <v>428</v>
      </c>
      <c r="O2" s="13" t="s">
        <v>416</v>
      </c>
      <c r="P2" s="12" t="s">
        <v>466</v>
      </c>
    </row>
    <row r="3" spans="1:17" s="11" customFormat="1" ht="23.25" customHeight="1" x14ac:dyDescent="0.15">
      <c r="A3" s="17">
        <v>20170118</v>
      </c>
      <c r="B3" s="19" t="s">
        <v>157</v>
      </c>
      <c r="C3" s="36" t="s">
        <v>63</v>
      </c>
      <c r="D3" s="19"/>
      <c r="E3" s="17" t="s">
        <v>431</v>
      </c>
      <c r="F3" s="63"/>
      <c r="G3" s="12"/>
      <c r="H3" s="18"/>
      <c r="I3" s="18"/>
      <c r="J3" s="17"/>
      <c r="K3" s="15"/>
      <c r="L3" s="16"/>
      <c r="M3" s="15">
        <v>1500</v>
      </c>
      <c r="N3" s="14"/>
      <c r="O3" s="13"/>
      <c r="P3" s="12"/>
    </row>
    <row r="4" spans="1:17" s="11" customFormat="1" ht="23.25" customHeight="1" x14ac:dyDescent="0.15">
      <c r="A4" s="17">
        <v>20170118</v>
      </c>
      <c r="B4" s="19" t="s">
        <v>153</v>
      </c>
      <c r="C4" s="36" t="s">
        <v>63</v>
      </c>
      <c r="D4" s="19"/>
      <c r="E4" s="17" t="s">
        <v>386</v>
      </c>
      <c r="F4" s="63" t="s">
        <v>61</v>
      </c>
      <c r="G4" s="12" t="s">
        <v>54</v>
      </c>
      <c r="H4" s="18">
        <f>[14]副本!G7</f>
        <v>1710.5029999999958</v>
      </c>
      <c r="I4" s="18">
        <f>H4</f>
        <v>1710.5029999999958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430</v>
      </c>
    </row>
    <row r="5" spans="1:17" s="11" customFormat="1" ht="23.25" customHeight="1" x14ac:dyDescent="0.15">
      <c r="A5" s="17">
        <v>20170118</v>
      </c>
      <c r="B5" s="19" t="s">
        <v>149</v>
      </c>
      <c r="C5" s="36" t="s">
        <v>63</v>
      </c>
      <c r="D5" s="17"/>
      <c r="E5" s="17" t="s">
        <v>429</v>
      </c>
      <c r="F5" s="63" t="s">
        <v>140</v>
      </c>
      <c r="G5" s="12" t="s">
        <v>54</v>
      </c>
      <c r="H5" s="18"/>
      <c r="I5" s="18"/>
      <c r="J5" s="17"/>
      <c r="K5" s="15"/>
      <c r="L5" s="16"/>
      <c r="M5" s="15">
        <v>2000</v>
      </c>
      <c r="N5" s="14" t="s">
        <v>147</v>
      </c>
      <c r="O5" s="13" t="s">
        <v>416</v>
      </c>
      <c r="P5" s="12"/>
    </row>
    <row r="6" spans="1:17" s="11" customFormat="1" ht="23.25" customHeight="1" x14ac:dyDescent="0.15">
      <c r="A6" s="17">
        <v>20170118</v>
      </c>
      <c r="B6" s="19" t="s">
        <v>145</v>
      </c>
      <c r="C6" s="36" t="s">
        <v>63</v>
      </c>
      <c r="D6" s="17"/>
      <c r="E6" s="17" t="s">
        <v>141</v>
      </c>
      <c r="F6" s="63" t="s">
        <v>144</v>
      </c>
      <c r="G6" s="12" t="s">
        <v>54</v>
      </c>
      <c r="H6" s="18">
        <f>[14]副本!G11</f>
        <v>546.43000000000029</v>
      </c>
      <c r="I6" s="18">
        <f>H6</f>
        <v>546.43000000000029</v>
      </c>
      <c r="J6" s="17"/>
      <c r="K6" s="15"/>
      <c r="L6" s="16">
        <v>0</v>
      </c>
      <c r="M6" s="15">
        <v>3000</v>
      </c>
      <c r="N6" s="14" t="s">
        <v>428</v>
      </c>
      <c r="O6" s="13" t="s">
        <v>416</v>
      </c>
      <c r="P6" s="12" t="s">
        <v>427</v>
      </c>
      <c r="Q6" s="20"/>
    </row>
    <row r="7" spans="1:17" s="11" customFormat="1" ht="23.25" customHeight="1" x14ac:dyDescent="0.15">
      <c r="A7" s="17">
        <v>20170118</v>
      </c>
      <c r="B7" s="19" t="s">
        <v>142</v>
      </c>
      <c r="C7" s="36" t="s">
        <v>63</v>
      </c>
      <c r="D7" s="17"/>
      <c r="E7" s="17" t="s">
        <v>141</v>
      </c>
      <c r="F7" s="63" t="s">
        <v>140</v>
      </c>
      <c r="G7" s="17" t="s">
        <v>54</v>
      </c>
      <c r="H7" s="18">
        <f>[14]副本!G13</f>
        <v>290.64499999999953</v>
      </c>
      <c r="I7" s="18">
        <f>H7</f>
        <v>290.64499999999953</v>
      </c>
      <c r="J7" s="17"/>
      <c r="K7" s="15"/>
      <c r="L7" s="16">
        <v>0</v>
      </c>
      <c r="M7" s="15">
        <v>3000</v>
      </c>
      <c r="N7" s="14"/>
      <c r="O7" s="13"/>
      <c r="P7" s="12" t="s">
        <v>426</v>
      </c>
      <c r="Q7" s="20"/>
    </row>
    <row r="8" spans="1:17" s="11" customFormat="1" ht="23.25" customHeight="1" x14ac:dyDescent="0.15">
      <c r="A8" s="17">
        <v>20170118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23.25" customHeight="1" x14ac:dyDescent="0.15">
      <c r="A9" s="17">
        <v>20170118</v>
      </c>
      <c r="B9" s="19" t="s">
        <v>425</v>
      </c>
      <c r="C9" s="36" t="s">
        <v>290</v>
      </c>
      <c r="D9" s="17"/>
      <c r="E9" s="17" t="s">
        <v>280</v>
      </c>
      <c r="F9" s="17" t="s">
        <v>104</v>
      </c>
      <c r="G9" s="17" t="s">
        <v>54</v>
      </c>
      <c r="H9" s="17">
        <f>[14]副本!G17</f>
        <v>1322.4749999999999</v>
      </c>
      <c r="I9" s="18">
        <f>H9</f>
        <v>1322.4749999999999</v>
      </c>
      <c r="J9" s="17"/>
      <c r="K9" s="15">
        <v>70</v>
      </c>
      <c r="L9" s="16">
        <f>H9-I9</f>
        <v>0</v>
      </c>
      <c r="M9" s="15">
        <v>5000</v>
      </c>
      <c r="N9" s="14" t="s">
        <v>424</v>
      </c>
      <c r="O9" s="13" t="s">
        <v>423</v>
      </c>
      <c r="P9" s="12" t="s">
        <v>101</v>
      </c>
    </row>
    <row r="10" spans="1:17" s="11" customFormat="1" ht="23.25" customHeight="1" x14ac:dyDescent="0.15">
      <c r="A10" s="17">
        <v>20170118</v>
      </c>
      <c r="B10" s="19" t="s">
        <v>135</v>
      </c>
      <c r="C10" s="17" t="s">
        <v>63</v>
      </c>
      <c r="D10" s="17"/>
      <c r="E10" s="17" t="s">
        <v>404</v>
      </c>
      <c r="F10" s="17" t="s">
        <v>232</v>
      </c>
      <c r="G10" s="17" t="s">
        <v>54</v>
      </c>
      <c r="H10" s="18">
        <f>[14]副本!G19</f>
        <v>1.5219999999999345</v>
      </c>
      <c r="I10" s="18">
        <f>H10</f>
        <v>1.5219999999999345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422</v>
      </c>
    </row>
    <row r="11" spans="1:17" s="11" customFormat="1" ht="23.25" customHeight="1" x14ac:dyDescent="0.15">
      <c r="A11" s="17">
        <v>20170118</v>
      </c>
      <c r="B11" s="19" t="s">
        <v>135</v>
      </c>
      <c r="C11" s="17" t="s">
        <v>63</v>
      </c>
      <c r="D11" s="17"/>
      <c r="E11" s="17" t="s">
        <v>404</v>
      </c>
      <c r="F11" s="17" t="s">
        <v>261</v>
      </c>
      <c r="G11" s="17" t="s">
        <v>54</v>
      </c>
      <c r="H11" s="18">
        <f>[14]副本!G20</f>
        <v>63.16</v>
      </c>
      <c r="I11" s="18">
        <f>H11</f>
        <v>63.16</v>
      </c>
      <c r="J11" s="17"/>
      <c r="K11" s="15"/>
      <c r="L11" s="16">
        <f>H11-I11</f>
        <v>0</v>
      </c>
      <c r="M11" s="15">
        <v>1500</v>
      </c>
      <c r="N11" s="14"/>
      <c r="O11" s="13"/>
      <c r="P11" s="12" t="s">
        <v>421</v>
      </c>
    </row>
    <row r="12" spans="1:17" s="11" customFormat="1" ht="23.25" customHeight="1" x14ac:dyDescent="0.15">
      <c r="A12" s="17">
        <v>20170118</v>
      </c>
      <c r="B12" s="19" t="s">
        <v>135</v>
      </c>
      <c r="C12" s="17" t="s">
        <v>63</v>
      </c>
      <c r="D12" s="17"/>
      <c r="E12" s="17" t="s">
        <v>404</v>
      </c>
      <c r="F12" s="17" t="s">
        <v>91</v>
      </c>
      <c r="G12" s="17" t="s">
        <v>54</v>
      </c>
      <c r="H12" s="18">
        <f>[14]副本!G21</f>
        <v>1000</v>
      </c>
      <c r="I12" s="18">
        <f>H12</f>
        <v>1000</v>
      </c>
      <c r="J12" s="17"/>
      <c r="K12" s="15"/>
      <c r="L12" s="16">
        <f>H12-I12</f>
        <v>0</v>
      </c>
      <c r="M12" s="15">
        <v>1500</v>
      </c>
      <c r="N12" s="14"/>
      <c r="O12" s="13"/>
      <c r="P12" s="12" t="s">
        <v>421</v>
      </c>
    </row>
    <row r="13" spans="1:17" s="11" customFormat="1" ht="23.25" customHeight="1" x14ac:dyDescent="0.15">
      <c r="A13" s="17">
        <v>20170118</v>
      </c>
      <c r="B13" s="19" t="s">
        <v>134</v>
      </c>
      <c r="C13" s="17" t="s">
        <v>63</v>
      </c>
      <c r="D13" s="17"/>
      <c r="E13" s="17" t="s">
        <v>413</v>
      </c>
      <c r="F13" s="17" t="s">
        <v>256</v>
      </c>
      <c r="G13" s="17" t="s">
        <v>54</v>
      </c>
      <c r="H13" s="18">
        <f>[14]副本!G23</f>
        <v>1502.1479999999999</v>
      </c>
      <c r="I13" s="18">
        <f>H13</f>
        <v>1502.1479999999999</v>
      </c>
      <c r="J13" s="17"/>
      <c r="K13" s="15"/>
      <c r="L13" s="16">
        <f>H13-I13</f>
        <v>0</v>
      </c>
      <c r="M13" s="15">
        <v>1500</v>
      </c>
      <c r="N13" s="14"/>
      <c r="O13" s="13"/>
      <c r="P13" s="12"/>
    </row>
    <row r="14" spans="1:17" s="11" customFormat="1" ht="23.25" customHeight="1" x14ac:dyDescent="0.15">
      <c r="A14" s="17">
        <v>20170118</v>
      </c>
      <c r="B14" s="19" t="s">
        <v>133</v>
      </c>
      <c r="C14" s="36" t="s">
        <v>28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  <c r="Q14" s="20"/>
    </row>
    <row r="15" spans="1:17" s="11" customFormat="1" ht="23.25" customHeight="1" x14ac:dyDescent="0.15">
      <c r="A15" s="17">
        <v>20170118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23.25" customHeight="1" x14ac:dyDescent="0.15">
      <c r="A16" s="17">
        <v>20170118</v>
      </c>
      <c r="B16" s="19" t="s">
        <v>420</v>
      </c>
      <c r="C16" s="36" t="s">
        <v>63</v>
      </c>
      <c r="D16" s="17"/>
      <c r="E16" s="17" t="s">
        <v>404</v>
      </c>
      <c r="F16" s="17" t="s">
        <v>232</v>
      </c>
      <c r="G16" s="17" t="s">
        <v>54</v>
      </c>
      <c r="H16" s="18">
        <f>[14]副本!G29</f>
        <v>1051.9169999999999</v>
      </c>
      <c r="I16" s="18">
        <f>H16</f>
        <v>1051.9169999999999</v>
      </c>
      <c r="J16" s="17"/>
      <c r="K16" s="15">
        <v>50</v>
      </c>
      <c r="L16" s="16"/>
      <c r="M16" s="15">
        <v>1500</v>
      </c>
      <c r="N16" s="14"/>
      <c r="O16" s="13"/>
      <c r="P16" s="12" t="s">
        <v>419</v>
      </c>
    </row>
    <row r="17" spans="1:17" s="11" customFormat="1" ht="23.25" customHeight="1" x14ac:dyDescent="0.15">
      <c r="A17" s="17">
        <v>20170118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275</v>
      </c>
      <c r="H17" s="18">
        <f>[14]副本!G31-H18</f>
        <v>6786.2470000000176</v>
      </c>
      <c r="I17" s="18">
        <f>H17</f>
        <v>6786.2470000000176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416</v>
      </c>
      <c r="P17" s="12" t="s">
        <v>418</v>
      </c>
    </row>
    <row r="18" spans="1:17" s="11" customFormat="1" ht="23.25" customHeight="1" x14ac:dyDescent="0.15">
      <c r="A18" s="17">
        <v>20170118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 t="s">
        <v>275</v>
      </c>
      <c r="H18" s="18">
        <f>[14]副本!G33</f>
        <v>4387.7529999999824</v>
      </c>
      <c r="I18" s="18">
        <f>H18</f>
        <v>4387.7529999999824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417</v>
      </c>
    </row>
    <row r="19" spans="1:17" s="11" customFormat="1" ht="23.25" customHeight="1" x14ac:dyDescent="0.15">
      <c r="A19" s="17">
        <v>20170118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23.25" customHeight="1" x14ac:dyDescent="0.15">
      <c r="A20" s="17">
        <v>20170118</v>
      </c>
      <c r="B20" s="19" t="s">
        <v>126</v>
      </c>
      <c r="C20" s="36" t="s">
        <v>63</v>
      </c>
      <c r="D20" s="17"/>
      <c r="E20" s="17" t="s">
        <v>398</v>
      </c>
      <c r="F20" s="17" t="s">
        <v>81</v>
      </c>
      <c r="G20" s="17" t="s">
        <v>54</v>
      </c>
      <c r="H20" s="18">
        <f>[14]副本!G37</f>
        <v>893.76199999999994</v>
      </c>
      <c r="I20" s="18">
        <f>H20</f>
        <v>893.76199999999994</v>
      </c>
      <c r="J20" s="17"/>
      <c r="K20" s="15"/>
      <c r="L20" s="16">
        <v>0</v>
      </c>
      <c r="M20" s="15">
        <v>3000</v>
      </c>
      <c r="N20" s="14"/>
      <c r="O20" s="13"/>
      <c r="P20" s="12" t="s">
        <v>465</v>
      </c>
    </row>
    <row r="21" spans="1:17" s="11" customFormat="1" ht="23.25" customHeight="1" x14ac:dyDescent="0.15">
      <c r="A21" s="17">
        <v>20170118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275</v>
      </c>
      <c r="H21" s="18">
        <f>[14]副本!G39-'20170118'!H22</f>
        <v>3482.5374280000369</v>
      </c>
      <c r="I21" s="18">
        <f>H21</f>
        <v>3482.5374280000369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416</v>
      </c>
      <c r="P21" s="12" t="s">
        <v>415</v>
      </c>
    </row>
    <row r="22" spans="1:17" s="11" customFormat="1" ht="23.25" customHeight="1" x14ac:dyDescent="0.15">
      <c r="A22" s="17">
        <v>20170118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 t="s">
        <v>275</v>
      </c>
      <c r="H22" s="18">
        <f>[14]副本!G41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414</v>
      </c>
    </row>
    <row r="23" spans="1:17" s="11" customFormat="1" ht="23.25" customHeight="1" x14ac:dyDescent="0.15">
      <c r="A23" s="17">
        <v>20170118</v>
      </c>
      <c r="B23" s="19" t="s">
        <v>117</v>
      </c>
      <c r="C23" s="36" t="s">
        <v>63</v>
      </c>
      <c r="D23" s="17"/>
      <c r="E23" s="17" t="s">
        <v>413</v>
      </c>
      <c r="F23" s="17" t="s">
        <v>115</v>
      </c>
      <c r="G23" s="17" t="s">
        <v>275</v>
      </c>
      <c r="H23" s="18">
        <f>[14]副本!G43</f>
        <v>1094.3589999999995</v>
      </c>
      <c r="I23" s="18">
        <f>H23</f>
        <v>1094.3589999999995</v>
      </c>
      <c r="J23" s="17"/>
      <c r="K23" s="15">
        <v>200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23.25" customHeight="1" x14ac:dyDescent="0.15">
      <c r="A24" s="17">
        <v>20170118</v>
      </c>
      <c r="B24" s="19" t="s">
        <v>113</v>
      </c>
      <c r="C24" s="36" t="s">
        <v>0</v>
      </c>
      <c r="D24" s="17"/>
      <c r="E24" s="12" t="s">
        <v>412</v>
      </c>
      <c r="F24" s="17" t="s">
        <v>39</v>
      </c>
      <c r="G24" s="17" t="s">
        <v>275</v>
      </c>
      <c r="H24" s="18">
        <f>[14]副本!G45</f>
        <v>1748.7530000000002</v>
      </c>
      <c r="I24" s="18">
        <f>H24</f>
        <v>1748.7530000000002</v>
      </c>
      <c r="J24" s="17"/>
      <c r="K24" s="15"/>
      <c r="L24" s="16">
        <f>H24-I24</f>
        <v>0</v>
      </c>
      <c r="M24" s="15">
        <v>5000</v>
      </c>
      <c r="N24" s="14"/>
      <c r="O24" s="13"/>
      <c r="P24" s="37" t="s">
        <v>463</v>
      </c>
    </row>
    <row r="25" spans="1:17" s="11" customFormat="1" ht="23.25" customHeight="1" x14ac:dyDescent="0.15">
      <c r="A25" s="17">
        <v>20170118</v>
      </c>
      <c r="B25" s="19" t="s">
        <v>410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23.25" customHeight="1" x14ac:dyDescent="0.15">
      <c r="A26" s="17">
        <v>20170118</v>
      </c>
      <c r="B26" s="19" t="s">
        <v>109</v>
      </c>
      <c r="C26" s="36" t="s">
        <v>63</v>
      </c>
      <c r="D26" s="17"/>
      <c r="E26" s="17"/>
      <c r="F26" s="17"/>
      <c r="G26" s="17"/>
      <c r="H26" s="18"/>
      <c r="I26" s="18"/>
      <c r="J26" s="17"/>
      <c r="K26" s="15"/>
      <c r="L26" s="16"/>
      <c r="M26" s="15">
        <v>4000</v>
      </c>
      <c r="N26" s="14"/>
      <c r="O26" s="13"/>
      <c r="P26" s="12"/>
    </row>
    <row r="27" spans="1:17" s="11" customFormat="1" ht="23.25" customHeight="1" x14ac:dyDescent="0.15">
      <c r="A27" s="17">
        <v>20170118</v>
      </c>
      <c r="B27" s="19" t="s">
        <v>106</v>
      </c>
      <c r="C27" s="36" t="s">
        <v>409</v>
      </c>
      <c r="D27" s="17"/>
      <c r="E27" s="17"/>
      <c r="F27" s="17"/>
      <c r="G27" s="17"/>
      <c r="H27" s="18"/>
      <c r="I27" s="18"/>
      <c r="J27" s="17"/>
      <c r="K27" s="15"/>
      <c r="L27" s="16"/>
      <c r="M27" s="15">
        <v>5000</v>
      </c>
      <c r="N27" s="14"/>
      <c r="O27" s="13"/>
      <c r="P27" s="12"/>
    </row>
    <row r="28" spans="1:17" s="11" customFormat="1" ht="23.25" customHeight="1" x14ac:dyDescent="0.15">
      <c r="A28" s="17">
        <v>20170118</v>
      </c>
      <c r="B28" s="19" t="s">
        <v>100</v>
      </c>
      <c r="C28" s="36" t="s">
        <v>96</v>
      </c>
      <c r="D28" s="17"/>
      <c r="E28" s="17" t="s">
        <v>394</v>
      </c>
      <c r="F28" s="17" t="s">
        <v>446</v>
      </c>
      <c r="G28" s="17" t="s">
        <v>275</v>
      </c>
      <c r="H28" s="18">
        <f>[14]副本!G54</f>
        <v>1496.749</v>
      </c>
      <c r="I28" s="18">
        <f>H28</f>
        <v>1496.749</v>
      </c>
      <c r="J28" s="17"/>
      <c r="K28" s="15">
        <v>1200</v>
      </c>
      <c r="L28" s="16">
        <f>H28-I28</f>
        <v>0</v>
      </c>
      <c r="M28" s="15">
        <v>2000</v>
      </c>
      <c r="N28" s="14"/>
      <c r="O28" s="13"/>
      <c r="P28" s="12" t="s">
        <v>458</v>
      </c>
    </row>
    <row r="29" spans="1:17" s="11" customFormat="1" ht="23.25" customHeight="1" x14ac:dyDescent="0.15">
      <c r="A29" s="17">
        <v>20170118</v>
      </c>
      <c r="B29" s="19" t="s">
        <v>406</v>
      </c>
      <c r="C29" s="36" t="s">
        <v>96</v>
      </c>
      <c r="D29" s="17"/>
      <c r="E29" s="17"/>
      <c r="F29" s="17"/>
      <c r="G29" s="17"/>
      <c r="H29" s="18"/>
      <c r="I29" s="18"/>
      <c r="J29" s="17"/>
      <c r="K29" s="15"/>
      <c r="L29" s="16"/>
      <c r="M29" s="15">
        <v>1500</v>
      </c>
      <c r="N29" s="14"/>
      <c r="O29" s="13"/>
      <c r="P29" s="12"/>
    </row>
    <row r="30" spans="1:17" s="11" customFormat="1" ht="23.25" customHeight="1" x14ac:dyDescent="0.15">
      <c r="A30" s="17">
        <v>20170118</v>
      </c>
      <c r="B30" s="19" t="s">
        <v>98</v>
      </c>
      <c r="C30" s="36" t="s">
        <v>96</v>
      </c>
      <c r="D30" s="17"/>
      <c r="E30" s="17" t="s">
        <v>394</v>
      </c>
      <c r="F30" s="17" t="s">
        <v>446</v>
      </c>
      <c r="G30" s="17" t="s">
        <v>275</v>
      </c>
      <c r="H30" s="18">
        <f>[14]副本!G58</f>
        <v>1099.527</v>
      </c>
      <c r="I30" s="18">
        <f>H30</f>
        <v>1099.527</v>
      </c>
      <c r="J30" s="17"/>
      <c r="K30" s="15"/>
      <c r="L30" s="16">
        <f>H30-I30</f>
        <v>0</v>
      </c>
      <c r="M30" s="15">
        <v>1500</v>
      </c>
      <c r="N30" s="14"/>
      <c r="O30" s="13"/>
      <c r="P30" s="12" t="s">
        <v>458</v>
      </c>
      <c r="Q30" s="20"/>
    </row>
    <row r="31" spans="1:17" s="11" customFormat="1" ht="23.25" customHeight="1" x14ac:dyDescent="0.15">
      <c r="A31" s="17">
        <v>20170118</v>
      </c>
      <c r="B31" s="19" t="s">
        <v>97</v>
      </c>
      <c r="C31" s="36" t="s">
        <v>96</v>
      </c>
      <c r="D31" s="17"/>
      <c r="E31" s="17" t="s">
        <v>394</v>
      </c>
      <c r="F31" s="17"/>
      <c r="G31" s="17"/>
      <c r="H31" s="18"/>
      <c r="I31" s="18"/>
      <c r="J31" s="17"/>
      <c r="K31" s="15"/>
      <c r="L31" s="16"/>
      <c r="M31" s="15">
        <v>1500</v>
      </c>
      <c r="N31" s="14"/>
      <c r="O31" s="13"/>
      <c r="P31" s="12"/>
    </row>
    <row r="32" spans="1:17" s="11" customFormat="1" ht="23.25" customHeight="1" x14ac:dyDescent="0.15">
      <c r="A32" s="17">
        <v>20170118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23.25" customHeight="1" x14ac:dyDescent="0.15">
      <c r="A33" s="17">
        <v>20170118</v>
      </c>
      <c r="B33" s="19" t="s">
        <v>405</v>
      </c>
      <c r="C33" s="36" t="s">
        <v>387</v>
      </c>
      <c r="D33" s="17"/>
      <c r="E33" s="17" t="s">
        <v>404</v>
      </c>
      <c r="F33" s="17" t="s">
        <v>91</v>
      </c>
      <c r="G33" s="17" t="s">
        <v>275</v>
      </c>
      <c r="H33" s="17">
        <f>[14]副本!G64</f>
        <v>408.81600000000014</v>
      </c>
      <c r="I33" s="18">
        <f>H33-1035.099+1035.099</f>
        <v>408.81600000000014</v>
      </c>
      <c r="J33" s="17"/>
      <c r="K33" s="15">
        <v>30</v>
      </c>
      <c r="L33" s="16">
        <f>H33-I33</f>
        <v>0</v>
      </c>
      <c r="M33" s="15">
        <v>2000</v>
      </c>
      <c r="N33" s="14"/>
      <c r="O33" s="13"/>
      <c r="P33" s="12" t="s">
        <v>403</v>
      </c>
    </row>
    <row r="34" spans="1:16" s="11" customFormat="1" ht="23.25" customHeight="1" x14ac:dyDescent="0.15">
      <c r="A34" s="17">
        <v>20170118</v>
      </c>
      <c r="B34" s="19" t="s">
        <v>89</v>
      </c>
      <c r="C34" s="36" t="s">
        <v>63</v>
      </c>
      <c r="D34" s="17" t="s">
        <v>88</v>
      </c>
      <c r="E34" s="17" t="s">
        <v>401</v>
      </c>
      <c r="F34" s="17" t="s">
        <v>216</v>
      </c>
      <c r="G34" s="17" t="s">
        <v>54</v>
      </c>
      <c r="H34" s="18">
        <f>[14]副本!G66</f>
        <v>696.58299999999986</v>
      </c>
      <c r="I34" s="18">
        <f>H34-1037.023+500+537.023</f>
        <v>696.58299999999997</v>
      </c>
      <c r="J34" s="17"/>
      <c r="K34" s="15">
        <v>70</v>
      </c>
      <c r="L34" s="16">
        <f>H34-I34</f>
        <v>0</v>
      </c>
      <c r="M34" s="15">
        <v>3000</v>
      </c>
      <c r="N34" s="14"/>
      <c r="O34" s="13"/>
      <c r="P34" s="24" t="s">
        <v>222</v>
      </c>
    </row>
    <row r="35" spans="1:16" s="11" customFormat="1" ht="23.25" customHeight="1" x14ac:dyDescent="0.15">
      <c r="A35" s="17">
        <v>20170118</v>
      </c>
      <c r="B35" s="19" t="s">
        <v>85</v>
      </c>
      <c r="C35" s="36" t="s">
        <v>63</v>
      </c>
      <c r="D35" s="17" t="s">
        <v>277</v>
      </c>
      <c r="E35" s="17" t="s">
        <v>84</v>
      </c>
      <c r="F35" s="17" t="s">
        <v>81</v>
      </c>
      <c r="G35" s="17" t="s">
        <v>54</v>
      </c>
      <c r="H35" s="18">
        <f>[14]副本!G68</f>
        <v>3607.5459999999994</v>
      </c>
      <c r="I35" s="18">
        <f>H35-3607.546+2050+1050+507.546</f>
        <v>3607.5459999999994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461</v>
      </c>
    </row>
    <row r="36" spans="1:16" s="11" customFormat="1" ht="23.25" customHeight="1" x14ac:dyDescent="0.15">
      <c r="A36" s="17">
        <v>20170118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23.25" customHeight="1" x14ac:dyDescent="0.15">
      <c r="A37" s="17">
        <v>20170118</v>
      </c>
      <c r="B37" s="19" t="s">
        <v>400</v>
      </c>
      <c r="C37" s="36" t="s">
        <v>387</v>
      </c>
      <c r="D37" s="17" t="s">
        <v>277</v>
      </c>
      <c r="E37" s="17" t="s">
        <v>398</v>
      </c>
      <c r="F37" s="17" t="s">
        <v>81</v>
      </c>
      <c r="G37" s="17" t="s">
        <v>275</v>
      </c>
      <c r="H37" s="18">
        <f>[14]副本!G72</f>
        <v>1041.7500000000523</v>
      </c>
      <c r="I37" s="18">
        <f>H37-955.747+477.874+477.873-1042.865-2628.137+500+542.865+2102.57+525.567-499.112-3147.566+2100+525+525+496.678-2617.899+1574.891+523.692-522.622</f>
        <v>-0.18799999994701011</v>
      </c>
      <c r="J37" s="17"/>
      <c r="K37" s="15"/>
      <c r="L37" s="16">
        <f>H37-I37</f>
        <v>1041.9379999999992</v>
      </c>
      <c r="M37" s="15">
        <v>5000</v>
      </c>
      <c r="N37" s="14"/>
      <c r="O37" s="13"/>
      <c r="P37" s="12"/>
    </row>
    <row r="38" spans="1:16" s="11" customFormat="1" ht="23.25" customHeight="1" x14ac:dyDescent="0.15">
      <c r="A38" s="17">
        <v>20170118</v>
      </c>
      <c r="B38" s="19" t="s">
        <v>400</v>
      </c>
      <c r="C38" s="36" t="s">
        <v>387</v>
      </c>
      <c r="D38" s="17" t="s">
        <v>277</v>
      </c>
      <c r="E38" s="17" t="s">
        <v>398</v>
      </c>
      <c r="F38" s="17" t="s">
        <v>77</v>
      </c>
      <c r="G38" s="17" t="s">
        <v>275</v>
      </c>
      <c r="H38" s="18">
        <f>[14]副本!G73</f>
        <v>411.70600000000047</v>
      </c>
      <c r="I38" s="18">
        <f>H38</f>
        <v>411.70600000000047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459</v>
      </c>
    </row>
    <row r="39" spans="1:16" s="11" customFormat="1" ht="23.25" customHeight="1" x14ac:dyDescent="0.15">
      <c r="A39" s="17">
        <v>20170118</v>
      </c>
      <c r="B39" s="19" t="s">
        <v>74</v>
      </c>
      <c r="C39" s="36" t="s">
        <v>28</v>
      </c>
      <c r="D39" s="17"/>
      <c r="E39" s="17" t="s">
        <v>394</v>
      </c>
      <c r="F39" s="17" t="s">
        <v>39</v>
      </c>
      <c r="G39" s="17" t="s">
        <v>275</v>
      </c>
      <c r="H39" s="18">
        <f>[14]副本!G75</f>
        <v>45.323999999997568</v>
      </c>
      <c r="I39" s="18">
        <f>H39</f>
        <v>45.323999999997568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397</v>
      </c>
    </row>
    <row r="40" spans="1:16" s="11" customFormat="1" ht="23.25" customHeight="1" x14ac:dyDescent="0.15">
      <c r="A40" s="17">
        <v>20170118</v>
      </c>
      <c r="B40" s="19" t="s">
        <v>74</v>
      </c>
      <c r="C40" s="36" t="s">
        <v>28</v>
      </c>
      <c r="D40" s="17"/>
      <c r="E40" s="17" t="s">
        <v>394</v>
      </c>
      <c r="F40" s="17" t="s">
        <v>71</v>
      </c>
      <c r="G40" s="17" t="s">
        <v>275</v>
      </c>
      <c r="H40" s="18">
        <f>[14]副本!G76</f>
        <v>17.683000000000106</v>
      </c>
      <c r="I40" s="18">
        <f>H40</f>
        <v>17.683000000000106</v>
      </c>
      <c r="J40" s="17"/>
      <c r="K40" s="15"/>
      <c r="L40" s="16"/>
      <c r="M40" s="15">
        <v>4000</v>
      </c>
      <c r="N40" s="14"/>
      <c r="O40" s="13"/>
      <c r="P40" s="12" t="s">
        <v>396</v>
      </c>
    </row>
    <row r="41" spans="1:16" s="11" customFormat="1" ht="23.25" customHeight="1" x14ac:dyDescent="0.15">
      <c r="A41" s="17">
        <v>20170118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23.25" customHeight="1" x14ac:dyDescent="0.15">
      <c r="A42" s="17">
        <v>20170118</v>
      </c>
      <c r="B42" s="19" t="s">
        <v>72</v>
      </c>
      <c r="C42" s="36" t="s">
        <v>294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23.25" customHeight="1" x14ac:dyDescent="0.15">
      <c r="A43" s="17">
        <v>20170118</v>
      </c>
      <c r="B43" s="19" t="s">
        <v>395</v>
      </c>
      <c r="C43" s="36" t="s">
        <v>294</v>
      </c>
      <c r="D43" s="17"/>
      <c r="E43" s="17" t="s">
        <v>394</v>
      </c>
      <c r="F43" s="17" t="s">
        <v>39</v>
      </c>
      <c r="G43" s="17" t="s">
        <v>275</v>
      </c>
      <c r="H43" s="18">
        <f>[14]副本!G83</f>
        <v>1206.2109999999993</v>
      </c>
      <c r="I43" s="18">
        <f>H43</f>
        <v>1206.2109999999993</v>
      </c>
      <c r="J43" s="17"/>
      <c r="K43" s="15"/>
      <c r="L43" s="16">
        <f>H43-I43</f>
        <v>0</v>
      </c>
      <c r="M43" s="15">
        <v>5000</v>
      </c>
      <c r="N43" s="21"/>
      <c r="O43" s="13"/>
      <c r="P43" s="12" t="s">
        <v>393</v>
      </c>
    </row>
    <row r="44" spans="1:16" s="11" customFormat="1" ht="23.25" customHeight="1" x14ac:dyDescent="0.15">
      <c r="A44" s="17">
        <v>20170118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23.25" customHeight="1" x14ac:dyDescent="0.15">
      <c r="A45" s="17">
        <v>20170118</v>
      </c>
      <c r="B45" s="19" t="s">
        <v>64</v>
      </c>
      <c r="C45" s="36" t="s">
        <v>63</v>
      </c>
      <c r="D45" s="17"/>
      <c r="E45" s="17" t="s">
        <v>392</v>
      </c>
      <c r="F45" s="17" t="s">
        <v>232</v>
      </c>
      <c r="G45" s="17" t="s">
        <v>275</v>
      </c>
      <c r="H45" s="18">
        <f>[14]副本!G89</f>
        <v>984.85799999999995</v>
      </c>
      <c r="I45" s="18">
        <f>H45</f>
        <v>984.85799999999995</v>
      </c>
      <c r="J45" s="17"/>
      <c r="K45" s="15"/>
      <c r="L45" s="16">
        <f>H45-I45</f>
        <v>0</v>
      </c>
      <c r="M45" s="15">
        <v>5000</v>
      </c>
      <c r="N45" s="14"/>
      <c r="O45" s="13"/>
      <c r="P45" s="12" t="s">
        <v>391</v>
      </c>
    </row>
    <row r="46" spans="1:16" s="11" customFormat="1" ht="23.25" customHeight="1" x14ac:dyDescent="0.15">
      <c r="A46" s="17">
        <v>20170118</v>
      </c>
      <c r="B46" s="19" t="s">
        <v>64</v>
      </c>
      <c r="C46" s="36" t="s">
        <v>63</v>
      </c>
      <c r="D46" s="17"/>
      <c r="E46" s="17" t="s">
        <v>392</v>
      </c>
      <c r="F46" s="17" t="s">
        <v>140</v>
      </c>
      <c r="G46" s="17"/>
      <c r="H46" s="18">
        <f>[14]副本!G90</f>
        <v>1000</v>
      </c>
      <c r="I46" s="18">
        <f>H46</f>
        <v>1000</v>
      </c>
      <c r="J46" s="17"/>
      <c r="K46" s="15"/>
      <c r="L46" s="16"/>
      <c r="M46" s="15"/>
      <c r="N46" s="14"/>
      <c r="O46" s="13"/>
      <c r="P46" s="12" t="s">
        <v>391</v>
      </c>
    </row>
    <row r="47" spans="1:16" s="11" customFormat="1" ht="23.25" customHeight="1" x14ac:dyDescent="0.15">
      <c r="A47" s="17">
        <v>20170118</v>
      </c>
      <c r="B47" s="19" t="s">
        <v>62</v>
      </c>
      <c r="C47" s="36" t="s">
        <v>387</v>
      </c>
      <c r="D47" s="17"/>
      <c r="E47" s="17" t="s">
        <v>386</v>
      </c>
      <c r="F47" s="17" t="s">
        <v>61</v>
      </c>
      <c r="G47" s="17" t="s">
        <v>275</v>
      </c>
      <c r="H47" s="18">
        <f>[14]副本!G92</f>
        <v>1128.1039999999941</v>
      </c>
      <c r="I47" s="18">
        <f>H47</f>
        <v>1128.1039999999941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23.25" customHeight="1" x14ac:dyDescent="0.15">
      <c r="A48" s="17">
        <v>20170118</v>
      </c>
      <c r="B48" s="19" t="s">
        <v>390</v>
      </c>
      <c r="C48" s="36" t="s">
        <v>294</v>
      </c>
      <c r="D48" s="17" t="s">
        <v>277</v>
      </c>
      <c r="E48" s="17" t="s">
        <v>292</v>
      </c>
      <c r="F48" s="17" t="s">
        <v>48</v>
      </c>
      <c r="G48" s="17" t="s">
        <v>275</v>
      </c>
      <c r="H48" s="18">
        <f>[14]副本!G94</f>
        <v>2409.6100000000006</v>
      </c>
      <c r="I48" s="18">
        <v>0</v>
      </c>
      <c r="J48" s="17"/>
      <c r="K48" s="15"/>
      <c r="L48" s="16">
        <f>H48-I48</f>
        <v>2409.6100000000006</v>
      </c>
      <c r="M48" s="15">
        <v>10000</v>
      </c>
      <c r="N48" s="14"/>
      <c r="O48" s="13"/>
      <c r="P48" s="12"/>
    </row>
    <row r="49" spans="1:17" s="11" customFormat="1" ht="23.25" customHeight="1" x14ac:dyDescent="0.15">
      <c r="A49" s="17">
        <v>20170118</v>
      </c>
      <c r="B49" s="19" t="s">
        <v>389</v>
      </c>
      <c r="C49" s="36" t="s">
        <v>28</v>
      </c>
      <c r="D49" s="17" t="s">
        <v>277</v>
      </c>
      <c r="E49" s="17" t="s">
        <v>292</v>
      </c>
      <c r="F49" s="17" t="s">
        <v>48</v>
      </c>
      <c r="G49" s="17" t="s">
        <v>275</v>
      </c>
      <c r="H49" s="18">
        <f>[14]副本!G96</f>
        <v>2625.0060000000003</v>
      </c>
      <c r="I49" s="18"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23.25" customHeight="1" x14ac:dyDescent="0.15">
      <c r="A50" s="17">
        <v>20170118</v>
      </c>
      <c r="B50" s="19" t="s">
        <v>388</v>
      </c>
      <c r="C50" s="36" t="s">
        <v>387</v>
      </c>
      <c r="D50" s="17"/>
      <c r="E50" s="17" t="s">
        <v>386</v>
      </c>
      <c r="F50" s="17" t="s">
        <v>268</v>
      </c>
      <c r="G50" s="17" t="s">
        <v>54</v>
      </c>
      <c r="H50" s="18">
        <f>[14]副本!G98</f>
        <v>1535.9220000000078</v>
      </c>
      <c r="I50" s="18">
        <f>H50</f>
        <v>1535.9220000000078</v>
      </c>
      <c r="J50" s="17"/>
      <c r="K50" s="16"/>
      <c r="L50" s="16">
        <v>0</v>
      </c>
      <c r="M50" s="15">
        <v>5000</v>
      </c>
      <c r="N50" s="23" t="s">
        <v>385</v>
      </c>
      <c r="O50" s="22" t="s">
        <v>384</v>
      </c>
      <c r="P50" s="12" t="s">
        <v>51</v>
      </c>
    </row>
    <row r="51" spans="1:17" s="11" customFormat="1" ht="23.25" customHeight="1" x14ac:dyDescent="0.15">
      <c r="A51" s="17">
        <v>20170118</v>
      </c>
      <c r="B51" s="19" t="s">
        <v>50</v>
      </c>
      <c r="C51" s="36" t="s">
        <v>28</v>
      </c>
      <c r="D51" s="17"/>
      <c r="E51" s="17" t="s">
        <v>383</v>
      </c>
      <c r="F51" s="17" t="s">
        <v>249</v>
      </c>
      <c r="G51" s="17" t="s">
        <v>275</v>
      </c>
      <c r="H51" s="18">
        <f>[14]副本!G100</f>
        <v>77.278999999999996</v>
      </c>
      <c r="I51" s="18">
        <f>H51</f>
        <v>77.278999999999996</v>
      </c>
      <c r="J51" s="17"/>
      <c r="K51" s="15">
        <v>50</v>
      </c>
      <c r="L51" s="16">
        <f>H51-I51</f>
        <v>0</v>
      </c>
      <c r="M51" s="15">
        <v>3000</v>
      </c>
      <c r="N51" s="14"/>
      <c r="O51" s="13"/>
      <c r="P51" s="12" t="s">
        <v>382</v>
      </c>
    </row>
    <row r="52" spans="1:17" s="11" customFormat="1" ht="23.25" customHeight="1" x14ac:dyDescent="0.15">
      <c r="A52" s="17">
        <v>20170118</v>
      </c>
      <c r="B52" s="19" t="s">
        <v>381</v>
      </c>
      <c r="C52" s="36" t="s">
        <v>28</v>
      </c>
      <c r="D52" s="17" t="s">
        <v>277</v>
      </c>
      <c r="E52" s="17" t="s">
        <v>292</v>
      </c>
      <c r="F52" s="17" t="s">
        <v>48</v>
      </c>
      <c r="G52" s="17" t="s">
        <v>287</v>
      </c>
      <c r="H52" s="18">
        <f>[14]副本!G102</f>
        <v>17900.637999999999</v>
      </c>
      <c r="I52" s="18">
        <v>0</v>
      </c>
      <c r="J52" s="17"/>
      <c r="K52" s="15"/>
      <c r="L52" s="16">
        <f>H52-I52</f>
        <v>17900.637999999999</v>
      </c>
      <c r="M52" s="15">
        <v>25000</v>
      </c>
      <c r="N52" s="14" t="s">
        <v>380</v>
      </c>
      <c r="O52" s="13" t="s">
        <v>379</v>
      </c>
      <c r="P52" s="12" t="s">
        <v>378</v>
      </c>
    </row>
    <row r="53" spans="1:17" s="11" customFormat="1" ht="23.25" customHeight="1" x14ac:dyDescent="0.15">
      <c r="A53" s="17">
        <v>20170118</v>
      </c>
      <c r="B53" s="19" t="s">
        <v>377</v>
      </c>
      <c r="C53" s="36" t="s">
        <v>294</v>
      </c>
      <c r="D53" s="17" t="s">
        <v>277</v>
      </c>
      <c r="E53" s="17" t="s">
        <v>292</v>
      </c>
      <c r="F53" s="17" t="s">
        <v>234</v>
      </c>
      <c r="G53" s="17" t="s">
        <v>287</v>
      </c>
      <c r="H53" s="18">
        <f>[14]副本!G104</f>
        <v>12990.035000000082</v>
      </c>
      <c r="I53" s="18">
        <v>0</v>
      </c>
      <c r="J53" s="17"/>
      <c r="K53" s="15"/>
      <c r="L53" s="16">
        <f>H53-I53</f>
        <v>12990.035000000082</v>
      </c>
      <c r="M53" s="15">
        <v>50000</v>
      </c>
      <c r="N53" s="14"/>
      <c r="O53" s="13"/>
      <c r="P53" s="12"/>
    </row>
    <row r="54" spans="1:17" s="11" customFormat="1" ht="23.25" customHeight="1" x14ac:dyDescent="0.15">
      <c r="A54" s="17">
        <v>20170118</v>
      </c>
      <c r="B54" s="19" t="s">
        <v>41</v>
      </c>
      <c r="C54" s="36" t="s">
        <v>28</v>
      </c>
      <c r="D54" s="17"/>
      <c r="E54" s="17" t="s">
        <v>394</v>
      </c>
      <c r="F54" s="17" t="s">
        <v>446</v>
      </c>
      <c r="G54" s="17" t="s">
        <v>287</v>
      </c>
      <c r="H54" s="18">
        <f>[14]副本!G108</f>
        <v>2593.6109999999999</v>
      </c>
      <c r="I54" s="18">
        <f>H54</f>
        <v>2593.6109999999999</v>
      </c>
      <c r="J54" s="17"/>
      <c r="K54" s="15"/>
      <c r="L54" s="16">
        <f>H54-I54</f>
        <v>0</v>
      </c>
      <c r="M54" s="15">
        <v>4000</v>
      </c>
      <c r="N54" s="14"/>
      <c r="O54" s="13"/>
      <c r="P54" s="12" t="s">
        <v>458</v>
      </c>
    </row>
    <row r="55" spans="1:17" s="11" customFormat="1" ht="23.25" customHeight="1" x14ac:dyDescent="0.15">
      <c r="A55" s="17">
        <v>20170118</v>
      </c>
      <c r="B55" s="19" t="s">
        <v>293</v>
      </c>
      <c r="C55" s="36" t="s">
        <v>290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23.25" customHeight="1" x14ac:dyDescent="0.15">
      <c r="A56" s="17">
        <v>20170118</v>
      </c>
      <c r="B56" s="19" t="s">
        <v>36</v>
      </c>
      <c r="C56" s="36" t="s">
        <v>290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23.25" customHeight="1" x14ac:dyDescent="0.15">
      <c r="A57" s="17">
        <v>20170118</v>
      </c>
      <c r="B57" s="19" t="s">
        <v>35</v>
      </c>
      <c r="C57" s="36" t="s">
        <v>28</v>
      </c>
      <c r="D57" s="17" t="s">
        <v>277</v>
      </c>
      <c r="E57" s="17" t="s">
        <v>292</v>
      </c>
      <c r="F57" s="17" t="s">
        <v>469</v>
      </c>
      <c r="G57" s="17" t="s">
        <v>287</v>
      </c>
      <c r="H57" s="18">
        <f>[14]副本!G114</f>
        <v>4565.9830000000002</v>
      </c>
      <c r="I57" s="18">
        <v>0</v>
      </c>
      <c r="J57" s="17"/>
      <c r="K57" s="16"/>
      <c r="L57" s="16">
        <f>H57-I57</f>
        <v>4565.9830000000002</v>
      </c>
      <c r="M57" s="15">
        <v>10000</v>
      </c>
      <c r="N57" s="14"/>
      <c r="O57" s="13"/>
      <c r="P57" s="12"/>
      <c r="Q57" s="20"/>
    </row>
    <row r="58" spans="1:17" s="11" customFormat="1" ht="23.25" customHeight="1" x14ac:dyDescent="0.15">
      <c r="A58" s="17">
        <v>20170118</v>
      </c>
      <c r="B58" s="19" t="s">
        <v>291</v>
      </c>
      <c r="C58" s="36" t="s">
        <v>290</v>
      </c>
      <c r="D58" s="17" t="s">
        <v>277</v>
      </c>
      <c r="E58" s="17" t="s">
        <v>276</v>
      </c>
      <c r="F58" s="17" t="s">
        <v>436</v>
      </c>
      <c r="G58" s="17" t="s">
        <v>287</v>
      </c>
      <c r="H58" s="18">
        <f>[14]副本!G116</f>
        <v>9990.9</v>
      </c>
      <c r="I58" s="18">
        <f>2000+3000</f>
        <v>5000</v>
      </c>
      <c r="J58" s="17"/>
      <c r="K58" s="21"/>
      <c r="L58" s="16">
        <f>H58-I58</f>
        <v>4990.8999999999996</v>
      </c>
      <c r="M58" s="15">
        <v>15000</v>
      </c>
      <c r="N58" s="14"/>
      <c r="O58" s="13"/>
      <c r="P58" s="12" t="s">
        <v>456</v>
      </c>
      <c r="Q58" s="20"/>
    </row>
    <row r="59" spans="1:17" s="11" customFormat="1" ht="23.25" customHeight="1" x14ac:dyDescent="0.15">
      <c r="A59" s="17">
        <v>20170118</v>
      </c>
      <c r="B59" s="19" t="s">
        <v>30</v>
      </c>
      <c r="C59" s="19" t="s">
        <v>28</v>
      </c>
      <c r="D59" s="17" t="s">
        <v>277</v>
      </c>
      <c r="E59" s="17" t="s">
        <v>276</v>
      </c>
      <c r="F59" s="17" t="s">
        <v>3</v>
      </c>
      <c r="G59" s="17" t="s">
        <v>287</v>
      </c>
      <c r="H59" s="18">
        <f>[14]副本!G118</f>
        <v>12147.330999999996</v>
      </c>
      <c r="I59" s="18">
        <f>H59</f>
        <v>12147.330999999996</v>
      </c>
      <c r="J59" s="17"/>
      <c r="K59" s="15">
        <v>450</v>
      </c>
      <c r="L59" s="16"/>
      <c r="M59" s="15">
        <v>43000</v>
      </c>
      <c r="N59" s="14"/>
      <c r="O59" s="13"/>
      <c r="P59" s="12" t="s">
        <v>289</v>
      </c>
      <c r="Q59" s="20"/>
    </row>
    <row r="60" spans="1:17" s="11" customFormat="1" ht="23.25" customHeight="1" x14ac:dyDescent="0.15">
      <c r="A60" s="17">
        <v>20170118</v>
      </c>
      <c r="B60" s="19" t="s">
        <v>30</v>
      </c>
      <c r="C60" s="19" t="s">
        <v>28</v>
      </c>
      <c r="D60" s="17" t="s">
        <v>277</v>
      </c>
      <c r="E60" s="17" t="s">
        <v>276</v>
      </c>
      <c r="F60" s="17" t="s">
        <v>251</v>
      </c>
      <c r="G60" s="17" t="s">
        <v>287</v>
      </c>
      <c r="H60" s="18">
        <f>[14]副本!G119</f>
        <v>157.71999999999935</v>
      </c>
      <c r="I60" s="18">
        <f>H60</f>
        <v>157.71999999999935</v>
      </c>
      <c r="J60" s="17"/>
      <c r="K60" s="17"/>
      <c r="L60" s="16"/>
      <c r="M60" s="15">
        <v>43000</v>
      </c>
      <c r="N60" s="14"/>
      <c r="O60" s="13"/>
      <c r="P60" s="12" t="s">
        <v>289</v>
      </c>
      <c r="Q60" s="20"/>
    </row>
    <row r="61" spans="1:17" s="11" customFormat="1" ht="23.25" customHeight="1" x14ac:dyDescent="0.15">
      <c r="A61" s="17">
        <v>20170118</v>
      </c>
      <c r="B61" s="19" t="s">
        <v>288</v>
      </c>
      <c r="C61" s="19" t="s">
        <v>28</v>
      </c>
      <c r="D61" s="17" t="s">
        <v>277</v>
      </c>
      <c r="E61" s="17"/>
      <c r="F61" s="17"/>
      <c r="G61" s="17"/>
      <c r="H61" s="18"/>
      <c r="I61" s="18"/>
      <c r="J61" s="17"/>
      <c r="K61" s="15"/>
      <c r="L61" s="16"/>
      <c r="M61" s="15"/>
      <c r="N61" s="14"/>
      <c r="O61" s="13"/>
      <c r="P61" s="12"/>
      <c r="Q61" s="20"/>
    </row>
    <row r="62" spans="1:17" s="11" customFormat="1" ht="23.25" customHeight="1" x14ac:dyDescent="0.15">
      <c r="A62" s="17">
        <v>20170118</v>
      </c>
      <c r="B62" s="19" t="s">
        <v>24</v>
      </c>
      <c r="C62" s="36" t="s">
        <v>0</v>
      </c>
      <c r="D62" s="17"/>
      <c r="E62" s="17" t="s">
        <v>276</v>
      </c>
      <c r="F62" s="17" t="s">
        <v>23</v>
      </c>
      <c r="G62" s="17" t="s">
        <v>287</v>
      </c>
      <c r="H62" s="18">
        <f>[14]副本!G123</f>
        <v>37.266999999996187</v>
      </c>
      <c r="I62" s="18">
        <f>H62-15652.787+4092.929+8666.148+2893.71</f>
        <v>37.266999999995278</v>
      </c>
      <c r="J62" s="17"/>
      <c r="K62" s="15"/>
      <c r="L62" s="16">
        <f>H62-I62</f>
        <v>9.0949470177292824E-13</v>
      </c>
      <c r="M62" s="15">
        <v>20000</v>
      </c>
      <c r="N62" s="14"/>
      <c r="O62" s="13"/>
      <c r="P62" s="12" t="s">
        <v>455</v>
      </c>
    </row>
    <row r="63" spans="1:17" s="11" customFormat="1" ht="23.25" customHeight="1" x14ac:dyDescent="0.15">
      <c r="A63" s="17">
        <v>20170118</v>
      </c>
      <c r="B63" s="19" t="s">
        <v>454</v>
      </c>
      <c r="C63" s="36" t="s">
        <v>0</v>
      </c>
      <c r="D63" s="17"/>
      <c r="E63" s="17" t="s">
        <v>12</v>
      </c>
      <c r="F63" s="17" t="s">
        <v>596</v>
      </c>
      <c r="G63" s="17" t="s">
        <v>275</v>
      </c>
      <c r="H63" s="18">
        <f>[14]副本!G125</f>
        <v>14479.917000000001</v>
      </c>
      <c r="I63" s="18">
        <f>H63-4751.949+4751.949</f>
        <v>14479.917000000001</v>
      </c>
      <c r="J63" s="17"/>
      <c r="K63" s="15"/>
      <c r="L63" s="16">
        <f>H63-I63</f>
        <v>0</v>
      </c>
      <c r="M63" s="15">
        <v>30000</v>
      </c>
      <c r="N63" s="14"/>
      <c r="O63" s="13"/>
      <c r="P63" s="12" t="s">
        <v>453</v>
      </c>
    </row>
    <row r="64" spans="1:17" s="11" customFormat="1" ht="23.25" customHeight="1" x14ac:dyDescent="0.15">
      <c r="A64" s="17">
        <v>20170118</v>
      </c>
      <c r="B64" s="19" t="s">
        <v>454</v>
      </c>
      <c r="C64" s="36" t="s">
        <v>0</v>
      </c>
      <c r="D64" s="17"/>
      <c r="E64" s="17" t="s">
        <v>12</v>
      </c>
      <c r="F64" s="17" t="s">
        <v>596</v>
      </c>
      <c r="G64" s="17"/>
      <c r="H64" s="18">
        <f>[14]副本!G126</f>
        <v>5000.9920000000002</v>
      </c>
      <c r="I64" s="18">
        <f>H64</f>
        <v>5000.9920000000002</v>
      </c>
      <c r="J64" s="17"/>
      <c r="K64" s="15"/>
      <c r="L64" s="16">
        <f>H64-I64</f>
        <v>0</v>
      </c>
      <c r="M64" s="15">
        <v>30000</v>
      </c>
      <c r="N64" s="14"/>
      <c r="O64" s="13"/>
      <c r="P64" s="12" t="s">
        <v>451</v>
      </c>
    </row>
    <row r="65" spans="1:16" s="11" customFormat="1" ht="23.25" customHeight="1" x14ac:dyDescent="0.15">
      <c r="A65" s="17">
        <v>20170118</v>
      </c>
      <c r="B65" s="19" t="s">
        <v>284</v>
      </c>
      <c r="C65" s="36" t="s">
        <v>0</v>
      </c>
      <c r="D65" s="17" t="s">
        <v>277</v>
      </c>
      <c r="E65" s="17" t="s">
        <v>276</v>
      </c>
      <c r="F65" s="17" t="s">
        <v>17</v>
      </c>
      <c r="G65" s="17" t="s">
        <v>275</v>
      </c>
      <c r="H65" s="18">
        <f>[14]副本!G128</f>
        <v>14976.093999999999</v>
      </c>
      <c r="I65" s="18">
        <f>H65-14976.094</f>
        <v>0</v>
      </c>
      <c r="J65" s="17"/>
      <c r="K65" s="15">
        <v>200</v>
      </c>
      <c r="L65" s="16">
        <f>H65-I65</f>
        <v>14976.093999999999</v>
      </c>
      <c r="M65" s="15">
        <v>20000</v>
      </c>
      <c r="N65" s="14" t="s">
        <v>283</v>
      </c>
      <c r="O65" s="13" t="s">
        <v>282</v>
      </c>
      <c r="P65" s="12" t="s">
        <v>281</v>
      </c>
    </row>
    <row r="66" spans="1:16" s="11" customFormat="1" ht="23.25" customHeight="1" x14ac:dyDescent="0.15">
      <c r="A66" s="17">
        <v>20170118</v>
      </c>
      <c r="B66" s="19" t="s">
        <v>13</v>
      </c>
      <c r="C66" s="36" t="s">
        <v>0</v>
      </c>
      <c r="D66" s="17"/>
      <c r="E66" s="17" t="s">
        <v>12</v>
      </c>
      <c r="F66" s="17" t="s">
        <v>11</v>
      </c>
      <c r="G66" s="17" t="s">
        <v>275</v>
      </c>
      <c r="H66" s="18">
        <f>[14]副本!G130</f>
        <v>25173.616999999973</v>
      </c>
      <c r="I66" s="18">
        <f>H66</f>
        <v>25173.616999999973</v>
      </c>
      <c r="J66" s="17"/>
      <c r="K66" s="15"/>
      <c r="L66" s="16">
        <v>0</v>
      </c>
      <c r="M66" s="15">
        <v>30000</v>
      </c>
      <c r="N66" s="14"/>
      <c r="O66" s="13"/>
      <c r="P66" s="12"/>
    </row>
    <row r="67" spans="1:16" s="11" customFormat="1" ht="23.25" customHeight="1" x14ac:dyDescent="0.15">
      <c r="A67" s="17">
        <v>20170118</v>
      </c>
      <c r="B67" s="19" t="s">
        <v>10</v>
      </c>
      <c r="C67" s="36" t="s">
        <v>0</v>
      </c>
      <c r="D67" s="17"/>
      <c r="E67" s="17" t="s">
        <v>280</v>
      </c>
      <c r="F67" s="12" t="s">
        <v>8</v>
      </c>
      <c r="G67" s="17" t="s">
        <v>275</v>
      </c>
      <c r="H67" s="18">
        <f>[14]副本!G132</f>
        <v>0</v>
      </c>
      <c r="I67" s="18">
        <f>H67</f>
        <v>0</v>
      </c>
      <c r="J67" s="17"/>
      <c r="K67" s="15"/>
      <c r="L67" s="16">
        <f>H67-I67</f>
        <v>0</v>
      </c>
      <c r="M67" s="15">
        <v>20000</v>
      </c>
      <c r="N67" s="14"/>
      <c r="O67" s="13"/>
      <c r="P67" s="17" t="s">
        <v>450</v>
      </c>
    </row>
    <row r="68" spans="1:16" s="11" customFormat="1" ht="23.25" customHeight="1" x14ac:dyDescent="0.15">
      <c r="A68" s="17">
        <v>20170118</v>
      </c>
      <c r="B68" s="19" t="s">
        <v>10</v>
      </c>
      <c r="C68" s="36" t="s">
        <v>0</v>
      </c>
      <c r="D68" s="17"/>
      <c r="E68" s="17" t="s">
        <v>280</v>
      </c>
      <c r="F68" s="12" t="s">
        <v>257</v>
      </c>
      <c r="G68" s="17" t="s">
        <v>275</v>
      </c>
      <c r="H68" s="18">
        <f>[14]副本!G133</f>
        <v>5195.2550000000001</v>
      </c>
      <c r="I68" s="18">
        <f>H68</f>
        <v>5195.2550000000001</v>
      </c>
      <c r="J68" s="17"/>
      <c r="K68" s="15">
        <v>250</v>
      </c>
      <c r="L68" s="16">
        <v>0</v>
      </c>
      <c r="M68" s="15">
        <v>20000</v>
      </c>
      <c r="N68" s="14"/>
      <c r="O68" s="13"/>
      <c r="P68" s="12" t="s">
        <v>279</v>
      </c>
    </row>
    <row r="69" spans="1:16" s="11" customFormat="1" ht="23.25" customHeight="1" x14ac:dyDescent="0.15">
      <c r="A69" s="17">
        <v>20170118</v>
      </c>
      <c r="B69" s="19" t="s">
        <v>7</v>
      </c>
      <c r="C69" s="36" t="s">
        <v>0</v>
      </c>
      <c r="D69" s="17"/>
      <c r="E69" s="17"/>
      <c r="F69" s="17"/>
      <c r="G69" s="17"/>
      <c r="H69" s="18"/>
      <c r="I69" s="18"/>
      <c r="J69" s="17"/>
      <c r="K69" s="15"/>
      <c r="L69" s="16"/>
      <c r="M69" s="15">
        <v>15000</v>
      </c>
      <c r="N69" s="14"/>
      <c r="O69" s="13"/>
      <c r="P69" s="12"/>
    </row>
    <row r="70" spans="1:16" s="11" customFormat="1" ht="23.25" customHeight="1" x14ac:dyDescent="0.15">
      <c r="A70" s="17">
        <v>20170118</v>
      </c>
      <c r="B70" s="19" t="s">
        <v>278</v>
      </c>
      <c r="C70" s="36" t="s">
        <v>0</v>
      </c>
      <c r="D70" s="17" t="s">
        <v>277</v>
      </c>
      <c r="E70" s="17" t="s">
        <v>276</v>
      </c>
      <c r="F70" s="17" t="s">
        <v>3</v>
      </c>
      <c r="G70" s="17" t="s">
        <v>275</v>
      </c>
      <c r="H70" s="18">
        <f>[14]副本!G137</f>
        <v>12005.106</v>
      </c>
      <c r="I70" s="18">
        <f>H70-12005.106</f>
        <v>0</v>
      </c>
      <c r="J70" s="17"/>
      <c r="K70" s="15"/>
      <c r="L70" s="16">
        <f>H70-I70</f>
        <v>12005.106</v>
      </c>
      <c r="M70" s="15">
        <v>15000</v>
      </c>
      <c r="N70" s="14"/>
      <c r="O70" s="13"/>
      <c r="P70" s="12"/>
    </row>
    <row r="71" spans="1:16" s="11" customFormat="1" ht="23.25" customHeight="1" x14ac:dyDescent="0.15">
      <c r="A71" s="17">
        <v>20170118</v>
      </c>
      <c r="B71" s="19" t="s">
        <v>1</v>
      </c>
      <c r="C71" s="36" t="s">
        <v>0</v>
      </c>
      <c r="D71" s="17"/>
      <c r="E71" s="17" t="s">
        <v>276</v>
      </c>
      <c r="F71" s="17" t="s">
        <v>437</v>
      </c>
      <c r="G71" s="17" t="s">
        <v>275</v>
      </c>
      <c r="H71" s="18">
        <f>[14]副本!G139</f>
        <v>9090.83</v>
      </c>
      <c r="I71" s="18">
        <f>3000+3000</f>
        <v>6000</v>
      </c>
      <c r="J71" s="17"/>
      <c r="K71" s="15"/>
      <c r="L71" s="16">
        <f>H71-I71</f>
        <v>3090.83</v>
      </c>
      <c r="M71" s="15">
        <v>15000</v>
      </c>
      <c r="N71" s="14"/>
      <c r="O71" s="13"/>
      <c r="P71" s="12" t="s">
        <v>448</v>
      </c>
    </row>
    <row r="77" spans="1:16" x14ac:dyDescent="0.15">
      <c r="L77" s="10"/>
    </row>
    <row r="229" spans="7:8" x14ac:dyDescent="0.15">
      <c r="G229" s="2"/>
      <c r="H229" s="2"/>
    </row>
  </sheetData>
  <autoFilter ref="B1:I71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0"/>
  <sheetViews>
    <sheetView workbookViewId="0">
      <pane xSplit="3" ySplit="1" topLeftCell="D80" activePane="bottomRight" state="frozen"/>
      <selection activeCell="G5" sqref="G5"/>
      <selection pane="topRight" activeCell="G5" sqref="G5"/>
      <selection pane="bottomLeft" activeCell="G5" sqref="G5"/>
      <selection pane="bottomRight" activeCell="F21" sqref="F21:F22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8.7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78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29" t="s">
        <v>272</v>
      </c>
      <c r="B1" s="38" t="s">
        <v>434</v>
      </c>
      <c r="C1" s="29" t="s">
        <v>171</v>
      </c>
      <c r="D1" s="29" t="s">
        <v>170</v>
      </c>
      <c r="E1" s="29" t="s">
        <v>169</v>
      </c>
      <c r="F1" s="29" t="s">
        <v>433</v>
      </c>
      <c r="G1" s="35" t="s">
        <v>167</v>
      </c>
      <c r="H1" s="34" t="s">
        <v>166</v>
      </c>
      <c r="I1" s="33" t="s">
        <v>432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33" customHeight="1" x14ac:dyDescent="0.15">
      <c r="A2" s="17">
        <v>20170119</v>
      </c>
      <c r="B2" s="19" t="s">
        <v>158</v>
      </c>
      <c r="C2" s="36" t="s">
        <v>63</v>
      </c>
      <c r="D2" s="19"/>
      <c r="E2" s="17" t="s">
        <v>141</v>
      </c>
      <c r="F2" s="63" t="s">
        <v>144</v>
      </c>
      <c r="G2" s="12" t="s">
        <v>54</v>
      </c>
      <c r="H2" s="18">
        <f>[15]副本!G3</f>
        <v>993.971</v>
      </c>
      <c r="I2" s="18">
        <f>H2</f>
        <v>993.971</v>
      </c>
      <c r="J2" s="17"/>
      <c r="K2" s="15"/>
      <c r="L2" s="16">
        <v>0</v>
      </c>
      <c r="M2" s="15">
        <v>2000</v>
      </c>
      <c r="N2" s="14" t="s">
        <v>428</v>
      </c>
      <c r="O2" s="13" t="s">
        <v>416</v>
      </c>
      <c r="P2" s="12" t="s">
        <v>466</v>
      </c>
    </row>
    <row r="3" spans="1:17" s="11" customFormat="1" ht="33" customHeight="1" x14ac:dyDescent="0.15">
      <c r="A3" s="17">
        <v>20170119</v>
      </c>
      <c r="B3" s="19" t="s">
        <v>157</v>
      </c>
      <c r="C3" s="36" t="s">
        <v>63</v>
      </c>
      <c r="D3" s="19"/>
      <c r="E3" s="17" t="s">
        <v>413</v>
      </c>
      <c r="F3" s="17" t="s">
        <v>468</v>
      </c>
      <c r="G3" s="12" t="s">
        <v>54</v>
      </c>
      <c r="H3" s="18">
        <f>[15]副本!G6</f>
        <v>1070.5989999999999</v>
      </c>
      <c r="I3" s="18">
        <f>H3</f>
        <v>1070.5989999999999</v>
      </c>
      <c r="J3" s="17"/>
      <c r="K3" s="15"/>
      <c r="L3" s="16">
        <f>H3-I3</f>
        <v>0</v>
      </c>
      <c r="M3" s="15">
        <v>1500</v>
      </c>
      <c r="N3" s="14"/>
      <c r="O3" s="13"/>
      <c r="P3" s="12"/>
    </row>
    <row r="4" spans="1:17" s="11" customFormat="1" ht="33" customHeight="1" x14ac:dyDescent="0.15">
      <c r="A4" s="17">
        <v>20170119</v>
      </c>
      <c r="B4" s="19" t="s">
        <v>153</v>
      </c>
      <c r="C4" s="36" t="s">
        <v>63</v>
      </c>
      <c r="D4" s="19"/>
      <c r="E4" s="17" t="s">
        <v>386</v>
      </c>
      <c r="F4" s="63" t="s">
        <v>61</v>
      </c>
      <c r="G4" s="12" t="s">
        <v>54</v>
      </c>
      <c r="H4" s="18">
        <f>[15]副本!G8</f>
        <v>1710.5029999999958</v>
      </c>
      <c r="I4" s="18">
        <f>H4</f>
        <v>1710.5029999999958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430</v>
      </c>
    </row>
    <row r="5" spans="1:17" s="11" customFormat="1" ht="33" customHeight="1" x14ac:dyDescent="0.15">
      <c r="A5" s="17">
        <v>20170119</v>
      </c>
      <c r="B5" s="19" t="s">
        <v>149</v>
      </c>
      <c r="C5" s="36" t="s">
        <v>63</v>
      </c>
      <c r="D5" s="17"/>
      <c r="E5" s="17" t="s">
        <v>429</v>
      </c>
      <c r="F5" s="63" t="s">
        <v>140</v>
      </c>
      <c r="G5" s="12" t="s">
        <v>54</v>
      </c>
      <c r="H5" s="18"/>
      <c r="I5" s="18"/>
      <c r="J5" s="17"/>
      <c r="K5" s="15"/>
      <c r="L5" s="16"/>
      <c r="M5" s="15">
        <v>2000</v>
      </c>
      <c r="N5" s="14" t="s">
        <v>147</v>
      </c>
      <c r="O5" s="13" t="s">
        <v>416</v>
      </c>
      <c r="P5" s="12"/>
    </row>
    <row r="6" spans="1:17" s="11" customFormat="1" ht="33" customHeight="1" x14ac:dyDescent="0.15">
      <c r="A6" s="17">
        <v>20170119</v>
      </c>
      <c r="B6" s="19" t="s">
        <v>145</v>
      </c>
      <c r="C6" s="36" t="s">
        <v>63</v>
      </c>
      <c r="D6" s="17"/>
      <c r="E6" s="17" t="s">
        <v>141</v>
      </c>
      <c r="F6" s="63" t="s">
        <v>144</v>
      </c>
      <c r="G6" s="12" t="s">
        <v>54</v>
      </c>
      <c r="H6" s="18"/>
      <c r="I6" s="18"/>
      <c r="J6" s="17"/>
      <c r="K6" s="15"/>
      <c r="L6" s="16"/>
      <c r="M6" s="15">
        <v>3000</v>
      </c>
      <c r="N6" s="14" t="s">
        <v>428</v>
      </c>
      <c r="O6" s="13" t="s">
        <v>416</v>
      </c>
      <c r="P6" s="12"/>
      <c r="Q6" s="20"/>
    </row>
    <row r="7" spans="1:17" s="11" customFormat="1" ht="33" customHeight="1" x14ac:dyDescent="0.15">
      <c r="A7" s="17">
        <v>20170119</v>
      </c>
      <c r="B7" s="19" t="s">
        <v>142</v>
      </c>
      <c r="C7" s="36" t="s">
        <v>63</v>
      </c>
      <c r="D7" s="17"/>
      <c r="E7" s="17" t="s">
        <v>141</v>
      </c>
      <c r="F7" s="63" t="s">
        <v>140</v>
      </c>
      <c r="G7" s="17" t="s">
        <v>54</v>
      </c>
      <c r="H7" s="18"/>
      <c r="I7" s="18"/>
      <c r="J7" s="17"/>
      <c r="K7" s="15"/>
      <c r="L7" s="16"/>
      <c r="M7" s="15">
        <v>3000</v>
      </c>
      <c r="N7" s="14"/>
      <c r="O7" s="13"/>
      <c r="P7" s="12"/>
      <c r="Q7" s="20"/>
    </row>
    <row r="8" spans="1:17" s="11" customFormat="1" ht="33" customHeight="1" x14ac:dyDescent="0.15">
      <c r="A8" s="17">
        <v>20170119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33" customHeight="1" x14ac:dyDescent="0.15">
      <c r="A9" s="17">
        <v>20170119</v>
      </c>
      <c r="B9" s="19" t="s">
        <v>425</v>
      </c>
      <c r="C9" s="36" t="s">
        <v>290</v>
      </c>
      <c r="D9" s="17"/>
      <c r="E9" s="17" t="s">
        <v>280</v>
      </c>
      <c r="F9" s="17" t="s">
        <v>104</v>
      </c>
      <c r="G9" s="17" t="s">
        <v>54</v>
      </c>
      <c r="H9" s="17">
        <f>[15]副本!G18</f>
        <v>1322.4749999999999</v>
      </c>
      <c r="I9" s="18">
        <f>H9</f>
        <v>1322.4749999999999</v>
      </c>
      <c r="J9" s="17"/>
      <c r="K9" s="15">
        <v>70</v>
      </c>
      <c r="L9" s="16">
        <f>H9-I9</f>
        <v>0</v>
      </c>
      <c r="M9" s="15">
        <v>5000</v>
      </c>
      <c r="N9" s="14" t="s">
        <v>424</v>
      </c>
      <c r="O9" s="13" t="s">
        <v>423</v>
      </c>
      <c r="P9" s="12" t="s">
        <v>101</v>
      </c>
    </row>
    <row r="10" spans="1:17" s="11" customFormat="1" ht="33" customHeight="1" x14ac:dyDescent="0.15">
      <c r="A10" s="17">
        <v>20170119</v>
      </c>
      <c r="B10" s="19" t="s">
        <v>135</v>
      </c>
      <c r="C10" s="17" t="s">
        <v>63</v>
      </c>
      <c r="D10" s="17"/>
      <c r="E10" s="17" t="s">
        <v>404</v>
      </c>
      <c r="F10" s="17" t="s">
        <v>232</v>
      </c>
      <c r="G10" s="17" t="s">
        <v>54</v>
      </c>
      <c r="H10" s="18">
        <f>[15]副本!G20</f>
        <v>1.5219999999999345</v>
      </c>
      <c r="I10" s="18">
        <f>H10</f>
        <v>1.5219999999999345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422</v>
      </c>
    </row>
    <row r="11" spans="1:17" s="11" customFormat="1" ht="33" customHeight="1" x14ac:dyDescent="0.15">
      <c r="A11" s="17">
        <v>20170119</v>
      </c>
      <c r="B11" s="19" t="s">
        <v>135</v>
      </c>
      <c r="C11" s="17" t="s">
        <v>63</v>
      </c>
      <c r="D11" s="17"/>
      <c r="E11" s="17" t="s">
        <v>404</v>
      </c>
      <c r="F11" s="17" t="s">
        <v>261</v>
      </c>
      <c r="G11" s="17" t="s">
        <v>54</v>
      </c>
      <c r="H11" s="18">
        <f>[15]副本!G21</f>
        <v>30.019999999999982</v>
      </c>
      <c r="I11" s="18">
        <f>H11</f>
        <v>30.019999999999982</v>
      </c>
      <c r="J11" s="17"/>
      <c r="K11" s="15"/>
      <c r="L11" s="16">
        <f>H11-I11</f>
        <v>0</v>
      </c>
      <c r="M11" s="15">
        <v>1500</v>
      </c>
      <c r="N11" s="14"/>
      <c r="O11" s="13"/>
      <c r="P11" s="12" t="s">
        <v>421</v>
      </c>
    </row>
    <row r="12" spans="1:17" s="11" customFormat="1" ht="33" customHeight="1" x14ac:dyDescent="0.15">
      <c r="A12" s="17">
        <v>20170119</v>
      </c>
      <c r="B12" s="19" t="s">
        <v>135</v>
      </c>
      <c r="C12" s="17" t="s">
        <v>63</v>
      </c>
      <c r="D12" s="17"/>
      <c r="E12" s="17" t="s">
        <v>404</v>
      </c>
      <c r="F12" s="17" t="s">
        <v>91</v>
      </c>
      <c r="G12" s="17" t="s">
        <v>54</v>
      </c>
      <c r="H12" s="18">
        <f>[15]副本!G22</f>
        <v>1000</v>
      </c>
      <c r="I12" s="18">
        <f>H12</f>
        <v>1000</v>
      </c>
      <c r="J12" s="17"/>
      <c r="K12" s="15"/>
      <c r="L12" s="16">
        <f>H12-I12</f>
        <v>0</v>
      </c>
      <c r="M12" s="15">
        <v>1500</v>
      </c>
      <c r="N12" s="14"/>
      <c r="O12" s="13"/>
      <c r="P12" s="12" t="s">
        <v>421</v>
      </c>
    </row>
    <row r="13" spans="1:17" s="11" customFormat="1" ht="33" customHeight="1" x14ac:dyDescent="0.15">
      <c r="A13" s="17">
        <v>20170119</v>
      </c>
      <c r="B13" s="19" t="s">
        <v>134</v>
      </c>
      <c r="C13" s="17" t="s">
        <v>63</v>
      </c>
      <c r="D13" s="17"/>
      <c r="E13" s="17" t="s">
        <v>413</v>
      </c>
      <c r="F13" s="17" t="s">
        <v>256</v>
      </c>
      <c r="G13" s="17" t="s">
        <v>54</v>
      </c>
      <c r="H13" s="18">
        <f>[15]副本!G24</f>
        <v>1502.1479999999999</v>
      </c>
      <c r="I13" s="18">
        <f>H13</f>
        <v>1502.1479999999999</v>
      </c>
      <c r="J13" s="17"/>
      <c r="K13" s="15"/>
      <c r="L13" s="16">
        <f>H13-I13</f>
        <v>0</v>
      </c>
      <c r="M13" s="15">
        <v>1500</v>
      </c>
      <c r="N13" s="14"/>
      <c r="O13" s="13"/>
      <c r="P13" s="12"/>
    </row>
    <row r="14" spans="1:17" s="11" customFormat="1" ht="33" customHeight="1" x14ac:dyDescent="0.15">
      <c r="A14" s="17">
        <v>20170119</v>
      </c>
      <c r="B14" s="19" t="s">
        <v>133</v>
      </c>
      <c r="C14" s="36" t="s">
        <v>28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  <c r="Q14" s="20"/>
    </row>
    <row r="15" spans="1:17" s="11" customFormat="1" ht="33" customHeight="1" x14ac:dyDescent="0.15">
      <c r="A15" s="17">
        <v>20170119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33" customHeight="1" x14ac:dyDescent="0.15">
      <c r="A16" s="17">
        <v>20170119</v>
      </c>
      <c r="B16" s="19" t="s">
        <v>420</v>
      </c>
      <c r="C16" s="36" t="s">
        <v>63</v>
      </c>
      <c r="D16" s="17"/>
      <c r="E16" s="17" t="s">
        <v>404</v>
      </c>
      <c r="F16" s="17" t="s">
        <v>232</v>
      </c>
      <c r="G16" s="17" t="s">
        <v>54</v>
      </c>
      <c r="H16" s="18">
        <f>[15]副本!G30</f>
        <v>1051.9169999999999</v>
      </c>
      <c r="I16" s="18">
        <f>H16</f>
        <v>1051.9169999999999</v>
      </c>
      <c r="J16" s="17"/>
      <c r="K16" s="15">
        <v>50</v>
      </c>
      <c r="L16" s="16"/>
      <c r="M16" s="15">
        <v>1500</v>
      </c>
      <c r="N16" s="14"/>
      <c r="O16" s="13"/>
      <c r="P16" s="12" t="s">
        <v>419</v>
      </c>
    </row>
    <row r="17" spans="1:17" s="11" customFormat="1" ht="33" customHeight="1" x14ac:dyDescent="0.15">
      <c r="A17" s="17">
        <v>20170119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275</v>
      </c>
      <c r="H17" s="18">
        <f>[15]副本!G32-H18</f>
        <v>2550.2470000000176</v>
      </c>
      <c r="I17" s="18">
        <f>H17</f>
        <v>2550.2470000000176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416</v>
      </c>
      <c r="P17" s="12" t="s">
        <v>418</v>
      </c>
    </row>
    <row r="18" spans="1:17" s="11" customFormat="1" ht="33" customHeight="1" x14ac:dyDescent="0.15">
      <c r="A18" s="17">
        <v>20170119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 t="s">
        <v>275</v>
      </c>
      <c r="H18" s="18">
        <f>[15]副本!G34</f>
        <v>4387.7529999999824</v>
      </c>
      <c r="I18" s="18">
        <f>H18</f>
        <v>4387.7529999999824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417</v>
      </c>
    </row>
    <row r="19" spans="1:17" s="11" customFormat="1" ht="33" customHeight="1" x14ac:dyDescent="0.15">
      <c r="A19" s="17">
        <v>20170119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33" customHeight="1" x14ac:dyDescent="0.15">
      <c r="A20" s="17">
        <v>20170119</v>
      </c>
      <c r="B20" s="19" t="s">
        <v>126</v>
      </c>
      <c r="C20" s="36" t="s">
        <v>63</v>
      </c>
      <c r="D20" s="17"/>
      <c r="E20" s="17" t="s">
        <v>398</v>
      </c>
      <c r="F20" s="17" t="s">
        <v>81</v>
      </c>
      <c r="G20" s="17" t="s">
        <v>54</v>
      </c>
      <c r="H20" s="18">
        <f>[15]副本!G38</f>
        <v>893.76199999999994</v>
      </c>
      <c r="I20" s="18">
        <f>H20</f>
        <v>893.76199999999994</v>
      </c>
      <c r="J20" s="17"/>
      <c r="K20" s="15"/>
      <c r="L20" s="16">
        <v>0</v>
      </c>
      <c r="M20" s="15">
        <v>3000</v>
      </c>
      <c r="N20" s="14"/>
      <c r="O20" s="13"/>
      <c r="P20" s="12" t="s">
        <v>465</v>
      </c>
    </row>
    <row r="21" spans="1:17" s="11" customFormat="1" ht="33" customHeight="1" x14ac:dyDescent="0.15">
      <c r="A21" s="17">
        <v>20170119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275</v>
      </c>
      <c r="H21" s="18">
        <f>[15]副本!G40-'20170119'!H22</f>
        <v>12789.537428000036</v>
      </c>
      <c r="I21" s="18">
        <f>H21</f>
        <v>12789.537428000036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416</v>
      </c>
      <c r="P21" s="12" t="s">
        <v>415</v>
      </c>
    </row>
    <row r="22" spans="1:17" s="11" customFormat="1" ht="33" customHeight="1" x14ac:dyDescent="0.15">
      <c r="A22" s="17">
        <v>20170119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 t="s">
        <v>275</v>
      </c>
      <c r="H22" s="18">
        <f>[15]副本!G42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414</v>
      </c>
    </row>
    <row r="23" spans="1:17" s="11" customFormat="1" ht="33" customHeight="1" x14ac:dyDescent="0.15">
      <c r="A23" s="17">
        <v>20170119</v>
      </c>
      <c r="B23" s="19" t="s">
        <v>117</v>
      </c>
      <c r="C23" s="36" t="s">
        <v>63</v>
      </c>
      <c r="D23" s="17"/>
      <c r="E23" s="17" t="s">
        <v>413</v>
      </c>
      <c r="F23" s="17" t="s">
        <v>115</v>
      </c>
      <c r="G23" s="17" t="s">
        <v>275</v>
      </c>
      <c r="H23" s="18">
        <f>[15]副本!G44</f>
        <v>0</v>
      </c>
      <c r="I23" s="18">
        <f>H23</f>
        <v>0</v>
      </c>
      <c r="J23" s="17"/>
      <c r="K23" s="15">
        <v>200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33" customHeight="1" x14ac:dyDescent="0.15">
      <c r="A24" s="17">
        <v>20170119</v>
      </c>
      <c r="B24" s="19" t="s">
        <v>113</v>
      </c>
      <c r="C24" s="36" t="s">
        <v>0</v>
      </c>
      <c r="D24" s="17"/>
      <c r="E24" s="12" t="s">
        <v>412</v>
      </c>
      <c r="F24" s="17" t="s">
        <v>39</v>
      </c>
      <c r="G24" s="17" t="s">
        <v>275</v>
      </c>
      <c r="H24" s="18">
        <f>[15]副本!G46</f>
        <v>1374.8330000000001</v>
      </c>
      <c r="I24" s="18">
        <f>H24</f>
        <v>1374.8330000000001</v>
      </c>
      <c r="J24" s="17"/>
      <c r="K24" s="15"/>
      <c r="L24" s="16">
        <f>H24-I24</f>
        <v>0</v>
      </c>
      <c r="M24" s="15">
        <v>5000</v>
      </c>
      <c r="N24" s="14"/>
      <c r="O24" s="13"/>
      <c r="P24" s="37" t="s">
        <v>463</v>
      </c>
    </row>
    <row r="25" spans="1:17" s="11" customFormat="1" ht="33" customHeight="1" x14ac:dyDescent="0.15">
      <c r="A25" s="17">
        <v>20170119</v>
      </c>
      <c r="B25" s="19" t="s">
        <v>410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33" customHeight="1" x14ac:dyDescent="0.15">
      <c r="A26" s="17">
        <v>20170119</v>
      </c>
      <c r="B26" s="19" t="s">
        <v>109</v>
      </c>
      <c r="C26" s="36" t="s">
        <v>63</v>
      </c>
      <c r="D26" s="17"/>
      <c r="E26" s="17"/>
      <c r="F26" s="17"/>
      <c r="G26" s="17"/>
      <c r="H26" s="18"/>
      <c r="I26" s="18"/>
      <c r="J26" s="17"/>
      <c r="K26" s="15"/>
      <c r="L26" s="16"/>
      <c r="M26" s="15">
        <v>4000</v>
      </c>
      <c r="N26" s="14"/>
      <c r="O26" s="13"/>
      <c r="P26" s="12"/>
    </row>
    <row r="27" spans="1:17" s="11" customFormat="1" ht="33" customHeight="1" x14ac:dyDescent="0.15">
      <c r="A27" s="17">
        <v>20170119</v>
      </c>
      <c r="B27" s="19" t="s">
        <v>106</v>
      </c>
      <c r="C27" s="36" t="s">
        <v>409</v>
      </c>
      <c r="D27" s="17"/>
      <c r="E27" s="17"/>
      <c r="F27" s="17"/>
      <c r="G27" s="17"/>
      <c r="H27" s="18"/>
      <c r="I27" s="18"/>
      <c r="J27" s="17"/>
      <c r="K27" s="15"/>
      <c r="L27" s="16"/>
      <c r="M27" s="15">
        <v>5000</v>
      </c>
      <c r="N27" s="14"/>
      <c r="O27" s="13"/>
      <c r="P27" s="12"/>
    </row>
    <row r="28" spans="1:17" s="11" customFormat="1" ht="33" customHeight="1" x14ac:dyDescent="0.15">
      <c r="A28" s="17">
        <v>20170119</v>
      </c>
      <c r="B28" s="19" t="s">
        <v>100</v>
      </c>
      <c r="C28" s="36" t="s">
        <v>96</v>
      </c>
      <c r="D28" s="17"/>
      <c r="E28" s="17" t="s">
        <v>394</v>
      </c>
      <c r="F28" s="17" t="s">
        <v>446</v>
      </c>
      <c r="G28" s="17" t="s">
        <v>275</v>
      </c>
      <c r="H28" s="18">
        <f>[15]副本!G55</f>
        <v>1496.749</v>
      </c>
      <c r="I28" s="18">
        <f>H28</f>
        <v>1496.749</v>
      </c>
      <c r="J28" s="17"/>
      <c r="K28" s="15">
        <v>1200</v>
      </c>
      <c r="L28" s="16">
        <f>H28-I28</f>
        <v>0</v>
      </c>
      <c r="M28" s="15">
        <v>2000</v>
      </c>
      <c r="N28" s="14"/>
      <c r="O28" s="13"/>
      <c r="P28" s="12" t="s">
        <v>458</v>
      </c>
    </row>
    <row r="29" spans="1:17" s="11" customFormat="1" ht="33" customHeight="1" x14ac:dyDescent="0.15">
      <c r="A29" s="17">
        <v>20170119</v>
      </c>
      <c r="B29" s="19" t="s">
        <v>406</v>
      </c>
      <c r="C29" s="36" t="s">
        <v>96</v>
      </c>
      <c r="D29" s="17"/>
      <c r="E29" s="17"/>
      <c r="F29" s="17"/>
      <c r="G29" s="17"/>
      <c r="H29" s="18"/>
      <c r="I29" s="18"/>
      <c r="J29" s="17"/>
      <c r="K29" s="15"/>
      <c r="L29" s="16"/>
      <c r="M29" s="15">
        <v>1500</v>
      </c>
      <c r="N29" s="14"/>
      <c r="O29" s="13"/>
      <c r="P29" s="12"/>
    </row>
    <row r="30" spans="1:17" s="11" customFormat="1" ht="33" customHeight="1" x14ac:dyDescent="0.15">
      <c r="A30" s="17">
        <v>20170119</v>
      </c>
      <c r="B30" s="19" t="s">
        <v>98</v>
      </c>
      <c r="C30" s="36" t="s">
        <v>96</v>
      </c>
      <c r="D30" s="17"/>
      <c r="E30" s="17" t="s">
        <v>394</v>
      </c>
      <c r="F30" s="17" t="s">
        <v>446</v>
      </c>
      <c r="G30" s="17" t="s">
        <v>275</v>
      </c>
      <c r="H30" s="18">
        <f>[15]副本!G59</f>
        <v>1099.527</v>
      </c>
      <c r="I30" s="18">
        <f>H30</f>
        <v>1099.527</v>
      </c>
      <c r="J30" s="17"/>
      <c r="K30" s="15"/>
      <c r="L30" s="16">
        <f>H30-I30</f>
        <v>0</v>
      </c>
      <c r="M30" s="15">
        <v>1500</v>
      </c>
      <c r="N30" s="14"/>
      <c r="O30" s="13"/>
      <c r="P30" s="12" t="s">
        <v>458</v>
      </c>
      <c r="Q30" s="20"/>
    </row>
    <row r="31" spans="1:17" s="11" customFormat="1" ht="33" customHeight="1" x14ac:dyDescent="0.15">
      <c r="A31" s="17">
        <v>20170119</v>
      </c>
      <c r="B31" s="19" t="s">
        <v>97</v>
      </c>
      <c r="C31" s="36" t="s">
        <v>96</v>
      </c>
      <c r="D31" s="17"/>
      <c r="E31" s="17" t="s">
        <v>394</v>
      </c>
      <c r="F31" s="17"/>
      <c r="G31" s="17"/>
      <c r="H31" s="18"/>
      <c r="I31" s="18"/>
      <c r="J31" s="17"/>
      <c r="K31" s="15"/>
      <c r="L31" s="16"/>
      <c r="M31" s="15">
        <v>1500</v>
      </c>
      <c r="N31" s="14"/>
      <c r="O31" s="13"/>
      <c r="P31" s="12"/>
    </row>
    <row r="32" spans="1:17" s="11" customFormat="1" ht="33" customHeight="1" x14ac:dyDescent="0.15">
      <c r="A32" s="17">
        <v>20170119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33" customHeight="1" x14ac:dyDescent="0.15">
      <c r="A33" s="17">
        <v>20170119</v>
      </c>
      <c r="B33" s="19" t="s">
        <v>405</v>
      </c>
      <c r="C33" s="36" t="s">
        <v>387</v>
      </c>
      <c r="D33" s="17"/>
      <c r="E33" s="17" t="s">
        <v>404</v>
      </c>
      <c r="F33" s="17" t="s">
        <v>91</v>
      </c>
      <c r="G33" s="17" t="s">
        <v>275</v>
      </c>
      <c r="H33" s="17">
        <f>[15]副本!G65</f>
        <v>408.81600000000014</v>
      </c>
      <c r="I33" s="18">
        <f>H33-1035.099+1035.099</f>
        <v>408.81600000000014</v>
      </c>
      <c r="J33" s="17"/>
      <c r="K33" s="15">
        <v>30</v>
      </c>
      <c r="L33" s="16">
        <f>H33-I33</f>
        <v>0</v>
      </c>
      <c r="M33" s="15">
        <v>2000</v>
      </c>
      <c r="N33" s="14"/>
      <c r="O33" s="13"/>
      <c r="P33" s="12" t="s">
        <v>403</v>
      </c>
    </row>
    <row r="34" spans="1:16" s="11" customFormat="1" ht="33" customHeight="1" x14ac:dyDescent="0.15">
      <c r="A34" s="17">
        <v>20170119</v>
      </c>
      <c r="B34" s="19" t="s">
        <v>89</v>
      </c>
      <c r="C34" s="36" t="s">
        <v>63</v>
      </c>
      <c r="D34" s="17" t="s">
        <v>88</v>
      </c>
      <c r="E34" s="17" t="s">
        <v>401</v>
      </c>
      <c r="F34" s="17" t="s">
        <v>216</v>
      </c>
      <c r="G34" s="17" t="s">
        <v>54</v>
      </c>
      <c r="H34" s="18">
        <f>[15]副本!G67</f>
        <v>696.58299999999986</v>
      </c>
      <c r="I34" s="18">
        <f>H34-1037.023+500+537.023</f>
        <v>696.58299999999997</v>
      </c>
      <c r="J34" s="17"/>
      <c r="K34" s="15">
        <v>70</v>
      </c>
      <c r="L34" s="16">
        <f>H34-I34</f>
        <v>0</v>
      </c>
      <c r="M34" s="15">
        <v>3000</v>
      </c>
      <c r="N34" s="14"/>
      <c r="O34" s="13"/>
      <c r="P34" s="24" t="s">
        <v>467</v>
      </c>
    </row>
    <row r="35" spans="1:16" s="11" customFormat="1" ht="33" customHeight="1" x14ac:dyDescent="0.15">
      <c r="A35" s="17">
        <v>20170119</v>
      </c>
      <c r="B35" s="19" t="s">
        <v>85</v>
      </c>
      <c r="C35" s="36" t="s">
        <v>63</v>
      </c>
      <c r="D35" s="17" t="s">
        <v>277</v>
      </c>
      <c r="E35" s="17" t="s">
        <v>84</v>
      </c>
      <c r="F35" s="17" t="s">
        <v>81</v>
      </c>
      <c r="G35" s="17" t="s">
        <v>54</v>
      </c>
      <c r="H35" s="18">
        <f>[15]副本!G69</f>
        <v>3607.5459999999994</v>
      </c>
      <c r="I35" s="18">
        <f>H35-3607.546+2050+1050+507.546</f>
        <v>3607.5459999999994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461</v>
      </c>
    </row>
    <row r="36" spans="1:16" s="11" customFormat="1" ht="33" customHeight="1" x14ac:dyDescent="0.15">
      <c r="A36" s="17">
        <v>20170119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33" customHeight="1" x14ac:dyDescent="0.15">
      <c r="A37" s="17">
        <v>20170119</v>
      </c>
      <c r="B37" s="19" t="s">
        <v>400</v>
      </c>
      <c r="C37" s="36" t="s">
        <v>387</v>
      </c>
      <c r="D37" s="17" t="s">
        <v>277</v>
      </c>
      <c r="E37" s="17" t="s">
        <v>398</v>
      </c>
      <c r="F37" s="17" t="s">
        <v>81</v>
      </c>
      <c r="G37" s="17" t="s">
        <v>275</v>
      </c>
      <c r="H37" s="18">
        <f>[15]副本!G73</f>
        <v>1041.7500000000523</v>
      </c>
      <c r="I37" s="18">
        <f>H37-955.747+477.874+477.873-1042.865-2628.137+500+542.865+2102.57+525.567-499.112-3147.566+2100+525+525+496.678-2617.899+1574.891+523.692-522.622</f>
        <v>-0.18799999994701011</v>
      </c>
      <c r="J37" s="17"/>
      <c r="K37" s="15"/>
      <c r="L37" s="16">
        <f>H37-I37</f>
        <v>1041.9379999999992</v>
      </c>
      <c r="M37" s="15">
        <v>5000</v>
      </c>
      <c r="N37" s="14"/>
      <c r="O37" s="13"/>
      <c r="P37" s="12"/>
    </row>
    <row r="38" spans="1:16" s="11" customFormat="1" ht="33" customHeight="1" x14ac:dyDescent="0.15">
      <c r="A38" s="17">
        <v>20170119</v>
      </c>
      <c r="B38" s="19" t="s">
        <v>400</v>
      </c>
      <c r="C38" s="36" t="s">
        <v>387</v>
      </c>
      <c r="D38" s="17" t="s">
        <v>277</v>
      </c>
      <c r="E38" s="17" t="s">
        <v>398</v>
      </c>
      <c r="F38" s="17" t="s">
        <v>77</v>
      </c>
      <c r="G38" s="17" t="s">
        <v>275</v>
      </c>
      <c r="H38" s="18">
        <f>[15]副本!G74</f>
        <v>411.70600000000047</v>
      </c>
      <c r="I38" s="18">
        <f>H38</f>
        <v>411.70600000000047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459</v>
      </c>
    </row>
    <row r="39" spans="1:16" s="11" customFormat="1" ht="33" customHeight="1" x14ac:dyDescent="0.15">
      <c r="A39" s="17">
        <v>20170119</v>
      </c>
      <c r="B39" s="19" t="s">
        <v>74</v>
      </c>
      <c r="C39" s="36" t="s">
        <v>28</v>
      </c>
      <c r="D39" s="17"/>
      <c r="E39" s="17" t="s">
        <v>394</v>
      </c>
      <c r="F39" s="17" t="s">
        <v>39</v>
      </c>
      <c r="G39" s="17" t="s">
        <v>275</v>
      </c>
      <c r="H39" s="18">
        <f>[15]副本!G76</f>
        <v>35.023999999997613</v>
      </c>
      <c r="I39" s="18">
        <f>H39</f>
        <v>35.023999999997613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397</v>
      </c>
    </row>
    <row r="40" spans="1:16" s="11" customFormat="1" ht="33" customHeight="1" x14ac:dyDescent="0.15">
      <c r="A40" s="17">
        <v>20170119</v>
      </c>
      <c r="B40" s="19" t="s">
        <v>74</v>
      </c>
      <c r="C40" s="36" t="s">
        <v>28</v>
      </c>
      <c r="D40" s="17"/>
      <c r="E40" s="17" t="s">
        <v>394</v>
      </c>
      <c r="F40" s="17" t="s">
        <v>71</v>
      </c>
      <c r="G40" s="17" t="s">
        <v>275</v>
      </c>
      <c r="H40" s="18">
        <f>[15]副本!G77</f>
        <v>-0.23699999999985266</v>
      </c>
      <c r="I40" s="18">
        <f>H40</f>
        <v>-0.23699999999985266</v>
      </c>
      <c r="J40" s="17"/>
      <c r="K40" s="15"/>
      <c r="L40" s="16"/>
      <c r="M40" s="15">
        <v>4000</v>
      </c>
      <c r="N40" s="14"/>
      <c r="O40" s="13"/>
      <c r="P40" s="12" t="s">
        <v>396</v>
      </c>
    </row>
    <row r="41" spans="1:16" s="11" customFormat="1" ht="33" customHeight="1" x14ac:dyDescent="0.15">
      <c r="A41" s="17">
        <v>20170119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33" customHeight="1" x14ac:dyDescent="0.15">
      <c r="A42" s="17">
        <v>20170119</v>
      </c>
      <c r="B42" s="19" t="s">
        <v>72</v>
      </c>
      <c r="C42" s="36" t="s">
        <v>294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33" customHeight="1" x14ac:dyDescent="0.15">
      <c r="A43" s="17">
        <v>20170119</v>
      </c>
      <c r="B43" s="19" t="s">
        <v>395</v>
      </c>
      <c r="C43" s="36" t="s">
        <v>294</v>
      </c>
      <c r="D43" s="17"/>
      <c r="E43" s="17" t="s">
        <v>394</v>
      </c>
      <c r="F43" s="17" t="s">
        <v>39</v>
      </c>
      <c r="G43" s="17" t="s">
        <v>275</v>
      </c>
      <c r="H43" s="18">
        <f>[15]副本!G84</f>
        <v>1146.0509999999995</v>
      </c>
      <c r="I43" s="18">
        <f>H43</f>
        <v>1146.0509999999995</v>
      </c>
      <c r="J43" s="17"/>
      <c r="K43" s="15"/>
      <c r="L43" s="16">
        <f>H43-I43</f>
        <v>0</v>
      </c>
      <c r="M43" s="15">
        <v>5000</v>
      </c>
      <c r="N43" s="21"/>
      <c r="O43" s="13"/>
      <c r="P43" s="12" t="s">
        <v>393</v>
      </c>
    </row>
    <row r="44" spans="1:16" s="11" customFormat="1" ht="33" customHeight="1" x14ac:dyDescent="0.15">
      <c r="A44" s="17">
        <v>20170119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33" customHeight="1" x14ac:dyDescent="0.15">
      <c r="A45" s="17">
        <v>20170119</v>
      </c>
      <c r="B45" s="19" t="s">
        <v>64</v>
      </c>
      <c r="C45" s="36" t="s">
        <v>63</v>
      </c>
      <c r="D45" s="17"/>
      <c r="E45" s="17" t="s">
        <v>392</v>
      </c>
      <c r="F45" s="17" t="s">
        <v>232</v>
      </c>
      <c r="G45" s="17" t="s">
        <v>275</v>
      </c>
      <c r="H45" s="18">
        <f>[15]副本!G90</f>
        <v>984.85799999999995</v>
      </c>
      <c r="I45" s="18">
        <f>H45</f>
        <v>984.85799999999995</v>
      </c>
      <c r="J45" s="17"/>
      <c r="K45" s="15"/>
      <c r="L45" s="16">
        <f>H45-I45</f>
        <v>0</v>
      </c>
      <c r="M45" s="15">
        <v>5000</v>
      </c>
      <c r="N45" s="14"/>
      <c r="O45" s="13"/>
      <c r="P45" s="12" t="s">
        <v>391</v>
      </c>
    </row>
    <row r="46" spans="1:16" s="11" customFormat="1" ht="33" customHeight="1" x14ac:dyDescent="0.15">
      <c r="A46" s="17">
        <v>20170119</v>
      </c>
      <c r="B46" s="19" t="s">
        <v>64</v>
      </c>
      <c r="C46" s="36"/>
      <c r="D46" s="17"/>
      <c r="E46" s="17" t="s">
        <v>392</v>
      </c>
      <c r="F46" s="17" t="s">
        <v>140</v>
      </c>
      <c r="G46" s="17"/>
      <c r="H46" s="18">
        <f>[15]副本!G91</f>
        <v>1000</v>
      </c>
      <c r="I46" s="18">
        <f>H46</f>
        <v>1000</v>
      </c>
      <c r="J46" s="17"/>
      <c r="K46" s="15"/>
      <c r="L46" s="16"/>
      <c r="M46" s="15"/>
      <c r="N46" s="14"/>
      <c r="O46" s="13"/>
      <c r="P46" s="12" t="s">
        <v>391</v>
      </c>
    </row>
    <row r="47" spans="1:16" s="11" customFormat="1" ht="33" customHeight="1" x14ac:dyDescent="0.15">
      <c r="A47" s="17">
        <v>20170119</v>
      </c>
      <c r="B47" s="19" t="s">
        <v>62</v>
      </c>
      <c r="C47" s="36" t="s">
        <v>387</v>
      </c>
      <c r="D47" s="17"/>
      <c r="E47" s="17" t="s">
        <v>386</v>
      </c>
      <c r="F47" s="17" t="s">
        <v>61</v>
      </c>
      <c r="G47" s="17" t="s">
        <v>275</v>
      </c>
      <c r="H47" s="18">
        <f>[15]副本!G93</f>
        <v>910.86399999999412</v>
      </c>
      <c r="I47" s="18">
        <f>H47</f>
        <v>910.86399999999412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33" customHeight="1" x14ac:dyDescent="0.15">
      <c r="A48" s="17">
        <v>20170119</v>
      </c>
      <c r="B48" s="19" t="s">
        <v>390</v>
      </c>
      <c r="C48" s="36" t="s">
        <v>294</v>
      </c>
      <c r="D48" s="17" t="s">
        <v>277</v>
      </c>
      <c r="E48" s="17" t="s">
        <v>292</v>
      </c>
      <c r="F48" s="17" t="s">
        <v>48</v>
      </c>
      <c r="G48" s="17" t="s">
        <v>275</v>
      </c>
      <c r="H48" s="18">
        <f>[15]副本!G95</f>
        <v>2409.6100000000006</v>
      </c>
      <c r="I48" s="18">
        <v>0</v>
      </c>
      <c r="J48" s="17"/>
      <c r="K48" s="15"/>
      <c r="L48" s="16">
        <f>H48-I48</f>
        <v>2409.6100000000006</v>
      </c>
      <c r="M48" s="15">
        <v>10000</v>
      </c>
      <c r="N48" s="14"/>
      <c r="O48" s="13"/>
      <c r="P48" s="12"/>
    </row>
    <row r="49" spans="1:17" s="11" customFormat="1" ht="33" customHeight="1" x14ac:dyDescent="0.15">
      <c r="A49" s="17">
        <v>20170119</v>
      </c>
      <c r="B49" s="19" t="s">
        <v>389</v>
      </c>
      <c r="C49" s="36" t="s">
        <v>28</v>
      </c>
      <c r="D49" s="17" t="s">
        <v>277</v>
      </c>
      <c r="E49" s="17" t="s">
        <v>292</v>
      </c>
      <c r="F49" s="17" t="s">
        <v>48</v>
      </c>
      <c r="G49" s="17" t="s">
        <v>275</v>
      </c>
      <c r="H49" s="18">
        <f>[15]副本!G97</f>
        <v>2625.0060000000003</v>
      </c>
      <c r="I49" s="18"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33" customHeight="1" x14ac:dyDescent="0.15">
      <c r="A50" s="17">
        <v>20170119</v>
      </c>
      <c r="B50" s="19" t="s">
        <v>388</v>
      </c>
      <c r="C50" s="36" t="s">
        <v>387</v>
      </c>
      <c r="D50" s="17"/>
      <c r="E50" s="17" t="s">
        <v>386</v>
      </c>
      <c r="F50" s="17" t="s">
        <v>268</v>
      </c>
      <c r="G50" s="17" t="s">
        <v>54</v>
      </c>
      <c r="H50" s="18">
        <f>[15]副本!G99</f>
        <v>1470.8420000000078</v>
      </c>
      <c r="I50" s="18">
        <f>H50</f>
        <v>1470.8420000000078</v>
      </c>
      <c r="J50" s="17"/>
      <c r="K50" s="16"/>
      <c r="L50" s="16">
        <v>0</v>
      </c>
      <c r="M50" s="15">
        <v>5000</v>
      </c>
      <c r="N50" s="23" t="s">
        <v>385</v>
      </c>
      <c r="O50" s="22" t="s">
        <v>384</v>
      </c>
      <c r="P50" s="12" t="s">
        <v>51</v>
      </c>
    </row>
    <row r="51" spans="1:17" s="11" customFormat="1" ht="33" customHeight="1" x14ac:dyDescent="0.15">
      <c r="A51" s="17">
        <v>20170119</v>
      </c>
      <c r="B51" s="19" t="s">
        <v>50</v>
      </c>
      <c r="C51" s="36" t="s">
        <v>28</v>
      </c>
      <c r="D51" s="17"/>
      <c r="E51" s="17" t="s">
        <v>383</v>
      </c>
      <c r="F51" s="17" t="s">
        <v>249</v>
      </c>
      <c r="G51" s="17" t="s">
        <v>275</v>
      </c>
      <c r="H51" s="18">
        <f>[15]副本!G101</f>
        <v>47.858999999999924</v>
      </c>
      <c r="I51" s="18">
        <f>H51</f>
        <v>47.858999999999924</v>
      </c>
      <c r="J51" s="17"/>
      <c r="K51" s="15">
        <v>50</v>
      </c>
      <c r="L51" s="16">
        <f>H51-I51</f>
        <v>0</v>
      </c>
      <c r="M51" s="15">
        <v>3000</v>
      </c>
      <c r="N51" s="14"/>
      <c r="O51" s="13"/>
      <c r="P51" s="12" t="s">
        <v>382</v>
      </c>
    </row>
    <row r="52" spans="1:17" s="11" customFormat="1" ht="33" customHeight="1" x14ac:dyDescent="0.15">
      <c r="A52" s="17">
        <v>20170119</v>
      </c>
      <c r="B52" s="19" t="s">
        <v>381</v>
      </c>
      <c r="C52" s="36" t="s">
        <v>28</v>
      </c>
      <c r="D52" s="17" t="s">
        <v>277</v>
      </c>
      <c r="E52" s="17" t="s">
        <v>292</v>
      </c>
      <c r="F52" s="17" t="s">
        <v>48</v>
      </c>
      <c r="G52" s="17" t="s">
        <v>287</v>
      </c>
      <c r="H52" s="18">
        <f>[15]副本!G103</f>
        <v>17900.637999999999</v>
      </c>
      <c r="I52" s="18">
        <v>0</v>
      </c>
      <c r="J52" s="17"/>
      <c r="K52" s="15"/>
      <c r="L52" s="16">
        <f>H52-I52</f>
        <v>17900.637999999999</v>
      </c>
      <c r="M52" s="15">
        <v>25000</v>
      </c>
      <c r="N52" s="14" t="s">
        <v>380</v>
      </c>
      <c r="O52" s="13" t="s">
        <v>379</v>
      </c>
      <c r="P52" s="12" t="s">
        <v>378</v>
      </c>
    </row>
    <row r="53" spans="1:17" s="11" customFormat="1" ht="33" customHeight="1" x14ac:dyDescent="0.15">
      <c r="A53" s="17">
        <v>20170119</v>
      </c>
      <c r="B53" s="19" t="s">
        <v>377</v>
      </c>
      <c r="C53" s="36" t="s">
        <v>294</v>
      </c>
      <c r="D53" s="17" t="s">
        <v>277</v>
      </c>
      <c r="E53" s="17" t="s">
        <v>292</v>
      </c>
      <c r="F53" s="17" t="s">
        <v>234</v>
      </c>
      <c r="G53" s="17" t="s">
        <v>287</v>
      </c>
      <c r="H53" s="18">
        <f>[15]副本!G105</f>
        <v>12990.035000000082</v>
      </c>
      <c r="I53" s="18">
        <v>0</v>
      </c>
      <c r="J53" s="17"/>
      <c r="K53" s="15"/>
      <c r="L53" s="16">
        <f>H53-I53</f>
        <v>12990.035000000082</v>
      </c>
      <c r="M53" s="15">
        <v>50000</v>
      </c>
      <c r="N53" s="14"/>
      <c r="O53" s="13"/>
      <c r="P53" s="12"/>
    </row>
    <row r="54" spans="1:17" s="11" customFormat="1" ht="33" customHeight="1" x14ac:dyDescent="0.15">
      <c r="A54" s="17">
        <v>20170119</v>
      </c>
      <c r="B54" s="19" t="s">
        <v>41</v>
      </c>
      <c r="C54" s="36" t="s">
        <v>28</v>
      </c>
      <c r="D54" s="17"/>
      <c r="E54" s="17" t="s">
        <v>394</v>
      </c>
      <c r="F54" s="17" t="s">
        <v>446</v>
      </c>
      <c r="G54" s="17" t="s">
        <v>287</v>
      </c>
      <c r="H54" s="18">
        <f>[15]副本!G109</f>
        <v>2593.6109999999999</v>
      </c>
      <c r="I54" s="18">
        <f>H54</f>
        <v>2593.6109999999999</v>
      </c>
      <c r="J54" s="17"/>
      <c r="K54" s="15"/>
      <c r="L54" s="16">
        <f>H54-I54</f>
        <v>0</v>
      </c>
      <c r="M54" s="15">
        <v>4000</v>
      </c>
      <c r="N54" s="14"/>
      <c r="O54" s="13"/>
      <c r="P54" s="12" t="s">
        <v>458</v>
      </c>
    </row>
    <row r="55" spans="1:17" s="11" customFormat="1" ht="33" customHeight="1" x14ac:dyDescent="0.15">
      <c r="A55" s="17">
        <v>20170119</v>
      </c>
      <c r="B55" s="19" t="s">
        <v>293</v>
      </c>
      <c r="C55" s="36" t="s">
        <v>290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33" customHeight="1" x14ac:dyDescent="0.15">
      <c r="A56" s="17">
        <v>20170119</v>
      </c>
      <c r="B56" s="19" t="s">
        <v>36</v>
      </c>
      <c r="C56" s="36" t="s">
        <v>290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33" customHeight="1" x14ac:dyDescent="0.15">
      <c r="A57" s="17">
        <v>20170119</v>
      </c>
      <c r="B57" s="19" t="s">
        <v>35</v>
      </c>
      <c r="C57" s="36" t="s">
        <v>28</v>
      </c>
      <c r="D57" s="17" t="s">
        <v>277</v>
      </c>
      <c r="E57" s="17" t="s">
        <v>292</v>
      </c>
      <c r="F57" s="17" t="s">
        <v>469</v>
      </c>
      <c r="G57" s="17" t="s">
        <v>287</v>
      </c>
      <c r="H57" s="18">
        <f>[15]副本!G115</f>
        <v>1767.3689999999997</v>
      </c>
      <c r="I57" s="18">
        <v>0</v>
      </c>
      <c r="J57" s="17"/>
      <c r="K57" s="16"/>
      <c r="L57" s="16">
        <f>H57-I57</f>
        <v>1767.3689999999997</v>
      </c>
      <c r="M57" s="15">
        <v>10000</v>
      </c>
      <c r="N57" s="14"/>
      <c r="O57" s="13"/>
      <c r="P57" s="12"/>
      <c r="Q57" s="20"/>
    </row>
    <row r="58" spans="1:17" s="11" customFormat="1" ht="33" customHeight="1" x14ac:dyDescent="0.15">
      <c r="A58" s="17">
        <v>20170119</v>
      </c>
      <c r="B58" s="19" t="s">
        <v>291</v>
      </c>
      <c r="C58" s="36" t="s">
        <v>290</v>
      </c>
      <c r="D58" s="17" t="s">
        <v>277</v>
      </c>
      <c r="E58" s="17" t="s">
        <v>276</v>
      </c>
      <c r="F58" s="17" t="s">
        <v>436</v>
      </c>
      <c r="G58" s="17" t="s">
        <v>287</v>
      </c>
      <c r="H58" s="18">
        <f>[15]副本!G117</f>
        <v>4990.8999999999996</v>
      </c>
      <c r="I58" s="18">
        <f>2000+3000</f>
        <v>5000</v>
      </c>
      <c r="J58" s="17"/>
      <c r="K58" s="21"/>
      <c r="L58" s="16">
        <f>H58-I58</f>
        <v>-9.1000000000003638</v>
      </c>
      <c r="M58" s="15">
        <v>15000</v>
      </c>
      <c r="N58" s="14"/>
      <c r="O58" s="13"/>
      <c r="P58" s="12" t="s">
        <v>456</v>
      </c>
      <c r="Q58" s="20"/>
    </row>
    <row r="59" spans="1:17" s="11" customFormat="1" ht="33" customHeight="1" x14ac:dyDescent="0.15">
      <c r="A59" s="17">
        <v>20170119</v>
      </c>
      <c r="B59" s="19" t="s">
        <v>291</v>
      </c>
      <c r="C59" s="36" t="s">
        <v>290</v>
      </c>
      <c r="D59" s="17" t="s">
        <v>277</v>
      </c>
      <c r="E59" s="17" t="s">
        <v>276</v>
      </c>
      <c r="F59" s="17" t="s">
        <v>437</v>
      </c>
      <c r="G59" s="17" t="s">
        <v>287</v>
      </c>
      <c r="H59" s="18">
        <f>[15]副本!G118</f>
        <v>4074.3</v>
      </c>
      <c r="I59" s="18">
        <f>H59</f>
        <v>4074.3</v>
      </c>
      <c r="J59" s="17"/>
      <c r="K59" s="21"/>
      <c r="L59" s="16">
        <f>H59-I59</f>
        <v>0</v>
      </c>
      <c r="M59" s="15">
        <v>15000</v>
      </c>
      <c r="N59" s="14"/>
      <c r="O59" s="13"/>
      <c r="P59" s="12"/>
      <c r="Q59" s="20"/>
    </row>
    <row r="60" spans="1:17" s="11" customFormat="1" ht="33" customHeight="1" x14ac:dyDescent="0.15">
      <c r="A60" s="17">
        <v>20170119</v>
      </c>
      <c r="B60" s="19" t="s">
        <v>30</v>
      </c>
      <c r="C60" s="19" t="s">
        <v>28</v>
      </c>
      <c r="D60" s="17" t="s">
        <v>277</v>
      </c>
      <c r="E60" s="17" t="s">
        <v>276</v>
      </c>
      <c r="F60" s="17" t="s">
        <v>3</v>
      </c>
      <c r="G60" s="17" t="s">
        <v>287</v>
      </c>
      <c r="H60" s="18">
        <f>[15]副本!G120</f>
        <v>12117.330999999996</v>
      </c>
      <c r="I60" s="18">
        <f>H60</f>
        <v>12117.330999999996</v>
      </c>
      <c r="J60" s="17"/>
      <c r="K60" s="15">
        <v>450</v>
      </c>
      <c r="L60" s="16"/>
      <c r="M60" s="15">
        <v>43000</v>
      </c>
      <c r="N60" s="14"/>
      <c r="O60" s="13"/>
      <c r="P60" s="12" t="s">
        <v>289</v>
      </c>
      <c r="Q60" s="20"/>
    </row>
    <row r="61" spans="1:17" s="11" customFormat="1" ht="33" customHeight="1" x14ac:dyDescent="0.15">
      <c r="A61" s="17">
        <v>20170119</v>
      </c>
      <c r="B61" s="19" t="s">
        <v>30</v>
      </c>
      <c r="C61" s="19" t="s">
        <v>28</v>
      </c>
      <c r="D61" s="17" t="s">
        <v>277</v>
      </c>
      <c r="E61" s="17" t="s">
        <v>276</v>
      </c>
      <c r="F61" s="17" t="s">
        <v>251</v>
      </c>
      <c r="G61" s="17" t="s">
        <v>287</v>
      </c>
      <c r="H61" s="18">
        <f>[15]副本!G121</f>
        <v>129.17999999999938</v>
      </c>
      <c r="I61" s="18">
        <f>H61</f>
        <v>129.17999999999938</v>
      </c>
      <c r="J61" s="17"/>
      <c r="K61" s="17"/>
      <c r="L61" s="16"/>
      <c r="M61" s="15">
        <v>43000</v>
      </c>
      <c r="N61" s="14"/>
      <c r="O61" s="13"/>
      <c r="P61" s="12" t="s">
        <v>289</v>
      </c>
      <c r="Q61" s="20"/>
    </row>
    <row r="62" spans="1:17" s="11" customFormat="1" ht="33" customHeight="1" x14ac:dyDescent="0.15">
      <c r="A62" s="17">
        <v>20170119</v>
      </c>
      <c r="B62" s="19" t="s">
        <v>288</v>
      </c>
      <c r="C62" s="19" t="s">
        <v>28</v>
      </c>
      <c r="D62" s="17" t="s">
        <v>277</v>
      </c>
      <c r="E62" s="17"/>
      <c r="F62" s="17"/>
      <c r="G62" s="17"/>
      <c r="H62" s="18"/>
      <c r="I62" s="18"/>
      <c r="J62" s="17"/>
      <c r="K62" s="15"/>
      <c r="L62" s="16"/>
      <c r="M62" s="15">
        <v>43000</v>
      </c>
      <c r="N62" s="14"/>
      <c r="O62" s="13"/>
      <c r="P62" s="12"/>
      <c r="Q62" s="20"/>
    </row>
    <row r="63" spans="1:17" s="11" customFormat="1" ht="33" customHeight="1" x14ac:dyDescent="0.15">
      <c r="A63" s="17">
        <v>20170119</v>
      </c>
      <c r="B63" s="19" t="s">
        <v>24</v>
      </c>
      <c r="C63" s="36" t="s">
        <v>0</v>
      </c>
      <c r="D63" s="17"/>
      <c r="E63" s="17" t="s">
        <v>276</v>
      </c>
      <c r="F63" s="17" t="s">
        <v>23</v>
      </c>
      <c r="G63" s="17" t="s">
        <v>287</v>
      </c>
      <c r="H63" s="18">
        <f>[15]副本!G125</f>
        <v>37.266999999996187</v>
      </c>
      <c r="I63" s="18">
        <f>H63-15652.787+4092.929+8666.148+2893.71</f>
        <v>37.266999999995278</v>
      </c>
      <c r="J63" s="17"/>
      <c r="K63" s="15"/>
      <c r="L63" s="16">
        <f>H63-I63</f>
        <v>9.0949470177292824E-13</v>
      </c>
      <c r="M63" s="15">
        <v>20000</v>
      </c>
      <c r="N63" s="14"/>
      <c r="O63" s="13"/>
      <c r="P63" s="12" t="s">
        <v>455</v>
      </c>
    </row>
    <row r="64" spans="1:17" s="11" customFormat="1" ht="33" customHeight="1" x14ac:dyDescent="0.15">
      <c r="A64" s="17">
        <v>20170119</v>
      </c>
      <c r="B64" s="19" t="s">
        <v>454</v>
      </c>
      <c r="C64" s="36" t="s">
        <v>0</v>
      </c>
      <c r="D64" s="17"/>
      <c r="E64" s="17" t="s">
        <v>12</v>
      </c>
      <c r="F64" s="17" t="s">
        <v>598</v>
      </c>
      <c r="G64" s="17" t="s">
        <v>275</v>
      </c>
      <c r="H64" s="18">
        <f>[15]副本!G127</f>
        <v>14479.917000000001</v>
      </c>
      <c r="I64" s="18">
        <f>H64-4751.949+4751.949</f>
        <v>14479.917000000001</v>
      </c>
      <c r="J64" s="17"/>
      <c r="K64" s="15"/>
      <c r="L64" s="16">
        <f>H64-I64</f>
        <v>0</v>
      </c>
      <c r="M64" s="15">
        <v>30000</v>
      </c>
      <c r="N64" s="14"/>
      <c r="O64" s="13"/>
      <c r="P64" s="12" t="s">
        <v>453</v>
      </c>
    </row>
    <row r="65" spans="1:16" s="11" customFormat="1" ht="33" customHeight="1" x14ac:dyDescent="0.15">
      <c r="A65" s="17">
        <v>20170119</v>
      </c>
      <c r="B65" s="19" t="s">
        <v>454</v>
      </c>
      <c r="C65" s="36" t="s">
        <v>0</v>
      </c>
      <c r="D65" s="17"/>
      <c r="E65" s="17" t="s">
        <v>12</v>
      </c>
      <c r="F65" s="17" t="s">
        <v>596</v>
      </c>
      <c r="G65" s="17" t="s">
        <v>275</v>
      </c>
      <c r="H65" s="18">
        <f>[15]副本!G128</f>
        <v>5000.9920000000002</v>
      </c>
      <c r="I65" s="18">
        <f>H65</f>
        <v>5000.9920000000002</v>
      </c>
      <c r="J65" s="17"/>
      <c r="K65" s="15"/>
      <c r="L65" s="16">
        <f>H65-I65</f>
        <v>0</v>
      </c>
      <c r="M65" s="15">
        <v>30000</v>
      </c>
      <c r="N65" s="14"/>
      <c r="O65" s="13"/>
      <c r="P65" s="12" t="s">
        <v>451</v>
      </c>
    </row>
    <row r="66" spans="1:16" s="11" customFormat="1" ht="33" customHeight="1" x14ac:dyDescent="0.15">
      <c r="A66" s="17">
        <v>20170119</v>
      </c>
      <c r="B66" s="19" t="s">
        <v>284</v>
      </c>
      <c r="C66" s="36" t="s">
        <v>0</v>
      </c>
      <c r="D66" s="17" t="s">
        <v>277</v>
      </c>
      <c r="E66" s="17" t="s">
        <v>276</v>
      </c>
      <c r="F66" s="17" t="s">
        <v>17</v>
      </c>
      <c r="G66" s="17" t="s">
        <v>275</v>
      </c>
      <c r="H66" s="18">
        <f>[15]副本!G130</f>
        <v>14976.093999999999</v>
      </c>
      <c r="I66" s="18">
        <f>H66-14976.094</f>
        <v>0</v>
      </c>
      <c r="J66" s="17"/>
      <c r="K66" s="15">
        <v>200</v>
      </c>
      <c r="L66" s="16">
        <f>H66-I66</f>
        <v>14976.093999999999</v>
      </c>
      <c r="M66" s="15">
        <v>20000</v>
      </c>
      <c r="N66" s="14" t="s">
        <v>283</v>
      </c>
      <c r="O66" s="13" t="s">
        <v>282</v>
      </c>
      <c r="P66" s="12" t="s">
        <v>281</v>
      </c>
    </row>
    <row r="67" spans="1:16" s="11" customFormat="1" ht="33" customHeight="1" x14ac:dyDescent="0.15">
      <c r="A67" s="17">
        <v>20170119</v>
      </c>
      <c r="B67" s="19" t="s">
        <v>13</v>
      </c>
      <c r="C67" s="36" t="s">
        <v>0</v>
      </c>
      <c r="D67" s="17"/>
      <c r="E67" s="17" t="s">
        <v>12</v>
      </c>
      <c r="F67" s="17" t="s">
        <v>11</v>
      </c>
      <c r="G67" s="17" t="s">
        <v>275</v>
      </c>
      <c r="H67" s="18">
        <f>[15]副本!G132</f>
        <v>25173.616999999973</v>
      </c>
      <c r="I67" s="18">
        <f>H67</f>
        <v>25173.616999999973</v>
      </c>
      <c r="J67" s="17"/>
      <c r="K67" s="15"/>
      <c r="L67" s="16">
        <v>0</v>
      </c>
      <c r="M67" s="15">
        <v>30000</v>
      </c>
      <c r="N67" s="14"/>
      <c r="O67" s="13"/>
      <c r="P67" s="12"/>
    </row>
    <row r="68" spans="1:16" s="11" customFormat="1" ht="33" customHeight="1" x14ac:dyDescent="0.15">
      <c r="A68" s="17">
        <v>20170119</v>
      </c>
      <c r="B68" s="19" t="s">
        <v>10</v>
      </c>
      <c r="C68" s="36" t="s">
        <v>0</v>
      </c>
      <c r="D68" s="17"/>
      <c r="E68" s="17" t="s">
        <v>280</v>
      </c>
      <c r="F68" s="12" t="s">
        <v>8</v>
      </c>
      <c r="G68" s="17" t="s">
        <v>275</v>
      </c>
      <c r="H68" s="18">
        <f>[15]副本!G134</f>
        <v>0</v>
      </c>
      <c r="I68" s="18">
        <f>H68</f>
        <v>0</v>
      </c>
      <c r="J68" s="17"/>
      <c r="K68" s="15"/>
      <c r="L68" s="16">
        <f>H68-I68</f>
        <v>0</v>
      </c>
      <c r="M68" s="15">
        <v>20000</v>
      </c>
      <c r="N68" s="14"/>
      <c r="O68" s="13"/>
      <c r="P68" s="17" t="s">
        <v>450</v>
      </c>
    </row>
    <row r="69" spans="1:16" s="11" customFormat="1" ht="33" customHeight="1" x14ac:dyDescent="0.15">
      <c r="A69" s="17">
        <v>20170119</v>
      </c>
      <c r="B69" s="19" t="s">
        <v>10</v>
      </c>
      <c r="C69" s="36" t="s">
        <v>0</v>
      </c>
      <c r="D69" s="17"/>
      <c r="E69" s="17" t="s">
        <v>280</v>
      </c>
      <c r="F69" s="12" t="s">
        <v>257</v>
      </c>
      <c r="G69" s="17" t="s">
        <v>275</v>
      </c>
      <c r="H69" s="18">
        <f>[15]副本!G135</f>
        <v>4130.2550000000001</v>
      </c>
      <c r="I69" s="18">
        <f>H69</f>
        <v>4130.2550000000001</v>
      </c>
      <c r="J69" s="17"/>
      <c r="K69" s="15">
        <v>250</v>
      </c>
      <c r="L69" s="16">
        <v>0</v>
      </c>
      <c r="M69" s="15">
        <v>20000</v>
      </c>
      <c r="N69" s="14"/>
      <c r="O69" s="13"/>
      <c r="P69" s="12" t="s">
        <v>279</v>
      </c>
    </row>
    <row r="70" spans="1:16" s="11" customFormat="1" ht="33" customHeight="1" x14ac:dyDescent="0.15">
      <c r="A70" s="17">
        <v>20170119</v>
      </c>
      <c r="B70" s="19" t="s">
        <v>7</v>
      </c>
      <c r="C70" s="36" t="s">
        <v>0</v>
      </c>
      <c r="D70" s="17"/>
      <c r="E70" s="17"/>
      <c r="F70" s="17"/>
      <c r="G70" s="17"/>
      <c r="H70" s="18"/>
      <c r="I70" s="18"/>
      <c r="J70" s="17"/>
      <c r="K70" s="15"/>
      <c r="L70" s="16"/>
      <c r="M70" s="15">
        <v>15000</v>
      </c>
      <c r="N70" s="14"/>
      <c r="O70" s="13"/>
      <c r="P70" s="12"/>
    </row>
    <row r="71" spans="1:16" s="11" customFormat="1" ht="33" customHeight="1" x14ac:dyDescent="0.15">
      <c r="A71" s="17">
        <v>20170119</v>
      </c>
      <c r="B71" s="19" t="s">
        <v>278</v>
      </c>
      <c r="C71" s="36" t="s">
        <v>0</v>
      </c>
      <c r="D71" s="17" t="s">
        <v>277</v>
      </c>
      <c r="E71" s="17" t="s">
        <v>276</v>
      </c>
      <c r="F71" s="17" t="s">
        <v>3</v>
      </c>
      <c r="G71" s="17" t="s">
        <v>275</v>
      </c>
      <c r="H71" s="18">
        <f>[15]副本!G139</f>
        <v>12005.106</v>
      </c>
      <c r="I71" s="18">
        <f>H71-12005.106</f>
        <v>0</v>
      </c>
      <c r="J71" s="17"/>
      <c r="K71" s="15"/>
      <c r="L71" s="16">
        <f>H71-I71</f>
        <v>12005.106</v>
      </c>
      <c r="M71" s="15">
        <v>15000</v>
      </c>
      <c r="N71" s="14"/>
      <c r="O71" s="13"/>
      <c r="P71" s="12"/>
    </row>
    <row r="72" spans="1:16" s="11" customFormat="1" ht="33" customHeight="1" x14ac:dyDescent="0.15">
      <c r="A72" s="17">
        <v>20170119</v>
      </c>
      <c r="B72" s="19" t="s">
        <v>1</v>
      </c>
      <c r="C72" s="36" t="s">
        <v>0</v>
      </c>
      <c r="D72" s="17"/>
      <c r="E72" s="17" t="s">
        <v>276</v>
      </c>
      <c r="F72" s="17" t="s">
        <v>437</v>
      </c>
      <c r="G72" s="17" t="s">
        <v>275</v>
      </c>
      <c r="H72" s="18">
        <f>[15]副本!G141</f>
        <v>8151.869999999999</v>
      </c>
      <c r="I72" s="18">
        <f>3000+3000</f>
        <v>6000</v>
      </c>
      <c r="J72" s="17"/>
      <c r="K72" s="15"/>
      <c r="L72" s="16">
        <f>H72-I72</f>
        <v>2151.869999999999</v>
      </c>
      <c r="M72" s="15">
        <v>15000</v>
      </c>
      <c r="N72" s="14"/>
      <c r="O72" s="13"/>
      <c r="P72" s="12" t="s">
        <v>448</v>
      </c>
    </row>
    <row r="78" spans="1:16" x14ac:dyDescent="0.15">
      <c r="L78" s="10"/>
    </row>
    <row r="230" spans="7:8" x14ac:dyDescent="0.15">
      <c r="G230" s="2"/>
      <c r="H230" s="2"/>
    </row>
  </sheetData>
  <autoFilter ref="B1:I72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0"/>
  <sheetViews>
    <sheetView workbookViewId="0">
      <pane xSplit="3" ySplit="1" topLeftCell="D65" activePane="bottomRight" state="frozen"/>
      <selection activeCell="G5" sqref="G5"/>
      <selection pane="topRight" activeCell="G5" sqref="G5"/>
      <selection pane="bottomLeft" activeCell="G5" sqref="G5"/>
      <selection pane="bottomRight" activeCell="F65" sqref="F65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3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78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29" t="s">
        <v>272</v>
      </c>
      <c r="B1" s="38" t="s">
        <v>434</v>
      </c>
      <c r="C1" s="29" t="s">
        <v>171</v>
      </c>
      <c r="D1" s="29" t="s">
        <v>170</v>
      </c>
      <c r="E1" s="29" t="s">
        <v>169</v>
      </c>
      <c r="F1" s="29" t="s">
        <v>433</v>
      </c>
      <c r="G1" s="35" t="s">
        <v>167</v>
      </c>
      <c r="H1" s="34" t="s">
        <v>166</v>
      </c>
      <c r="I1" s="33" t="s">
        <v>432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33" customHeight="1" x14ac:dyDescent="0.15">
      <c r="A2" s="17">
        <v>20170120</v>
      </c>
      <c r="B2" s="19" t="s">
        <v>158</v>
      </c>
      <c r="C2" s="36" t="s">
        <v>63</v>
      </c>
      <c r="D2" s="19"/>
      <c r="E2" s="17" t="s">
        <v>141</v>
      </c>
      <c r="F2" s="63" t="s">
        <v>144</v>
      </c>
      <c r="G2" s="12" t="s">
        <v>54</v>
      </c>
      <c r="H2" s="18">
        <f>[16]副本!G3</f>
        <v>993.971</v>
      </c>
      <c r="I2" s="18">
        <f>H2</f>
        <v>993.971</v>
      </c>
      <c r="J2" s="17"/>
      <c r="K2" s="15"/>
      <c r="L2" s="16">
        <v>0</v>
      </c>
      <c r="M2" s="15">
        <v>2000</v>
      </c>
      <c r="N2" s="14" t="s">
        <v>428</v>
      </c>
      <c r="O2" s="13" t="s">
        <v>416</v>
      </c>
      <c r="P2" s="12" t="s">
        <v>466</v>
      </c>
    </row>
    <row r="3" spans="1:17" s="11" customFormat="1" ht="33" customHeight="1" x14ac:dyDescent="0.15">
      <c r="A3" s="17">
        <v>20170120</v>
      </c>
      <c r="B3" s="19" t="s">
        <v>157</v>
      </c>
      <c r="C3" s="36" t="s">
        <v>63</v>
      </c>
      <c r="D3" s="19"/>
      <c r="E3" s="17" t="s">
        <v>413</v>
      </c>
      <c r="F3" s="17" t="s">
        <v>468</v>
      </c>
      <c r="G3" s="12" t="s">
        <v>54</v>
      </c>
      <c r="H3" s="18">
        <f>[16]副本!G6</f>
        <v>1046.8389999999999</v>
      </c>
      <c r="I3" s="18">
        <f>H3</f>
        <v>1046.8389999999999</v>
      </c>
      <c r="J3" s="17"/>
      <c r="K3" s="15"/>
      <c r="L3" s="16">
        <f>H3-I3</f>
        <v>0</v>
      </c>
      <c r="M3" s="15">
        <v>1500</v>
      </c>
      <c r="N3" s="14"/>
      <c r="O3" s="13"/>
      <c r="P3" s="12"/>
    </row>
    <row r="4" spans="1:17" s="11" customFormat="1" ht="33" customHeight="1" x14ac:dyDescent="0.15">
      <c r="A4" s="17">
        <v>20170120</v>
      </c>
      <c r="B4" s="19" t="s">
        <v>153</v>
      </c>
      <c r="C4" s="36" t="s">
        <v>63</v>
      </c>
      <c r="D4" s="19"/>
      <c r="E4" s="17" t="s">
        <v>386</v>
      </c>
      <c r="F4" s="63" t="s">
        <v>61</v>
      </c>
      <c r="G4" s="12" t="s">
        <v>54</v>
      </c>
      <c r="H4" s="18">
        <f>[16]副本!G8</f>
        <v>1710.5029999999958</v>
      </c>
      <c r="I4" s="18">
        <f>H4</f>
        <v>1710.5029999999958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430</v>
      </c>
    </row>
    <row r="5" spans="1:17" s="11" customFormat="1" ht="33" customHeight="1" x14ac:dyDescent="0.15">
      <c r="A5" s="17">
        <v>20170120</v>
      </c>
      <c r="B5" s="19" t="s">
        <v>149</v>
      </c>
      <c r="C5" s="36" t="s">
        <v>63</v>
      </c>
      <c r="D5" s="17"/>
      <c r="E5" s="17" t="s">
        <v>429</v>
      </c>
      <c r="F5" s="63" t="s">
        <v>140</v>
      </c>
      <c r="G5" s="12" t="s">
        <v>54</v>
      </c>
      <c r="H5" s="18"/>
      <c r="I5" s="18"/>
      <c r="J5" s="17"/>
      <c r="K5" s="15"/>
      <c r="L5" s="16"/>
      <c r="M5" s="15">
        <v>2000</v>
      </c>
      <c r="N5" s="14" t="s">
        <v>147</v>
      </c>
      <c r="O5" s="13" t="s">
        <v>416</v>
      </c>
      <c r="P5" s="12"/>
    </row>
    <row r="6" spans="1:17" s="11" customFormat="1" ht="33" customHeight="1" x14ac:dyDescent="0.15">
      <c r="A6" s="17">
        <v>20170120</v>
      </c>
      <c r="B6" s="19" t="s">
        <v>145</v>
      </c>
      <c r="C6" s="36" t="s">
        <v>63</v>
      </c>
      <c r="D6" s="17"/>
      <c r="E6" s="17" t="s">
        <v>141</v>
      </c>
      <c r="F6" s="63" t="s">
        <v>144</v>
      </c>
      <c r="G6" s="12" t="s">
        <v>54</v>
      </c>
      <c r="H6" s="18"/>
      <c r="I6" s="18"/>
      <c r="J6" s="17"/>
      <c r="K6" s="15"/>
      <c r="L6" s="16"/>
      <c r="M6" s="15">
        <v>3000</v>
      </c>
      <c r="N6" s="14" t="s">
        <v>428</v>
      </c>
      <c r="O6" s="13" t="s">
        <v>416</v>
      </c>
      <c r="P6" s="12"/>
      <c r="Q6" s="20"/>
    </row>
    <row r="7" spans="1:17" s="11" customFormat="1" ht="33" customHeight="1" x14ac:dyDescent="0.15">
      <c r="A7" s="17">
        <v>20170120</v>
      </c>
      <c r="B7" s="19" t="s">
        <v>142</v>
      </c>
      <c r="C7" s="36" t="s">
        <v>63</v>
      </c>
      <c r="D7" s="17"/>
      <c r="E7" s="17" t="s">
        <v>141</v>
      </c>
      <c r="F7" s="63" t="s">
        <v>140</v>
      </c>
      <c r="G7" s="17" t="s">
        <v>54</v>
      </c>
      <c r="H7" s="18"/>
      <c r="I7" s="18"/>
      <c r="J7" s="17"/>
      <c r="K7" s="15"/>
      <c r="L7" s="16"/>
      <c r="M7" s="15">
        <v>3000</v>
      </c>
      <c r="N7" s="14"/>
      <c r="O7" s="13"/>
      <c r="P7" s="12"/>
      <c r="Q7" s="20"/>
    </row>
    <row r="8" spans="1:17" s="11" customFormat="1" ht="33" customHeight="1" x14ac:dyDescent="0.15">
      <c r="A8" s="17">
        <v>20170120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33" customHeight="1" x14ac:dyDescent="0.15">
      <c r="A9" s="17">
        <v>20170120</v>
      </c>
      <c r="B9" s="19" t="s">
        <v>425</v>
      </c>
      <c r="C9" s="36" t="s">
        <v>290</v>
      </c>
      <c r="D9" s="17"/>
      <c r="E9" s="17" t="s">
        <v>280</v>
      </c>
      <c r="F9" s="17" t="s">
        <v>104</v>
      </c>
      <c r="G9" s="17" t="s">
        <v>54</v>
      </c>
      <c r="H9" s="17">
        <f>[16]副本!G18</f>
        <v>1322.4749999999999</v>
      </c>
      <c r="I9" s="18">
        <f>H9</f>
        <v>1322.4749999999999</v>
      </c>
      <c r="J9" s="17"/>
      <c r="K9" s="15">
        <v>70</v>
      </c>
      <c r="L9" s="16">
        <f>H9-I9</f>
        <v>0</v>
      </c>
      <c r="M9" s="15">
        <v>5000</v>
      </c>
      <c r="N9" s="14" t="s">
        <v>424</v>
      </c>
      <c r="O9" s="13" t="s">
        <v>423</v>
      </c>
      <c r="P9" s="12" t="s">
        <v>101</v>
      </c>
    </row>
    <row r="10" spans="1:17" s="11" customFormat="1" ht="33" customHeight="1" x14ac:dyDescent="0.15">
      <c r="A10" s="17">
        <v>20170120</v>
      </c>
      <c r="B10" s="19" t="s">
        <v>135</v>
      </c>
      <c r="C10" s="17" t="s">
        <v>63</v>
      </c>
      <c r="D10" s="17"/>
      <c r="E10" s="17" t="s">
        <v>404</v>
      </c>
      <c r="F10" s="17" t="s">
        <v>232</v>
      </c>
      <c r="G10" s="17" t="s">
        <v>54</v>
      </c>
      <c r="H10" s="18">
        <f>[16]副本!G20</f>
        <v>1.5219999999999345</v>
      </c>
      <c r="I10" s="18">
        <f>H10</f>
        <v>1.5219999999999345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422</v>
      </c>
    </row>
    <row r="11" spans="1:17" s="11" customFormat="1" ht="33" customHeight="1" x14ac:dyDescent="0.15">
      <c r="A11" s="17">
        <v>20170120</v>
      </c>
      <c r="B11" s="19" t="s">
        <v>135</v>
      </c>
      <c r="C11" s="17" t="s">
        <v>63</v>
      </c>
      <c r="D11" s="17"/>
      <c r="E11" s="17" t="s">
        <v>404</v>
      </c>
      <c r="F11" s="17" t="s">
        <v>261</v>
      </c>
      <c r="G11" s="17" t="s">
        <v>54</v>
      </c>
      <c r="H11" s="18">
        <f>[16]副本!G21</f>
        <v>3.999999999996362E-2</v>
      </c>
      <c r="I11" s="18">
        <f>H11</f>
        <v>3.999999999996362E-2</v>
      </c>
      <c r="J11" s="17"/>
      <c r="K11" s="15"/>
      <c r="L11" s="16">
        <f>H11-I11</f>
        <v>0</v>
      </c>
      <c r="M11" s="15">
        <v>1500</v>
      </c>
      <c r="N11" s="14"/>
      <c r="O11" s="13"/>
      <c r="P11" s="12" t="s">
        <v>421</v>
      </c>
    </row>
    <row r="12" spans="1:17" s="11" customFormat="1" ht="33" customHeight="1" x14ac:dyDescent="0.15">
      <c r="A12" s="17">
        <v>20170120</v>
      </c>
      <c r="B12" s="19" t="s">
        <v>135</v>
      </c>
      <c r="C12" s="17" t="s">
        <v>63</v>
      </c>
      <c r="D12" s="17"/>
      <c r="E12" s="17" t="s">
        <v>404</v>
      </c>
      <c r="F12" s="17" t="s">
        <v>91</v>
      </c>
      <c r="G12" s="17" t="s">
        <v>54</v>
      </c>
      <c r="H12" s="18">
        <f>[16]副本!G22</f>
        <v>1000</v>
      </c>
      <c r="I12" s="18">
        <f>H12</f>
        <v>1000</v>
      </c>
      <c r="J12" s="17"/>
      <c r="K12" s="15"/>
      <c r="L12" s="16">
        <f>H12-I12</f>
        <v>0</v>
      </c>
      <c r="M12" s="15">
        <v>1500</v>
      </c>
      <c r="N12" s="14"/>
      <c r="O12" s="13"/>
      <c r="P12" s="12" t="s">
        <v>421</v>
      </c>
    </row>
    <row r="13" spans="1:17" s="11" customFormat="1" ht="33" customHeight="1" x14ac:dyDescent="0.15">
      <c r="A13" s="17">
        <v>20170120</v>
      </c>
      <c r="B13" s="19" t="s">
        <v>134</v>
      </c>
      <c r="C13" s="17" t="s">
        <v>63</v>
      </c>
      <c r="D13" s="17"/>
      <c r="E13" s="17" t="s">
        <v>413</v>
      </c>
      <c r="F13" s="17" t="s">
        <v>256</v>
      </c>
      <c r="G13" s="17" t="s">
        <v>54</v>
      </c>
      <c r="H13" s="18">
        <f>[16]副本!G24</f>
        <v>1502.1479999999999</v>
      </c>
      <c r="I13" s="18">
        <f>H13</f>
        <v>1502.1479999999999</v>
      </c>
      <c r="J13" s="17"/>
      <c r="K13" s="15"/>
      <c r="L13" s="16">
        <f>H13-I13</f>
        <v>0</v>
      </c>
      <c r="M13" s="15">
        <v>1500</v>
      </c>
      <c r="N13" s="14"/>
      <c r="O13" s="13"/>
      <c r="P13" s="12"/>
    </row>
    <row r="14" spans="1:17" s="11" customFormat="1" ht="33" customHeight="1" x14ac:dyDescent="0.15">
      <c r="A14" s="17">
        <v>20170120</v>
      </c>
      <c r="B14" s="19" t="s">
        <v>133</v>
      </c>
      <c r="C14" s="36" t="s">
        <v>28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  <c r="Q14" s="20"/>
    </row>
    <row r="15" spans="1:17" s="11" customFormat="1" ht="33" customHeight="1" x14ac:dyDescent="0.15">
      <c r="A15" s="17">
        <v>20170120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33" customHeight="1" x14ac:dyDescent="0.15">
      <c r="A16" s="17">
        <v>20170120</v>
      </c>
      <c r="B16" s="19" t="s">
        <v>420</v>
      </c>
      <c r="C16" s="36" t="s">
        <v>63</v>
      </c>
      <c r="D16" s="17"/>
      <c r="E16" s="17" t="s">
        <v>404</v>
      </c>
      <c r="F16" s="17" t="s">
        <v>232</v>
      </c>
      <c r="G16" s="17" t="s">
        <v>54</v>
      </c>
      <c r="H16" s="18">
        <f>[16]副本!G30</f>
        <v>1051.9169999999999</v>
      </c>
      <c r="I16" s="18">
        <f>H16</f>
        <v>1051.9169999999999</v>
      </c>
      <c r="J16" s="17"/>
      <c r="K16" s="15">
        <v>50</v>
      </c>
      <c r="L16" s="16"/>
      <c r="M16" s="15">
        <v>1500</v>
      </c>
      <c r="N16" s="14"/>
      <c r="O16" s="13"/>
      <c r="P16" s="12" t="s">
        <v>419</v>
      </c>
    </row>
    <row r="17" spans="1:17" s="11" customFormat="1" ht="33" customHeight="1" x14ac:dyDescent="0.15">
      <c r="A17" s="17">
        <v>20170120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275</v>
      </c>
      <c r="H17" s="18">
        <f>[16]副本!G32-H18</f>
        <v>5647.2470000000176</v>
      </c>
      <c r="I17" s="18">
        <f>H17</f>
        <v>5647.2470000000176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416</v>
      </c>
      <c r="P17" s="12" t="s">
        <v>418</v>
      </c>
    </row>
    <row r="18" spans="1:17" s="11" customFormat="1" ht="33" customHeight="1" x14ac:dyDescent="0.15">
      <c r="A18" s="17">
        <v>20170120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 t="s">
        <v>275</v>
      </c>
      <c r="H18" s="18">
        <f>[16]副本!G34</f>
        <v>4387.7529999999824</v>
      </c>
      <c r="I18" s="18">
        <f>H18</f>
        <v>4387.7529999999824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417</v>
      </c>
    </row>
    <row r="19" spans="1:17" s="11" customFormat="1" ht="33" customHeight="1" x14ac:dyDescent="0.15">
      <c r="A19" s="17">
        <v>20170120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33" customHeight="1" x14ac:dyDescent="0.15">
      <c r="A20" s="17">
        <v>20170120</v>
      </c>
      <c r="B20" s="19" t="s">
        <v>126</v>
      </c>
      <c r="C20" s="36" t="s">
        <v>63</v>
      </c>
      <c r="D20" s="17"/>
      <c r="E20" s="17" t="s">
        <v>398</v>
      </c>
      <c r="F20" s="17" t="s">
        <v>81</v>
      </c>
      <c r="G20" s="17" t="s">
        <v>54</v>
      </c>
      <c r="H20" s="18">
        <f>[16]副本!G38</f>
        <v>893.76199999999994</v>
      </c>
      <c r="I20" s="18">
        <f>H20</f>
        <v>893.76199999999994</v>
      </c>
      <c r="J20" s="17"/>
      <c r="K20" s="15"/>
      <c r="L20" s="16">
        <v>0</v>
      </c>
      <c r="M20" s="15">
        <v>3000</v>
      </c>
      <c r="N20" s="14"/>
      <c r="O20" s="13"/>
      <c r="P20" s="12" t="s">
        <v>465</v>
      </c>
    </row>
    <row r="21" spans="1:17" s="11" customFormat="1" ht="33" customHeight="1" x14ac:dyDescent="0.15">
      <c r="A21" s="17">
        <v>20170120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275</v>
      </c>
      <c r="H21" s="18">
        <f>[16]副本!G40-'20170120'!H22</f>
        <v>10931.537428000036</v>
      </c>
      <c r="I21" s="18">
        <f>H21</f>
        <v>10931.537428000036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416</v>
      </c>
      <c r="P21" s="12" t="s">
        <v>415</v>
      </c>
    </row>
    <row r="22" spans="1:17" s="11" customFormat="1" ht="33" customHeight="1" x14ac:dyDescent="0.15">
      <c r="A22" s="17">
        <v>20170120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 t="s">
        <v>275</v>
      </c>
      <c r="H22" s="18">
        <f>[16]副本!G42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414</v>
      </c>
    </row>
    <row r="23" spans="1:17" s="11" customFormat="1" ht="33" customHeight="1" x14ac:dyDescent="0.15">
      <c r="A23" s="17">
        <v>20170120</v>
      </c>
      <c r="B23" s="19" t="s">
        <v>117</v>
      </c>
      <c r="C23" s="36" t="s">
        <v>63</v>
      </c>
      <c r="D23" s="17"/>
      <c r="E23" s="17" t="s">
        <v>413</v>
      </c>
      <c r="F23" s="17" t="s">
        <v>115</v>
      </c>
      <c r="G23" s="17" t="s">
        <v>275</v>
      </c>
      <c r="H23" s="18">
        <f>[16]副本!G44</f>
        <v>6134.7419999999993</v>
      </c>
      <c r="I23" s="18">
        <f>H23</f>
        <v>6134.7419999999993</v>
      </c>
      <c r="J23" s="17"/>
      <c r="K23" s="15">
        <v>200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33" customHeight="1" x14ac:dyDescent="0.15">
      <c r="A24" s="17">
        <v>20170120</v>
      </c>
      <c r="B24" s="19" t="s">
        <v>113</v>
      </c>
      <c r="C24" s="36" t="s">
        <v>0</v>
      </c>
      <c r="D24" s="17"/>
      <c r="E24" s="12" t="s">
        <v>412</v>
      </c>
      <c r="F24" s="17" t="s">
        <v>39</v>
      </c>
      <c r="G24" s="17" t="s">
        <v>275</v>
      </c>
      <c r="H24" s="18">
        <f>[16]副本!G46</f>
        <v>1055.1130000000001</v>
      </c>
      <c r="I24" s="18">
        <f>H24</f>
        <v>1055.1130000000001</v>
      </c>
      <c r="J24" s="17"/>
      <c r="K24" s="15"/>
      <c r="L24" s="16">
        <f>H24-I24</f>
        <v>0</v>
      </c>
      <c r="M24" s="15">
        <v>5000</v>
      </c>
      <c r="N24" s="14"/>
      <c r="O24" s="13"/>
      <c r="P24" s="37" t="s">
        <v>463</v>
      </c>
    </row>
    <row r="25" spans="1:17" s="11" customFormat="1" ht="33" customHeight="1" x14ac:dyDescent="0.15">
      <c r="A25" s="17">
        <v>20170120</v>
      </c>
      <c r="B25" s="19" t="s">
        <v>410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33" customHeight="1" x14ac:dyDescent="0.15">
      <c r="A26" s="17">
        <v>20170120</v>
      </c>
      <c r="B26" s="19" t="s">
        <v>109</v>
      </c>
      <c r="C26" s="36" t="s">
        <v>63</v>
      </c>
      <c r="D26" s="17"/>
      <c r="E26" s="17"/>
      <c r="F26" s="17"/>
      <c r="G26" s="17"/>
      <c r="H26" s="18"/>
      <c r="I26" s="18"/>
      <c r="J26" s="17"/>
      <c r="K26" s="15"/>
      <c r="L26" s="16"/>
      <c r="M26" s="15">
        <v>4000</v>
      </c>
      <c r="N26" s="14"/>
      <c r="O26" s="13"/>
      <c r="P26" s="12"/>
    </row>
    <row r="27" spans="1:17" s="11" customFormat="1" ht="33" customHeight="1" x14ac:dyDescent="0.15">
      <c r="A27" s="17">
        <v>20170120</v>
      </c>
      <c r="B27" s="19" t="s">
        <v>106</v>
      </c>
      <c r="C27" s="36" t="s">
        <v>409</v>
      </c>
      <c r="D27" s="17"/>
      <c r="E27" s="17"/>
      <c r="F27" s="17"/>
      <c r="G27" s="17"/>
      <c r="H27" s="18"/>
      <c r="I27" s="18"/>
      <c r="J27" s="17"/>
      <c r="K27" s="15"/>
      <c r="L27" s="16"/>
      <c r="M27" s="15">
        <v>5000</v>
      </c>
      <c r="N27" s="14"/>
      <c r="O27" s="13"/>
      <c r="P27" s="12"/>
    </row>
    <row r="28" spans="1:17" s="11" customFormat="1" ht="33" customHeight="1" x14ac:dyDescent="0.15">
      <c r="A28" s="17">
        <v>20170120</v>
      </c>
      <c r="B28" s="19" t="s">
        <v>100</v>
      </c>
      <c r="C28" s="36" t="s">
        <v>96</v>
      </c>
      <c r="D28" s="17"/>
      <c r="E28" s="17" t="s">
        <v>394</v>
      </c>
      <c r="F28" s="17" t="s">
        <v>39</v>
      </c>
      <c r="G28" s="17" t="s">
        <v>275</v>
      </c>
      <c r="H28" s="18">
        <f>[16]副本!G55</f>
        <v>1496.749</v>
      </c>
      <c r="I28" s="18">
        <f>H28</f>
        <v>1496.749</v>
      </c>
      <c r="J28" s="17"/>
      <c r="K28" s="15">
        <v>1200</v>
      </c>
      <c r="L28" s="16">
        <f>H28-I28</f>
        <v>0</v>
      </c>
      <c r="M28" s="15">
        <v>2000</v>
      </c>
      <c r="N28" s="14"/>
      <c r="O28" s="13"/>
      <c r="P28" s="12" t="s">
        <v>458</v>
      </c>
    </row>
    <row r="29" spans="1:17" s="11" customFormat="1" ht="33" customHeight="1" x14ac:dyDescent="0.15">
      <c r="A29" s="17">
        <v>20170120</v>
      </c>
      <c r="B29" s="19" t="s">
        <v>406</v>
      </c>
      <c r="C29" s="36" t="s">
        <v>96</v>
      </c>
      <c r="D29" s="17"/>
      <c r="E29" s="17"/>
      <c r="F29" s="17"/>
      <c r="G29" s="17"/>
      <c r="H29" s="18"/>
      <c r="I29" s="18"/>
      <c r="J29" s="17"/>
      <c r="K29" s="15"/>
      <c r="L29" s="16"/>
      <c r="M29" s="15">
        <v>1500</v>
      </c>
      <c r="N29" s="14"/>
      <c r="O29" s="13"/>
      <c r="P29" s="12"/>
    </row>
    <row r="30" spans="1:17" s="11" customFormat="1" ht="33" customHeight="1" x14ac:dyDescent="0.15">
      <c r="A30" s="17">
        <v>20170120</v>
      </c>
      <c r="B30" s="19" t="s">
        <v>98</v>
      </c>
      <c r="C30" s="36" t="s">
        <v>96</v>
      </c>
      <c r="D30" s="17"/>
      <c r="E30" s="17" t="s">
        <v>394</v>
      </c>
      <c r="F30" s="17" t="s">
        <v>39</v>
      </c>
      <c r="G30" s="17" t="s">
        <v>275</v>
      </c>
      <c r="H30" s="18">
        <f>[16]副本!G59</f>
        <v>1099.527</v>
      </c>
      <c r="I30" s="18">
        <f>H30</f>
        <v>1099.527</v>
      </c>
      <c r="J30" s="17"/>
      <c r="K30" s="15"/>
      <c r="L30" s="16">
        <f>H30-I30</f>
        <v>0</v>
      </c>
      <c r="M30" s="15">
        <v>1500</v>
      </c>
      <c r="N30" s="14"/>
      <c r="O30" s="13"/>
      <c r="P30" s="12" t="s">
        <v>458</v>
      </c>
      <c r="Q30" s="20"/>
    </row>
    <row r="31" spans="1:17" s="11" customFormat="1" ht="33" customHeight="1" x14ac:dyDescent="0.15">
      <c r="A31" s="17">
        <v>20170120</v>
      </c>
      <c r="B31" s="19" t="s">
        <v>97</v>
      </c>
      <c r="C31" s="36" t="s">
        <v>96</v>
      </c>
      <c r="D31" s="17"/>
      <c r="E31" s="17" t="s">
        <v>394</v>
      </c>
      <c r="F31" s="17"/>
      <c r="G31" s="17"/>
      <c r="H31" s="18"/>
      <c r="I31" s="18"/>
      <c r="J31" s="17"/>
      <c r="K31" s="15"/>
      <c r="L31" s="16"/>
      <c r="M31" s="15">
        <v>1500</v>
      </c>
      <c r="N31" s="14"/>
      <c r="O31" s="13"/>
      <c r="P31" s="12"/>
    </row>
    <row r="32" spans="1:17" s="11" customFormat="1" ht="33" customHeight="1" x14ac:dyDescent="0.15">
      <c r="A32" s="17">
        <v>20170120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33" customHeight="1" x14ac:dyDescent="0.15">
      <c r="A33" s="17">
        <v>20170120</v>
      </c>
      <c r="B33" s="19" t="s">
        <v>405</v>
      </c>
      <c r="C33" s="36" t="s">
        <v>387</v>
      </c>
      <c r="D33" s="17"/>
      <c r="E33" s="17" t="s">
        <v>404</v>
      </c>
      <c r="F33" s="17" t="s">
        <v>91</v>
      </c>
      <c r="G33" s="17" t="s">
        <v>275</v>
      </c>
      <c r="H33" s="17">
        <f>[16]副本!G65</f>
        <v>408.81600000000014</v>
      </c>
      <c r="I33" s="18">
        <f>H33-1035.099+1035.099</f>
        <v>408.81600000000014</v>
      </c>
      <c r="J33" s="17"/>
      <c r="K33" s="15">
        <v>30</v>
      </c>
      <c r="L33" s="16">
        <f>H33-I33</f>
        <v>0</v>
      </c>
      <c r="M33" s="15">
        <v>2000</v>
      </c>
      <c r="N33" s="14"/>
      <c r="O33" s="13"/>
      <c r="P33" s="12" t="s">
        <v>403</v>
      </c>
    </row>
    <row r="34" spans="1:16" s="11" customFormat="1" ht="33" customHeight="1" x14ac:dyDescent="0.15">
      <c r="A34" s="17">
        <v>20170120</v>
      </c>
      <c r="B34" s="19" t="s">
        <v>89</v>
      </c>
      <c r="C34" s="36" t="s">
        <v>63</v>
      </c>
      <c r="D34" s="17" t="s">
        <v>88</v>
      </c>
      <c r="E34" s="17" t="s">
        <v>401</v>
      </c>
      <c r="F34" s="17" t="s">
        <v>216</v>
      </c>
      <c r="G34" s="17" t="s">
        <v>54</v>
      </c>
      <c r="H34" s="18">
        <f>[16]副本!G67</f>
        <v>696.58299999999986</v>
      </c>
      <c r="I34" s="18">
        <f>H34-1037.023+500+537.023</f>
        <v>696.58299999999997</v>
      </c>
      <c r="J34" s="17"/>
      <c r="K34" s="15">
        <v>70</v>
      </c>
      <c r="L34" s="16">
        <f>H34-I34</f>
        <v>0</v>
      </c>
      <c r="M34" s="15">
        <v>3000</v>
      </c>
      <c r="N34" s="14"/>
      <c r="O34" s="13"/>
      <c r="P34" s="24" t="s">
        <v>467</v>
      </c>
    </row>
    <row r="35" spans="1:16" s="11" customFormat="1" ht="33" customHeight="1" x14ac:dyDescent="0.15">
      <c r="A35" s="17">
        <v>20170120</v>
      </c>
      <c r="B35" s="19" t="s">
        <v>85</v>
      </c>
      <c r="C35" s="36" t="s">
        <v>63</v>
      </c>
      <c r="D35" s="17" t="s">
        <v>277</v>
      </c>
      <c r="E35" s="17" t="s">
        <v>84</v>
      </c>
      <c r="F35" s="17" t="s">
        <v>81</v>
      </c>
      <c r="G35" s="17" t="s">
        <v>54</v>
      </c>
      <c r="H35" s="18">
        <f>[16]副本!G69</f>
        <v>3607.5459999999994</v>
      </c>
      <c r="I35" s="18">
        <f>H35-3607.546+2050+1050+507.546</f>
        <v>3607.5459999999994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461</v>
      </c>
    </row>
    <row r="36" spans="1:16" s="11" customFormat="1" ht="33" customHeight="1" x14ac:dyDescent="0.15">
      <c r="A36" s="17">
        <v>20170120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33" customHeight="1" x14ac:dyDescent="0.15">
      <c r="A37" s="17">
        <v>20170120</v>
      </c>
      <c r="B37" s="19" t="s">
        <v>400</v>
      </c>
      <c r="C37" s="36" t="s">
        <v>387</v>
      </c>
      <c r="D37" s="17" t="s">
        <v>277</v>
      </c>
      <c r="E37" s="17" t="s">
        <v>398</v>
      </c>
      <c r="F37" s="17" t="s">
        <v>81</v>
      </c>
      <c r="G37" s="17" t="s">
        <v>275</v>
      </c>
      <c r="H37" s="18">
        <f>[16]副本!G73</f>
        <v>1041.7500000000523</v>
      </c>
      <c r="I37" s="18">
        <f>H37-955.747+477.874+477.873-1042.865-2628.137+500+542.865+2102.57+525.567-499.112-3147.566+2100+525+525+496.678-2617.899+1574.891+523.692-522.622</f>
        <v>-0.18799999994701011</v>
      </c>
      <c r="J37" s="17"/>
      <c r="K37" s="15"/>
      <c r="L37" s="16">
        <f>H37-I37</f>
        <v>1041.9379999999992</v>
      </c>
      <c r="M37" s="15">
        <v>5000</v>
      </c>
      <c r="N37" s="14"/>
      <c r="O37" s="13"/>
      <c r="P37" s="12"/>
    </row>
    <row r="38" spans="1:16" s="11" customFormat="1" ht="33" customHeight="1" x14ac:dyDescent="0.15">
      <c r="A38" s="17">
        <v>20170120</v>
      </c>
      <c r="B38" s="19" t="s">
        <v>400</v>
      </c>
      <c r="C38" s="36" t="s">
        <v>387</v>
      </c>
      <c r="D38" s="17" t="s">
        <v>277</v>
      </c>
      <c r="E38" s="17" t="s">
        <v>398</v>
      </c>
      <c r="F38" s="17" t="s">
        <v>77</v>
      </c>
      <c r="G38" s="17" t="s">
        <v>275</v>
      </c>
      <c r="H38" s="18">
        <f>[16]副本!G74</f>
        <v>411.70600000000047</v>
      </c>
      <c r="I38" s="18">
        <f>H38</f>
        <v>411.70600000000047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459</v>
      </c>
    </row>
    <row r="39" spans="1:16" s="11" customFormat="1" ht="33" customHeight="1" x14ac:dyDescent="0.15">
      <c r="A39" s="17">
        <v>20170120</v>
      </c>
      <c r="B39" s="19" t="s">
        <v>74</v>
      </c>
      <c r="C39" s="36" t="s">
        <v>28</v>
      </c>
      <c r="D39" s="17"/>
      <c r="E39" s="17" t="s">
        <v>394</v>
      </c>
      <c r="F39" s="17" t="s">
        <v>39</v>
      </c>
      <c r="G39" s="17" t="s">
        <v>275</v>
      </c>
      <c r="H39" s="18">
        <f>[16]副本!G76</f>
        <v>35.023999999997613</v>
      </c>
      <c r="I39" s="18">
        <f>H39</f>
        <v>35.023999999997613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397</v>
      </c>
    </row>
    <row r="40" spans="1:16" s="11" customFormat="1" ht="33" customHeight="1" x14ac:dyDescent="0.15">
      <c r="A40" s="17">
        <v>20170120</v>
      </c>
      <c r="B40" s="19" t="s">
        <v>74</v>
      </c>
      <c r="C40" s="36" t="s">
        <v>28</v>
      </c>
      <c r="D40" s="17"/>
      <c r="E40" s="17" t="s">
        <v>394</v>
      </c>
      <c r="F40" s="17" t="s">
        <v>71</v>
      </c>
      <c r="G40" s="17" t="s">
        <v>275</v>
      </c>
      <c r="H40" s="18">
        <f>[16]副本!G77</f>
        <v>-0.23699999999985266</v>
      </c>
      <c r="I40" s="18">
        <f>H40</f>
        <v>-0.23699999999985266</v>
      </c>
      <c r="J40" s="17"/>
      <c r="K40" s="15"/>
      <c r="L40" s="16"/>
      <c r="M40" s="15">
        <v>4000</v>
      </c>
      <c r="N40" s="14"/>
      <c r="O40" s="13"/>
      <c r="P40" s="12" t="s">
        <v>396</v>
      </c>
    </row>
    <row r="41" spans="1:16" s="11" customFormat="1" ht="33" customHeight="1" x14ac:dyDescent="0.15">
      <c r="A41" s="17">
        <v>20170120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33" customHeight="1" x14ac:dyDescent="0.15">
      <c r="A42" s="17">
        <v>20170120</v>
      </c>
      <c r="B42" s="19" t="s">
        <v>72</v>
      </c>
      <c r="C42" s="36" t="s">
        <v>294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33" customHeight="1" x14ac:dyDescent="0.15">
      <c r="A43" s="17">
        <v>20170120</v>
      </c>
      <c r="B43" s="19" t="s">
        <v>395</v>
      </c>
      <c r="C43" s="36" t="s">
        <v>294</v>
      </c>
      <c r="D43" s="17"/>
      <c r="E43" s="17" t="s">
        <v>394</v>
      </c>
      <c r="F43" s="17" t="s">
        <v>39</v>
      </c>
      <c r="G43" s="17" t="s">
        <v>275</v>
      </c>
      <c r="H43" s="18">
        <f>[16]副本!G84</f>
        <v>1146.0509999999995</v>
      </c>
      <c r="I43" s="18">
        <f>H43</f>
        <v>1146.0509999999995</v>
      </c>
      <c r="J43" s="17"/>
      <c r="K43" s="15"/>
      <c r="L43" s="16">
        <f>H43-I43</f>
        <v>0</v>
      </c>
      <c r="M43" s="15">
        <v>5000</v>
      </c>
      <c r="N43" s="21"/>
      <c r="O43" s="13"/>
      <c r="P43" s="12" t="s">
        <v>393</v>
      </c>
    </row>
    <row r="44" spans="1:16" s="11" customFormat="1" ht="33" customHeight="1" x14ac:dyDescent="0.15">
      <c r="A44" s="17">
        <v>20170120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33" customHeight="1" x14ac:dyDescent="0.15">
      <c r="A45" s="17">
        <v>20170120</v>
      </c>
      <c r="B45" s="19" t="s">
        <v>64</v>
      </c>
      <c r="C45" s="36" t="s">
        <v>63</v>
      </c>
      <c r="D45" s="17"/>
      <c r="E45" s="17" t="s">
        <v>392</v>
      </c>
      <c r="F45" s="17" t="s">
        <v>232</v>
      </c>
      <c r="G45" s="17" t="s">
        <v>275</v>
      </c>
      <c r="H45" s="18">
        <f>[16]副本!G90</f>
        <v>984.85799999999995</v>
      </c>
      <c r="I45" s="18">
        <f>H45</f>
        <v>984.85799999999995</v>
      </c>
      <c r="J45" s="17"/>
      <c r="K45" s="15"/>
      <c r="L45" s="16">
        <f>H45-I45</f>
        <v>0</v>
      </c>
      <c r="M45" s="15">
        <v>5000</v>
      </c>
      <c r="N45" s="14"/>
      <c r="O45" s="13"/>
      <c r="P45" s="12" t="s">
        <v>391</v>
      </c>
    </row>
    <row r="46" spans="1:16" s="11" customFormat="1" ht="33" customHeight="1" x14ac:dyDescent="0.15">
      <c r="A46" s="17">
        <v>20170120</v>
      </c>
      <c r="B46" s="19" t="s">
        <v>64</v>
      </c>
      <c r="C46" s="36" t="s">
        <v>63</v>
      </c>
      <c r="D46" s="17"/>
      <c r="E46" s="17" t="s">
        <v>392</v>
      </c>
      <c r="F46" s="17" t="s">
        <v>140</v>
      </c>
      <c r="G46" s="17"/>
      <c r="H46" s="18">
        <f>[16]副本!G91</f>
        <v>1000</v>
      </c>
      <c r="I46" s="18">
        <f>H46</f>
        <v>1000</v>
      </c>
      <c r="J46" s="17"/>
      <c r="K46" s="15"/>
      <c r="L46" s="16"/>
      <c r="M46" s="15">
        <v>5000</v>
      </c>
      <c r="N46" s="14"/>
      <c r="O46" s="13"/>
      <c r="P46" s="12" t="s">
        <v>391</v>
      </c>
    </row>
    <row r="47" spans="1:16" s="11" customFormat="1" ht="33" customHeight="1" x14ac:dyDescent="0.15">
      <c r="A47" s="17">
        <v>20170120</v>
      </c>
      <c r="B47" s="19" t="s">
        <v>62</v>
      </c>
      <c r="C47" s="36" t="s">
        <v>387</v>
      </c>
      <c r="D47" s="17"/>
      <c r="E47" s="17" t="s">
        <v>386</v>
      </c>
      <c r="F47" s="17" t="s">
        <v>61</v>
      </c>
      <c r="G47" s="17" t="s">
        <v>275</v>
      </c>
      <c r="H47" s="18">
        <f>[16]副本!G93</f>
        <v>629.40399999999408</v>
      </c>
      <c r="I47" s="18">
        <f>H47</f>
        <v>629.40399999999408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33" customHeight="1" x14ac:dyDescent="0.15">
      <c r="A48" s="17">
        <v>20170120</v>
      </c>
      <c r="B48" s="19" t="s">
        <v>390</v>
      </c>
      <c r="C48" s="36" t="s">
        <v>294</v>
      </c>
      <c r="D48" s="17" t="s">
        <v>277</v>
      </c>
      <c r="E48" s="17" t="s">
        <v>292</v>
      </c>
      <c r="F48" s="17" t="s">
        <v>48</v>
      </c>
      <c r="G48" s="17" t="s">
        <v>275</v>
      </c>
      <c r="H48" s="18">
        <f>[16]副本!G95</f>
        <v>2409.6100000000006</v>
      </c>
      <c r="I48" s="18">
        <v>0</v>
      </c>
      <c r="J48" s="17"/>
      <c r="K48" s="15"/>
      <c r="L48" s="16">
        <f>H48-I48</f>
        <v>2409.6100000000006</v>
      </c>
      <c r="M48" s="15">
        <v>10000</v>
      </c>
      <c r="N48" s="14"/>
      <c r="O48" s="13"/>
      <c r="P48" s="12"/>
    </row>
    <row r="49" spans="1:17" s="11" customFormat="1" ht="33" customHeight="1" x14ac:dyDescent="0.15">
      <c r="A49" s="17">
        <v>20170120</v>
      </c>
      <c r="B49" s="19" t="s">
        <v>389</v>
      </c>
      <c r="C49" s="36" t="s">
        <v>28</v>
      </c>
      <c r="D49" s="17" t="s">
        <v>277</v>
      </c>
      <c r="E49" s="17" t="s">
        <v>292</v>
      </c>
      <c r="F49" s="17" t="s">
        <v>48</v>
      </c>
      <c r="G49" s="17" t="s">
        <v>275</v>
      </c>
      <c r="H49" s="18">
        <f>[16]副本!G97</f>
        <v>2625.0060000000003</v>
      </c>
      <c r="I49" s="18"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33" customHeight="1" x14ac:dyDescent="0.15">
      <c r="A50" s="17">
        <v>20170120</v>
      </c>
      <c r="B50" s="19" t="s">
        <v>388</v>
      </c>
      <c r="C50" s="36" t="s">
        <v>387</v>
      </c>
      <c r="D50" s="17"/>
      <c r="E50" s="17" t="s">
        <v>386</v>
      </c>
      <c r="F50" s="17" t="s">
        <v>268</v>
      </c>
      <c r="G50" s="17" t="s">
        <v>54</v>
      </c>
      <c r="H50" s="18">
        <f>[16]副本!G99</f>
        <v>4318.3530000000083</v>
      </c>
      <c r="I50" s="18">
        <f>H50</f>
        <v>4318.3530000000083</v>
      </c>
      <c r="J50" s="17"/>
      <c r="K50" s="16"/>
      <c r="L50" s="16">
        <v>0</v>
      </c>
      <c r="M50" s="15">
        <v>5000</v>
      </c>
      <c r="N50" s="23" t="s">
        <v>385</v>
      </c>
      <c r="O50" s="22" t="s">
        <v>384</v>
      </c>
      <c r="P50" s="12" t="s">
        <v>474</v>
      </c>
    </row>
    <row r="51" spans="1:17" s="11" customFormat="1" ht="33" customHeight="1" x14ac:dyDescent="0.15">
      <c r="A51" s="17">
        <v>20170120</v>
      </c>
      <c r="B51" s="19" t="s">
        <v>50</v>
      </c>
      <c r="C51" s="36" t="s">
        <v>28</v>
      </c>
      <c r="D51" s="17"/>
      <c r="E51" s="17" t="s">
        <v>383</v>
      </c>
      <c r="F51" s="17" t="s">
        <v>249</v>
      </c>
      <c r="G51" s="17" t="s">
        <v>275</v>
      </c>
      <c r="H51" s="18">
        <f>[16]副本!G101</f>
        <v>17.558999999999969</v>
      </c>
      <c r="I51" s="18">
        <f>H51</f>
        <v>17.558999999999969</v>
      </c>
      <c r="J51" s="17"/>
      <c r="K51" s="15"/>
      <c r="L51" s="16">
        <f>H51-I51</f>
        <v>0</v>
      </c>
      <c r="M51" s="15">
        <v>3000</v>
      </c>
      <c r="N51" s="14"/>
      <c r="O51" s="13"/>
      <c r="P51" s="12" t="s">
        <v>382</v>
      </c>
    </row>
    <row r="52" spans="1:17" s="11" customFormat="1" ht="33" customHeight="1" x14ac:dyDescent="0.15">
      <c r="A52" s="17">
        <v>20170120</v>
      </c>
      <c r="B52" s="19" t="s">
        <v>381</v>
      </c>
      <c r="C52" s="36" t="s">
        <v>28</v>
      </c>
      <c r="D52" s="17" t="s">
        <v>277</v>
      </c>
      <c r="E52" s="17" t="s">
        <v>292</v>
      </c>
      <c r="F52" s="17" t="s">
        <v>48</v>
      </c>
      <c r="G52" s="17" t="s">
        <v>287</v>
      </c>
      <c r="H52" s="18">
        <f>[16]副本!G103</f>
        <v>17900.637999999999</v>
      </c>
      <c r="I52" s="18">
        <v>0</v>
      </c>
      <c r="J52" s="17"/>
      <c r="K52" s="15"/>
      <c r="L52" s="16">
        <f>H52-I52</f>
        <v>17900.637999999999</v>
      </c>
      <c r="M52" s="15">
        <v>25000</v>
      </c>
      <c r="N52" s="14" t="s">
        <v>380</v>
      </c>
      <c r="O52" s="13" t="s">
        <v>379</v>
      </c>
      <c r="P52" s="12" t="s">
        <v>378</v>
      </c>
    </row>
    <row r="53" spans="1:17" s="11" customFormat="1" ht="33" customHeight="1" x14ac:dyDescent="0.15">
      <c r="A53" s="17">
        <v>20170120</v>
      </c>
      <c r="B53" s="19" t="s">
        <v>377</v>
      </c>
      <c r="C53" s="36" t="s">
        <v>294</v>
      </c>
      <c r="D53" s="17" t="s">
        <v>277</v>
      </c>
      <c r="E53" s="17" t="s">
        <v>292</v>
      </c>
      <c r="F53" s="17" t="s">
        <v>234</v>
      </c>
      <c r="G53" s="17" t="s">
        <v>287</v>
      </c>
      <c r="H53" s="18">
        <f>[16]副本!G105</f>
        <v>12990.035000000082</v>
      </c>
      <c r="I53" s="18">
        <v>0</v>
      </c>
      <c r="J53" s="17"/>
      <c r="K53" s="15"/>
      <c r="L53" s="16">
        <f>H53-I53</f>
        <v>12990.035000000082</v>
      </c>
      <c r="M53" s="15">
        <v>50000</v>
      </c>
      <c r="N53" s="14"/>
      <c r="O53" s="13"/>
      <c r="P53" s="12"/>
    </row>
    <row r="54" spans="1:17" s="11" customFormat="1" ht="33" customHeight="1" x14ac:dyDescent="0.15">
      <c r="A54" s="17">
        <v>20170120</v>
      </c>
      <c r="B54" s="19" t="s">
        <v>41</v>
      </c>
      <c r="C54" s="36" t="s">
        <v>28</v>
      </c>
      <c r="D54" s="17"/>
      <c r="E54" s="17" t="s">
        <v>394</v>
      </c>
      <c r="F54" s="17" t="s">
        <v>39</v>
      </c>
      <c r="G54" s="17" t="s">
        <v>287</v>
      </c>
      <c r="H54" s="18">
        <f>[16]副本!G109</f>
        <v>2593.6109999999999</v>
      </c>
      <c r="I54" s="18">
        <f>H54</f>
        <v>2593.6109999999999</v>
      </c>
      <c r="J54" s="17"/>
      <c r="K54" s="15"/>
      <c r="L54" s="16">
        <f>H54-I54</f>
        <v>0</v>
      </c>
      <c r="M54" s="15">
        <v>4000</v>
      </c>
      <c r="N54" s="14"/>
      <c r="O54" s="13"/>
      <c r="P54" s="12" t="s">
        <v>458</v>
      </c>
    </row>
    <row r="55" spans="1:17" s="11" customFormat="1" ht="33" customHeight="1" x14ac:dyDescent="0.15">
      <c r="A55" s="17">
        <v>20170120</v>
      </c>
      <c r="B55" s="19" t="s">
        <v>293</v>
      </c>
      <c r="C55" s="36" t="s">
        <v>290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33" customHeight="1" x14ac:dyDescent="0.15">
      <c r="A56" s="17">
        <v>20170120</v>
      </c>
      <c r="B56" s="19" t="s">
        <v>36</v>
      </c>
      <c r="C56" s="36" t="s">
        <v>290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33" customHeight="1" x14ac:dyDescent="0.15">
      <c r="A57" s="17">
        <v>20170120</v>
      </c>
      <c r="B57" s="19" t="s">
        <v>35</v>
      </c>
      <c r="C57" s="36" t="s">
        <v>28</v>
      </c>
      <c r="D57" s="17" t="s">
        <v>277</v>
      </c>
      <c r="E57" s="17" t="s">
        <v>292</v>
      </c>
      <c r="F57" s="17" t="s">
        <v>469</v>
      </c>
      <c r="G57" s="17" t="s">
        <v>287</v>
      </c>
      <c r="H57" s="18">
        <f>[16]副本!G115</f>
        <v>1767.3689999999997</v>
      </c>
      <c r="I57" s="18">
        <v>0</v>
      </c>
      <c r="J57" s="17"/>
      <c r="K57" s="16"/>
      <c r="L57" s="16">
        <f>H57-I57</f>
        <v>1767.3689999999997</v>
      </c>
      <c r="M57" s="15">
        <v>10000</v>
      </c>
      <c r="N57" s="14"/>
      <c r="O57" s="13"/>
      <c r="P57" s="12"/>
      <c r="Q57" s="20"/>
    </row>
    <row r="58" spans="1:17" s="11" customFormat="1" ht="33" customHeight="1" x14ac:dyDescent="0.15">
      <c r="A58" s="17">
        <v>20170120</v>
      </c>
      <c r="B58" s="19" t="s">
        <v>291</v>
      </c>
      <c r="C58" s="36" t="s">
        <v>290</v>
      </c>
      <c r="D58" s="17" t="s">
        <v>277</v>
      </c>
      <c r="E58" s="17" t="s">
        <v>276</v>
      </c>
      <c r="F58" s="17" t="s">
        <v>436</v>
      </c>
      <c r="G58" s="17" t="s">
        <v>287</v>
      </c>
      <c r="H58" s="18">
        <f>[16]副本!G117</f>
        <v>4490.8999999999996</v>
      </c>
      <c r="I58" s="18">
        <v>500</v>
      </c>
      <c r="J58" s="17"/>
      <c r="K58" s="21"/>
      <c r="L58" s="16">
        <f>H58-I58</f>
        <v>3990.8999999999996</v>
      </c>
      <c r="M58" s="15">
        <v>15000</v>
      </c>
      <c r="N58" s="14"/>
      <c r="O58" s="13"/>
      <c r="P58" s="12" t="s">
        <v>473</v>
      </c>
      <c r="Q58" s="20"/>
    </row>
    <row r="59" spans="1:17" s="11" customFormat="1" ht="33" customHeight="1" x14ac:dyDescent="0.15">
      <c r="A59" s="17">
        <v>20170120</v>
      </c>
      <c r="B59" s="19" t="s">
        <v>291</v>
      </c>
      <c r="C59" s="36" t="s">
        <v>290</v>
      </c>
      <c r="D59" s="17" t="s">
        <v>277</v>
      </c>
      <c r="E59" s="17" t="s">
        <v>276</v>
      </c>
      <c r="F59" s="17" t="s">
        <v>437</v>
      </c>
      <c r="G59" s="17"/>
      <c r="H59" s="18">
        <f>[16]副本!G118</f>
        <v>3172.06</v>
      </c>
      <c r="I59" s="18">
        <f>H59</f>
        <v>3172.06</v>
      </c>
      <c r="J59" s="17"/>
      <c r="K59" s="21"/>
      <c r="L59" s="16">
        <f>H59-I59</f>
        <v>0</v>
      </c>
      <c r="M59" s="15"/>
      <c r="N59" s="14"/>
      <c r="O59" s="13"/>
      <c r="P59" s="12" t="s">
        <v>471</v>
      </c>
      <c r="Q59" s="20"/>
    </row>
    <row r="60" spans="1:17" s="11" customFormat="1" ht="33" customHeight="1" x14ac:dyDescent="0.15">
      <c r="A60" s="17">
        <v>20170120</v>
      </c>
      <c r="B60" s="19" t="s">
        <v>30</v>
      </c>
      <c r="C60" s="19" t="s">
        <v>28</v>
      </c>
      <c r="D60" s="17" t="s">
        <v>277</v>
      </c>
      <c r="E60" s="17" t="s">
        <v>276</v>
      </c>
      <c r="F60" s="17" t="s">
        <v>3</v>
      </c>
      <c r="G60" s="17" t="s">
        <v>287</v>
      </c>
      <c r="H60" s="18">
        <f>[16]副本!G120</f>
        <v>11941.910999999996</v>
      </c>
      <c r="I60" s="18">
        <f>H60</f>
        <v>11941.910999999996</v>
      </c>
      <c r="J60" s="17"/>
      <c r="K60" s="15">
        <v>450</v>
      </c>
      <c r="L60" s="16"/>
      <c r="M60" s="15">
        <v>43000</v>
      </c>
      <c r="N60" s="14"/>
      <c r="O60" s="13"/>
      <c r="P60" s="12" t="s">
        <v>289</v>
      </c>
      <c r="Q60" s="20"/>
    </row>
    <row r="61" spans="1:17" s="11" customFormat="1" ht="33" customHeight="1" x14ac:dyDescent="0.15">
      <c r="A61" s="17">
        <v>20170120</v>
      </c>
      <c r="B61" s="19" t="s">
        <v>30</v>
      </c>
      <c r="C61" s="19" t="s">
        <v>28</v>
      </c>
      <c r="D61" s="17" t="s">
        <v>277</v>
      </c>
      <c r="E61" s="17" t="s">
        <v>276</v>
      </c>
      <c r="F61" s="17" t="s">
        <v>251</v>
      </c>
      <c r="G61" s="17" t="s">
        <v>287</v>
      </c>
      <c r="H61" s="18">
        <f>[16]副本!G121</f>
        <v>129.67999999999938</v>
      </c>
      <c r="I61" s="18">
        <f>H61</f>
        <v>129.67999999999938</v>
      </c>
      <c r="J61" s="17"/>
      <c r="K61" s="17"/>
      <c r="L61" s="16"/>
      <c r="M61" s="15">
        <v>43000</v>
      </c>
      <c r="N61" s="14"/>
      <c r="O61" s="13"/>
      <c r="P61" s="12" t="s">
        <v>289</v>
      </c>
      <c r="Q61" s="20"/>
    </row>
    <row r="62" spans="1:17" s="11" customFormat="1" ht="33" customHeight="1" x14ac:dyDescent="0.15">
      <c r="A62" s="17">
        <v>20170120</v>
      </c>
      <c r="B62" s="19" t="s">
        <v>288</v>
      </c>
      <c r="C62" s="19" t="s">
        <v>28</v>
      </c>
      <c r="D62" s="17" t="s">
        <v>277</v>
      </c>
      <c r="E62" s="17"/>
      <c r="F62" s="17"/>
      <c r="G62" s="17"/>
      <c r="H62" s="18"/>
      <c r="I62" s="18"/>
      <c r="J62" s="17"/>
      <c r="K62" s="15"/>
      <c r="L62" s="16"/>
      <c r="M62" s="15"/>
      <c r="N62" s="14"/>
      <c r="O62" s="13"/>
      <c r="P62" s="12"/>
      <c r="Q62" s="20"/>
    </row>
    <row r="63" spans="1:17" s="11" customFormat="1" ht="33" customHeight="1" x14ac:dyDescent="0.15">
      <c r="A63" s="17">
        <v>20170120</v>
      </c>
      <c r="B63" s="19" t="s">
        <v>24</v>
      </c>
      <c r="C63" s="36" t="s">
        <v>0</v>
      </c>
      <c r="D63" s="17"/>
      <c r="E63" s="17" t="s">
        <v>276</v>
      </c>
      <c r="F63" s="17" t="s">
        <v>23</v>
      </c>
      <c r="G63" s="17" t="s">
        <v>287</v>
      </c>
      <c r="H63" s="18">
        <f>[16]副本!G125</f>
        <v>13.946999999996024</v>
      </c>
      <c r="I63" s="18">
        <f>H63-15652.787+4092.929+8666.148+2893.71</f>
        <v>13.946999999995569</v>
      </c>
      <c r="J63" s="17"/>
      <c r="K63" s="15"/>
      <c r="L63" s="16">
        <f>H63-I63</f>
        <v>4.5474735088646412E-13</v>
      </c>
      <c r="M63" s="15">
        <v>20000</v>
      </c>
      <c r="N63" s="14"/>
      <c r="O63" s="13"/>
      <c r="P63" s="12" t="s">
        <v>455</v>
      </c>
    </row>
    <row r="64" spans="1:17" s="11" customFormat="1" ht="33" customHeight="1" x14ac:dyDescent="0.15">
      <c r="A64" s="17">
        <v>20170120</v>
      </c>
      <c r="B64" s="19" t="s">
        <v>454</v>
      </c>
      <c r="C64" s="36" t="s">
        <v>0</v>
      </c>
      <c r="D64" s="17"/>
      <c r="E64" s="17" t="s">
        <v>12</v>
      </c>
      <c r="F64" s="17" t="s">
        <v>594</v>
      </c>
      <c r="G64" s="17" t="s">
        <v>275</v>
      </c>
      <c r="H64" s="18">
        <f>[16]副本!G127</f>
        <v>3643.1330000000016</v>
      </c>
      <c r="I64" s="18">
        <f>H64-4751.949+4751.949</f>
        <v>3643.1330000000016</v>
      </c>
      <c r="J64" s="17"/>
      <c r="K64" s="15"/>
      <c r="L64" s="16">
        <f>H64-I64</f>
        <v>0</v>
      </c>
      <c r="M64" s="15">
        <v>30000</v>
      </c>
      <c r="N64" s="14"/>
      <c r="O64" s="13"/>
      <c r="P64" s="12" t="s">
        <v>453</v>
      </c>
    </row>
    <row r="65" spans="1:16" s="11" customFormat="1" ht="33" customHeight="1" x14ac:dyDescent="0.15">
      <c r="A65" s="17">
        <v>20170120</v>
      </c>
      <c r="B65" s="19" t="s">
        <v>454</v>
      </c>
      <c r="C65" s="36" t="s">
        <v>0</v>
      </c>
      <c r="D65" s="17"/>
      <c r="E65" s="17" t="s">
        <v>12</v>
      </c>
      <c r="F65" s="17" t="s">
        <v>595</v>
      </c>
      <c r="G65" s="17" t="s">
        <v>275</v>
      </c>
      <c r="H65" s="18">
        <f>[16]副本!G128</f>
        <v>5000.9920000000002</v>
      </c>
      <c r="I65" s="18">
        <f>H65</f>
        <v>5000.9920000000002</v>
      </c>
      <c r="J65" s="17"/>
      <c r="K65" s="15"/>
      <c r="L65" s="16">
        <f>H65-I65</f>
        <v>0</v>
      </c>
      <c r="M65" s="15">
        <v>30000</v>
      </c>
      <c r="N65" s="14"/>
      <c r="O65" s="13"/>
      <c r="P65" s="12" t="s">
        <v>451</v>
      </c>
    </row>
    <row r="66" spans="1:16" s="11" customFormat="1" ht="33" customHeight="1" x14ac:dyDescent="0.15">
      <c r="A66" s="17">
        <v>20170120</v>
      </c>
      <c r="B66" s="19" t="s">
        <v>284</v>
      </c>
      <c r="C66" s="36" t="s">
        <v>0</v>
      </c>
      <c r="D66" s="17" t="s">
        <v>277</v>
      </c>
      <c r="E66" s="17" t="s">
        <v>276</v>
      </c>
      <c r="F66" s="17" t="s">
        <v>17</v>
      </c>
      <c r="G66" s="17" t="s">
        <v>275</v>
      </c>
      <c r="H66" s="18">
        <f>[16]副本!G130</f>
        <v>14976.093999999999</v>
      </c>
      <c r="I66" s="18">
        <f>H66-14976.094</f>
        <v>0</v>
      </c>
      <c r="J66" s="17"/>
      <c r="K66" s="15">
        <v>200</v>
      </c>
      <c r="L66" s="16">
        <f>H66-I66</f>
        <v>14976.093999999999</v>
      </c>
      <c r="M66" s="15">
        <v>20000</v>
      </c>
      <c r="N66" s="14" t="s">
        <v>283</v>
      </c>
      <c r="O66" s="13" t="s">
        <v>282</v>
      </c>
      <c r="P66" s="12" t="s">
        <v>281</v>
      </c>
    </row>
    <row r="67" spans="1:16" s="11" customFormat="1" ht="33" customHeight="1" x14ac:dyDescent="0.15">
      <c r="A67" s="17">
        <v>20170120</v>
      </c>
      <c r="B67" s="19" t="s">
        <v>13</v>
      </c>
      <c r="C67" s="36" t="s">
        <v>0</v>
      </c>
      <c r="D67" s="17"/>
      <c r="E67" s="17" t="s">
        <v>12</v>
      </c>
      <c r="F67" s="17" t="s">
        <v>11</v>
      </c>
      <c r="G67" s="17" t="s">
        <v>275</v>
      </c>
      <c r="H67" s="18">
        <f>[16]副本!G132</f>
        <v>25173.616999999973</v>
      </c>
      <c r="I67" s="18">
        <f>H67</f>
        <v>25173.616999999973</v>
      </c>
      <c r="J67" s="17"/>
      <c r="K67" s="15"/>
      <c r="L67" s="16">
        <v>0</v>
      </c>
      <c r="M67" s="15">
        <v>30000</v>
      </c>
      <c r="N67" s="14"/>
      <c r="O67" s="13"/>
      <c r="P67" s="12"/>
    </row>
    <row r="68" spans="1:16" s="11" customFormat="1" ht="33" customHeight="1" x14ac:dyDescent="0.15">
      <c r="A68" s="17">
        <v>20170120</v>
      </c>
      <c r="B68" s="19" t="s">
        <v>10</v>
      </c>
      <c r="C68" s="36" t="s">
        <v>0</v>
      </c>
      <c r="D68" s="17"/>
      <c r="E68" s="17" t="s">
        <v>280</v>
      </c>
      <c r="F68" s="12" t="s">
        <v>8</v>
      </c>
      <c r="G68" s="17" t="s">
        <v>275</v>
      </c>
      <c r="H68" s="18">
        <f>[16]副本!G134</f>
        <v>0</v>
      </c>
      <c r="I68" s="18">
        <f>H68</f>
        <v>0</v>
      </c>
      <c r="J68" s="17"/>
      <c r="K68" s="15"/>
      <c r="L68" s="16">
        <f>H68-I68</f>
        <v>0</v>
      </c>
      <c r="M68" s="15">
        <v>20000</v>
      </c>
      <c r="N68" s="14"/>
      <c r="O68" s="13"/>
      <c r="P68" s="17" t="s">
        <v>450</v>
      </c>
    </row>
    <row r="69" spans="1:16" s="11" customFormat="1" ht="33" customHeight="1" x14ac:dyDescent="0.15">
      <c r="A69" s="17">
        <v>20170120</v>
      </c>
      <c r="B69" s="19" t="s">
        <v>10</v>
      </c>
      <c r="C69" s="36" t="s">
        <v>0</v>
      </c>
      <c r="D69" s="17"/>
      <c r="E69" s="17" t="s">
        <v>280</v>
      </c>
      <c r="F69" s="12" t="s">
        <v>257</v>
      </c>
      <c r="G69" s="17" t="s">
        <v>275</v>
      </c>
      <c r="H69" s="18">
        <f>[16]副本!G135</f>
        <v>3496.6749999999993</v>
      </c>
      <c r="I69" s="18">
        <f>H69</f>
        <v>3496.6749999999993</v>
      </c>
      <c r="J69" s="17"/>
      <c r="K69" s="15"/>
      <c r="L69" s="16">
        <v>0</v>
      </c>
      <c r="M69" s="15">
        <v>20000</v>
      </c>
      <c r="N69" s="14"/>
      <c r="O69" s="13"/>
      <c r="P69" s="12" t="s">
        <v>279</v>
      </c>
    </row>
    <row r="70" spans="1:16" s="11" customFormat="1" ht="33" customHeight="1" x14ac:dyDescent="0.15">
      <c r="A70" s="17">
        <v>20170120</v>
      </c>
      <c r="B70" s="19" t="s">
        <v>7</v>
      </c>
      <c r="C70" s="36" t="s">
        <v>0</v>
      </c>
      <c r="D70" s="17"/>
      <c r="E70" s="17"/>
      <c r="F70" s="17"/>
      <c r="G70" s="17"/>
      <c r="H70" s="18"/>
      <c r="I70" s="18"/>
      <c r="J70" s="17"/>
      <c r="K70" s="15"/>
      <c r="L70" s="16"/>
      <c r="M70" s="15">
        <v>15000</v>
      </c>
      <c r="N70" s="14"/>
      <c r="O70" s="13"/>
      <c r="P70" s="12"/>
    </row>
    <row r="71" spans="1:16" s="11" customFormat="1" ht="33" customHeight="1" x14ac:dyDescent="0.15">
      <c r="A71" s="17">
        <v>20170120</v>
      </c>
      <c r="B71" s="19" t="s">
        <v>278</v>
      </c>
      <c r="C71" s="36" t="s">
        <v>0</v>
      </c>
      <c r="D71" s="17" t="s">
        <v>277</v>
      </c>
      <c r="E71" s="17" t="s">
        <v>276</v>
      </c>
      <c r="F71" s="17" t="s">
        <v>3</v>
      </c>
      <c r="G71" s="17" t="s">
        <v>275</v>
      </c>
      <c r="H71" s="18">
        <f>[16]副本!G139</f>
        <v>12005.106</v>
      </c>
      <c r="I71" s="18">
        <f>H71-12005.106</f>
        <v>0</v>
      </c>
      <c r="J71" s="17"/>
      <c r="K71" s="15"/>
      <c r="L71" s="16">
        <f>H71-I71</f>
        <v>12005.106</v>
      </c>
      <c r="M71" s="15">
        <v>15000</v>
      </c>
      <c r="N71" s="14"/>
      <c r="O71" s="13"/>
      <c r="P71" s="12"/>
    </row>
    <row r="72" spans="1:16" s="11" customFormat="1" ht="33" customHeight="1" x14ac:dyDescent="0.15">
      <c r="A72" s="17">
        <v>20170120</v>
      </c>
      <c r="B72" s="19" t="s">
        <v>1</v>
      </c>
      <c r="C72" s="36" t="s">
        <v>0</v>
      </c>
      <c r="D72" s="17"/>
      <c r="E72" s="17" t="s">
        <v>276</v>
      </c>
      <c r="F72" s="17" t="s">
        <v>437</v>
      </c>
      <c r="G72" s="17" t="s">
        <v>275</v>
      </c>
      <c r="H72" s="18">
        <f>[16]副本!G141</f>
        <v>7829.6099999999988</v>
      </c>
      <c r="I72" s="18">
        <f>3000+3000</f>
        <v>6000</v>
      </c>
      <c r="J72" s="17"/>
      <c r="K72" s="15"/>
      <c r="L72" s="16">
        <f>H72-I72</f>
        <v>1829.6099999999988</v>
      </c>
      <c r="M72" s="15"/>
      <c r="N72" s="14"/>
      <c r="O72" s="13"/>
      <c r="P72" s="12" t="s">
        <v>448</v>
      </c>
    </row>
    <row r="78" spans="1:16" x14ac:dyDescent="0.15">
      <c r="L78" s="10"/>
    </row>
    <row r="230" spans="7:8" x14ac:dyDescent="0.15">
      <c r="G230" s="2"/>
      <c r="H230" s="2"/>
    </row>
  </sheetData>
  <autoFilter ref="B1:I72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0"/>
  <sheetViews>
    <sheetView workbookViewId="0">
      <pane xSplit="3" ySplit="1" topLeftCell="D14" activePane="bottomRight" state="frozen"/>
      <selection activeCell="G5" sqref="G5"/>
      <selection pane="topRight" activeCell="G5" sqref="G5"/>
      <selection pane="bottomLeft" activeCell="G5" sqref="G5"/>
      <selection pane="bottomRight" activeCell="F21" sqref="F21:F22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38.7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78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38" t="s">
        <v>173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27.75" customHeight="1" x14ac:dyDescent="0.15">
      <c r="A2" s="17">
        <v>20170121</v>
      </c>
      <c r="B2" s="19" t="s">
        <v>158</v>
      </c>
      <c r="C2" s="36" t="s">
        <v>63</v>
      </c>
      <c r="D2" s="19"/>
      <c r="E2" s="17" t="s">
        <v>141</v>
      </c>
      <c r="F2" s="63" t="s">
        <v>144</v>
      </c>
      <c r="G2" s="12" t="s">
        <v>54</v>
      </c>
      <c r="H2" s="18">
        <f>[17]副本!G3</f>
        <v>993.971</v>
      </c>
      <c r="I2" s="18">
        <f>H2</f>
        <v>993.971</v>
      </c>
      <c r="J2" s="17"/>
      <c r="K2" s="15"/>
      <c r="L2" s="16">
        <v>0</v>
      </c>
      <c r="M2" s="15">
        <v>2000</v>
      </c>
      <c r="N2" s="14" t="s">
        <v>143</v>
      </c>
      <c r="O2" s="13" t="s">
        <v>124</v>
      </c>
      <c r="P2" s="12" t="s">
        <v>445</v>
      </c>
    </row>
    <row r="3" spans="1:17" s="11" customFormat="1" ht="27.75" customHeight="1" x14ac:dyDescent="0.15">
      <c r="A3" s="17">
        <v>20170121</v>
      </c>
      <c r="B3" s="19" t="s">
        <v>157</v>
      </c>
      <c r="C3" s="36" t="s">
        <v>63</v>
      </c>
      <c r="D3" s="19"/>
      <c r="E3" s="17" t="s">
        <v>116</v>
      </c>
      <c r="F3" s="17" t="s">
        <v>468</v>
      </c>
      <c r="G3" s="12" t="s">
        <v>54</v>
      </c>
      <c r="H3" s="18">
        <f>[17]副本!G6</f>
        <v>975.55899999999997</v>
      </c>
      <c r="I3" s="18">
        <f>H3</f>
        <v>975.55899999999997</v>
      </c>
      <c r="J3" s="17"/>
      <c r="K3" s="15"/>
      <c r="L3" s="16">
        <f>H3-I3</f>
        <v>0</v>
      </c>
      <c r="M3" s="15">
        <v>1500</v>
      </c>
      <c r="N3" s="14"/>
      <c r="O3" s="13"/>
      <c r="P3" s="12"/>
    </row>
    <row r="4" spans="1:17" s="11" customFormat="1" ht="27.75" customHeight="1" x14ac:dyDescent="0.15">
      <c r="A4" s="17">
        <v>20170121</v>
      </c>
      <c r="B4" s="19" t="s">
        <v>153</v>
      </c>
      <c r="C4" s="36" t="s">
        <v>63</v>
      </c>
      <c r="D4" s="19"/>
      <c r="E4" s="17" t="s">
        <v>56</v>
      </c>
      <c r="F4" s="63" t="s">
        <v>61</v>
      </c>
      <c r="G4" s="12" t="s">
        <v>54</v>
      </c>
      <c r="H4" s="18">
        <f>[17]副本!G8</f>
        <v>1710.5029999999958</v>
      </c>
      <c r="I4" s="18">
        <f>H4</f>
        <v>1710.5029999999958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27.75" customHeight="1" x14ac:dyDescent="0.15">
      <c r="A5" s="17">
        <v>20170121</v>
      </c>
      <c r="B5" s="19" t="s">
        <v>149</v>
      </c>
      <c r="C5" s="36" t="s">
        <v>63</v>
      </c>
      <c r="D5" s="17"/>
      <c r="E5" s="17" t="s">
        <v>148</v>
      </c>
      <c r="F5" s="63" t="s">
        <v>140</v>
      </c>
      <c r="G5" s="12" t="s">
        <v>54</v>
      </c>
      <c r="H5" s="18"/>
      <c r="I5" s="18"/>
      <c r="J5" s="17"/>
      <c r="K5" s="15"/>
      <c r="L5" s="16"/>
      <c r="M5" s="15">
        <v>2000</v>
      </c>
      <c r="N5" s="14" t="s">
        <v>147</v>
      </c>
      <c r="O5" s="13" t="s">
        <v>124</v>
      </c>
      <c r="P5" s="12"/>
    </row>
    <row r="6" spans="1:17" s="11" customFormat="1" ht="27.75" customHeight="1" x14ac:dyDescent="0.15">
      <c r="A6" s="17">
        <v>20170121</v>
      </c>
      <c r="B6" s="19" t="s">
        <v>145</v>
      </c>
      <c r="C6" s="36" t="s">
        <v>63</v>
      </c>
      <c r="D6" s="17"/>
      <c r="E6" s="17" t="s">
        <v>141</v>
      </c>
      <c r="F6" s="63" t="s">
        <v>144</v>
      </c>
      <c r="G6" s="12" t="s">
        <v>54</v>
      </c>
      <c r="H6" s="18"/>
      <c r="I6" s="18"/>
      <c r="J6" s="17"/>
      <c r="K6" s="15"/>
      <c r="L6" s="16"/>
      <c r="M6" s="15">
        <v>3000</v>
      </c>
      <c r="N6" s="14" t="s">
        <v>143</v>
      </c>
      <c r="O6" s="13" t="s">
        <v>124</v>
      </c>
      <c r="P6" s="12"/>
      <c r="Q6" s="20"/>
    </row>
    <row r="7" spans="1:17" s="11" customFormat="1" ht="27.75" customHeight="1" x14ac:dyDescent="0.15">
      <c r="A7" s="17">
        <v>20170121</v>
      </c>
      <c r="B7" s="19" t="s">
        <v>142</v>
      </c>
      <c r="C7" s="36" t="s">
        <v>63</v>
      </c>
      <c r="D7" s="17"/>
      <c r="E7" s="17" t="s">
        <v>141</v>
      </c>
      <c r="F7" s="63" t="s">
        <v>140</v>
      </c>
      <c r="G7" s="17" t="s">
        <v>54</v>
      </c>
      <c r="H7" s="18"/>
      <c r="I7" s="18"/>
      <c r="J7" s="17"/>
      <c r="K7" s="15"/>
      <c r="L7" s="16"/>
      <c r="M7" s="15">
        <v>3000</v>
      </c>
      <c r="N7" s="14"/>
      <c r="O7" s="13"/>
      <c r="P7" s="12"/>
      <c r="Q7" s="20"/>
    </row>
    <row r="8" spans="1:17" s="11" customFormat="1" ht="27.75" customHeight="1" x14ac:dyDescent="0.15">
      <c r="A8" s="17">
        <v>20170121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27.75" customHeight="1" x14ac:dyDescent="0.15">
      <c r="A9" s="17">
        <v>20170121</v>
      </c>
      <c r="B9" s="19" t="s">
        <v>138</v>
      </c>
      <c r="C9" s="36" t="s">
        <v>31</v>
      </c>
      <c r="D9" s="17"/>
      <c r="E9" s="17" t="s">
        <v>9</v>
      </c>
      <c r="F9" s="17" t="s">
        <v>104</v>
      </c>
      <c r="G9" s="17" t="s">
        <v>54</v>
      </c>
      <c r="H9" s="17">
        <f>[17]副本!G18</f>
        <v>1322.4749999999999</v>
      </c>
      <c r="I9" s="18">
        <f>H9</f>
        <v>1322.4749999999999</v>
      </c>
      <c r="J9" s="17"/>
      <c r="K9" s="15">
        <v>70</v>
      </c>
      <c r="L9" s="16">
        <f>H9-I9</f>
        <v>0</v>
      </c>
      <c r="M9" s="15">
        <v>5000</v>
      </c>
      <c r="N9" s="14" t="s">
        <v>137</v>
      </c>
      <c r="O9" s="13" t="s">
        <v>136</v>
      </c>
      <c r="P9" s="12" t="s">
        <v>101</v>
      </c>
    </row>
    <row r="10" spans="1:17" s="11" customFormat="1" ht="27.75" customHeight="1" x14ac:dyDescent="0.15">
      <c r="A10" s="17">
        <v>20170121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[17]副本!G20</f>
        <v>1.5219999999999345</v>
      </c>
      <c r="I10" s="18">
        <f>H10</f>
        <v>1.5219999999999345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357</v>
      </c>
    </row>
    <row r="11" spans="1:17" s="11" customFormat="1" ht="27.75" customHeight="1" x14ac:dyDescent="0.15">
      <c r="A11" s="17">
        <v>20170121</v>
      </c>
      <c r="B11" s="19" t="s">
        <v>135</v>
      </c>
      <c r="C11" s="17" t="s">
        <v>63</v>
      </c>
      <c r="D11" s="17"/>
      <c r="E11" s="17" t="s">
        <v>92</v>
      </c>
      <c r="F11" s="17" t="s">
        <v>261</v>
      </c>
      <c r="G11" s="17" t="s">
        <v>54</v>
      </c>
      <c r="H11" s="18">
        <f>[17]副本!G21</f>
        <v>3.999999999996362E-2</v>
      </c>
      <c r="I11" s="18">
        <f>H11</f>
        <v>3.999999999996362E-2</v>
      </c>
      <c r="J11" s="17"/>
      <c r="K11" s="15"/>
      <c r="L11" s="16">
        <f>H11-I11</f>
        <v>0</v>
      </c>
      <c r="M11" s="15">
        <v>1500</v>
      </c>
      <c r="N11" s="14"/>
      <c r="O11" s="13"/>
      <c r="P11" s="12" t="s">
        <v>355</v>
      </c>
    </row>
    <row r="12" spans="1:17" s="11" customFormat="1" ht="27.75" customHeight="1" x14ac:dyDescent="0.15">
      <c r="A12" s="17">
        <v>20170121</v>
      </c>
      <c r="B12" s="19" t="s">
        <v>135</v>
      </c>
      <c r="C12" s="17" t="s">
        <v>63</v>
      </c>
      <c r="D12" s="17"/>
      <c r="E12" s="17" t="s">
        <v>92</v>
      </c>
      <c r="F12" s="17" t="s">
        <v>91</v>
      </c>
      <c r="G12" s="17" t="s">
        <v>54</v>
      </c>
      <c r="H12" s="18">
        <f>[17]副本!G22</f>
        <v>1000</v>
      </c>
      <c r="I12" s="18">
        <f>H12</f>
        <v>1000</v>
      </c>
      <c r="J12" s="17"/>
      <c r="K12" s="15"/>
      <c r="L12" s="16">
        <f>H12-I12</f>
        <v>0</v>
      </c>
      <c r="M12" s="15">
        <v>1500</v>
      </c>
      <c r="N12" s="14"/>
      <c r="O12" s="13"/>
      <c r="P12" s="12" t="s">
        <v>355</v>
      </c>
    </row>
    <row r="13" spans="1:17" s="11" customFormat="1" ht="27.75" customHeight="1" x14ac:dyDescent="0.15">
      <c r="A13" s="17">
        <v>20170121</v>
      </c>
      <c r="B13" s="19" t="s">
        <v>134</v>
      </c>
      <c r="C13" s="17" t="s">
        <v>63</v>
      </c>
      <c r="D13" s="17"/>
      <c r="E13" s="17" t="s">
        <v>116</v>
      </c>
      <c r="F13" s="17" t="s">
        <v>256</v>
      </c>
      <c r="G13" s="17" t="s">
        <v>54</v>
      </c>
      <c r="H13" s="18">
        <f>[17]副本!G24</f>
        <v>1502.1479999999999</v>
      </c>
      <c r="I13" s="18">
        <f>H13</f>
        <v>1502.1479999999999</v>
      </c>
      <c r="J13" s="17"/>
      <c r="K13" s="15"/>
      <c r="L13" s="16">
        <f>H13-I13</f>
        <v>0</v>
      </c>
      <c r="M13" s="15">
        <v>1500</v>
      </c>
      <c r="N13" s="14"/>
      <c r="O13" s="13"/>
      <c r="P13" s="12"/>
    </row>
    <row r="14" spans="1:17" s="11" customFormat="1" ht="27.75" customHeight="1" x14ac:dyDescent="0.15">
      <c r="A14" s="17">
        <v>20170121</v>
      </c>
      <c r="B14" s="19" t="s">
        <v>133</v>
      </c>
      <c r="C14" s="36" t="s">
        <v>28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  <c r="Q14" s="20"/>
    </row>
    <row r="15" spans="1:17" s="11" customFormat="1" ht="27.75" customHeight="1" x14ac:dyDescent="0.15">
      <c r="A15" s="17">
        <v>20170121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27.75" customHeight="1" x14ac:dyDescent="0.15">
      <c r="A16" s="17">
        <v>20170121</v>
      </c>
      <c r="B16" s="19" t="s">
        <v>131</v>
      </c>
      <c r="C16" s="36" t="s">
        <v>63</v>
      </c>
      <c r="D16" s="17"/>
      <c r="E16" s="17" t="s">
        <v>92</v>
      </c>
      <c r="F16" s="17" t="s">
        <v>232</v>
      </c>
      <c r="G16" s="17" t="s">
        <v>54</v>
      </c>
      <c r="H16" s="18">
        <f>[17]副本!G30</f>
        <v>1051.9169999999999</v>
      </c>
      <c r="I16" s="18">
        <f>H16</f>
        <v>1051.9169999999999</v>
      </c>
      <c r="J16" s="17"/>
      <c r="K16" s="15">
        <v>70</v>
      </c>
      <c r="L16" s="16"/>
      <c r="M16" s="15">
        <v>1500</v>
      </c>
      <c r="N16" s="14"/>
      <c r="O16" s="13"/>
      <c r="P16" s="12" t="s">
        <v>351</v>
      </c>
    </row>
    <row r="17" spans="1:17" s="11" customFormat="1" ht="27.75" customHeight="1" x14ac:dyDescent="0.15">
      <c r="A17" s="17">
        <v>20170121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</v>
      </c>
      <c r="H17" s="18">
        <f>[17]副本!G32-H18</f>
        <v>5647.2470000000176</v>
      </c>
      <c r="I17" s="18">
        <f>H17</f>
        <v>5647.2470000000176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124</v>
      </c>
      <c r="P17" s="12" t="s">
        <v>130</v>
      </c>
    </row>
    <row r="18" spans="1:17" s="11" customFormat="1" ht="27.75" customHeight="1" x14ac:dyDescent="0.15">
      <c r="A18" s="17">
        <v>20170121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 t="s">
        <v>2</v>
      </c>
      <c r="H18" s="18">
        <f>[17]副本!G34</f>
        <v>4387.7529999999824</v>
      </c>
      <c r="I18" s="18">
        <f>H18</f>
        <v>4387.7529999999824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244</v>
      </c>
    </row>
    <row r="19" spans="1:17" s="11" customFormat="1" ht="27.75" customHeight="1" x14ac:dyDescent="0.15">
      <c r="A19" s="17">
        <v>20170121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27.75" customHeight="1" x14ac:dyDescent="0.15">
      <c r="A20" s="17">
        <v>20170121</v>
      </c>
      <c r="B20" s="19" t="s">
        <v>126</v>
      </c>
      <c r="C20" s="36" t="s">
        <v>63</v>
      </c>
      <c r="D20" s="17"/>
      <c r="E20" s="17" t="s">
        <v>78</v>
      </c>
      <c r="F20" s="17" t="s">
        <v>81</v>
      </c>
      <c r="G20" s="17" t="s">
        <v>54</v>
      </c>
      <c r="H20" s="18">
        <f>[17]副本!G38</f>
        <v>893.76199999999994</v>
      </c>
      <c r="I20" s="18">
        <f>H20</f>
        <v>893.76199999999994</v>
      </c>
      <c r="J20" s="17"/>
      <c r="K20" s="15"/>
      <c r="L20" s="16">
        <v>0</v>
      </c>
      <c r="M20" s="15">
        <v>3000</v>
      </c>
      <c r="N20" s="14"/>
      <c r="O20" s="13"/>
      <c r="P20" s="12" t="s">
        <v>464</v>
      </c>
    </row>
    <row r="21" spans="1:17" s="11" customFormat="1" ht="27.75" customHeight="1" x14ac:dyDescent="0.15">
      <c r="A21" s="17">
        <v>20170121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</v>
      </c>
      <c r="H21" s="18">
        <f>[17]副本!G40-'20170121'!H22</f>
        <v>10931.537428000036</v>
      </c>
      <c r="I21" s="18">
        <f>H21</f>
        <v>10931.537428000036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124</v>
      </c>
      <c r="P21" s="12" t="s">
        <v>123</v>
      </c>
    </row>
    <row r="22" spans="1:17" s="11" customFormat="1" ht="27.75" customHeight="1" x14ac:dyDescent="0.15">
      <c r="A22" s="17">
        <v>20170121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 t="s">
        <v>2</v>
      </c>
      <c r="H22" s="18">
        <f>[17]副本!G42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243</v>
      </c>
    </row>
    <row r="23" spans="1:17" s="11" customFormat="1" ht="27.75" customHeight="1" x14ac:dyDescent="0.15">
      <c r="A23" s="17">
        <v>20170121</v>
      </c>
      <c r="B23" s="19" t="s">
        <v>117</v>
      </c>
      <c r="C23" s="36" t="s">
        <v>63</v>
      </c>
      <c r="D23" s="17"/>
      <c r="E23" s="17" t="s">
        <v>116</v>
      </c>
      <c r="F23" s="17" t="s">
        <v>115</v>
      </c>
      <c r="G23" s="17" t="s">
        <v>2</v>
      </c>
      <c r="H23" s="18">
        <f>[17]副本!G44</f>
        <v>6134.7419999999993</v>
      </c>
      <c r="I23" s="18">
        <f>H23</f>
        <v>6134.7419999999993</v>
      </c>
      <c r="J23" s="17"/>
      <c r="K23" s="15">
        <v>300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27.75" customHeight="1" x14ac:dyDescent="0.15">
      <c r="A24" s="17">
        <v>20170121</v>
      </c>
      <c r="B24" s="19" t="s">
        <v>113</v>
      </c>
      <c r="C24" s="36" t="s">
        <v>0</v>
      </c>
      <c r="D24" s="17"/>
      <c r="E24" s="12" t="s">
        <v>112</v>
      </c>
      <c r="F24" s="17" t="s">
        <v>39</v>
      </c>
      <c r="G24" s="17" t="s">
        <v>2</v>
      </c>
      <c r="H24" s="18">
        <f>[17]副本!G46</f>
        <v>1055.1130000000001</v>
      </c>
      <c r="I24" s="18">
        <f>H24</f>
        <v>1055.1130000000001</v>
      </c>
      <c r="J24" s="17"/>
      <c r="K24" s="15"/>
      <c r="L24" s="16">
        <f>H24-I24</f>
        <v>0</v>
      </c>
      <c r="M24" s="15">
        <v>5000</v>
      </c>
      <c r="N24" s="14"/>
      <c r="O24" s="13"/>
      <c r="P24" s="37" t="s">
        <v>462</v>
      </c>
    </row>
    <row r="25" spans="1:17" s="11" customFormat="1" ht="27.75" customHeight="1" x14ac:dyDescent="0.15">
      <c r="A25" s="17">
        <v>20170121</v>
      </c>
      <c r="B25" s="19" t="s">
        <v>110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27.75" customHeight="1" x14ac:dyDescent="0.15">
      <c r="A26" s="17">
        <v>20170121</v>
      </c>
      <c r="B26" s="19" t="s">
        <v>109</v>
      </c>
      <c r="C26" s="36" t="s">
        <v>63</v>
      </c>
      <c r="D26" s="17"/>
      <c r="E26" s="17"/>
      <c r="F26" s="17"/>
      <c r="G26" s="17"/>
      <c r="H26" s="18"/>
      <c r="I26" s="18"/>
      <c r="J26" s="17"/>
      <c r="K26" s="15"/>
      <c r="L26" s="16"/>
      <c r="M26" s="15">
        <v>4000</v>
      </c>
      <c r="N26" s="14"/>
      <c r="O26" s="13"/>
      <c r="P26" s="12"/>
    </row>
    <row r="27" spans="1:17" s="11" customFormat="1" ht="27.75" customHeight="1" x14ac:dyDescent="0.15">
      <c r="A27" s="17">
        <v>20170121</v>
      </c>
      <c r="B27" s="19" t="s">
        <v>106</v>
      </c>
      <c r="C27" s="36" t="s">
        <v>105</v>
      </c>
      <c r="D27" s="17"/>
      <c r="E27" s="17"/>
      <c r="F27" s="17"/>
      <c r="G27" s="17"/>
      <c r="H27" s="18"/>
      <c r="I27" s="18"/>
      <c r="J27" s="17"/>
      <c r="K27" s="15"/>
      <c r="L27" s="16"/>
      <c r="M27" s="15">
        <v>5000</v>
      </c>
      <c r="N27" s="14"/>
      <c r="O27" s="13"/>
      <c r="P27" s="12"/>
    </row>
    <row r="28" spans="1:17" s="11" customFormat="1" ht="27.75" customHeight="1" x14ac:dyDescent="0.15">
      <c r="A28" s="17">
        <v>20170121</v>
      </c>
      <c r="B28" s="19" t="s">
        <v>100</v>
      </c>
      <c r="C28" s="36" t="s">
        <v>96</v>
      </c>
      <c r="D28" s="17"/>
      <c r="E28" s="17" t="s">
        <v>67</v>
      </c>
      <c r="F28" s="17" t="s">
        <v>39</v>
      </c>
      <c r="G28" s="17" t="s">
        <v>2</v>
      </c>
      <c r="H28" s="18">
        <f>[17]副本!G55</f>
        <v>1496.749</v>
      </c>
      <c r="I28" s="18">
        <f>H28</f>
        <v>1496.749</v>
      </c>
      <c r="J28" s="17"/>
      <c r="K28" s="15">
        <v>1300</v>
      </c>
      <c r="L28" s="16">
        <f>H28-I28</f>
        <v>0</v>
      </c>
      <c r="M28" s="15">
        <v>2000</v>
      </c>
      <c r="N28" s="14"/>
      <c r="O28" s="13"/>
      <c r="P28" s="12" t="s">
        <v>457</v>
      </c>
    </row>
    <row r="29" spans="1:17" s="11" customFormat="1" ht="27.75" customHeight="1" x14ac:dyDescent="0.15">
      <c r="A29" s="17">
        <v>20170121</v>
      </c>
      <c r="B29" s="19" t="s">
        <v>99</v>
      </c>
      <c r="C29" s="36" t="s">
        <v>96</v>
      </c>
      <c r="D29" s="17"/>
      <c r="E29" s="17"/>
      <c r="F29" s="17"/>
      <c r="G29" s="17"/>
      <c r="H29" s="18"/>
      <c r="I29" s="18"/>
      <c r="J29" s="17"/>
      <c r="K29" s="15"/>
      <c r="L29" s="16"/>
      <c r="M29" s="15">
        <v>1500</v>
      </c>
      <c r="N29" s="14"/>
      <c r="O29" s="13"/>
      <c r="P29" s="12"/>
    </row>
    <row r="30" spans="1:17" s="11" customFormat="1" ht="27.75" customHeight="1" x14ac:dyDescent="0.15">
      <c r="A30" s="17">
        <v>20170121</v>
      </c>
      <c r="B30" s="19" t="s">
        <v>98</v>
      </c>
      <c r="C30" s="36" t="s">
        <v>96</v>
      </c>
      <c r="D30" s="17"/>
      <c r="E30" s="17" t="s">
        <v>67</v>
      </c>
      <c r="F30" s="17" t="s">
        <v>39</v>
      </c>
      <c r="G30" s="17" t="s">
        <v>2</v>
      </c>
      <c r="H30" s="18">
        <f>[17]副本!G59</f>
        <v>1099.527</v>
      </c>
      <c r="I30" s="18">
        <f>H30</f>
        <v>1099.527</v>
      </c>
      <c r="J30" s="17"/>
      <c r="K30" s="15"/>
      <c r="L30" s="16">
        <f>H30-I30</f>
        <v>0</v>
      </c>
      <c r="M30" s="15">
        <v>1500</v>
      </c>
      <c r="N30" s="14"/>
      <c r="O30" s="13"/>
      <c r="P30" s="12" t="s">
        <v>457</v>
      </c>
      <c r="Q30" s="20"/>
    </row>
    <row r="31" spans="1:17" s="11" customFormat="1" ht="27.75" customHeight="1" x14ac:dyDescent="0.15">
      <c r="A31" s="17">
        <v>20170121</v>
      </c>
      <c r="B31" s="19" t="s">
        <v>97</v>
      </c>
      <c r="C31" s="36" t="s">
        <v>96</v>
      </c>
      <c r="D31" s="17"/>
      <c r="E31" s="17" t="s">
        <v>67</v>
      </c>
      <c r="F31" s="17"/>
      <c r="G31" s="17"/>
      <c r="H31" s="18"/>
      <c r="I31" s="18"/>
      <c r="J31" s="17"/>
      <c r="K31" s="15"/>
      <c r="L31" s="16"/>
      <c r="M31" s="15">
        <v>1500</v>
      </c>
      <c r="N31" s="14"/>
      <c r="O31" s="13"/>
      <c r="P31" s="12"/>
    </row>
    <row r="32" spans="1:17" s="11" customFormat="1" ht="27.75" customHeight="1" x14ac:dyDescent="0.15">
      <c r="A32" s="17">
        <v>20170121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27.75" customHeight="1" x14ac:dyDescent="0.15">
      <c r="A33" s="17">
        <v>20170121</v>
      </c>
      <c r="B33" s="19" t="s">
        <v>93</v>
      </c>
      <c r="C33" s="36" t="s">
        <v>57</v>
      </c>
      <c r="D33" s="17"/>
      <c r="E33" s="17" t="s">
        <v>92</v>
      </c>
      <c r="F33" s="17" t="s">
        <v>91</v>
      </c>
      <c r="G33" s="17" t="s">
        <v>2</v>
      </c>
      <c r="H33" s="17">
        <f>[17]副本!G65</f>
        <v>408.81600000000014</v>
      </c>
      <c r="I33" s="18">
        <f>H33-1035.099+1035.099</f>
        <v>408.81600000000014</v>
      </c>
      <c r="J33" s="17"/>
      <c r="K33" s="15">
        <v>30</v>
      </c>
      <c r="L33" s="16">
        <f>H33-I33</f>
        <v>0</v>
      </c>
      <c r="M33" s="15">
        <v>2000</v>
      </c>
      <c r="N33" s="14"/>
      <c r="O33" s="13"/>
      <c r="P33" s="12" t="s">
        <v>402</v>
      </c>
    </row>
    <row r="34" spans="1:16" s="11" customFormat="1" ht="27.75" customHeight="1" x14ac:dyDescent="0.15">
      <c r="A34" s="17">
        <v>20170121</v>
      </c>
      <c r="B34" s="19" t="s">
        <v>89</v>
      </c>
      <c r="C34" s="36" t="s">
        <v>63</v>
      </c>
      <c r="D34" s="17" t="s">
        <v>88</v>
      </c>
      <c r="E34" s="17" t="s">
        <v>87</v>
      </c>
      <c r="F34" s="17" t="s">
        <v>216</v>
      </c>
      <c r="G34" s="17" t="s">
        <v>54</v>
      </c>
      <c r="H34" s="18">
        <f>[17]副本!G67</f>
        <v>669.34299999999985</v>
      </c>
      <c r="I34" s="18">
        <f>H34-1037.023+500+537.023</f>
        <v>669.34299999999996</v>
      </c>
      <c r="J34" s="17"/>
      <c r="K34" s="15">
        <v>100</v>
      </c>
      <c r="L34" s="16">
        <f>H34-I34</f>
        <v>0</v>
      </c>
      <c r="M34" s="15">
        <v>3000</v>
      </c>
      <c r="N34" s="14"/>
      <c r="O34" s="13"/>
      <c r="P34" s="24" t="s">
        <v>467</v>
      </c>
    </row>
    <row r="35" spans="1:16" s="11" customFormat="1" ht="27.75" customHeight="1" x14ac:dyDescent="0.15">
      <c r="A35" s="17">
        <v>20170121</v>
      </c>
      <c r="B35" s="19" t="s">
        <v>85</v>
      </c>
      <c r="C35" s="36" t="s">
        <v>63</v>
      </c>
      <c r="D35" s="17" t="s">
        <v>5</v>
      </c>
      <c r="E35" s="17" t="s">
        <v>84</v>
      </c>
      <c r="F35" s="17" t="s">
        <v>81</v>
      </c>
      <c r="G35" s="17" t="s">
        <v>54</v>
      </c>
      <c r="H35" s="18">
        <f>[17]副本!G69</f>
        <v>3607.5459999999994</v>
      </c>
      <c r="I35" s="18">
        <f>H35-3607.546+2050+1050+507.546</f>
        <v>3607.5459999999994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460</v>
      </c>
    </row>
    <row r="36" spans="1:16" s="11" customFormat="1" ht="27.75" customHeight="1" x14ac:dyDescent="0.15">
      <c r="A36" s="17">
        <v>20170121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27.75" customHeight="1" x14ac:dyDescent="0.15">
      <c r="A37" s="17">
        <v>20170121</v>
      </c>
      <c r="B37" s="19" t="s">
        <v>79</v>
      </c>
      <c r="C37" s="36" t="s">
        <v>57</v>
      </c>
      <c r="D37" s="17" t="s">
        <v>5</v>
      </c>
      <c r="E37" s="17" t="s">
        <v>78</v>
      </c>
      <c r="F37" s="17" t="s">
        <v>81</v>
      </c>
      <c r="G37" s="17" t="s">
        <v>2</v>
      </c>
      <c r="H37" s="18">
        <f>[17]副本!G73</f>
        <v>1041.7500000000523</v>
      </c>
      <c r="I37" s="18">
        <f>H37-955.747+477.874+477.873-1042.865-2628.137+500+542.865+2102.57+525.567-499.112-3147.566+2100+525+525+496.678-2617.899+1574.891+523.692-522.622</f>
        <v>-0.18799999994701011</v>
      </c>
      <c r="J37" s="17"/>
      <c r="K37" s="15"/>
      <c r="L37" s="16">
        <f>H37-I37</f>
        <v>1041.9379999999992</v>
      </c>
      <c r="M37" s="15">
        <v>5000</v>
      </c>
      <c r="N37" s="14"/>
      <c r="O37" s="13"/>
      <c r="P37" s="12"/>
    </row>
    <row r="38" spans="1:16" s="11" customFormat="1" ht="27.75" customHeight="1" x14ac:dyDescent="0.15">
      <c r="A38" s="17">
        <v>20170121</v>
      </c>
      <c r="B38" s="19" t="s">
        <v>79</v>
      </c>
      <c r="C38" s="36" t="s">
        <v>57</v>
      </c>
      <c r="D38" s="17" t="s">
        <v>5</v>
      </c>
      <c r="E38" s="17" t="s">
        <v>78</v>
      </c>
      <c r="F38" s="17" t="s">
        <v>77</v>
      </c>
      <c r="G38" s="17" t="s">
        <v>2</v>
      </c>
      <c r="H38" s="18">
        <f>[17]副本!G74</f>
        <v>411.70600000000047</v>
      </c>
      <c r="I38" s="18">
        <f>H38</f>
        <v>411.70600000000047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444</v>
      </c>
    </row>
    <row r="39" spans="1:16" s="11" customFormat="1" ht="27.75" customHeight="1" x14ac:dyDescent="0.15">
      <c r="A39" s="17">
        <v>20170121</v>
      </c>
      <c r="B39" s="19" t="s">
        <v>74</v>
      </c>
      <c r="C39" s="36" t="s">
        <v>28</v>
      </c>
      <c r="D39" s="17"/>
      <c r="E39" s="17" t="s">
        <v>67</v>
      </c>
      <c r="F39" s="17" t="s">
        <v>39</v>
      </c>
      <c r="G39" s="17" t="s">
        <v>2</v>
      </c>
      <c r="H39" s="18">
        <f>[17]副本!G76</f>
        <v>35.023999999997613</v>
      </c>
      <c r="I39" s="18">
        <f>H39</f>
        <v>35.023999999997613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75</v>
      </c>
    </row>
    <row r="40" spans="1:16" s="11" customFormat="1" ht="27.75" customHeight="1" x14ac:dyDescent="0.15">
      <c r="A40" s="17">
        <v>20170121</v>
      </c>
      <c r="B40" s="19" t="s">
        <v>74</v>
      </c>
      <c r="C40" s="36" t="s">
        <v>28</v>
      </c>
      <c r="D40" s="17"/>
      <c r="E40" s="17" t="s">
        <v>67</v>
      </c>
      <c r="F40" s="17" t="s">
        <v>71</v>
      </c>
      <c r="G40" s="17" t="s">
        <v>2</v>
      </c>
      <c r="H40" s="18">
        <f>[17]副本!G77</f>
        <v>-0.23699999999985266</v>
      </c>
      <c r="I40" s="18">
        <f>H40</f>
        <v>-0.23699999999985266</v>
      </c>
      <c r="J40" s="17"/>
      <c r="K40" s="15"/>
      <c r="L40" s="16"/>
      <c r="M40" s="15">
        <v>4000</v>
      </c>
      <c r="N40" s="14"/>
      <c r="O40" s="13"/>
      <c r="P40" s="12" t="s">
        <v>240</v>
      </c>
    </row>
    <row r="41" spans="1:16" s="11" customFormat="1" ht="27.75" customHeight="1" x14ac:dyDescent="0.15">
      <c r="A41" s="17">
        <v>20170121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27.75" customHeight="1" x14ac:dyDescent="0.15">
      <c r="A42" s="17">
        <v>20170121</v>
      </c>
      <c r="B42" s="19" t="s">
        <v>72</v>
      </c>
      <c r="C42" s="36" t="s">
        <v>43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27.75" customHeight="1" x14ac:dyDescent="0.15">
      <c r="A43" s="17">
        <v>20170121</v>
      </c>
      <c r="B43" s="19" t="s">
        <v>68</v>
      </c>
      <c r="C43" s="36" t="s">
        <v>43</v>
      </c>
      <c r="D43" s="17"/>
      <c r="E43" s="17" t="s">
        <v>67</v>
      </c>
      <c r="F43" s="17" t="s">
        <v>39</v>
      </c>
      <c r="G43" s="17" t="s">
        <v>2</v>
      </c>
      <c r="H43" s="18">
        <f>[17]副本!G84</f>
        <v>1146.0509999999995</v>
      </c>
      <c r="I43" s="18">
        <f>H43</f>
        <v>1146.0509999999995</v>
      </c>
      <c r="J43" s="17"/>
      <c r="K43" s="15"/>
      <c r="L43" s="16">
        <f>H43-I43</f>
        <v>0</v>
      </c>
      <c r="M43" s="15">
        <v>5000</v>
      </c>
      <c r="N43" s="21"/>
      <c r="O43" s="13"/>
      <c r="P43" s="12" t="s">
        <v>258</v>
      </c>
    </row>
    <row r="44" spans="1:16" s="11" customFormat="1" ht="27.75" customHeight="1" x14ac:dyDescent="0.15">
      <c r="A44" s="17">
        <v>20170121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27.75" customHeight="1" x14ac:dyDescent="0.15">
      <c r="A45" s="17">
        <v>20170121</v>
      </c>
      <c r="B45" s="19" t="s">
        <v>64</v>
      </c>
      <c r="C45" s="36" t="s">
        <v>63</v>
      </c>
      <c r="D45" s="17"/>
      <c r="E45" s="17" t="s">
        <v>271</v>
      </c>
      <c r="F45" s="17" t="s">
        <v>232</v>
      </c>
      <c r="G45" s="17" t="s">
        <v>2</v>
      </c>
      <c r="H45" s="18">
        <f>[17]副本!G90</f>
        <v>984.85799999999995</v>
      </c>
      <c r="I45" s="18">
        <f>H45</f>
        <v>984.85799999999995</v>
      </c>
      <c r="J45" s="17"/>
      <c r="K45" s="15"/>
      <c r="L45" s="16">
        <f>H45-I45</f>
        <v>0</v>
      </c>
      <c r="M45" s="15">
        <v>5000</v>
      </c>
      <c r="N45" s="14"/>
      <c r="O45" s="13"/>
      <c r="P45" s="12" t="s">
        <v>270</v>
      </c>
    </row>
    <row r="46" spans="1:16" s="11" customFormat="1" ht="27.75" customHeight="1" x14ac:dyDescent="0.15">
      <c r="A46" s="17">
        <v>20170121</v>
      </c>
      <c r="B46" s="19" t="s">
        <v>64</v>
      </c>
      <c r="C46" s="36" t="s">
        <v>63</v>
      </c>
      <c r="D46" s="17"/>
      <c r="E46" s="17" t="s">
        <v>271</v>
      </c>
      <c r="F46" s="17" t="s">
        <v>140</v>
      </c>
      <c r="G46" s="17"/>
      <c r="H46" s="18">
        <f>[17]副本!G91</f>
        <v>1000</v>
      </c>
      <c r="I46" s="18">
        <f>H46</f>
        <v>1000</v>
      </c>
      <c r="J46" s="17"/>
      <c r="K46" s="15"/>
      <c r="L46" s="16"/>
      <c r="M46" s="15"/>
      <c r="N46" s="14"/>
      <c r="O46" s="13"/>
      <c r="P46" s="12" t="s">
        <v>270</v>
      </c>
    </row>
    <row r="47" spans="1:16" s="11" customFormat="1" ht="27.75" customHeight="1" x14ac:dyDescent="0.15">
      <c r="A47" s="17">
        <v>20170121</v>
      </c>
      <c r="B47" s="19" t="s">
        <v>62</v>
      </c>
      <c r="C47" s="36" t="s">
        <v>57</v>
      </c>
      <c r="D47" s="17"/>
      <c r="E47" s="17" t="s">
        <v>56</v>
      </c>
      <c r="F47" s="17" t="s">
        <v>61</v>
      </c>
      <c r="G47" s="17" t="s">
        <v>2</v>
      </c>
      <c r="H47" s="18">
        <f>[17]副本!G93</f>
        <v>586.12399999999411</v>
      </c>
      <c r="I47" s="18">
        <f>H47</f>
        <v>586.12399999999411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27.75" customHeight="1" x14ac:dyDescent="0.15">
      <c r="A48" s="17">
        <v>20170121</v>
      </c>
      <c r="B48" s="19" t="s">
        <v>60</v>
      </c>
      <c r="C48" s="36" t="s">
        <v>43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[17]副本!G95</f>
        <v>2409.6100000000006</v>
      </c>
      <c r="I48" s="18">
        <v>0</v>
      </c>
      <c r="J48" s="17"/>
      <c r="K48" s="15"/>
      <c r="L48" s="16">
        <f>H48-I48</f>
        <v>2409.6100000000006</v>
      </c>
      <c r="M48" s="15">
        <v>10000</v>
      </c>
      <c r="N48" s="14"/>
      <c r="O48" s="13"/>
      <c r="P48" s="12"/>
    </row>
    <row r="49" spans="1:17" s="11" customFormat="1" ht="27.75" customHeight="1" x14ac:dyDescent="0.15">
      <c r="A49" s="17">
        <v>20170121</v>
      </c>
      <c r="B49" s="19" t="s">
        <v>59</v>
      </c>
      <c r="C49" s="36" t="s">
        <v>28</v>
      </c>
      <c r="D49" s="17" t="s">
        <v>5</v>
      </c>
      <c r="E49" s="17" t="s">
        <v>34</v>
      </c>
      <c r="F49" s="17" t="s">
        <v>48</v>
      </c>
      <c r="G49" s="17" t="s">
        <v>2</v>
      </c>
      <c r="H49" s="18">
        <f>[17]副本!G97</f>
        <v>2625.0060000000003</v>
      </c>
      <c r="I49" s="18"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27.75" customHeight="1" x14ac:dyDescent="0.15">
      <c r="A50" s="17">
        <v>20170121</v>
      </c>
      <c r="B50" s="19" t="s">
        <v>58</v>
      </c>
      <c r="C50" s="36" t="s">
        <v>57</v>
      </c>
      <c r="D50" s="17"/>
      <c r="E50" s="17" t="s">
        <v>56</v>
      </c>
      <c r="F50" s="17" t="s">
        <v>268</v>
      </c>
      <c r="G50" s="17" t="s">
        <v>54</v>
      </c>
      <c r="H50" s="18">
        <f>[17]副本!G99</f>
        <v>3948.9930000000086</v>
      </c>
      <c r="I50" s="18">
        <f>H50</f>
        <v>3948.9930000000086</v>
      </c>
      <c r="J50" s="17"/>
      <c r="K50" s="16"/>
      <c r="L50" s="16">
        <v>0</v>
      </c>
      <c r="M50" s="15">
        <v>5000</v>
      </c>
      <c r="N50" s="23" t="s">
        <v>53</v>
      </c>
      <c r="O50" s="22" t="s">
        <v>52</v>
      </c>
      <c r="P50" s="12" t="s">
        <v>474</v>
      </c>
    </row>
    <row r="51" spans="1:17" s="11" customFormat="1" ht="27.75" customHeight="1" x14ac:dyDescent="0.15">
      <c r="A51" s="17">
        <v>20170121</v>
      </c>
      <c r="B51" s="19" t="s">
        <v>50</v>
      </c>
      <c r="C51" s="36" t="s">
        <v>28</v>
      </c>
      <c r="D51" s="17"/>
      <c r="E51" s="17" t="s">
        <v>238</v>
      </c>
      <c r="F51" s="17" t="s">
        <v>249</v>
      </c>
      <c r="G51" s="17" t="s">
        <v>2</v>
      </c>
      <c r="H51" s="18">
        <f>[17]副本!G101</f>
        <v>1.1789999999998599</v>
      </c>
      <c r="I51" s="18">
        <f>H51</f>
        <v>1.1789999999998599</v>
      </c>
      <c r="J51" s="17"/>
      <c r="K51" s="15"/>
      <c r="L51" s="16">
        <f>H51-I51</f>
        <v>0</v>
      </c>
      <c r="M51" s="15">
        <v>3000</v>
      </c>
      <c r="N51" s="14"/>
      <c r="O51" s="13"/>
      <c r="P51" s="12" t="s">
        <v>237</v>
      </c>
    </row>
    <row r="52" spans="1:17" s="11" customFormat="1" ht="27.75" customHeight="1" x14ac:dyDescent="0.15">
      <c r="A52" s="17">
        <v>20170121</v>
      </c>
      <c r="B52" s="19" t="s">
        <v>49</v>
      </c>
      <c r="C52" s="36" t="s">
        <v>28</v>
      </c>
      <c r="D52" s="17" t="s">
        <v>5</v>
      </c>
      <c r="E52" s="17" t="s">
        <v>34</v>
      </c>
      <c r="F52" s="17" t="s">
        <v>48</v>
      </c>
      <c r="G52" s="17" t="s">
        <v>22</v>
      </c>
      <c r="H52" s="18">
        <f>[17]副本!G103</f>
        <v>17900.637999999999</v>
      </c>
      <c r="I52" s="18">
        <v>0</v>
      </c>
      <c r="J52" s="17"/>
      <c r="K52" s="15"/>
      <c r="L52" s="16">
        <f>H52-I52</f>
        <v>17900.637999999999</v>
      </c>
      <c r="M52" s="15">
        <v>25000</v>
      </c>
      <c r="N52" s="14" t="s">
        <v>47</v>
      </c>
      <c r="O52" s="13" t="s">
        <v>46</v>
      </c>
      <c r="P52" s="12" t="s">
        <v>45</v>
      </c>
    </row>
    <row r="53" spans="1:17" s="11" customFormat="1" ht="27.75" customHeight="1" x14ac:dyDescent="0.15">
      <c r="A53" s="17">
        <v>20170121</v>
      </c>
      <c r="B53" s="19" t="s">
        <v>44</v>
      </c>
      <c r="C53" s="36" t="s">
        <v>43</v>
      </c>
      <c r="D53" s="17" t="s">
        <v>5</v>
      </c>
      <c r="E53" s="17" t="s">
        <v>34</v>
      </c>
      <c r="F53" s="17" t="s">
        <v>234</v>
      </c>
      <c r="G53" s="17" t="s">
        <v>22</v>
      </c>
      <c r="H53" s="18">
        <f>[17]副本!G105</f>
        <v>12990.035000000082</v>
      </c>
      <c r="I53" s="18">
        <v>0</v>
      </c>
      <c r="J53" s="17"/>
      <c r="K53" s="15"/>
      <c r="L53" s="16">
        <f>H53-I53</f>
        <v>12990.035000000082</v>
      </c>
      <c r="M53" s="15">
        <v>50000</v>
      </c>
      <c r="N53" s="14"/>
      <c r="O53" s="13"/>
      <c r="P53" s="12"/>
    </row>
    <row r="54" spans="1:17" s="11" customFormat="1" ht="27.75" customHeight="1" x14ac:dyDescent="0.15">
      <c r="A54" s="17">
        <v>20170121</v>
      </c>
      <c r="B54" s="19" t="s">
        <v>41</v>
      </c>
      <c r="C54" s="36" t="s">
        <v>28</v>
      </c>
      <c r="D54" s="17"/>
      <c r="E54" s="17" t="s">
        <v>67</v>
      </c>
      <c r="F54" s="17" t="s">
        <v>39</v>
      </c>
      <c r="G54" s="17" t="s">
        <v>22</v>
      </c>
      <c r="H54" s="18">
        <f>[17]副本!G109</f>
        <v>2593.6109999999999</v>
      </c>
      <c r="I54" s="18">
        <f>H54</f>
        <v>2593.6109999999999</v>
      </c>
      <c r="J54" s="17"/>
      <c r="K54" s="15"/>
      <c r="L54" s="16">
        <f>H54-I54</f>
        <v>0</v>
      </c>
      <c r="M54" s="15">
        <v>4000</v>
      </c>
      <c r="N54" s="14"/>
      <c r="O54" s="13"/>
      <c r="P54" s="12" t="s">
        <v>457</v>
      </c>
    </row>
    <row r="55" spans="1:17" s="11" customFormat="1" ht="27.75" customHeight="1" x14ac:dyDescent="0.15">
      <c r="A55" s="17">
        <v>20170121</v>
      </c>
      <c r="B55" s="19" t="s">
        <v>37</v>
      </c>
      <c r="C55" s="36" t="s">
        <v>31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27.75" customHeight="1" x14ac:dyDescent="0.15">
      <c r="A56" s="17">
        <v>20170121</v>
      </c>
      <c r="B56" s="19" t="s">
        <v>36</v>
      </c>
      <c r="C56" s="36" t="s">
        <v>31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27.75" customHeight="1" x14ac:dyDescent="0.15">
      <c r="A57" s="17">
        <v>20170121</v>
      </c>
      <c r="B57" s="19" t="s">
        <v>35</v>
      </c>
      <c r="C57" s="36" t="s">
        <v>28</v>
      </c>
      <c r="D57" s="17" t="s">
        <v>5</v>
      </c>
      <c r="E57" s="17" t="s">
        <v>34</v>
      </c>
      <c r="F57" s="17" t="s">
        <v>469</v>
      </c>
      <c r="G57" s="17" t="s">
        <v>22</v>
      </c>
      <c r="H57" s="18">
        <f>[17]副本!G115</f>
        <v>1767.3689999999997</v>
      </c>
      <c r="I57" s="18">
        <v>0</v>
      </c>
      <c r="J57" s="17"/>
      <c r="K57" s="16"/>
      <c r="L57" s="16">
        <f>H57-I57</f>
        <v>1767.3689999999997</v>
      </c>
      <c r="M57" s="15">
        <v>10000</v>
      </c>
      <c r="N57" s="14"/>
      <c r="O57" s="13"/>
      <c r="P57" s="12"/>
      <c r="Q57" s="20"/>
    </row>
    <row r="58" spans="1:17" s="11" customFormat="1" ht="27.75" customHeight="1" x14ac:dyDescent="0.15">
      <c r="A58" s="17">
        <v>20170121</v>
      </c>
      <c r="B58" s="19" t="s">
        <v>32</v>
      </c>
      <c r="C58" s="36" t="s">
        <v>31</v>
      </c>
      <c r="D58" s="17" t="s">
        <v>5</v>
      </c>
      <c r="E58" s="17" t="s">
        <v>4</v>
      </c>
      <c r="F58" s="17" t="s">
        <v>436</v>
      </c>
      <c r="G58" s="17" t="s">
        <v>22</v>
      </c>
      <c r="H58" s="18">
        <f>[17]副本!G117</f>
        <v>3990.8999999999996</v>
      </c>
      <c r="I58" s="18">
        <v>0</v>
      </c>
      <c r="J58" s="17"/>
      <c r="K58" s="21">
        <v>150</v>
      </c>
      <c r="L58" s="16">
        <f>H58-I58</f>
        <v>3990.8999999999996</v>
      </c>
      <c r="M58" s="15">
        <v>15000</v>
      </c>
      <c r="N58" s="14"/>
      <c r="O58" s="13"/>
      <c r="P58" s="12" t="s">
        <v>472</v>
      </c>
      <c r="Q58" s="20"/>
    </row>
    <row r="59" spans="1:17" s="11" customFormat="1" ht="27.75" customHeight="1" x14ac:dyDescent="0.15">
      <c r="A59" s="17">
        <v>20170121</v>
      </c>
      <c r="B59" s="19" t="s">
        <v>32</v>
      </c>
      <c r="C59" s="36" t="s">
        <v>31</v>
      </c>
      <c r="D59" s="17" t="s">
        <v>5</v>
      </c>
      <c r="E59" s="17" t="s">
        <v>4</v>
      </c>
      <c r="F59" s="17" t="s">
        <v>437</v>
      </c>
      <c r="G59" s="17" t="s">
        <v>22</v>
      </c>
      <c r="H59" s="18">
        <f>[17]副本!G118</f>
        <v>2442.7600000000002</v>
      </c>
      <c r="I59" s="18">
        <f>H59</f>
        <v>2442.7600000000002</v>
      </c>
      <c r="J59" s="17"/>
      <c r="K59" s="21"/>
      <c r="L59" s="16">
        <f>H59-I59</f>
        <v>0</v>
      </c>
      <c r="M59" s="15">
        <v>15000</v>
      </c>
      <c r="N59" s="14"/>
      <c r="O59" s="13"/>
      <c r="P59" s="12" t="s">
        <v>470</v>
      </c>
      <c r="Q59" s="20"/>
    </row>
    <row r="60" spans="1:17" s="11" customFormat="1" ht="27.75" customHeight="1" x14ac:dyDescent="0.15">
      <c r="A60" s="17">
        <v>20170121</v>
      </c>
      <c r="B60" s="19" t="s">
        <v>30</v>
      </c>
      <c r="C60" s="19" t="s">
        <v>28</v>
      </c>
      <c r="D60" s="17" t="s">
        <v>5</v>
      </c>
      <c r="E60" s="17" t="s">
        <v>4</v>
      </c>
      <c r="F60" s="17" t="s">
        <v>3</v>
      </c>
      <c r="G60" s="17" t="s">
        <v>22</v>
      </c>
      <c r="H60" s="18">
        <f>[17]副本!G120</f>
        <v>10844.730999999996</v>
      </c>
      <c r="I60" s="18">
        <f>H60</f>
        <v>10844.730999999996</v>
      </c>
      <c r="J60" s="17"/>
      <c r="K60" s="15">
        <v>600</v>
      </c>
      <c r="L60" s="16"/>
      <c r="M60" s="15">
        <v>43000</v>
      </c>
      <c r="N60" s="14"/>
      <c r="O60" s="13"/>
      <c r="P60" s="12" t="s">
        <v>220</v>
      </c>
      <c r="Q60" s="20"/>
    </row>
    <row r="61" spans="1:17" s="11" customFormat="1" ht="27.75" customHeight="1" x14ac:dyDescent="0.15">
      <c r="A61" s="17">
        <v>20170121</v>
      </c>
      <c r="B61" s="19" t="s">
        <v>30</v>
      </c>
      <c r="C61" s="19" t="s">
        <v>28</v>
      </c>
      <c r="D61" s="17" t="s">
        <v>5</v>
      </c>
      <c r="E61" s="17" t="s">
        <v>4</v>
      </c>
      <c r="F61" s="17" t="s">
        <v>251</v>
      </c>
      <c r="G61" s="17" t="s">
        <v>22</v>
      </c>
      <c r="H61" s="18">
        <f>[17]副本!G121</f>
        <v>429.17999999999938</v>
      </c>
      <c r="I61" s="18">
        <f>H61</f>
        <v>429.17999999999938</v>
      </c>
      <c r="J61" s="17"/>
      <c r="K61" s="17"/>
      <c r="L61" s="16"/>
      <c r="M61" s="15">
        <v>43000</v>
      </c>
      <c r="N61" s="14"/>
      <c r="O61" s="13"/>
      <c r="P61" s="12" t="s">
        <v>220</v>
      </c>
      <c r="Q61" s="20"/>
    </row>
    <row r="62" spans="1:17" s="11" customFormat="1" ht="27.75" customHeight="1" x14ac:dyDescent="0.15">
      <c r="A62" s="17">
        <v>20170121</v>
      </c>
      <c r="B62" s="19" t="s">
        <v>29</v>
      </c>
      <c r="C62" s="19" t="s">
        <v>28</v>
      </c>
      <c r="D62" s="17" t="s">
        <v>5</v>
      </c>
      <c r="E62" s="17"/>
      <c r="F62" s="17"/>
      <c r="G62" s="17"/>
      <c r="H62" s="18"/>
      <c r="I62" s="18"/>
      <c r="J62" s="17"/>
      <c r="K62" s="15"/>
      <c r="L62" s="16"/>
      <c r="M62" s="15"/>
      <c r="N62" s="14"/>
      <c r="O62" s="13"/>
      <c r="P62" s="12"/>
      <c r="Q62" s="20"/>
    </row>
    <row r="63" spans="1:17" s="11" customFormat="1" ht="27.75" customHeight="1" x14ac:dyDescent="0.15">
      <c r="A63" s="17">
        <v>20170121</v>
      </c>
      <c r="B63" s="19" t="s">
        <v>24</v>
      </c>
      <c r="C63" s="36" t="s">
        <v>0</v>
      </c>
      <c r="D63" s="17"/>
      <c r="E63" s="17" t="s">
        <v>4</v>
      </c>
      <c r="F63" s="17" t="s">
        <v>23</v>
      </c>
      <c r="G63" s="17" t="s">
        <v>22</v>
      </c>
      <c r="H63" s="18">
        <f>[17]副本!G125</f>
        <v>13.946999999996024</v>
      </c>
      <c r="I63" s="18">
        <f>H63-15652.787+4092.929+8666.148+2893.71</f>
        <v>13.946999999995569</v>
      </c>
      <c r="J63" s="17"/>
      <c r="K63" s="15"/>
      <c r="L63" s="16">
        <f>H63-I63</f>
        <v>4.5474735088646412E-13</v>
      </c>
      <c r="M63" s="15">
        <v>20000</v>
      </c>
      <c r="N63" s="14"/>
      <c r="O63" s="13"/>
      <c r="P63" s="12" t="s">
        <v>443</v>
      </c>
    </row>
    <row r="64" spans="1:17" s="11" customFormat="1" ht="27.75" customHeight="1" x14ac:dyDescent="0.15">
      <c r="A64" s="17">
        <v>20170121</v>
      </c>
      <c r="B64" s="19" t="s">
        <v>442</v>
      </c>
      <c r="C64" s="36" t="s">
        <v>0</v>
      </c>
      <c r="D64" s="17"/>
      <c r="E64" s="17" t="s">
        <v>12</v>
      </c>
      <c r="F64" s="17" t="s">
        <v>594</v>
      </c>
      <c r="G64" s="17" t="s">
        <v>2</v>
      </c>
      <c r="H64" s="18">
        <f>[17]副本!G127</f>
        <v>3643.1330000000016</v>
      </c>
      <c r="I64" s="18">
        <f>H64-4751.949+4751.949</f>
        <v>3643.1330000000016</v>
      </c>
      <c r="J64" s="17"/>
      <c r="K64" s="15"/>
      <c r="L64" s="16">
        <f>H64-I64</f>
        <v>0</v>
      </c>
      <c r="M64" s="15">
        <v>30000</v>
      </c>
      <c r="N64" s="14"/>
      <c r="O64" s="13"/>
      <c r="P64" s="12" t="s">
        <v>452</v>
      </c>
    </row>
    <row r="65" spans="1:16" s="11" customFormat="1" ht="27.75" customHeight="1" x14ac:dyDescent="0.15">
      <c r="A65" s="17">
        <v>20170121</v>
      </c>
      <c r="B65" s="19" t="s">
        <v>442</v>
      </c>
      <c r="C65" s="36" t="s">
        <v>0</v>
      </c>
      <c r="D65" s="17"/>
      <c r="E65" s="17" t="s">
        <v>12</v>
      </c>
      <c r="F65" s="17" t="s">
        <v>599</v>
      </c>
      <c r="G65" s="17" t="s">
        <v>2</v>
      </c>
      <c r="H65" s="18">
        <f>[17]副本!G128</f>
        <v>5000.9920000000002</v>
      </c>
      <c r="I65" s="18">
        <f>H65</f>
        <v>5000.9920000000002</v>
      </c>
      <c r="J65" s="17"/>
      <c r="K65" s="15"/>
      <c r="L65" s="16">
        <f>H65-I65</f>
        <v>0</v>
      </c>
      <c r="M65" s="15">
        <v>30000</v>
      </c>
      <c r="N65" s="14"/>
      <c r="O65" s="13"/>
      <c r="P65" s="12" t="s">
        <v>440</v>
      </c>
    </row>
    <row r="66" spans="1:16" s="11" customFormat="1" ht="27.75" customHeight="1" x14ac:dyDescent="0.15">
      <c r="A66" s="17">
        <v>20170121</v>
      </c>
      <c r="B66" s="19" t="s">
        <v>18</v>
      </c>
      <c r="C66" s="36" t="s">
        <v>0</v>
      </c>
      <c r="D66" s="17" t="s">
        <v>5</v>
      </c>
      <c r="E66" s="17" t="s">
        <v>4</v>
      </c>
      <c r="F66" s="17" t="s">
        <v>17</v>
      </c>
      <c r="G66" s="17" t="s">
        <v>2</v>
      </c>
      <c r="H66" s="18">
        <f>[17]副本!G130</f>
        <v>14976.093999999999</v>
      </c>
      <c r="I66" s="18">
        <f>H66-14976.094</f>
        <v>0</v>
      </c>
      <c r="J66" s="17"/>
      <c r="K66" s="15">
        <v>350</v>
      </c>
      <c r="L66" s="16">
        <f>H66-I66</f>
        <v>14976.093999999999</v>
      </c>
      <c r="M66" s="15">
        <v>20000</v>
      </c>
      <c r="N66" s="14" t="s">
        <v>16</v>
      </c>
      <c r="O66" s="13" t="s">
        <v>15</v>
      </c>
      <c r="P66" s="12" t="s">
        <v>14</v>
      </c>
    </row>
    <row r="67" spans="1:16" s="11" customFormat="1" ht="27.75" customHeight="1" x14ac:dyDescent="0.15">
      <c r="A67" s="17">
        <v>20170121</v>
      </c>
      <c r="B67" s="19" t="s">
        <v>13</v>
      </c>
      <c r="C67" s="36" t="s">
        <v>0</v>
      </c>
      <c r="D67" s="17"/>
      <c r="E67" s="17" t="s">
        <v>12</v>
      </c>
      <c r="F67" s="17" t="s">
        <v>11</v>
      </c>
      <c r="G67" s="17" t="s">
        <v>2</v>
      </c>
      <c r="H67" s="18">
        <f>[17]副本!G132</f>
        <v>25173.616999999973</v>
      </c>
      <c r="I67" s="18">
        <f>H67</f>
        <v>25173.616999999973</v>
      </c>
      <c r="J67" s="17"/>
      <c r="K67" s="15"/>
      <c r="L67" s="16">
        <v>0</v>
      </c>
      <c r="M67" s="15">
        <v>30000</v>
      </c>
      <c r="N67" s="14"/>
      <c r="O67" s="13"/>
      <c r="P67" s="12"/>
    </row>
    <row r="68" spans="1:16" s="11" customFormat="1" ht="27.75" customHeight="1" x14ac:dyDescent="0.15">
      <c r="A68" s="17">
        <v>20170121</v>
      </c>
      <c r="B68" s="19" t="s">
        <v>10</v>
      </c>
      <c r="C68" s="36" t="s">
        <v>0</v>
      </c>
      <c r="D68" s="17"/>
      <c r="E68" s="17" t="s">
        <v>9</v>
      </c>
      <c r="F68" s="12" t="s">
        <v>8</v>
      </c>
      <c r="G68" s="17" t="s">
        <v>2</v>
      </c>
      <c r="H68" s="18">
        <f>[17]副本!G134</f>
        <v>0</v>
      </c>
      <c r="I68" s="18">
        <f>H68</f>
        <v>0</v>
      </c>
      <c r="J68" s="17"/>
      <c r="K68" s="15"/>
      <c r="L68" s="16">
        <f>H68-I68</f>
        <v>0</v>
      </c>
      <c r="M68" s="15">
        <v>20000</v>
      </c>
      <c r="N68" s="14"/>
      <c r="O68" s="13"/>
      <c r="P68" s="17" t="s">
        <v>449</v>
      </c>
    </row>
    <row r="69" spans="1:16" s="11" customFormat="1" ht="27.75" customHeight="1" x14ac:dyDescent="0.15">
      <c r="A69" s="17">
        <v>20170121</v>
      </c>
      <c r="B69" s="19" t="s">
        <v>10</v>
      </c>
      <c r="C69" s="36" t="s">
        <v>0</v>
      </c>
      <c r="D69" s="17"/>
      <c r="E69" s="17" t="s">
        <v>9</v>
      </c>
      <c r="F69" s="12" t="s">
        <v>257</v>
      </c>
      <c r="G69" s="17" t="s">
        <v>2</v>
      </c>
      <c r="H69" s="18">
        <f>[17]副本!G135</f>
        <v>2902.8549999999996</v>
      </c>
      <c r="I69" s="18">
        <f>H69</f>
        <v>2902.8549999999996</v>
      </c>
      <c r="J69" s="17"/>
      <c r="K69" s="15"/>
      <c r="L69" s="16">
        <v>0</v>
      </c>
      <c r="M69" s="15">
        <v>20000</v>
      </c>
      <c r="N69" s="14"/>
      <c r="O69" s="13"/>
      <c r="P69" s="12" t="s">
        <v>252</v>
      </c>
    </row>
    <row r="70" spans="1:16" s="11" customFormat="1" ht="27.75" customHeight="1" x14ac:dyDescent="0.15">
      <c r="A70" s="17">
        <v>20170121</v>
      </c>
      <c r="B70" s="19" t="s">
        <v>7</v>
      </c>
      <c r="C70" s="36" t="s">
        <v>0</v>
      </c>
      <c r="D70" s="17"/>
      <c r="E70" s="17"/>
      <c r="F70" s="17"/>
      <c r="G70" s="17"/>
      <c r="H70" s="18"/>
      <c r="I70" s="18"/>
      <c r="J70" s="17"/>
      <c r="K70" s="15"/>
      <c r="L70" s="16"/>
      <c r="M70" s="15">
        <v>15000</v>
      </c>
      <c r="N70" s="14"/>
      <c r="O70" s="13"/>
      <c r="P70" s="12"/>
    </row>
    <row r="71" spans="1:16" s="11" customFormat="1" ht="27.75" customHeight="1" x14ac:dyDescent="0.15">
      <c r="A71" s="17">
        <v>20170121</v>
      </c>
      <c r="B71" s="19" t="s">
        <v>6</v>
      </c>
      <c r="C71" s="36" t="s">
        <v>0</v>
      </c>
      <c r="D71" s="17" t="s">
        <v>5</v>
      </c>
      <c r="E71" s="17" t="s">
        <v>4</v>
      </c>
      <c r="F71" s="17" t="s">
        <v>3</v>
      </c>
      <c r="G71" s="17" t="s">
        <v>2</v>
      </c>
      <c r="H71" s="18">
        <f>[17]副本!G139</f>
        <v>12005.106</v>
      </c>
      <c r="I71" s="18">
        <f>H71-12005.106</f>
        <v>0</v>
      </c>
      <c r="J71" s="17"/>
      <c r="K71" s="15"/>
      <c r="L71" s="16">
        <f>H71-I71</f>
        <v>12005.106</v>
      </c>
      <c r="M71" s="15">
        <v>15000</v>
      </c>
      <c r="N71" s="14"/>
      <c r="O71" s="13"/>
      <c r="P71" s="12"/>
    </row>
    <row r="72" spans="1:16" s="11" customFormat="1" ht="27.75" customHeight="1" x14ac:dyDescent="0.15">
      <c r="A72" s="17">
        <v>20170121</v>
      </c>
      <c r="B72" s="19" t="s">
        <v>1</v>
      </c>
      <c r="C72" s="36" t="s">
        <v>0</v>
      </c>
      <c r="D72" s="17"/>
      <c r="E72" s="17" t="s">
        <v>4</v>
      </c>
      <c r="F72" s="17" t="s">
        <v>437</v>
      </c>
      <c r="G72" s="17" t="s">
        <v>2</v>
      </c>
      <c r="H72" s="18">
        <f>[17]副本!G141</f>
        <v>7569.2699999999986</v>
      </c>
      <c r="I72" s="18">
        <f>H72</f>
        <v>7569.2699999999986</v>
      </c>
      <c r="J72" s="17"/>
      <c r="K72" s="15"/>
      <c r="L72" s="16">
        <f>H72-I72</f>
        <v>0</v>
      </c>
      <c r="M72" s="15">
        <v>15000</v>
      </c>
      <c r="N72" s="14"/>
      <c r="O72" s="13"/>
      <c r="P72" s="12" t="s">
        <v>475</v>
      </c>
    </row>
    <row r="78" spans="1:16" x14ac:dyDescent="0.15">
      <c r="L78" s="10"/>
    </row>
    <row r="230" spans="7:8" x14ac:dyDescent="0.15">
      <c r="G230" s="2"/>
      <c r="H230" s="2"/>
    </row>
  </sheetData>
  <autoFilter ref="B1:I72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0"/>
  <sheetViews>
    <sheetView workbookViewId="0">
      <pane xSplit="3" ySplit="1" topLeftCell="D71" activePane="bottomRight" state="frozen"/>
      <selection activeCell="G5" sqref="G5"/>
      <selection pane="topRight" activeCell="G5" sqref="G5"/>
      <selection pane="bottomLeft" activeCell="G5" sqref="G5"/>
      <selection pane="bottomRight" activeCell="F21" sqref="F21:F22"/>
    </sheetView>
  </sheetViews>
  <sheetFormatPr defaultColWidth="8.875" defaultRowHeight="11.25" x14ac:dyDescent="0.15"/>
  <cols>
    <col min="1" max="1" width="8.875" style="41"/>
    <col min="2" max="2" width="5.875" style="43" customWidth="1"/>
    <col min="3" max="3" width="8.25" style="50" customWidth="1"/>
    <col min="4" max="4" width="4.625" style="49" customWidth="1"/>
    <col min="5" max="5" width="9.375" style="43" customWidth="1"/>
    <col min="6" max="6" width="23.375" style="43" customWidth="1"/>
    <col min="7" max="7" width="5.25" style="49" customWidth="1"/>
    <col min="8" max="8" width="10.125" style="48" customWidth="1"/>
    <col min="9" max="9" width="9.625" style="48" customWidth="1"/>
    <col min="10" max="10" width="8.25" style="42" hidden="1" customWidth="1"/>
    <col min="11" max="11" width="7" style="79" customWidth="1"/>
    <col min="12" max="12" width="8.375" style="46" customWidth="1"/>
    <col min="13" max="13" width="6" style="45" bestFit="1" customWidth="1"/>
    <col min="14" max="14" width="8.75" style="44" customWidth="1"/>
    <col min="15" max="15" width="8.25" style="44" customWidth="1"/>
    <col min="16" max="16" width="28.5" style="43" customWidth="1"/>
    <col min="17" max="17" width="8.875" style="42"/>
    <col min="18" max="16384" width="8.875" style="41"/>
  </cols>
  <sheetData>
    <row r="1" spans="1:17" s="52" customFormat="1" ht="22.5" x14ac:dyDescent="0.15">
      <c r="A1" s="54" t="s">
        <v>570</v>
      </c>
      <c r="B1" s="54" t="s">
        <v>569</v>
      </c>
      <c r="C1" s="55" t="s">
        <v>171</v>
      </c>
      <c r="D1" s="55" t="s">
        <v>170</v>
      </c>
      <c r="E1" s="55" t="s">
        <v>169</v>
      </c>
      <c r="F1" s="55" t="s">
        <v>568</v>
      </c>
      <c r="G1" s="56" t="s">
        <v>167</v>
      </c>
      <c r="H1" s="57" t="s">
        <v>166</v>
      </c>
      <c r="I1" s="58" t="s">
        <v>567</v>
      </c>
      <c r="J1" s="55"/>
      <c r="K1" s="60" t="s">
        <v>164</v>
      </c>
      <c r="L1" s="59" t="s">
        <v>163</v>
      </c>
      <c r="M1" s="60" t="s">
        <v>162</v>
      </c>
      <c r="N1" s="61" t="s">
        <v>161</v>
      </c>
      <c r="O1" s="61" t="s">
        <v>160</v>
      </c>
      <c r="P1" s="55" t="s">
        <v>159</v>
      </c>
    </row>
    <row r="2" spans="1:17" s="52" customFormat="1" ht="29.25" customHeight="1" x14ac:dyDescent="0.15">
      <c r="A2" s="80">
        <v>20170122</v>
      </c>
      <c r="B2" s="62" t="s">
        <v>158</v>
      </c>
      <c r="C2" s="74" t="s">
        <v>63</v>
      </c>
      <c r="D2" s="62"/>
      <c r="E2" s="63" t="s">
        <v>141</v>
      </c>
      <c r="F2" s="63" t="s">
        <v>144</v>
      </c>
      <c r="G2" s="64" t="s">
        <v>54</v>
      </c>
      <c r="H2" s="65"/>
      <c r="I2" s="65"/>
      <c r="J2" s="63"/>
      <c r="K2" s="67"/>
      <c r="L2" s="66">
        <v>0</v>
      </c>
      <c r="M2" s="67">
        <v>2000</v>
      </c>
      <c r="N2" s="68" t="s">
        <v>563</v>
      </c>
      <c r="O2" s="69" t="s">
        <v>551</v>
      </c>
      <c r="P2" s="64"/>
    </row>
    <row r="3" spans="1:17" s="52" customFormat="1" ht="29.25" customHeight="1" x14ac:dyDescent="0.15">
      <c r="A3" s="80">
        <v>20170122</v>
      </c>
      <c r="B3" s="62" t="s">
        <v>157</v>
      </c>
      <c r="C3" s="74" t="s">
        <v>63</v>
      </c>
      <c r="D3" s="62"/>
      <c r="E3" s="63" t="s">
        <v>554</v>
      </c>
      <c r="F3" s="17" t="s">
        <v>468</v>
      </c>
      <c r="G3" s="64" t="s">
        <v>54</v>
      </c>
      <c r="H3" s="65">
        <f>[18]副本!G6</f>
        <v>928.1389999999999</v>
      </c>
      <c r="I3" s="65">
        <f>H3</f>
        <v>928.1389999999999</v>
      </c>
      <c r="J3" s="63"/>
      <c r="K3" s="67"/>
      <c r="L3" s="66">
        <f>H3-I3</f>
        <v>0</v>
      </c>
      <c r="M3" s="67">
        <v>1500</v>
      </c>
      <c r="N3" s="68"/>
      <c r="O3" s="69"/>
      <c r="P3" s="64"/>
    </row>
    <row r="4" spans="1:17" s="52" customFormat="1" ht="29.25" customHeight="1" x14ac:dyDescent="0.15">
      <c r="A4" s="80">
        <v>20170122</v>
      </c>
      <c r="B4" s="62" t="s">
        <v>153</v>
      </c>
      <c r="C4" s="74" t="s">
        <v>63</v>
      </c>
      <c r="D4" s="62"/>
      <c r="E4" s="63" t="s">
        <v>566</v>
      </c>
      <c r="F4" s="63" t="s">
        <v>61</v>
      </c>
      <c r="G4" s="64" t="s">
        <v>54</v>
      </c>
      <c r="H4" s="65">
        <f>[18]副本!G8</f>
        <v>1710.5029999999958</v>
      </c>
      <c r="I4" s="65">
        <f>H4</f>
        <v>1710.5029999999958</v>
      </c>
      <c r="J4" s="63"/>
      <c r="K4" s="66"/>
      <c r="L4" s="66">
        <v>0</v>
      </c>
      <c r="M4" s="67">
        <v>2000</v>
      </c>
      <c r="N4" s="68" t="s">
        <v>152</v>
      </c>
      <c r="O4" s="69" t="s">
        <v>151</v>
      </c>
      <c r="P4" s="64" t="s">
        <v>565</v>
      </c>
    </row>
    <row r="5" spans="1:17" s="52" customFormat="1" ht="29.25" customHeight="1" x14ac:dyDescent="0.15">
      <c r="A5" s="80">
        <v>20170122</v>
      </c>
      <c r="B5" s="62" t="s">
        <v>149</v>
      </c>
      <c r="C5" s="74" t="s">
        <v>63</v>
      </c>
      <c r="D5" s="63"/>
      <c r="E5" s="63" t="s">
        <v>564</v>
      </c>
      <c r="F5" s="63" t="s">
        <v>140</v>
      </c>
      <c r="G5" s="64" t="s">
        <v>54</v>
      </c>
      <c r="H5" s="65"/>
      <c r="I5" s="65"/>
      <c r="J5" s="63"/>
      <c r="K5" s="67"/>
      <c r="L5" s="66"/>
      <c r="M5" s="67">
        <v>2000</v>
      </c>
      <c r="N5" s="68" t="s">
        <v>147</v>
      </c>
      <c r="O5" s="69" t="s">
        <v>551</v>
      </c>
      <c r="P5" s="64"/>
    </row>
    <row r="6" spans="1:17" s="52" customFormat="1" ht="29.25" customHeight="1" x14ac:dyDescent="0.15">
      <c r="A6" s="80">
        <v>20170122</v>
      </c>
      <c r="B6" s="62" t="s">
        <v>145</v>
      </c>
      <c r="C6" s="74" t="s">
        <v>63</v>
      </c>
      <c r="D6" s="63"/>
      <c r="E6" s="63" t="s">
        <v>141</v>
      </c>
      <c r="F6" s="63" t="s">
        <v>144</v>
      </c>
      <c r="G6" s="64" t="s">
        <v>54</v>
      </c>
      <c r="H6" s="65"/>
      <c r="I6" s="65"/>
      <c r="J6" s="63"/>
      <c r="K6" s="67"/>
      <c r="L6" s="66"/>
      <c r="M6" s="67">
        <v>3000</v>
      </c>
      <c r="N6" s="68" t="s">
        <v>563</v>
      </c>
      <c r="O6" s="69" t="s">
        <v>551</v>
      </c>
      <c r="P6" s="64"/>
      <c r="Q6" s="53"/>
    </row>
    <row r="7" spans="1:17" s="52" customFormat="1" ht="29.25" customHeight="1" x14ac:dyDescent="0.15">
      <c r="A7" s="80">
        <v>20170122</v>
      </c>
      <c r="B7" s="62" t="s">
        <v>142</v>
      </c>
      <c r="C7" s="74" t="s">
        <v>63</v>
      </c>
      <c r="D7" s="63"/>
      <c r="E7" s="63" t="s">
        <v>141</v>
      </c>
      <c r="F7" s="63" t="s">
        <v>140</v>
      </c>
      <c r="G7" s="63" t="s">
        <v>54</v>
      </c>
      <c r="H7" s="65"/>
      <c r="I7" s="65"/>
      <c r="J7" s="63"/>
      <c r="K7" s="67"/>
      <c r="L7" s="66"/>
      <c r="M7" s="67">
        <v>3000</v>
      </c>
      <c r="N7" s="68"/>
      <c r="O7" s="69"/>
      <c r="P7" s="64"/>
      <c r="Q7" s="53"/>
    </row>
    <row r="8" spans="1:17" s="52" customFormat="1" ht="29.25" customHeight="1" x14ac:dyDescent="0.15">
      <c r="A8" s="80">
        <v>20170122</v>
      </c>
      <c r="B8" s="62" t="s">
        <v>139</v>
      </c>
      <c r="C8" s="74" t="s">
        <v>63</v>
      </c>
      <c r="D8" s="63"/>
      <c r="E8" s="63"/>
      <c r="F8" s="63"/>
      <c r="G8" s="63"/>
      <c r="H8" s="65"/>
      <c r="I8" s="65"/>
      <c r="J8" s="63"/>
      <c r="K8" s="67"/>
      <c r="L8" s="66"/>
      <c r="M8" s="67">
        <v>3000</v>
      </c>
      <c r="N8" s="68"/>
      <c r="O8" s="69"/>
      <c r="P8" s="64"/>
    </row>
    <row r="9" spans="1:17" s="52" customFormat="1" ht="29.25" customHeight="1" x14ac:dyDescent="0.15">
      <c r="A9" s="80">
        <v>20170122</v>
      </c>
      <c r="B9" s="62" t="s">
        <v>562</v>
      </c>
      <c r="C9" s="74" t="s">
        <v>561</v>
      </c>
      <c r="D9" s="63"/>
      <c r="E9" s="63" t="s">
        <v>560</v>
      </c>
      <c r="F9" s="17" t="s">
        <v>104</v>
      </c>
      <c r="G9" s="63" t="s">
        <v>54</v>
      </c>
      <c r="H9" s="63">
        <f>[18]副本!G18</f>
        <v>1322.4749999999999</v>
      </c>
      <c r="I9" s="65">
        <f>H9</f>
        <v>1322.4749999999999</v>
      </c>
      <c r="J9" s="63"/>
      <c r="K9" s="67">
        <v>100</v>
      </c>
      <c r="L9" s="66">
        <f>H9-I9</f>
        <v>0</v>
      </c>
      <c r="M9" s="67">
        <v>5000</v>
      </c>
      <c r="N9" s="68" t="s">
        <v>559</v>
      </c>
      <c r="O9" s="69" t="s">
        <v>558</v>
      </c>
      <c r="P9" s="64" t="s">
        <v>101</v>
      </c>
    </row>
    <row r="10" spans="1:17" s="52" customFormat="1" ht="29.25" customHeight="1" x14ac:dyDescent="0.15">
      <c r="A10" s="80">
        <v>20170122</v>
      </c>
      <c r="B10" s="62" t="s">
        <v>135</v>
      </c>
      <c r="C10" s="63" t="s">
        <v>63</v>
      </c>
      <c r="D10" s="63"/>
      <c r="E10" s="63" t="s">
        <v>556</v>
      </c>
      <c r="F10" s="17" t="s">
        <v>232</v>
      </c>
      <c r="G10" s="63" t="s">
        <v>54</v>
      </c>
      <c r="H10" s="65">
        <f>[18]副本!G20</f>
        <v>1.5219999999999345</v>
      </c>
      <c r="I10" s="65">
        <f>H10</f>
        <v>1.5219999999999345</v>
      </c>
      <c r="J10" s="63"/>
      <c r="K10" s="67"/>
      <c r="L10" s="66">
        <f>H10-I10</f>
        <v>0</v>
      </c>
      <c r="M10" s="67">
        <v>1500</v>
      </c>
      <c r="N10" s="68"/>
      <c r="O10" s="69"/>
      <c r="P10" s="64" t="s">
        <v>557</v>
      </c>
    </row>
    <row r="11" spans="1:17" s="52" customFormat="1" ht="29.25" customHeight="1" x14ac:dyDescent="0.15">
      <c r="A11" s="80">
        <v>20170122</v>
      </c>
      <c r="B11" s="62" t="s">
        <v>135</v>
      </c>
      <c r="C11" s="63" t="s">
        <v>63</v>
      </c>
      <c r="D11" s="63"/>
      <c r="E11" s="63" t="s">
        <v>556</v>
      </c>
      <c r="F11" s="17" t="s">
        <v>261</v>
      </c>
      <c r="G11" s="63" t="s">
        <v>54</v>
      </c>
      <c r="H11" s="65">
        <f>[18]副本!G21</f>
        <v>3.999999999996362E-2</v>
      </c>
      <c r="I11" s="65">
        <f>H11</f>
        <v>3.999999999996362E-2</v>
      </c>
      <c r="J11" s="63"/>
      <c r="K11" s="67"/>
      <c r="L11" s="66">
        <f>H11-I11</f>
        <v>0</v>
      </c>
      <c r="M11" s="67">
        <v>1500</v>
      </c>
      <c r="N11" s="68"/>
      <c r="O11" s="69"/>
      <c r="P11" s="64" t="s">
        <v>555</v>
      </c>
    </row>
    <row r="12" spans="1:17" s="52" customFormat="1" ht="29.25" customHeight="1" x14ac:dyDescent="0.15">
      <c r="A12" s="80">
        <v>20170122</v>
      </c>
      <c r="B12" s="62" t="s">
        <v>135</v>
      </c>
      <c r="C12" s="63" t="s">
        <v>63</v>
      </c>
      <c r="D12" s="63"/>
      <c r="E12" s="63" t="s">
        <v>556</v>
      </c>
      <c r="F12" s="17" t="s">
        <v>91</v>
      </c>
      <c r="G12" s="63" t="s">
        <v>54</v>
      </c>
      <c r="H12" s="65">
        <f>[18]副本!G22</f>
        <v>1000</v>
      </c>
      <c r="I12" s="65">
        <f>H12</f>
        <v>1000</v>
      </c>
      <c r="J12" s="63"/>
      <c r="K12" s="67"/>
      <c r="L12" s="66">
        <f>H12-I12</f>
        <v>0</v>
      </c>
      <c r="M12" s="67">
        <v>1500</v>
      </c>
      <c r="N12" s="68"/>
      <c r="O12" s="69"/>
      <c r="P12" s="64" t="s">
        <v>555</v>
      </c>
    </row>
    <row r="13" spans="1:17" s="52" customFormat="1" ht="29.25" customHeight="1" x14ac:dyDescent="0.15">
      <c r="A13" s="80">
        <v>20170122</v>
      </c>
      <c r="B13" s="62" t="s">
        <v>134</v>
      </c>
      <c r="C13" s="63" t="s">
        <v>63</v>
      </c>
      <c r="D13" s="63"/>
      <c r="E13" s="63" t="s">
        <v>554</v>
      </c>
      <c r="F13" s="17" t="s">
        <v>256</v>
      </c>
      <c r="G13" s="63" t="s">
        <v>54</v>
      </c>
      <c r="H13" s="65">
        <f>[18]副本!G24</f>
        <v>1502.1479999999999</v>
      </c>
      <c r="I13" s="65">
        <f>H13</f>
        <v>1502.1479999999999</v>
      </c>
      <c r="J13" s="63"/>
      <c r="K13" s="67"/>
      <c r="L13" s="66">
        <f>H13-I13</f>
        <v>0</v>
      </c>
      <c r="M13" s="67">
        <v>1500</v>
      </c>
      <c r="N13" s="68"/>
      <c r="O13" s="69"/>
      <c r="P13" s="64"/>
    </row>
    <row r="14" spans="1:17" s="52" customFormat="1" ht="29.25" customHeight="1" x14ac:dyDescent="0.15">
      <c r="A14" s="80">
        <v>20170122</v>
      </c>
      <c r="B14" s="62" t="s">
        <v>133</v>
      </c>
      <c r="C14" s="74" t="s">
        <v>28</v>
      </c>
      <c r="D14" s="63"/>
      <c r="E14" s="63"/>
      <c r="F14" s="63"/>
      <c r="G14" s="63"/>
      <c r="H14" s="65"/>
      <c r="I14" s="65"/>
      <c r="J14" s="63"/>
      <c r="K14" s="67"/>
      <c r="L14" s="66"/>
      <c r="M14" s="67">
        <v>1500</v>
      </c>
      <c r="N14" s="68"/>
      <c r="O14" s="69"/>
      <c r="P14" s="64"/>
      <c r="Q14" s="53"/>
    </row>
    <row r="15" spans="1:17" s="52" customFormat="1" ht="29.25" customHeight="1" x14ac:dyDescent="0.15">
      <c r="A15" s="80">
        <v>20170122</v>
      </c>
      <c r="B15" s="62" t="s">
        <v>132</v>
      </c>
      <c r="C15" s="74" t="s">
        <v>28</v>
      </c>
      <c r="D15" s="63"/>
      <c r="E15" s="63"/>
      <c r="F15" s="63"/>
      <c r="G15" s="63"/>
      <c r="H15" s="65"/>
      <c r="I15" s="65"/>
      <c r="J15" s="63"/>
      <c r="K15" s="66"/>
      <c r="L15" s="66"/>
      <c r="M15" s="67">
        <v>1500</v>
      </c>
      <c r="N15" s="68"/>
      <c r="O15" s="69"/>
      <c r="P15" s="64"/>
    </row>
    <row r="16" spans="1:17" s="52" customFormat="1" ht="29.25" customHeight="1" x14ac:dyDescent="0.15">
      <c r="A16" s="80">
        <v>20170122</v>
      </c>
      <c r="B16" s="62" t="s">
        <v>553</v>
      </c>
      <c r="C16" s="74" t="s">
        <v>63</v>
      </c>
      <c r="D16" s="63"/>
      <c r="E16" s="63" t="s">
        <v>538</v>
      </c>
      <c r="F16" s="17" t="s">
        <v>232</v>
      </c>
      <c r="G16" s="63" t="s">
        <v>54</v>
      </c>
      <c r="H16" s="65">
        <f>[18]副本!G30</f>
        <v>1051.9169999999999</v>
      </c>
      <c r="I16" s="65">
        <f>H16</f>
        <v>1051.9169999999999</v>
      </c>
      <c r="J16" s="63"/>
      <c r="K16" s="67">
        <v>70</v>
      </c>
      <c r="L16" s="66"/>
      <c r="M16" s="67">
        <v>1500</v>
      </c>
      <c r="N16" s="68"/>
      <c r="O16" s="69"/>
      <c r="P16" s="64" t="s">
        <v>552</v>
      </c>
    </row>
    <row r="17" spans="1:17" s="52" customFormat="1" ht="29.25" customHeight="1" x14ac:dyDescent="0.15">
      <c r="A17" s="80">
        <v>20170122</v>
      </c>
      <c r="B17" s="62" t="s">
        <v>129</v>
      </c>
      <c r="C17" s="74" t="s">
        <v>121</v>
      </c>
      <c r="D17" s="63"/>
      <c r="E17" s="63" t="s">
        <v>12</v>
      </c>
      <c r="F17" s="17" t="s">
        <v>11</v>
      </c>
      <c r="G17" s="63" t="s">
        <v>525</v>
      </c>
      <c r="H17" s="65">
        <f>[18]副本!G32-H18</f>
        <v>4429.2470000000176</v>
      </c>
      <c r="I17" s="65">
        <f>H17</f>
        <v>4429.2470000000176</v>
      </c>
      <c r="J17" s="63"/>
      <c r="K17" s="67"/>
      <c r="L17" s="66">
        <f>H17-I17</f>
        <v>0</v>
      </c>
      <c r="M17" s="67">
        <v>21000</v>
      </c>
      <c r="N17" s="68" t="s">
        <v>120</v>
      </c>
      <c r="O17" s="69" t="s">
        <v>551</v>
      </c>
      <c r="P17" s="64" t="s">
        <v>550</v>
      </c>
    </row>
    <row r="18" spans="1:17" s="52" customFormat="1" ht="29.25" customHeight="1" x14ac:dyDescent="0.15">
      <c r="A18" s="80">
        <v>20170122</v>
      </c>
      <c r="B18" s="62" t="s">
        <v>129</v>
      </c>
      <c r="C18" s="74" t="s">
        <v>121</v>
      </c>
      <c r="D18" s="63"/>
      <c r="E18" s="63" t="s">
        <v>12</v>
      </c>
      <c r="F18" s="17" t="s">
        <v>11</v>
      </c>
      <c r="G18" s="63" t="s">
        <v>525</v>
      </c>
      <c r="H18" s="65">
        <f>[18]副本!G34</f>
        <v>4387.7529999999824</v>
      </c>
      <c r="I18" s="65">
        <f>H18</f>
        <v>4387.7529999999824</v>
      </c>
      <c r="J18" s="63"/>
      <c r="K18" s="67"/>
      <c r="L18" s="66">
        <f>H18-I18</f>
        <v>0</v>
      </c>
      <c r="M18" s="67">
        <v>21000</v>
      </c>
      <c r="N18" s="68" t="s">
        <v>120</v>
      </c>
      <c r="O18" s="69" t="s">
        <v>119</v>
      </c>
      <c r="P18" s="64" t="s">
        <v>549</v>
      </c>
    </row>
    <row r="19" spans="1:17" s="52" customFormat="1" ht="29.25" customHeight="1" x14ac:dyDescent="0.15">
      <c r="A19" s="80">
        <v>20170122</v>
      </c>
      <c r="B19" s="62" t="s">
        <v>127</v>
      </c>
      <c r="C19" s="74" t="s">
        <v>63</v>
      </c>
      <c r="D19" s="63"/>
      <c r="E19" s="63"/>
      <c r="F19" s="63"/>
      <c r="G19" s="63"/>
      <c r="H19" s="65"/>
      <c r="I19" s="65"/>
      <c r="J19" s="63"/>
      <c r="K19" s="67"/>
      <c r="L19" s="66"/>
      <c r="M19" s="67">
        <v>5000</v>
      </c>
      <c r="N19" s="68"/>
      <c r="O19" s="69"/>
      <c r="P19" s="64"/>
    </row>
    <row r="20" spans="1:17" s="52" customFormat="1" ht="29.25" customHeight="1" x14ac:dyDescent="0.15">
      <c r="A20" s="80">
        <v>20170122</v>
      </c>
      <c r="B20" s="62" t="s">
        <v>126</v>
      </c>
      <c r="C20" s="74" t="s">
        <v>63</v>
      </c>
      <c r="D20" s="63"/>
      <c r="E20" s="63"/>
      <c r="F20" s="63"/>
      <c r="G20" s="63"/>
      <c r="H20" s="65"/>
      <c r="I20" s="65"/>
      <c r="J20" s="63"/>
      <c r="K20" s="67"/>
      <c r="L20" s="66"/>
      <c r="M20" s="67">
        <v>3000</v>
      </c>
      <c r="N20" s="68"/>
      <c r="O20" s="69"/>
      <c r="P20" s="64"/>
    </row>
    <row r="21" spans="1:17" s="52" customFormat="1" ht="29.25" customHeight="1" x14ac:dyDescent="0.15">
      <c r="A21" s="80">
        <v>20170122</v>
      </c>
      <c r="B21" s="62" t="s">
        <v>122</v>
      </c>
      <c r="C21" s="74" t="s">
        <v>121</v>
      </c>
      <c r="D21" s="63"/>
      <c r="E21" s="63" t="s">
        <v>12</v>
      </c>
      <c r="F21" s="17" t="s">
        <v>11</v>
      </c>
      <c r="G21" s="63" t="s">
        <v>487</v>
      </c>
      <c r="H21" s="65">
        <f>[18]副本!G40-'20170122'!H22</f>
        <v>8388.537428000036</v>
      </c>
      <c r="I21" s="65">
        <f>H21</f>
        <v>8388.537428000036</v>
      </c>
      <c r="J21" s="63"/>
      <c r="K21" s="67"/>
      <c r="L21" s="66">
        <f>H21-I21</f>
        <v>0</v>
      </c>
      <c r="M21" s="67">
        <v>21000</v>
      </c>
      <c r="N21" s="68" t="s">
        <v>125</v>
      </c>
      <c r="O21" s="69" t="s">
        <v>548</v>
      </c>
      <c r="P21" s="64" t="s">
        <v>547</v>
      </c>
    </row>
    <row r="22" spans="1:17" s="52" customFormat="1" ht="29.25" customHeight="1" x14ac:dyDescent="0.15">
      <c r="A22" s="80">
        <v>20170122</v>
      </c>
      <c r="B22" s="62" t="s">
        <v>122</v>
      </c>
      <c r="C22" s="74" t="s">
        <v>121</v>
      </c>
      <c r="D22" s="63"/>
      <c r="E22" s="63" t="s">
        <v>12</v>
      </c>
      <c r="F22" s="17" t="s">
        <v>11</v>
      </c>
      <c r="G22" s="63" t="s">
        <v>487</v>
      </c>
      <c r="H22" s="65">
        <f>[18]副本!G42</f>
        <v>3384.4625719999631</v>
      </c>
      <c r="I22" s="65">
        <f>H22</f>
        <v>3384.4625719999631</v>
      </c>
      <c r="J22" s="63"/>
      <c r="K22" s="75"/>
      <c r="L22" s="66">
        <f>H22-I22</f>
        <v>0</v>
      </c>
      <c r="M22" s="67">
        <v>21000</v>
      </c>
      <c r="N22" s="68" t="s">
        <v>120</v>
      </c>
      <c r="O22" s="69" t="s">
        <v>119</v>
      </c>
      <c r="P22" s="64" t="s">
        <v>546</v>
      </c>
    </row>
    <row r="23" spans="1:17" s="52" customFormat="1" ht="29.25" customHeight="1" x14ac:dyDescent="0.15">
      <c r="A23" s="80">
        <v>20170122</v>
      </c>
      <c r="B23" s="62" t="s">
        <v>117</v>
      </c>
      <c r="C23" s="74" t="s">
        <v>63</v>
      </c>
      <c r="D23" s="63"/>
      <c r="E23" s="63" t="s">
        <v>545</v>
      </c>
      <c r="F23" s="17" t="s">
        <v>115</v>
      </c>
      <c r="G23" s="63" t="s">
        <v>487</v>
      </c>
      <c r="H23" s="65">
        <f>[18]副本!G44</f>
        <v>6134.7419999999993</v>
      </c>
      <c r="I23" s="65">
        <f>H23</f>
        <v>6134.7419999999993</v>
      </c>
      <c r="J23" s="63"/>
      <c r="K23" s="67">
        <v>300</v>
      </c>
      <c r="L23" s="66">
        <f>H23-I23</f>
        <v>0</v>
      </c>
      <c r="M23" s="67">
        <v>5000</v>
      </c>
      <c r="N23" s="68"/>
      <c r="O23" s="69"/>
      <c r="P23" s="64" t="s">
        <v>114</v>
      </c>
    </row>
    <row r="24" spans="1:17" s="52" customFormat="1" ht="29.25" customHeight="1" x14ac:dyDescent="0.15">
      <c r="A24" s="80">
        <v>20170122</v>
      </c>
      <c r="B24" s="62" t="s">
        <v>113</v>
      </c>
      <c r="C24" s="74" t="s">
        <v>0</v>
      </c>
      <c r="D24" s="63"/>
      <c r="E24" s="64" t="s">
        <v>544</v>
      </c>
      <c r="F24" s="17" t="s">
        <v>39</v>
      </c>
      <c r="G24" s="63" t="s">
        <v>487</v>
      </c>
      <c r="H24" s="65">
        <f>[18]副本!G46</f>
        <v>1055.1130000000001</v>
      </c>
      <c r="I24" s="65">
        <f>H24</f>
        <v>1055.1130000000001</v>
      </c>
      <c r="J24" s="63"/>
      <c r="K24" s="67"/>
      <c r="L24" s="66">
        <f>H24-I24</f>
        <v>0</v>
      </c>
      <c r="M24" s="67">
        <v>5000</v>
      </c>
      <c r="N24" s="68"/>
      <c r="O24" s="69"/>
      <c r="P24" s="70" t="s">
        <v>543</v>
      </c>
    </row>
    <row r="25" spans="1:17" s="52" customFormat="1" ht="29.25" customHeight="1" x14ac:dyDescent="0.15">
      <c r="A25" s="80">
        <v>20170122</v>
      </c>
      <c r="B25" s="62" t="s">
        <v>542</v>
      </c>
      <c r="C25" s="74" t="s">
        <v>63</v>
      </c>
      <c r="D25" s="63"/>
      <c r="E25" s="63"/>
      <c r="F25" s="63"/>
      <c r="G25" s="63"/>
      <c r="H25" s="65"/>
      <c r="I25" s="65"/>
      <c r="J25" s="63"/>
      <c r="K25" s="67"/>
      <c r="L25" s="66"/>
      <c r="M25" s="67">
        <v>5000</v>
      </c>
      <c r="N25" s="68"/>
      <c r="O25" s="69"/>
      <c r="P25" s="64"/>
    </row>
    <row r="26" spans="1:17" s="52" customFormat="1" ht="29.25" customHeight="1" x14ac:dyDescent="0.15">
      <c r="A26" s="80">
        <v>20170122</v>
      </c>
      <c r="B26" s="62" t="s">
        <v>109</v>
      </c>
      <c r="C26" s="74" t="s">
        <v>63</v>
      </c>
      <c r="D26" s="63"/>
      <c r="E26" s="63"/>
      <c r="F26" s="63"/>
      <c r="G26" s="63"/>
      <c r="H26" s="65"/>
      <c r="I26" s="65"/>
      <c r="J26" s="63"/>
      <c r="K26" s="67"/>
      <c r="L26" s="66"/>
      <c r="M26" s="67">
        <v>4000</v>
      </c>
      <c r="N26" s="68"/>
      <c r="O26" s="69"/>
      <c r="P26" s="64"/>
    </row>
    <row r="27" spans="1:17" s="52" customFormat="1" ht="29.25" customHeight="1" x14ac:dyDescent="0.15">
      <c r="A27" s="80">
        <v>20170122</v>
      </c>
      <c r="B27" s="62" t="s">
        <v>106</v>
      </c>
      <c r="C27" s="74" t="s">
        <v>541</v>
      </c>
      <c r="D27" s="63"/>
      <c r="E27" s="63"/>
      <c r="F27" s="63"/>
      <c r="G27" s="63"/>
      <c r="H27" s="65"/>
      <c r="I27" s="65"/>
      <c r="J27" s="63"/>
      <c r="K27" s="67"/>
      <c r="L27" s="66"/>
      <c r="M27" s="67">
        <v>5000</v>
      </c>
      <c r="N27" s="68"/>
      <c r="O27" s="69"/>
      <c r="P27" s="64"/>
    </row>
    <row r="28" spans="1:17" s="52" customFormat="1" ht="29.25" customHeight="1" x14ac:dyDescent="0.15">
      <c r="A28" s="80">
        <v>20170122</v>
      </c>
      <c r="B28" s="62" t="s">
        <v>100</v>
      </c>
      <c r="C28" s="74" t="s">
        <v>96</v>
      </c>
      <c r="D28" s="63"/>
      <c r="E28" s="63" t="s">
        <v>505</v>
      </c>
      <c r="F28" s="17" t="s">
        <v>39</v>
      </c>
      <c r="G28" s="63" t="s">
        <v>487</v>
      </c>
      <c r="H28" s="65">
        <f>[18]副本!G55</f>
        <v>1496.749</v>
      </c>
      <c r="I28" s="65">
        <f>H28</f>
        <v>1496.749</v>
      </c>
      <c r="J28" s="63"/>
      <c r="K28" s="67">
        <v>1300</v>
      </c>
      <c r="L28" s="66">
        <f>H28-I28</f>
        <v>0</v>
      </c>
      <c r="M28" s="67">
        <v>2000</v>
      </c>
      <c r="N28" s="68"/>
      <c r="O28" s="69"/>
      <c r="P28" s="64" t="s">
        <v>504</v>
      </c>
    </row>
    <row r="29" spans="1:17" s="52" customFormat="1" ht="29.25" customHeight="1" x14ac:dyDescent="0.15">
      <c r="A29" s="80">
        <v>20170122</v>
      </c>
      <c r="B29" s="62" t="s">
        <v>540</v>
      </c>
      <c r="C29" s="74" t="s">
        <v>96</v>
      </c>
      <c r="D29" s="63"/>
      <c r="E29" s="63"/>
      <c r="F29" s="17"/>
      <c r="G29" s="63"/>
      <c r="H29" s="65"/>
      <c r="I29" s="65"/>
      <c r="J29" s="63"/>
      <c r="K29" s="67"/>
      <c r="L29" s="66"/>
      <c r="M29" s="67">
        <v>1500</v>
      </c>
      <c r="N29" s="68"/>
      <c r="O29" s="69"/>
      <c r="P29" s="64"/>
    </row>
    <row r="30" spans="1:17" s="52" customFormat="1" ht="29.25" customHeight="1" x14ac:dyDescent="0.15">
      <c r="A30" s="80">
        <v>20170122</v>
      </c>
      <c r="B30" s="62" t="s">
        <v>98</v>
      </c>
      <c r="C30" s="74" t="s">
        <v>96</v>
      </c>
      <c r="D30" s="63"/>
      <c r="E30" s="63" t="s">
        <v>505</v>
      </c>
      <c r="F30" s="17" t="s">
        <v>39</v>
      </c>
      <c r="G30" s="63" t="s">
        <v>487</v>
      </c>
      <c r="H30" s="65">
        <f>[18]副本!G59</f>
        <v>1099.527</v>
      </c>
      <c r="I30" s="65">
        <f>H30</f>
        <v>1099.527</v>
      </c>
      <c r="J30" s="63"/>
      <c r="K30" s="67"/>
      <c r="L30" s="66">
        <f>H30-I30</f>
        <v>0</v>
      </c>
      <c r="M30" s="67">
        <v>1500</v>
      </c>
      <c r="N30" s="68"/>
      <c r="O30" s="69"/>
      <c r="P30" s="64" t="s">
        <v>504</v>
      </c>
      <c r="Q30" s="53"/>
    </row>
    <row r="31" spans="1:17" s="52" customFormat="1" ht="29.25" customHeight="1" x14ac:dyDescent="0.15">
      <c r="A31" s="80">
        <v>20170122</v>
      </c>
      <c r="B31" s="62" t="s">
        <v>97</v>
      </c>
      <c r="C31" s="74" t="s">
        <v>96</v>
      </c>
      <c r="D31" s="63"/>
      <c r="E31" s="63" t="s">
        <v>505</v>
      </c>
      <c r="F31" s="63"/>
      <c r="G31" s="63"/>
      <c r="H31" s="65"/>
      <c r="I31" s="65"/>
      <c r="J31" s="63"/>
      <c r="K31" s="67"/>
      <c r="L31" s="66"/>
      <c r="M31" s="67">
        <v>1500</v>
      </c>
      <c r="N31" s="68"/>
      <c r="O31" s="69"/>
      <c r="P31" s="64"/>
    </row>
    <row r="32" spans="1:17" s="52" customFormat="1" ht="29.25" customHeight="1" x14ac:dyDescent="0.15">
      <c r="A32" s="80">
        <v>20170122</v>
      </c>
      <c r="B32" s="62" t="s">
        <v>95</v>
      </c>
      <c r="C32" s="74" t="s">
        <v>63</v>
      </c>
      <c r="D32" s="63"/>
      <c r="E32" s="63"/>
      <c r="F32" s="63"/>
      <c r="G32" s="63"/>
      <c r="H32" s="65"/>
      <c r="I32" s="65"/>
      <c r="J32" s="63"/>
      <c r="K32" s="67"/>
      <c r="L32" s="66"/>
      <c r="M32" s="67">
        <v>1500</v>
      </c>
      <c r="N32" s="68"/>
      <c r="O32" s="69"/>
      <c r="P32" s="64"/>
    </row>
    <row r="33" spans="1:16" s="52" customFormat="1" ht="29.25" customHeight="1" x14ac:dyDescent="0.15">
      <c r="A33" s="80">
        <v>20170122</v>
      </c>
      <c r="B33" s="62" t="s">
        <v>539</v>
      </c>
      <c r="C33" s="74" t="s">
        <v>518</v>
      </c>
      <c r="D33" s="63"/>
      <c r="E33" s="63" t="s">
        <v>538</v>
      </c>
      <c r="F33" s="17" t="s">
        <v>91</v>
      </c>
      <c r="G33" s="63" t="s">
        <v>487</v>
      </c>
      <c r="H33" s="63">
        <f>[18]副本!G65</f>
        <v>408.81600000000014</v>
      </c>
      <c r="I33" s="65">
        <f>H33-1035.099+1035.099</f>
        <v>408.81600000000014</v>
      </c>
      <c r="J33" s="63"/>
      <c r="K33" s="67">
        <v>30</v>
      </c>
      <c r="L33" s="66">
        <f>H33-I33</f>
        <v>0</v>
      </c>
      <c r="M33" s="67">
        <v>2000</v>
      </c>
      <c r="N33" s="68"/>
      <c r="O33" s="69"/>
      <c r="P33" s="64" t="s">
        <v>537</v>
      </c>
    </row>
    <row r="34" spans="1:16" s="52" customFormat="1" ht="29.25" customHeight="1" x14ac:dyDescent="0.15">
      <c r="A34" s="80">
        <v>20170122</v>
      </c>
      <c r="B34" s="62" t="s">
        <v>89</v>
      </c>
      <c r="C34" s="74" t="s">
        <v>63</v>
      </c>
      <c r="D34" s="63" t="s">
        <v>88</v>
      </c>
      <c r="E34" s="63" t="s">
        <v>535</v>
      </c>
      <c r="F34" s="17" t="s">
        <v>216</v>
      </c>
      <c r="G34" s="63" t="s">
        <v>54</v>
      </c>
      <c r="H34" s="65">
        <f>[18]副本!G67</f>
        <v>669.34299999999985</v>
      </c>
      <c r="I34" s="65">
        <f>H34-1037.023+500+537.023</f>
        <v>669.34299999999996</v>
      </c>
      <c r="J34" s="63"/>
      <c r="K34" s="67">
        <v>100</v>
      </c>
      <c r="L34" s="66">
        <f>H34-I34</f>
        <v>0</v>
      </c>
      <c r="M34" s="67">
        <v>3000</v>
      </c>
      <c r="N34" s="68"/>
      <c r="O34" s="69"/>
      <c r="P34" s="71" t="s">
        <v>467</v>
      </c>
    </row>
    <row r="35" spans="1:16" s="52" customFormat="1" ht="29.25" customHeight="1" x14ac:dyDescent="0.15">
      <c r="A35" s="80">
        <v>20170122</v>
      </c>
      <c r="B35" s="62" t="s">
        <v>85</v>
      </c>
      <c r="C35" s="74" t="s">
        <v>63</v>
      </c>
      <c r="D35" s="63" t="s">
        <v>513</v>
      </c>
      <c r="E35" s="63" t="s">
        <v>84</v>
      </c>
      <c r="F35" s="17" t="s">
        <v>81</v>
      </c>
      <c r="G35" s="63" t="s">
        <v>54</v>
      </c>
      <c r="H35" s="65">
        <f>[18]副本!G69</f>
        <v>2002.5469999999996</v>
      </c>
      <c r="I35" s="65">
        <f>H35-3607.546+2050+1050+507.546</f>
        <v>2002.5469999999998</v>
      </c>
      <c r="J35" s="63"/>
      <c r="K35" s="67"/>
      <c r="L35" s="66">
        <f>H35-I35</f>
        <v>0</v>
      </c>
      <c r="M35" s="67">
        <v>4000</v>
      </c>
      <c r="N35" s="68"/>
      <c r="O35" s="69"/>
      <c r="P35" s="64" t="s">
        <v>534</v>
      </c>
    </row>
    <row r="36" spans="1:16" s="52" customFormat="1" ht="29.25" customHeight="1" x14ac:dyDescent="0.15">
      <c r="A36" s="80">
        <v>20170122</v>
      </c>
      <c r="B36" s="62" t="s">
        <v>82</v>
      </c>
      <c r="C36" s="74" t="s">
        <v>0</v>
      </c>
      <c r="D36" s="63"/>
      <c r="E36" s="63"/>
      <c r="F36" s="63"/>
      <c r="G36" s="63"/>
      <c r="H36" s="65"/>
      <c r="I36" s="65"/>
      <c r="J36" s="63"/>
      <c r="K36" s="67"/>
      <c r="L36" s="66"/>
      <c r="M36" s="67">
        <v>5000</v>
      </c>
      <c r="N36" s="68"/>
      <c r="O36" s="69"/>
      <c r="P36" s="64"/>
    </row>
    <row r="37" spans="1:16" s="52" customFormat="1" ht="29.25" customHeight="1" x14ac:dyDescent="0.15">
      <c r="A37" s="80">
        <v>20170122</v>
      </c>
      <c r="B37" s="62" t="s">
        <v>533</v>
      </c>
      <c r="C37" s="74" t="s">
        <v>518</v>
      </c>
      <c r="D37" s="63" t="s">
        <v>489</v>
      </c>
      <c r="E37" s="63" t="s">
        <v>532</v>
      </c>
      <c r="F37" s="17" t="s">
        <v>81</v>
      </c>
      <c r="G37" s="63" t="s">
        <v>487</v>
      </c>
      <c r="H37" s="65">
        <f>[18]副本!G73</f>
        <v>1041.7500000000523</v>
      </c>
      <c r="I37" s="65">
        <f>H37-955.747+477.874+477.873-1042.865-2628.137+500+542.865+2102.57+525.567-499.112-3147.566+2100+525+525+496.678-2617.899+1574.891+523.692-522.622</f>
        <v>-0.18799999994701011</v>
      </c>
      <c r="J37" s="63"/>
      <c r="K37" s="67"/>
      <c r="L37" s="66">
        <f>H37-I37</f>
        <v>1041.9379999999992</v>
      </c>
      <c r="M37" s="67">
        <v>5000</v>
      </c>
      <c r="N37" s="68"/>
      <c r="O37" s="69"/>
      <c r="P37" s="64"/>
    </row>
    <row r="38" spans="1:16" s="52" customFormat="1" ht="29.25" customHeight="1" x14ac:dyDescent="0.15">
      <c r="A38" s="80">
        <v>20170122</v>
      </c>
      <c r="B38" s="62" t="s">
        <v>533</v>
      </c>
      <c r="C38" s="74" t="s">
        <v>518</v>
      </c>
      <c r="D38" s="63" t="s">
        <v>489</v>
      </c>
      <c r="E38" s="63" t="s">
        <v>532</v>
      </c>
      <c r="F38" s="17" t="s">
        <v>77</v>
      </c>
      <c r="G38" s="63" t="s">
        <v>487</v>
      </c>
      <c r="H38" s="65">
        <f>[18]副本!G74</f>
        <v>411.70600000000047</v>
      </c>
      <c r="I38" s="65">
        <f>H38</f>
        <v>411.70600000000047</v>
      </c>
      <c r="J38" s="63"/>
      <c r="K38" s="67"/>
      <c r="L38" s="66">
        <f>H38-I38</f>
        <v>0</v>
      </c>
      <c r="M38" s="67">
        <v>5000</v>
      </c>
      <c r="N38" s="68"/>
      <c r="O38" s="69"/>
      <c r="P38" s="64" t="s">
        <v>531</v>
      </c>
    </row>
    <row r="39" spans="1:16" s="52" customFormat="1" ht="29.25" customHeight="1" x14ac:dyDescent="0.15">
      <c r="A39" s="80">
        <v>20170122</v>
      </c>
      <c r="B39" s="62" t="s">
        <v>74</v>
      </c>
      <c r="C39" s="74" t="s">
        <v>28</v>
      </c>
      <c r="D39" s="63"/>
      <c r="E39" s="63" t="s">
        <v>505</v>
      </c>
      <c r="F39" s="17" t="s">
        <v>39</v>
      </c>
      <c r="G39" s="63" t="s">
        <v>487</v>
      </c>
      <c r="H39" s="65">
        <f>[18]副本!G76</f>
        <v>35.023999999997613</v>
      </c>
      <c r="I39" s="65">
        <f>H39</f>
        <v>35.023999999997613</v>
      </c>
      <c r="J39" s="63"/>
      <c r="K39" s="67"/>
      <c r="L39" s="66">
        <f>H39-I39</f>
        <v>0</v>
      </c>
      <c r="M39" s="67">
        <v>4000</v>
      </c>
      <c r="N39" s="68"/>
      <c r="O39" s="69"/>
      <c r="P39" s="64" t="s">
        <v>530</v>
      </c>
    </row>
    <row r="40" spans="1:16" s="52" customFormat="1" ht="29.25" customHeight="1" x14ac:dyDescent="0.15">
      <c r="A40" s="80">
        <v>20170122</v>
      </c>
      <c r="B40" s="62" t="s">
        <v>74</v>
      </c>
      <c r="C40" s="74" t="s">
        <v>28</v>
      </c>
      <c r="D40" s="63"/>
      <c r="E40" s="63" t="s">
        <v>505</v>
      </c>
      <c r="F40" s="17" t="s">
        <v>71</v>
      </c>
      <c r="G40" s="63" t="s">
        <v>487</v>
      </c>
      <c r="H40" s="65">
        <f>[18]副本!G77</f>
        <v>-0.23699999999985266</v>
      </c>
      <c r="I40" s="65">
        <f>H40</f>
        <v>-0.23699999999985266</v>
      </c>
      <c r="J40" s="63"/>
      <c r="K40" s="67"/>
      <c r="L40" s="66"/>
      <c r="M40" s="67">
        <v>4000</v>
      </c>
      <c r="N40" s="68"/>
      <c r="O40" s="69"/>
      <c r="P40" s="64" t="s">
        <v>529</v>
      </c>
    </row>
    <row r="41" spans="1:16" s="52" customFormat="1" ht="29.25" customHeight="1" x14ac:dyDescent="0.15">
      <c r="A41" s="80">
        <v>20170122</v>
      </c>
      <c r="B41" s="62" t="s">
        <v>73</v>
      </c>
      <c r="C41" s="74" t="s">
        <v>28</v>
      </c>
      <c r="D41" s="63"/>
      <c r="E41" s="63"/>
      <c r="F41" s="63"/>
      <c r="G41" s="63"/>
      <c r="H41" s="65"/>
      <c r="I41" s="65"/>
      <c r="J41" s="63"/>
      <c r="K41" s="67"/>
      <c r="L41" s="66"/>
      <c r="M41" s="67">
        <v>2000</v>
      </c>
      <c r="N41" s="68"/>
      <c r="O41" s="69"/>
      <c r="P41" s="64"/>
    </row>
    <row r="42" spans="1:16" s="52" customFormat="1" ht="29.25" customHeight="1" x14ac:dyDescent="0.15">
      <c r="A42" s="80">
        <v>20170122</v>
      </c>
      <c r="B42" s="62" t="s">
        <v>72</v>
      </c>
      <c r="C42" s="74" t="s">
        <v>527</v>
      </c>
      <c r="D42" s="63"/>
      <c r="E42" s="63"/>
      <c r="F42" s="63"/>
      <c r="G42" s="63"/>
      <c r="H42" s="65"/>
      <c r="I42" s="65"/>
      <c r="J42" s="63"/>
      <c r="K42" s="67"/>
      <c r="L42" s="66"/>
      <c r="M42" s="67">
        <v>3000</v>
      </c>
      <c r="N42" s="68"/>
      <c r="O42" s="69"/>
      <c r="P42" s="64"/>
    </row>
    <row r="43" spans="1:16" s="52" customFormat="1" ht="29.25" customHeight="1" x14ac:dyDescent="0.15">
      <c r="A43" s="80">
        <v>20170122</v>
      </c>
      <c r="B43" s="62" t="s">
        <v>528</v>
      </c>
      <c r="C43" s="74" t="s">
        <v>527</v>
      </c>
      <c r="D43" s="63"/>
      <c r="E43" s="63" t="s">
        <v>526</v>
      </c>
      <c r="F43" s="17" t="s">
        <v>39</v>
      </c>
      <c r="G43" s="63" t="s">
        <v>525</v>
      </c>
      <c r="H43" s="65">
        <f>[18]副本!G84</f>
        <v>1146.0509999999995</v>
      </c>
      <c r="I43" s="65">
        <f>H43</f>
        <v>1146.0509999999995</v>
      </c>
      <c r="J43" s="63"/>
      <c r="K43" s="67"/>
      <c r="L43" s="66">
        <f>H43-I43</f>
        <v>0</v>
      </c>
      <c r="M43" s="67">
        <v>5000</v>
      </c>
      <c r="N43" s="76"/>
      <c r="O43" s="69"/>
      <c r="P43" s="64" t="s">
        <v>524</v>
      </c>
    </row>
    <row r="44" spans="1:16" s="52" customFormat="1" ht="29.25" customHeight="1" x14ac:dyDescent="0.15">
      <c r="A44" s="80">
        <v>20170122</v>
      </c>
      <c r="B44" s="62" t="s">
        <v>65</v>
      </c>
      <c r="C44" s="74" t="s">
        <v>63</v>
      </c>
      <c r="D44" s="63"/>
      <c r="E44" s="63"/>
      <c r="F44" s="63"/>
      <c r="G44" s="63"/>
      <c r="H44" s="65"/>
      <c r="I44" s="65"/>
      <c r="J44" s="63"/>
      <c r="K44" s="67"/>
      <c r="L44" s="66"/>
      <c r="M44" s="67">
        <v>5000</v>
      </c>
      <c r="N44" s="68"/>
      <c r="O44" s="69"/>
      <c r="P44" s="64"/>
    </row>
    <row r="45" spans="1:16" s="52" customFormat="1" ht="29.25" customHeight="1" x14ac:dyDescent="0.15">
      <c r="A45" s="80">
        <v>20170122</v>
      </c>
      <c r="B45" s="62" t="s">
        <v>64</v>
      </c>
      <c r="C45" s="74" t="s">
        <v>63</v>
      </c>
      <c r="D45" s="63"/>
      <c r="E45" s="63" t="s">
        <v>523</v>
      </c>
      <c r="F45" s="17" t="s">
        <v>232</v>
      </c>
      <c r="G45" s="63" t="s">
        <v>487</v>
      </c>
      <c r="H45" s="65">
        <f>[18]副本!G90</f>
        <v>984.85799999999995</v>
      </c>
      <c r="I45" s="65">
        <f>H45</f>
        <v>984.85799999999995</v>
      </c>
      <c r="J45" s="63"/>
      <c r="K45" s="67"/>
      <c r="L45" s="66">
        <f>H45-I45</f>
        <v>0</v>
      </c>
      <c r="M45" s="67">
        <v>5000</v>
      </c>
      <c r="N45" s="68"/>
      <c r="O45" s="69"/>
      <c r="P45" s="64" t="s">
        <v>522</v>
      </c>
    </row>
    <row r="46" spans="1:16" s="52" customFormat="1" ht="29.25" customHeight="1" x14ac:dyDescent="0.15">
      <c r="A46" s="80">
        <v>20170122</v>
      </c>
      <c r="B46" s="62" t="s">
        <v>64</v>
      </c>
      <c r="C46" s="74" t="s">
        <v>63</v>
      </c>
      <c r="D46" s="63"/>
      <c r="E46" s="63" t="s">
        <v>523</v>
      </c>
      <c r="F46" s="17" t="s">
        <v>140</v>
      </c>
      <c r="G46" s="63" t="s">
        <v>487</v>
      </c>
      <c r="H46" s="65">
        <f>[18]副本!G91</f>
        <v>1000</v>
      </c>
      <c r="I46" s="65">
        <f>H46</f>
        <v>1000</v>
      </c>
      <c r="J46" s="63"/>
      <c r="K46" s="67"/>
      <c r="L46" s="66"/>
      <c r="M46" s="67">
        <v>5000</v>
      </c>
      <c r="N46" s="68"/>
      <c r="O46" s="69"/>
      <c r="P46" s="64" t="s">
        <v>522</v>
      </c>
    </row>
    <row r="47" spans="1:16" s="52" customFormat="1" ht="29.25" customHeight="1" x14ac:dyDescent="0.15">
      <c r="A47" s="80">
        <v>20170122</v>
      </c>
      <c r="B47" s="62" t="s">
        <v>62</v>
      </c>
      <c r="C47" s="74" t="s">
        <v>518</v>
      </c>
      <c r="D47" s="63"/>
      <c r="E47" s="63" t="s">
        <v>517</v>
      </c>
      <c r="F47" s="17" t="s">
        <v>61</v>
      </c>
      <c r="G47" s="63" t="s">
        <v>487</v>
      </c>
      <c r="H47" s="65">
        <f>[18]副本!G93</f>
        <v>586.12399999999411</v>
      </c>
      <c r="I47" s="65">
        <f>H47</f>
        <v>586.12399999999411</v>
      </c>
      <c r="J47" s="63"/>
      <c r="K47" s="66"/>
      <c r="L47" s="66">
        <f>H47-I47</f>
        <v>0</v>
      </c>
      <c r="M47" s="67">
        <v>2000</v>
      </c>
      <c r="N47" s="68"/>
      <c r="O47" s="69"/>
      <c r="P47" s="64"/>
    </row>
    <row r="48" spans="1:16" s="52" customFormat="1" ht="29.25" customHeight="1" x14ac:dyDescent="0.15">
      <c r="A48" s="80">
        <v>20170122</v>
      </c>
      <c r="B48" s="62" t="s">
        <v>521</v>
      </c>
      <c r="C48" s="74" t="s">
        <v>506</v>
      </c>
      <c r="D48" s="63" t="s">
        <v>489</v>
      </c>
      <c r="E48" s="63" t="s">
        <v>502</v>
      </c>
      <c r="F48" s="17" t="s">
        <v>48</v>
      </c>
      <c r="G48" s="63" t="s">
        <v>487</v>
      </c>
      <c r="H48" s="65">
        <f>[18]副本!G95</f>
        <v>2409.6100000000006</v>
      </c>
      <c r="I48" s="65">
        <v>0</v>
      </c>
      <c r="J48" s="63"/>
      <c r="K48" s="67"/>
      <c r="L48" s="66">
        <f>H48-I48</f>
        <v>2409.6100000000006</v>
      </c>
      <c r="M48" s="67">
        <v>10000</v>
      </c>
      <c r="N48" s="68"/>
      <c r="O48" s="69"/>
      <c r="P48" s="64"/>
    </row>
    <row r="49" spans="1:17" s="52" customFormat="1" ht="29.25" customHeight="1" x14ac:dyDescent="0.15">
      <c r="A49" s="80">
        <v>20170122</v>
      </c>
      <c r="B49" s="62" t="s">
        <v>520</v>
      </c>
      <c r="C49" s="74" t="s">
        <v>28</v>
      </c>
      <c r="D49" s="63" t="s">
        <v>489</v>
      </c>
      <c r="E49" s="63" t="s">
        <v>502</v>
      </c>
      <c r="F49" s="17" t="s">
        <v>48</v>
      </c>
      <c r="G49" s="63" t="s">
        <v>487</v>
      </c>
      <c r="H49" s="65">
        <f>[18]副本!G97</f>
        <v>2625.0060000000003</v>
      </c>
      <c r="I49" s="65">
        <v>0</v>
      </c>
      <c r="J49" s="63"/>
      <c r="K49" s="67"/>
      <c r="L49" s="66">
        <v>0</v>
      </c>
      <c r="M49" s="67">
        <v>10000</v>
      </c>
      <c r="N49" s="68"/>
      <c r="O49" s="69"/>
      <c r="P49" s="64"/>
    </row>
    <row r="50" spans="1:17" s="52" customFormat="1" ht="29.25" customHeight="1" x14ac:dyDescent="0.15">
      <c r="A50" s="80">
        <v>20170122</v>
      </c>
      <c r="B50" s="62" t="s">
        <v>519</v>
      </c>
      <c r="C50" s="74" t="s">
        <v>518</v>
      </c>
      <c r="D50" s="63"/>
      <c r="E50" s="63" t="s">
        <v>517</v>
      </c>
      <c r="F50" s="17" t="s">
        <v>268</v>
      </c>
      <c r="G50" s="63" t="s">
        <v>54</v>
      </c>
      <c r="H50" s="65">
        <f>[18]副本!G99</f>
        <v>3601.5330000000085</v>
      </c>
      <c r="I50" s="65">
        <f>H50</f>
        <v>3601.5330000000085</v>
      </c>
      <c r="J50" s="63"/>
      <c r="K50" s="66"/>
      <c r="L50" s="66">
        <v>0</v>
      </c>
      <c r="M50" s="67">
        <v>5000</v>
      </c>
      <c r="N50" s="72" t="s">
        <v>516</v>
      </c>
      <c r="O50" s="73" t="s">
        <v>515</v>
      </c>
      <c r="P50" s="64" t="s">
        <v>474</v>
      </c>
    </row>
    <row r="51" spans="1:17" s="52" customFormat="1" ht="29.25" customHeight="1" x14ac:dyDescent="0.15">
      <c r="A51" s="80">
        <v>20170122</v>
      </c>
      <c r="B51" s="62" t="s">
        <v>50</v>
      </c>
      <c r="C51" s="74" t="s">
        <v>28</v>
      </c>
      <c r="D51" s="63"/>
      <c r="E51" s="63"/>
      <c r="F51" s="63"/>
      <c r="G51" s="63"/>
      <c r="H51" s="65"/>
      <c r="I51" s="65"/>
      <c r="J51" s="63"/>
      <c r="K51" s="67"/>
      <c r="L51" s="66"/>
      <c r="M51" s="67">
        <v>3000</v>
      </c>
      <c r="N51" s="68"/>
      <c r="O51" s="69"/>
      <c r="P51" s="64"/>
    </row>
    <row r="52" spans="1:17" s="52" customFormat="1" ht="29.25" customHeight="1" x14ac:dyDescent="0.15">
      <c r="A52" s="80">
        <v>20170122</v>
      </c>
      <c r="B52" s="62" t="s">
        <v>514</v>
      </c>
      <c r="C52" s="74" t="s">
        <v>28</v>
      </c>
      <c r="D52" s="63" t="s">
        <v>513</v>
      </c>
      <c r="E52" s="63" t="s">
        <v>512</v>
      </c>
      <c r="F52" s="17" t="s">
        <v>48</v>
      </c>
      <c r="G52" s="63" t="s">
        <v>511</v>
      </c>
      <c r="H52" s="65">
        <f>[18]副本!G103</f>
        <v>7950.4579999999987</v>
      </c>
      <c r="I52" s="65">
        <v>0</v>
      </c>
      <c r="J52" s="63"/>
      <c r="K52" s="67"/>
      <c r="L52" s="66">
        <f>H52-I52</f>
        <v>7950.4579999999987</v>
      </c>
      <c r="M52" s="67">
        <v>25000</v>
      </c>
      <c r="N52" s="68" t="s">
        <v>510</v>
      </c>
      <c r="O52" s="69" t="s">
        <v>509</v>
      </c>
      <c r="P52" s="64" t="s">
        <v>508</v>
      </c>
    </row>
    <row r="53" spans="1:17" s="52" customFormat="1" ht="29.25" customHeight="1" x14ac:dyDescent="0.15">
      <c r="A53" s="80">
        <v>20170122</v>
      </c>
      <c r="B53" s="62" t="s">
        <v>507</v>
      </c>
      <c r="C53" s="74" t="s">
        <v>506</v>
      </c>
      <c r="D53" s="63" t="s">
        <v>489</v>
      </c>
      <c r="E53" s="63" t="s">
        <v>502</v>
      </c>
      <c r="F53" s="17" t="s">
        <v>234</v>
      </c>
      <c r="G53" s="63" t="s">
        <v>497</v>
      </c>
      <c r="H53" s="65">
        <f>[18]副本!G105</f>
        <v>10595.776000000082</v>
      </c>
      <c r="I53" s="65">
        <v>0</v>
      </c>
      <c r="J53" s="63"/>
      <c r="K53" s="67"/>
      <c r="L53" s="66">
        <f>H53-I53</f>
        <v>10595.776000000082</v>
      </c>
      <c r="M53" s="67">
        <v>50000</v>
      </c>
      <c r="N53" s="68"/>
      <c r="O53" s="69"/>
      <c r="P53" s="64"/>
    </row>
    <row r="54" spans="1:17" s="52" customFormat="1" ht="29.25" customHeight="1" x14ac:dyDescent="0.15">
      <c r="A54" s="80">
        <v>20170122</v>
      </c>
      <c r="B54" s="62" t="s">
        <v>41</v>
      </c>
      <c r="C54" s="74" t="s">
        <v>28</v>
      </c>
      <c r="D54" s="63"/>
      <c r="E54" s="63" t="s">
        <v>505</v>
      </c>
      <c r="F54" s="17" t="s">
        <v>39</v>
      </c>
      <c r="G54" s="63" t="s">
        <v>497</v>
      </c>
      <c r="H54" s="65">
        <f>[18]副本!G109</f>
        <v>2593.6109999999999</v>
      </c>
      <c r="I54" s="65">
        <f>H54</f>
        <v>2593.6109999999999</v>
      </c>
      <c r="J54" s="63"/>
      <c r="K54" s="67"/>
      <c r="L54" s="66">
        <f>H54-I54</f>
        <v>0</v>
      </c>
      <c r="M54" s="67">
        <v>4000</v>
      </c>
      <c r="N54" s="68"/>
      <c r="O54" s="69"/>
      <c r="P54" s="64" t="s">
        <v>504</v>
      </c>
    </row>
    <row r="55" spans="1:17" s="52" customFormat="1" ht="29.25" customHeight="1" x14ac:dyDescent="0.15">
      <c r="A55" s="80">
        <v>20170122</v>
      </c>
      <c r="B55" s="62" t="s">
        <v>503</v>
      </c>
      <c r="C55" s="74" t="s">
        <v>500</v>
      </c>
      <c r="D55" s="63"/>
      <c r="E55" s="63"/>
      <c r="F55" s="63"/>
      <c r="G55" s="63"/>
      <c r="H55" s="65"/>
      <c r="I55" s="65"/>
      <c r="J55" s="63"/>
      <c r="K55" s="67"/>
      <c r="L55" s="66"/>
      <c r="M55" s="67">
        <v>37000</v>
      </c>
      <c r="N55" s="68"/>
      <c r="O55" s="69"/>
      <c r="P55" s="64"/>
    </row>
    <row r="56" spans="1:17" s="52" customFormat="1" ht="29.25" customHeight="1" x14ac:dyDescent="0.15">
      <c r="A56" s="80">
        <v>20170122</v>
      </c>
      <c r="B56" s="62" t="s">
        <v>36</v>
      </c>
      <c r="C56" s="74" t="s">
        <v>500</v>
      </c>
      <c r="D56" s="63"/>
      <c r="E56" s="63"/>
      <c r="F56" s="63"/>
      <c r="G56" s="63"/>
      <c r="H56" s="65"/>
      <c r="I56" s="63"/>
      <c r="J56" s="63"/>
      <c r="K56" s="67"/>
      <c r="L56" s="66"/>
      <c r="M56" s="67">
        <v>37000</v>
      </c>
      <c r="N56" s="68"/>
      <c r="O56" s="69"/>
      <c r="P56" s="64"/>
    </row>
    <row r="57" spans="1:17" s="52" customFormat="1" ht="29.25" customHeight="1" x14ac:dyDescent="0.15">
      <c r="A57" s="80">
        <v>20170122</v>
      </c>
      <c r="B57" s="62" t="s">
        <v>35</v>
      </c>
      <c r="C57" s="74" t="s">
        <v>28</v>
      </c>
      <c r="D57" s="63" t="s">
        <v>489</v>
      </c>
      <c r="E57" s="63" t="s">
        <v>502</v>
      </c>
      <c r="F57" s="17" t="s">
        <v>435</v>
      </c>
      <c r="G57" s="63" t="s">
        <v>497</v>
      </c>
      <c r="H57" s="65">
        <f>[18]副本!G115</f>
        <v>1767.3689999999997</v>
      </c>
      <c r="I57" s="65">
        <v>0</v>
      </c>
      <c r="J57" s="63"/>
      <c r="K57" s="66"/>
      <c r="L57" s="66">
        <f>H57-I57</f>
        <v>1767.3689999999997</v>
      </c>
      <c r="M57" s="67">
        <v>10000</v>
      </c>
      <c r="N57" s="68"/>
      <c r="O57" s="69"/>
      <c r="P57" s="64"/>
      <c r="Q57" s="53"/>
    </row>
    <row r="58" spans="1:17" s="52" customFormat="1" ht="29.25" customHeight="1" x14ac:dyDescent="0.15">
      <c r="A58" s="80">
        <v>20170122</v>
      </c>
      <c r="B58" s="62" t="s">
        <v>501</v>
      </c>
      <c r="C58" s="74" t="s">
        <v>500</v>
      </c>
      <c r="D58" s="63" t="s">
        <v>489</v>
      </c>
      <c r="E58" s="63" t="s">
        <v>488</v>
      </c>
      <c r="F58" s="17" t="s">
        <v>436</v>
      </c>
      <c r="G58" s="63" t="s">
        <v>497</v>
      </c>
      <c r="H58" s="65">
        <f>[18]副本!G117</f>
        <v>3990.8999999999996</v>
      </c>
      <c r="I58" s="65">
        <v>0</v>
      </c>
      <c r="J58" s="63"/>
      <c r="K58" s="76">
        <v>150</v>
      </c>
      <c r="L58" s="66">
        <f>H58-I58</f>
        <v>3990.8999999999996</v>
      </c>
      <c r="M58" s="67">
        <v>15000</v>
      </c>
      <c r="N58" s="68"/>
      <c r="O58" s="69"/>
      <c r="P58" s="64" t="s">
        <v>499</v>
      </c>
      <c r="Q58" s="53"/>
    </row>
    <row r="59" spans="1:17" s="52" customFormat="1" ht="29.25" customHeight="1" x14ac:dyDescent="0.15">
      <c r="A59" s="80">
        <v>20170122</v>
      </c>
      <c r="B59" s="62" t="s">
        <v>501</v>
      </c>
      <c r="C59" s="74" t="s">
        <v>500</v>
      </c>
      <c r="D59" s="63" t="s">
        <v>489</v>
      </c>
      <c r="E59" s="63" t="s">
        <v>488</v>
      </c>
      <c r="F59" s="17" t="s">
        <v>437</v>
      </c>
      <c r="G59" s="63" t="s">
        <v>497</v>
      </c>
      <c r="H59" s="65">
        <f>[18]副本!G118</f>
        <v>1687.2800000000007</v>
      </c>
      <c r="I59" s="65">
        <f>H59</f>
        <v>1687.2800000000007</v>
      </c>
      <c r="J59" s="63"/>
      <c r="K59" s="76"/>
      <c r="L59" s="66">
        <f>H59-I59</f>
        <v>0</v>
      </c>
      <c r="M59" s="67">
        <v>15000</v>
      </c>
      <c r="N59" s="68"/>
      <c r="O59" s="69"/>
      <c r="P59" s="64" t="s">
        <v>498</v>
      </c>
      <c r="Q59" s="53"/>
    </row>
    <row r="60" spans="1:17" s="52" customFormat="1" ht="29.25" customHeight="1" x14ac:dyDescent="0.15">
      <c r="A60" s="80">
        <v>20170122</v>
      </c>
      <c r="B60" s="62" t="s">
        <v>30</v>
      </c>
      <c r="C60" s="62" t="s">
        <v>28</v>
      </c>
      <c r="D60" s="63" t="s">
        <v>489</v>
      </c>
      <c r="E60" s="63" t="s">
        <v>488</v>
      </c>
      <c r="F60" s="17" t="s">
        <v>3</v>
      </c>
      <c r="G60" s="63" t="s">
        <v>497</v>
      </c>
      <c r="H60" s="65">
        <f>[18]副本!G120</f>
        <v>10215.790999999997</v>
      </c>
      <c r="I60" s="65">
        <f>H60</f>
        <v>10215.790999999997</v>
      </c>
      <c r="J60" s="63"/>
      <c r="K60" s="67">
        <v>600</v>
      </c>
      <c r="L60" s="66"/>
      <c r="M60" s="67">
        <v>43000</v>
      </c>
      <c r="N60" s="68"/>
      <c r="O60" s="69"/>
      <c r="P60" s="64" t="s">
        <v>496</v>
      </c>
      <c r="Q60" s="53"/>
    </row>
    <row r="61" spans="1:17" s="52" customFormat="1" ht="29.25" customHeight="1" x14ac:dyDescent="0.15">
      <c r="A61" s="80">
        <v>20170122</v>
      </c>
      <c r="B61" s="62" t="s">
        <v>30</v>
      </c>
      <c r="C61" s="62" t="s">
        <v>28</v>
      </c>
      <c r="D61" s="63" t="s">
        <v>489</v>
      </c>
      <c r="E61" s="63" t="s">
        <v>488</v>
      </c>
      <c r="F61" s="17" t="s">
        <v>251</v>
      </c>
      <c r="G61" s="63" t="s">
        <v>497</v>
      </c>
      <c r="H61" s="65">
        <f>[18]副本!G121</f>
        <v>252.9399999999996</v>
      </c>
      <c r="I61" s="65">
        <f>H61</f>
        <v>252.9399999999996</v>
      </c>
      <c r="J61" s="63"/>
      <c r="K61" s="63"/>
      <c r="L61" s="66"/>
      <c r="M61" s="67">
        <v>43000</v>
      </c>
      <c r="N61" s="68"/>
      <c r="O61" s="69"/>
      <c r="P61" s="64" t="s">
        <v>495</v>
      </c>
      <c r="Q61" s="53"/>
    </row>
    <row r="62" spans="1:17" s="52" customFormat="1" ht="29.25" customHeight="1" x14ac:dyDescent="0.15">
      <c r="A62" s="80">
        <v>20170122</v>
      </c>
      <c r="B62" s="62" t="s">
        <v>494</v>
      </c>
      <c r="C62" s="62" t="s">
        <v>28</v>
      </c>
      <c r="D62" s="63" t="s">
        <v>489</v>
      </c>
      <c r="E62" s="63"/>
      <c r="F62" s="63"/>
      <c r="G62" s="63"/>
      <c r="H62" s="65"/>
      <c r="I62" s="65"/>
      <c r="J62" s="63"/>
      <c r="K62" s="67"/>
      <c r="L62" s="66"/>
      <c r="M62" s="67"/>
      <c r="N62" s="68"/>
      <c r="O62" s="69"/>
      <c r="P62" s="64"/>
      <c r="Q62" s="53"/>
    </row>
    <row r="63" spans="1:17" s="52" customFormat="1" ht="29.25" customHeight="1" x14ac:dyDescent="0.15">
      <c r="A63" s="80">
        <v>20170122</v>
      </c>
      <c r="B63" s="62" t="s">
        <v>24</v>
      </c>
      <c r="C63" s="74" t="s">
        <v>0</v>
      </c>
      <c r="D63" s="63"/>
      <c r="E63" s="63"/>
      <c r="F63" s="63"/>
      <c r="G63" s="63"/>
      <c r="H63" s="65"/>
      <c r="I63" s="65"/>
      <c r="J63" s="63"/>
      <c r="K63" s="67"/>
      <c r="L63" s="66"/>
      <c r="M63" s="67">
        <v>20000</v>
      </c>
      <c r="N63" s="68"/>
      <c r="O63" s="69"/>
      <c r="P63" s="64"/>
    </row>
    <row r="64" spans="1:17" s="52" customFormat="1" ht="29.25" customHeight="1" x14ac:dyDescent="0.15">
      <c r="A64" s="80">
        <v>20170122</v>
      </c>
      <c r="B64" s="62" t="s">
        <v>493</v>
      </c>
      <c r="C64" s="74" t="s">
        <v>0</v>
      </c>
      <c r="D64" s="63"/>
      <c r="E64" s="63" t="s">
        <v>12</v>
      </c>
      <c r="F64" s="17" t="s">
        <v>594</v>
      </c>
      <c r="G64" s="63" t="s">
        <v>487</v>
      </c>
      <c r="H64" s="65">
        <f>[18]副本!G127</f>
        <v>3643.1330000000016</v>
      </c>
      <c r="I64" s="65">
        <f>H64-4751.949+4751.949</f>
        <v>3643.1330000000016</v>
      </c>
      <c r="J64" s="63"/>
      <c r="K64" s="67"/>
      <c r="L64" s="66">
        <f>H64-I64</f>
        <v>0</v>
      </c>
      <c r="M64" s="67">
        <v>30000</v>
      </c>
      <c r="N64" s="68"/>
      <c r="O64" s="69"/>
      <c r="P64" s="64" t="s">
        <v>492</v>
      </c>
    </row>
    <row r="65" spans="1:16" s="52" customFormat="1" ht="29.25" customHeight="1" x14ac:dyDescent="0.15">
      <c r="A65" s="80">
        <v>20170122</v>
      </c>
      <c r="B65" s="62" t="s">
        <v>493</v>
      </c>
      <c r="C65" s="74" t="s">
        <v>0</v>
      </c>
      <c r="D65" s="63"/>
      <c r="E65" s="63" t="s">
        <v>12</v>
      </c>
      <c r="F65" s="17" t="s">
        <v>599</v>
      </c>
      <c r="G65" s="63" t="s">
        <v>487</v>
      </c>
      <c r="H65" s="65">
        <f>[18]副本!G128</f>
        <v>5000.9920000000002</v>
      </c>
      <c r="I65" s="65">
        <f>H65</f>
        <v>5000.9920000000002</v>
      </c>
      <c r="J65" s="63"/>
      <c r="K65" s="67"/>
      <c r="L65" s="66">
        <f>H65-I65</f>
        <v>0</v>
      </c>
      <c r="M65" s="67">
        <v>30000</v>
      </c>
      <c r="N65" s="68"/>
      <c r="O65" s="69"/>
      <c r="P65" s="64" t="s">
        <v>491</v>
      </c>
    </row>
    <row r="66" spans="1:16" s="52" customFormat="1" ht="29.25" customHeight="1" x14ac:dyDescent="0.15">
      <c r="A66" s="80">
        <v>20170122</v>
      </c>
      <c r="B66" s="62" t="s">
        <v>490</v>
      </c>
      <c r="C66" s="74" t="s">
        <v>0</v>
      </c>
      <c r="D66" s="63" t="s">
        <v>489</v>
      </c>
      <c r="E66" s="63" t="s">
        <v>488</v>
      </c>
      <c r="F66" s="17" t="s">
        <v>17</v>
      </c>
      <c r="G66" s="63" t="s">
        <v>487</v>
      </c>
      <c r="H66" s="65">
        <f>[18]副本!G130</f>
        <v>14976.093999999999</v>
      </c>
      <c r="I66" s="65">
        <f>H66-14976.094</f>
        <v>0</v>
      </c>
      <c r="J66" s="63"/>
      <c r="K66" s="67">
        <v>350</v>
      </c>
      <c r="L66" s="66">
        <f>H66-I66</f>
        <v>14976.093999999999</v>
      </c>
      <c r="M66" s="67">
        <v>20000</v>
      </c>
      <c r="N66" s="68" t="s">
        <v>486</v>
      </c>
      <c r="O66" s="69" t="s">
        <v>485</v>
      </c>
      <c r="P66" s="64" t="s">
        <v>484</v>
      </c>
    </row>
    <row r="67" spans="1:16" s="52" customFormat="1" ht="29.25" customHeight="1" x14ac:dyDescent="0.15">
      <c r="A67" s="80">
        <v>20170122</v>
      </c>
      <c r="B67" s="62" t="s">
        <v>13</v>
      </c>
      <c r="C67" s="74" t="s">
        <v>0</v>
      </c>
      <c r="D67" s="63"/>
      <c r="E67" s="63" t="s">
        <v>12</v>
      </c>
      <c r="F67" s="17" t="s">
        <v>11</v>
      </c>
      <c r="G67" s="63" t="s">
        <v>477</v>
      </c>
      <c r="H67" s="65">
        <f>[18]副本!G132</f>
        <v>25173.616999999973</v>
      </c>
      <c r="I67" s="65">
        <f>H67</f>
        <v>25173.616999999973</v>
      </c>
      <c r="J67" s="63"/>
      <c r="K67" s="67"/>
      <c r="L67" s="66">
        <v>0</v>
      </c>
      <c r="M67" s="67">
        <v>30000</v>
      </c>
      <c r="N67" s="68"/>
      <c r="O67" s="69"/>
      <c r="P67" s="64"/>
    </row>
    <row r="68" spans="1:16" s="52" customFormat="1" ht="29.25" customHeight="1" x14ac:dyDescent="0.15">
      <c r="A68" s="80">
        <v>20170122</v>
      </c>
      <c r="B68" s="62" t="s">
        <v>10</v>
      </c>
      <c r="C68" s="74" t="s">
        <v>0</v>
      </c>
      <c r="D68" s="63"/>
      <c r="E68" s="63" t="s">
        <v>483</v>
      </c>
      <c r="F68" s="12" t="s">
        <v>8</v>
      </c>
      <c r="G68" s="63" t="s">
        <v>477</v>
      </c>
      <c r="H68" s="65">
        <f>[18]副本!G134</f>
        <v>0</v>
      </c>
      <c r="I68" s="65">
        <f>H68</f>
        <v>0</v>
      </c>
      <c r="J68" s="63"/>
      <c r="K68" s="67"/>
      <c r="L68" s="66">
        <f>H68-I68</f>
        <v>0</v>
      </c>
      <c r="M68" s="67">
        <v>20000</v>
      </c>
      <c r="N68" s="68"/>
      <c r="O68" s="69"/>
      <c r="P68" s="63" t="s">
        <v>482</v>
      </c>
    </row>
    <row r="69" spans="1:16" s="52" customFormat="1" ht="29.25" customHeight="1" x14ac:dyDescent="0.15">
      <c r="A69" s="80">
        <v>20170122</v>
      </c>
      <c r="B69" s="62" t="s">
        <v>10</v>
      </c>
      <c r="C69" s="74" t="s">
        <v>0</v>
      </c>
      <c r="D69" s="63"/>
      <c r="E69" s="63" t="s">
        <v>483</v>
      </c>
      <c r="F69" s="12" t="s">
        <v>257</v>
      </c>
      <c r="G69" s="63" t="s">
        <v>477</v>
      </c>
      <c r="H69" s="65">
        <f>[18]副本!G135</f>
        <v>2531.1949999999997</v>
      </c>
      <c r="I69" s="65">
        <f>H69</f>
        <v>2531.1949999999997</v>
      </c>
      <c r="J69" s="63"/>
      <c r="K69" s="67"/>
      <c r="L69" s="66">
        <v>0</v>
      </c>
      <c r="M69" s="67">
        <v>20000</v>
      </c>
      <c r="N69" s="68"/>
      <c r="O69" s="69"/>
      <c r="P69" s="64" t="s">
        <v>481</v>
      </c>
    </row>
    <row r="70" spans="1:16" s="52" customFormat="1" ht="29.25" customHeight="1" x14ac:dyDescent="0.15">
      <c r="A70" s="80">
        <v>20170122</v>
      </c>
      <c r="B70" s="62" t="s">
        <v>7</v>
      </c>
      <c r="C70" s="74" t="s">
        <v>0</v>
      </c>
      <c r="D70" s="63"/>
      <c r="E70" s="63"/>
      <c r="F70" s="63"/>
      <c r="G70" s="63"/>
      <c r="H70" s="65"/>
      <c r="I70" s="65"/>
      <c r="J70" s="63"/>
      <c r="K70" s="67"/>
      <c r="L70" s="66"/>
      <c r="M70" s="67">
        <v>15000</v>
      </c>
      <c r="N70" s="68"/>
      <c r="O70" s="69"/>
      <c r="P70" s="64"/>
    </row>
    <row r="71" spans="1:16" s="52" customFormat="1" ht="29.25" customHeight="1" x14ac:dyDescent="0.15">
      <c r="A71" s="80">
        <v>20170122</v>
      </c>
      <c r="B71" s="62" t="s">
        <v>480</v>
      </c>
      <c r="C71" s="74" t="s">
        <v>0</v>
      </c>
      <c r="D71" s="63" t="s">
        <v>479</v>
      </c>
      <c r="E71" s="63" t="s">
        <v>478</v>
      </c>
      <c r="F71" s="17" t="s">
        <v>3</v>
      </c>
      <c r="G71" s="63" t="s">
        <v>477</v>
      </c>
      <c r="H71" s="65">
        <f>[18]副本!G139</f>
        <v>12005.106</v>
      </c>
      <c r="I71" s="65">
        <f>H71-12005.106</f>
        <v>0</v>
      </c>
      <c r="J71" s="63"/>
      <c r="K71" s="67"/>
      <c r="L71" s="66">
        <f>H71-I71</f>
        <v>12005.106</v>
      </c>
      <c r="M71" s="67">
        <v>15000</v>
      </c>
      <c r="N71" s="68"/>
      <c r="O71" s="69"/>
      <c r="P71" s="64"/>
    </row>
    <row r="72" spans="1:16" s="52" customFormat="1" ht="29.25" customHeight="1" x14ac:dyDescent="0.15">
      <c r="A72" s="80">
        <v>20170122</v>
      </c>
      <c r="B72" s="62" t="s">
        <v>1</v>
      </c>
      <c r="C72" s="74" t="s">
        <v>0</v>
      </c>
      <c r="D72" s="63"/>
      <c r="E72" s="63" t="s">
        <v>478</v>
      </c>
      <c r="F72" s="17" t="s">
        <v>437</v>
      </c>
      <c r="G72" s="63" t="s">
        <v>477</v>
      </c>
      <c r="H72" s="65">
        <f>[18]副本!G141</f>
        <v>7240.329999999999</v>
      </c>
      <c r="I72" s="65">
        <f>H72</f>
        <v>7240.329999999999</v>
      </c>
      <c r="J72" s="63"/>
      <c r="K72" s="67"/>
      <c r="L72" s="66">
        <f>H72-I72</f>
        <v>0</v>
      </c>
      <c r="M72" s="67">
        <v>15000</v>
      </c>
      <c r="N72" s="68"/>
      <c r="O72" s="69"/>
      <c r="P72" s="64" t="s">
        <v>476</v>
      </c>
    </row>
    <row r="78" spans="1:16" s="42" customFormat="1" x14ac:dyDescent="0.15">
      <c r="B78" s="43"/>
      <c r="C78" s="50"/>
      <c r="D78" s="49"/>
      <c r="E78" s="43"/>
      <c r="F78" s="43"/>
      <c r="G78" s="49"/>
      <c r="H78" s="48"/>
      <c r="I78" s="48"/>
      <c r="K78" s="79"/>
      <c r="L78" s="51"/>
      <c r="M78" s="45"/>
      <c r="N78" s="44"/>
      <c r="O78" s="44"/>
      <c r="P78" s="43"/>
    </row>
    <row r="230" spans="2:16" s="42" customFormat="1" x14ac:dyDescent="0.15">
      <c r="B230" s="43"/>
      <c r="C230" s="50"/>
      <c r="D230" s="49"/>
      <c r="E230" s="43"/>
      <c r="F230" s="43"/>
      <c r="G230" s="43"/>
      <c r="H230" s="43"/>
      <c r="I230" s="48"/>
      <c r="K230" s="79"/>
      <c r="L230" s="46"/>
      <c r="M230" s="45"/>
      <c r="N230" s="44"/>
      <c r="O230" s="44"/>
      <c r="P230" s="43"/>
    </row>
  </sheetData>
  <autoFilter ref="B1:I72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0"/>
  <sheetViews>
    <sheetView workbookViewId="0">
      <pane xSplit="3" ySplit="1" topLeftCell="D71" activePane="bottomRight" state="frozen"/>
      <selection activeCell="G5" sqref="G5"/>
      <selection pane="topRight" activeCell="G5" sqref="G5"/>
      <selection pane="bottomLeft" activeCell="G5" sqref="G5"/>
      <selection pane="bottomRight" activeCell="F65" sqref="F65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31.87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78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40" customFormat="1" ht="22.5" x14ac:dyDescent="0.15">
      <c r="A1" s="29" t="s">
        <v>272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36" customHeight="1" x14ac:dyDescent="0.15">
      <c r="A2" s="17">
        <v>20170124</v>
      </c>
      <c r="B2" s="19" t="s">
        <v>158</v>
      </c>
      <c r="C2" s="36" t="s">
        <v>63</v>
      </c>
      <c r="D2" s="19"/>
      <c r="E2" s="17" t="s">
        <v>141</v>
      </c>
      <c r="F2" s="63" t="s">
        <v>144</v>
      </c>
      <c r="G2" s="12" t="s">
        <v>54</v>
      </c>
      <c r="H2" s="18"/>
      <c r="I2" s="18"/>
      <c r="J2" s="17"/>
      <c r="K2" s="15"/>
      <c r="L2" s="16">
        <v>0</v>
      </c>
      <c r="M2" s="15">
        <v>2000</v>
      </c>
      <c r="N2" s="14" t="s">
        <v>143</v>
      </c>
      <c r="O2" s="13" t="s">
        <v>124</v>
      </c>
      <c r="P2" s="12"/>
    </row>
    <row r="3" spans="1:17" s="11" customFormat="1" ht="36" customHeight="1" x14ac:dyDescent="0.15">
      <c r="A3" s="17">
        <v>20170124</v>
      </c>
      <c r="B3" s="19" t="s">
        <v>157</v>
      </c>
      <c r="C3" s="36" t="s">
        <v>63</v>
      </c>
      <c r="D3" s="19"/>
      <c r="E3" s="17" t="s">
        <v>116</v>
      </c>
      <c r="F3" s="17" t="s">
        <v>468</v>
      </c>
      <c r="G3" s="12" t="s">
        <v>54</v>
      </c>
      <c r="H3" s="18">
        <f>[19]副本!G6</f>
        <v>880.779</v>
      </c>
      <c r="I3" s="18">
        <f>H3</f>
        <v>880.779</v>
      </c>
      <c r="J3" s="17"/>
      <c r="K3" s="15"/>
      <c r="L3" s="16">
        <f>H3-I3</f>
        <v>0</v>
      </c>
      <c r="M3" s="15">
        <v>1500</v>
      </c>
      <c r="N3" s="14"/>
      <c r="O3" s="13"/>
      <c r="P3" s="12"/>
    </row>
    <row r="4" spans="1:17" s="11" customFormat="1" ht="36" customHeight="1" x14ac:dyDescent="0.15">
      <c r="A4" s="17">
        <v>20170124</v>
      </c>
      <c r="B4" s="19" t="s">
        <v>153</v>
      </c>
      <c r="C4" s="36" t="s">
        <v>63</v>
      </c>
      <c r="D4" s="19"/>
      <c r="E4" s="17" t="s">
        <v>56</v>
      </c>
      <c r="F4" s="63" t="s">
        <v>61</v>
      </c>
      <c r="G4" s="12" t="s">
        <v>54</v>
      </c>
      <c r="H4" s="18">
        <f>[19]副本!G8</f>
        <v>1710.5029999999958</v>
      </c>
      <c r="I4" s="18">
        <f>H4</f>
        <v>1710.5029999999958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36" customHeight="1" x14ac:dyDescent="0.15">
      <c r="A5" s="17">
        <v>20170124</v>
      </c>
      <c r="B5" s="19" t="s">
        <v>149</v>
      </c>
      <c r="C5" s="36" t="s">
        <v>63</v>
      </c>
      <c r="D5" s="17"/>
      <c r="E5" s="17" t="s">
        <v>148</v>
      </c>
      <c r="F5" s="63" t="s">
        <v>140</v>
      </c>
      <c r="G5" s="12" t="s">
        <v>54</v>
      </c>
      <c r="H5" s="18">
        <f>[19]副本!G10</f>
        <v>882.99800000002733</v>
      </c>
      <c r="I5" s="18">
        <f>H5</f>
        <v>882.99800000002733</v>
      </c>
      <c r="J5" s="17"/>
      <c r="K5" s="15"/>
      <c r="L5" s="16">
        <v>0</v>
      </c>
      <c r="M5" s="15">
        <v>2000</v>
      </c>
      <c r="N5" s="14" t="s">
        <v>147</v>
      </c>
      <c r="O5" s="13" t="s">
        <v>124</v>
      </c>
      <c r="P5" s="12" t="s">
        <v>150</v>
      </c>
    </row>
    <row r="6" spans="1:17" s="11" customFormat="1" ht="36" customHeight="1" x14ac:dyDescent="0.15">
      <c r="A6" s="17">
        <v>20170124</v>
      </c>
      <c r="B6" s="19" t="s">
        <v>145</v>
      </c>
      <c r="C6" s="36" t="s">
        <v>63</v>
      </c>
      <c r="D6" s="17"/>
      <c r="E6" s="17" t="s">
        <v>141</v>
      </c>
      <c r="F6" s="63" t="s">
        <v>144</v>
      </c>
      <c r="G6" s="12" t="s">
        <v>54</v>
      </c>
      <c r="H6" s="18">
        <f>[19]副本!G12</f>
        <v>2871.8580000000002</v>
      </c>
      <c r="I6" s="18">
        <f>H6</f>
        <v>2871.8580000000002</v>
      </c>
      <c r="J6" s="17"/>
      <c r="K6" s="15"/>
      <c r="L6" s="16">
        <v>0</v>
      </c>
      <c r="M6" s="15">
        <v>3000</v>
      </c>
      <c r="N6" s="14" t="s">
        <v>143</v>
      </c>
      <c r="O6" s="13" t="s">
        <v>124</v>
      </c>
      <c r="P6" s="12" t="s">
        <v>576</v>
      </c>
      <c r="Q6" s="20"/>
    </row>
    <row r="7" spans="1:17" s="11" customFormat="1" ht="36" customHeight="1" x14ac:dyDescent="0.15">
      <c r="A7" s="17">
        <v>20170124</v>
      </c>
      <c r="B7" s="19" t="s">
        <v>142</v>
      </c>
      <c r="C7" s="36" t="s">
        <v>63</v>
      </c>
      <c r="D7" s="17"/>
      <c r="E7" s="17" t="s">
        <v>141</v>
      </c>
      <c r="F7" s="63" t="s">
        <v>140</v>
      </c>
      <c r="G7" s="17" t="s">
        <v>54</v>
      </c>
      <c r="H7" s="18"/>
      <c r="I7" s="18"/>
      <c r="J7" s="17"/>
      <c r="K7" s="15"/>
      <c r="L7" s="16"/>
      <c r="M7" s="15">
        <v>3000</v>
      </c>
      <c r="N7" s="14"/>
      <c r="O7" s="13"/>
      <c r="P7" s="12"/>
      <c r="Q7" s="20"/>
    </row>
    <row r="8" spans="1:17" s="11" customFormat="1" ht="36" customHeight="1" x14ac:dyDescent="0.15">
      <c r="A8" s="17">
        <v>20170124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36" customHeight="1" x14ac:dyDescent="0.15">
      <c r="A9" s="17">
        <v>20170124</v>
      </c>
      <c r="B9" s="19" t="s">
        <v>138</v>
      </c>
      <c r="C9" s="36" t="s">
        <v>31</v>
      </c>
      <c r="D9" s="17"/>
      <c r="E9" s="17" t="s">
        <v>9</v>
      </c>
      <c r="F9" s="17" t="s">
        <v>104</v>
      </c>
      <c r="G9" s="17" t="s">
        <v>54</v>
      </c>
      <c r="H9" s="17">
        <f>[19]副本!G18</f>
        <v>1322.4749999999999</v>
      </c>
      <c r="I9" s="18">
        <f t="shared" ref="I9:I14" si="0">H9</f>
        <v>1322.4749999999999</v>
      </c>
      <c r="J9" s="17"/>
      <c r="K9" s="15">
        <v>100</v>
      </c>
      <c r="L9" s="16">
        <f t="shared" ref="L9:L14" si="1">H9-I9</f>
        <v>0</v>
      </c>
      <c r="M9" s="15">
        <v>5000</v>
      </c>
      <c r="N9" s="14" t="s">
        <v>137</v>
      </c>
      <c r="O9" s="13" t="s">
        <v>136</v>
      </c>
      <c r="P9" s="12" t="s">
        <v>101</v>
      </c>
    </row>
    <row r="10" spans="1:17" s="11" customFormat="1" ht="36" customHeight="1" x14ac:dyDescent="0.15">
      <c r="A10" s="17">
        <v>20170124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[19]副本!G20</f>
        <v>1.5219999999999345</v>
      </c>
      <c r="I10" s="18">
        <f t="shared" si="0"/>
        <v>1.5219999999999345</v>
      </c>
      <c r="J10" s="17"/>
      <c r="K10" s="15"/>
      <c r="L10" s="16">
        <f t="shared" si="1"/>
        <v>0</v>
      </c>
      <c r="M10" s="15">
        <v>1500</v>
      </c>
      <c r="N10" s="14"/>
      <c r="O10" s="13"/>
      <c r="P10" s="12" t="s">
        <v>357</v>
      </c>
    </row>
    <row r="11" spans="1:17" s="11" customFormat="1" ht="36" customHeight="1" x14ac:dyDescent="0.15">
      <c r="A11" s="17">
        <v>20170124</v>
      </c>
      <c r="B11" s="19" t="s">
        <v>135</v>
      </c>
      <c r="C11" s="17" t="s">
        <v>63</v>
      </c>
      <c r="D11" s="17"/>
      <c r="E11" s="17" t="s">
        <v>92</v>
      </c>
      <c r="F11" s="17" t="s">
        <v>261</v>
      </c>
      <c r="G11" s="17" t="s">
        <v>54</v>
      </c>
      <c r="H11" s="18">
        <f>[19]副本!G21</f>
        <v>3.999999999996362E-2</v>
      </c>
      <c r="I11" s="18">
        <f t="shared" si="0"/>
        <v>3.999999999996362E-2</v>
      </c>
      <c r="J11" s="17"/>
      <c r="K11" s="15"/>
      <c r="L11" s="16">
        <f t="shared" si="1"/>
        <v>0</v>
      </c>
      <c r="M11" s="15">
        <v>1500</v>
      </c>
      <c r="N11" s="14"/>
      <c r="O11" s="13"/>
      <c r="P11" s="12" t="s">
        <v>355</v>
      </c>
    </row>
    <row r="12" spans="1:17" s="11" customFormat="1" ht="36" customHeight="1" x14ac:dyDescent="0.15">
      <c r="A12" s="17">
        <v>20170124</v>
      </c>
      <c r="B12" s="19" t="s">
        <v>135</v>
      </c>
      <c r="C12" s="17" t="s">
        <v>63</v>
      </c>
      <c r="D12" s="17"/>
      <c r="E12" s="17" t="s">
        <v>92</v>
      </c>
      <c r="F12" s="17" t="s">
        <v>91</v>
      </c>
      <c r="G12" s="17" t="s">
        <v>54</v>
      </c>
      <c r="H12" s="18">
        <f>[19]副本!G22</f>
        <v>1000</v>
      </c>
      <c r="I12" s="18">
        <f t="shared" si="0"/>
        <v>1000</v>
      </c>
      <c r="J12" s="17"/>
      <c r="K12" s="15"/>
      <c r="L12" s="16">
        <f t="shared" si="1"/>
        <v>0</v>
      </c>
      <c r="M12" s="15">
        <v>1500</v>
      </c>
      <c r="N12" s="14"/>
      <c r="O12" s="13"/>
      <c r="P12" s="12" t="s">
        <v>355</v>
      </c>
    </row>
    <row r="13" spans="1:17" s="11" customFormat="1" ht="36" customHeight="1" x14ac:dyDescent="0.15">
      <c r="A13" s="17">
        <v>20170124</v>
      </c>
      <c r="B13" s="19" t="s">
        <v>134</v>
      </c>
      <c r="C13" s="17" t="s">
        <v>63</v>
      </c>
      <c r="D13" s="17"/>
      <c r="E13" s="17" t="s">
        <v>116</v>
      </c>
      <c r="F13" s="17" t="s">
        <v>256</v>
      </c>
      <c r="G13" s="17" t="s">
        <v>54</v>
      </c>
      <c r="H13" s="18">
        <f>[19]副本!G24</f>
        <v>1502.1479999999999</v>
      </c>
      <c r="I13" s="18">
        <f t="shared" si="0"/>
        <v>1502.1479999999999</v>
      </c>
      <c r="J13" s="17"/>
      <c r="K13" s="15"/>
      <c r="L13" s="16">
        <f t="shared" si="1"/>
        <v>0</v>
      </c>
      <c r="M13" s="15">
        <v>1500</v>
      </c>
      <c r="N13" s="14"/>
      <c r="O13" s="13"/>
      <c r="P13" s="12"/>
    </row>
    <row r="14" spans="1:17" s="11" customFormat="1" ht="36" customHeight="1" x14ac:dyDescent="0.15">
      <c r="A14" s="17">
        <v>20170124</v>
      </c>
      <c r="B14" s="19" t="s">
        <v>133</v>
      </c>
      <c r="C14" s="36" t="s">
        <v>28</v>
      </c>
      <c r="D14" s="17"/>
      <c r="E14" s="17" t="s">
        <v>575</v>
      </c>
      <c r="F14" s="17" t="s">
        <v>579</v>
      </c>
      <c r="G14" s="17"/>
      <c r="H14" s="18">
        <f>[19]副本!G26</f>
        <v>904.43000000000006</v>
      </c>
      <c r="I14" s="18">
        <f t="shared" si="0"/>
        <v>904.43000000000006</v>
      </c>
      <c r="J14" s="17"/>
      <c r="K14" s="15"/>
      <c r="L14" s="16">
        <f t="shared" si="1"/>
        <v>0</v>
      </c>
      <c r="M14" s="15">
        <v>1500</v>
      </c>
      <c r="N14" s="14"/>
      <c r="O14" s="13"/>
      <c r="P14" s="12" t="s">
        <v>574</v>
      </c>
      <c r="Q14" s="20"/>
    </row>
    <row r="15" spans="1:17" s="11" customFormat="1" ht="36" customHeight="1" x14ac:dyDescent="0.15">
      <c r="A15" s="17">
        <v>20170124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36" customHeight="1" x14ac:dyDescent="0.15">
      <c r="A16" s="17">
        <v>20170124</v>
      </c>
      <c r="B16" s="19" t="s">
        <v>131</v>
      </c>
      <c r="C16" s="36" t="s">
        <v>63</v>
      </c>
      <c r="D16" s="17"/>
      <c r="E16" s="17" t="s">
        <v>92</v>
      </c>
      <c r="F16" s="17" t="s">
        <v>232</v>
      </c>
      <c r="G16" s="17" t="s">
        <v>54</v>
      </c>
      <c r="H16" s="18">
        <f>[19]副本!G30</f>
        <v>1051.9169999999999</v>
      </c>
      <c r="I16" s="18">
        <f>H16</f>
        <v>1051.9169999999999</v>
      </c>
      <c r="J16" s="17"/>
      <c r="K16" s="15">
        <v>70</v>
      </c>
      <c r="L16" s="16"/>
      <c r="M16" s="15">
        <v>1500</v>
      </c>
      <c r="N16" s="14"/>
      <c r="O16" s="13"/>
      <c r="P16" s="12" t="s">
        <v>351</v>
      </c>
    </row>
    <row r="17" spans="1:17" s="11" customFormat="1" ht="36" customHeight="1" x14ac:dyDescent="0.15">
      <c r="A17" s="17">
        <v>20170124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</v>
      </c>
      <c r="H17" s="18">
        <f>[19]副本!G32-H18</f>
        <v>9025.2470000000176</v>
      </c>
      <c r="I17" s="18">
        <f>H17</f>
        <v>9025.2470000000176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124</v>
      </c>
      <c r="P17" s="12" t="s">
        <v>130</v>
      </c>
    </row>
    <row r="18" spans="1:17" s="11" customFormat="1" ht="36" customHeight="1" x14ac:dyDescent="0.15">
      <c r="A18" s="17">
        <v>20170124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 t="s">
        <v>2</v>
      </c>
      <c r="H18" s="18">
        <f>[19]副本!G34</f>
        <v>4387.7529999999824</v>
      </c>
      <c r="I18" s="18">
        <f>H18</f>
        <v>4387.7529999999824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244</v>
      </c>
    </row>
    <row r="19" spans="1:17" s="11" customFormat="1" ht="36" customHeight="1" x14ac:dyDescent="0.15">
      <c r="A19" s="17">
        <v>20170124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36" customHeight="1" x14ac:dyDescent="0.15">
      <c r="A20" s="17">
        <v>20170124</v>
      </c>
      <c r="B20" s="19" t="s">
        <v>126</v>
      </c>
      <c r="C20" s="36" t="s">
        <v>63</v>
      </c>
      <c r="D20" s="17"/>
      <c r="E20" s="17" t="s">
        <v>84</v>
      </c>
      <c r="F20" s="17" t="s">
        <v>81</v>
      </c>
      <c r="G20" s="17" t="s">
        <v>54</v>
      </c>
      <c r="H20" s="18">
        <f>[19]副本!G38</f>
        <v>925.26299999999992</v>
      </c>
      <c r="I20" s="18">
        <f>H20</f>
        <v>925.26299999999992</v>
      </c>
      <c r="J20" s="17"/>
      <c r="K20" s="15"/>
      <c r="L20" s="16">
        <f>H20-I20</f>
        <v>0</v>
      </c>
      <c r="M20" s="15">
        <v>3000</v>
      </c>
      <c r="N20" s="14"/>
      <c r="O20" s="13"/>
      <c r="P20" s="12" t="s">
        <v>573</v>
      </c>
    </row>
    <row r="21" spans="1:17" s="11" customFormat="1" ht="36" customHeight="1" x14ac:dyDescent="0.15">
      <c r="A21" s="17">
        <v>20170124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</v>
      </c>
      <c r="H21" s="18">
        <f>[19]副本!G40-'20170124'!H22</f>
        <v>9587.537428000036</v>
      </c>
      <c r="I21" s="18">
        <f>H21</f>
        <v>9587.537428000036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124</v>
      </c>
      <c r="P21" s="12" t="s">
        <v>123</v>
      </c>
    </row>
    <row r="22" spans="1:17" s="11" customFormat="1" ht="36" customHeight="1" x14ac:dyDescent="0.15">
      <c r="A22" s="17">
        <v>20170124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 t="s">
        <v>2</v>
      </c>
      <c r="H22" s="18">
        <f>[19]副本!G42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243</v>
      </c>
    </row>
    <row r="23" spans="1:17" s="11" customFormat="1" ht="36" customHeight="1" x14ac:dyDescent="0.15">
      <c r="A23" s="17">
        <v>20170124</v>
      </c>
      <c r="B23" s="19" t="s">
        <v>117</v>
      </c>
      <c r="C23" s="36" t="s">
        <v>63</v>
      </c>
      <c r="D23" s="17"/>
      <c r="E23" s="17" t="s">
        <v>116</v>
      </c>
      <c r="F23" s="17" t="s">
        <v>115</v>
      </c>
      <c r="G23" s="17" t="s">
        <v>2</v>
      </c>
      <c r="H23" s="18">
        <f>[19]副本!G44</f>
        <v>6134.7419999999993</v>
      </c>
      <c r="I23" s="18">
        <f>H23</f>
        <v>6134.7419999999993</v>
      </c>
      <c r="J23" s="17"/>
      <c r="K23" s="15">
        <v>300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36" customHeight="1" x14ac:dyDescent="0.15">
      <c r="A24" s="17">
        <v>20170124</v>
      </c>
      <c r="B24" s="19" t="s">
        <v>113</v>
      </c>
      <c r="C24" s="36" t="s">
        <v>0</v>
      </c>
      <c r="D24" s="17"/>
      <c r="E24" s="12" t="s">
        <v>112</v>
      </c>
      <c r="F24" s="17" t="s">
        <v>39</v>
      </c>
      <c r="G24" s="17" t="s">
        <v>2</v>
      </c>
      <c r="H24" s="18">
        <f>[19]副本!G46</f>
        <v>1026.373</v>
      </c>
      <c r="I24" s="18">
        <f>H24</f>
        <v>1026.373</v>
      </c>
      <c r="J24" s="17"/>
      <c r="K24" s="15"/>
      <c r="L24" s="16">
        <f>H24-I24</f>
        <v>0</v>
      </c>
      <c r="M24" s="15">
        <v>5000</v>
      </c>
      <c r="N24" s="14"/>
      <c r="O24" s="13"/>
      <c r="P24" s="37" t="s">
        <v>462</v>
      </c>
    </row>
    <row r="25" spans="1:17" s="11" customFormat="1" ht="36" customHeight="1" x14ac:dyDescent="0.15">
      <c r="A25" s="17">
        <v>20170124</v>
      </c>
      <c r="B25" s="19" t="s">
        <v>110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36" customHeight="1" x14ac:dyDescent="0.15">
      <c r="A26" s="17">
        <v>20170124</v>
      </c>
      <c r="B26" s="19" t="s">
        <v>109</v>
      </c>
      <c r="C26" s="36" t="s">
        <v>63</v>
      </c>
      <c r="D26" s="17"/>
      <c r="E26" s="17"/>
      <c r="F26" s="17"/>
      <c r="G26" s="17"/>
      <c r="H26" s="18"/>
      <c r="I26" s="18"/>
      <c r="J26" s="17"/>
      <c r="K26" s="15"/>
      <c r="L26" s="16"/>
      <c r="M26" s="15">
        <v>4000</v>
      </c>
      <c r="N26" s="14"/>
      <c r="O26" s="13"/>
      <c r="P26" s="12"/>
    </row>
    <row r="27" spans="1:17" s="11" customFormat="1" ht="36" customHeight="1" x14ac:dyDescent="0.15">
      <c r="A27" s="17">
        <v>20170124</v>
      </c>
      <c r="B27" s="19" t="s">
        <v>106</v>
      </c>
      <c r="C27" s="36" t="s">
        <v>105</v>
      </c>
      <c r="D27" s="17"/>
      <c r="E27" s="17"/>
      <c r="F27" s="17"/>
      <c r="G27" s="17"/>
      <c r="H27" s="18"/>
      <c r="I27" s="18"/>
      <c r="J27" s="17"/>
      <c r="K27" s="15"/>
      <c r="L27" s="16"/>
      <c r="M27" s="15">
        <v>5000</v>
      </c>
      <c r="N27" s="14"/>
      <c r="O27" s="13"/>
      <c r="P27" s="12"/>
    </row>
    <row r="28" spans="1:17" s="11" customFormat="1" ht="36" customHeight="1" x14ac:dyDescent="0.15">
      <c r="A28" s="17">
        <v>20170124</v>
      </c>
      <c r="B28" s="19" t="s">
        <v>100</v>
      </c>
      <c r="C28" s="36" t="s">
        <v>96</v>
      </c>
      <c r="D28" s="17"/>
      <c r="E28" s="17" t="s">
        <v>67</v>
      </c>
      <c r="F28" s="17" t="s">
        <v>39</v>
      </c>
      <c r="G28" s="17" t="s">
        <v>2</v>
      </c>
      <c r="H28" s="18">
        <f>[19]副本!G55</f>
        <v>1496.749</v>
      </c>
      <c r="I28" s="18">
        <f>H28</f>
        <v>1496.749</v>
      </c>
      <c r="J28" s="17"/>
      <c r="K28" s="15">
        <v>1300</v>
      </c>
      <c r="L28" s="16">
        <f>H28-I28</f>
        <v>0</v>
      </c>
      <c r="M28" s="15">
        <v>2000</v>
      </c>
      <c r="N28" s="14"/>
      <c r="O28" s="13"/>
      <c r="P28" s="12" t="s">
        <v>457</v>
      </c>
    </row>
    <row r="29" spans="1:17" s="11" customFormat="1" ht="36" customHeight="1" x14ac:dyDescent="0.15">
      <c r="A29" s="17">
        <v>20170124</v>
      </c>
      <c r="B29" s="19" t="s">
        <v>99</v>
      </c>
      <c r="C29" s="36" t="s">
        <v>96</v>
      </c>
      <c r="D29" s="17"/>
      <c r="E29" s="17"/>
      <c r="F29" s="17"/>
      <c r="G29" s="17"/>
      <c r="H29" s="18"/>
      <c r="I29" s="18"/>
      <c r="J29" s="17"/>
      <c r="K29" s="15"/>
      <c r="L29" s="16"/>
      <c r="M29" s="15">
        <v>1500</v>
      </c>
      <c r="N29" s="14"/>
      <c r="O29" s="13"/>
      <c r="P29" s="12"/>
    </row>
    <row r="30" spans="1:17" s="11" customFormat="1" ht="36" customHeight="1" x14ac:dyDescent="0.15">
      <c r="A30" s="17">
        <v>20170124</v>
      </c>
      <c r="B30" s="19" t="s">
        <v>98</v>
      </c>
      <c r="C30" s="36" t="s">
        <v>96</v>
      </c>
      <c r="D30" s="17"/>
      <c r="E30" s="17" t="s">
        <v>67</v>
      </c>
      <c r="F30" s="17" t="s">
        <v>39</v>
      </c>
      <c r="G30" s="17" t="s">
        <v>2</v>
      </c>
      <c r="H30" s="18">
        <f>[19]副本!G59</f>
        <v>1099.527</v>
      </c>
      <c r="I30" s="18">
        <f>H30</f>
        <v>1099.527</v>
      </c>
      <c r="J30" s="17"/>
      <c r="K30" s="15"/>
      <c r="L30" s="16">
        <f>H30-I30</f>
        <v>0</v>
      </c>
      <c r="M30" s="15">
        <v>1500</v>
      </c>
      <c r="N30" s="14"/>
      <c r="O30" s="13"/>
      <c r="P30" s="12" t="s">
        <v>457</v>
      </c>
      <c r="Q30" s="20"/>
    </row>
    <row r="31" spans="1:17" s="11" customFormat="1" ht="36" customHeight="1" x14ac:dyDescent="0.15">
      <c r="A31" s="17">
        <v>20170124</v>
      </c>
      <c r="B31" s="19" t="s">
        <v>97</v>
      </c>
      <c r="C31" s="36" t="s">
        <v>96</v>
      </c>
      <c r="D31" s="17"/>
      <c r="E31" s="17" t="s">
        <v>67</v>
      </c>
      <c r="F31" s="17"/>
      <c r="G31" s="17"/>
      <c r="H31" s="18"/>
      <c r="I31" s="18"/>
      <c r="J31" s="17"/>
      <c r="K31" s="15"/>
      <c r="L31" s="16"/>
      <c r="M31" s="15">
        <v>1500</v>
      </c>
      <c r="N31" s="14"/>
      <c r="O31" s="13"/>
      <c r="P31" s="12"/>
    </row>
    <row r="32" spans="1:17" s="11" customFormat="1" ht="36" customHeight="1" x14ac:dyDescent="0.15">
      <c r="A32" s="17">
        <v>20170124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36" customHeight="1" x14ac:dyDescent="0.15">
      <c r="A33" s="17">
        <v>20170124</v>
      </c>
      <c r="B33" s="19" t="s">
        <v>93</v>
      </c>
      <c r="C33" s="36" t="s">
        <v>57</v>
      </c>
      <c r="D33" s="17"/>
      <c r="E33" s="17" t="s">
        <v>92</v>
      </c>
      <c r="F33" s="17" t="s">
        <v>91</v>
      </c>
      <c r="G33" s="17" t="s">
        <v>2</v>
      </c>
      <c r="H33" s="17">
        <f>[19]副本!G65</f>
        <v>408.81600000000014</v>
      </c>
      <c r="I33" s="18">
        <f>H33-1035.099+1035.099</f>
        <v>408.81600000000014</v>
      </c>
      <c r="J33" s="17"/>
      <c r="K33" s="15">
        <v>30</v>
      </c>
      <c r="L33" s="16">
        <f>H33-I33</f>
        <v>0</v>
      </c>
      <c r="M33" s="15">
        <v>2000</v>
      </c>
      <c r="N33" s="14"/>
      <c r="O33" s="13"/>
      <c r="P33" s="12" t="s">
        <v>536</v>
      </c>
    </row>
    <row r="34" spans="1:16" s="11" customFormat="1" ht="36" customHeight="1" x14ac:dyDescent="0.15">
      <c r="A34" s="17">
        <v>20170124</v>
      </c>
      <c r="B34" s="19" t="s">
        <v>89</v>
      </c>
      <c r="C34" s="36" t="s">
        <v>63</v>
      </c>
      <c r="D34" s="17" t="s">
        <v>88</v>
      </c>
      <c r="E34" s="17" t="s">
        <v>87</v>
      </c>
      <c r="F34" s="17" t="s">
        <v>216</v>
      </c>
      <c r="G34" s="17" t="s">
        <v>54</v>
      </c>
      <c r="H34" s="18">
        <f>[19]副本!G67</f>
        <v>640.54299999999989</v>
      </c>
      <c r="I34" s="18">
        <f>H34-1037.023+500+537.023</f>
        <v>640.54300000000001</v>
      </c>
      <c r="J34" s="17"/>
      <c r="K34" s="15">
        <v>100</v>
      </c>
      <c r="L34" s="16">
        <f>H34-I34</f>
        <v>0</v>
      </c>
      <c r="M34" s="15">
        <v>3000</v>
      </c>
      <c r="N34" s="14"/>
      <c r="O34" s="13"/>
      <c r="P34" s="24" t="s">
        <v>467</v>
      </c>
    </row>
    <row r="35" spans="1:16" s="11" customFormat="1" ht="36" customHeight="1" x14ac:dyDescent="0.15">
      <c r="A35" s="17">
        <v>20170124</v>
      </c>
      <c r="B35" s="19" t="s">
        <v>85</v>
      </c>
      <c r="C35" s="36" t="s">
        <v>63</v>
      </c>
      <c r="D35" s="17" t="s">
        <v>5</v>
      </c>
      <c r="E35" s="17" t="s">
        <v>84</v>
      </c>
      <c r="F35" s="17" t="s">
        <v>81</v>
      </c>
      <c r="G35" s="17" t="s">
        <v>54</v>
      </c>
      <c r="H35" s="18">
        <f>[19]副本!G69</f>
        <v>3556.338999999999</v>
      </c>
      <c r="I35" s="18">
        <f>H35-3607.546+2050+1050+507.546-1553.792+1553.792</f>
        <v>3556.338999999999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572</v>
      </c>
    </row>
    <row r="36" spans="1:16" s="11" customFormat="1" ht="36" customHeight="1" x14ac:dyDescent="0.15">
      <c r="A36" s="17">
        <v>20170124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36" customHeight="1" x14ac:dyDescent="0.15">
      <c r="A37" s="17">
        <v>20170124</v>
      </c>
      <c r="B37" s="19" t="s">
        <v>79</v>
      </c>
      <c r="C37" s="36" t="s">
        <v>57</v>
      </c>
      <c r="D37" s="17" t="s">
        <v>5</v>
      </c>
      <c r="E37" s="17" t="s">
        <v>78</v>
      </c>
      <c r="F37" s="17" t="s">
        <v>81</v>
      </c>
      <c r="G37" s="17" t="s">
        <v>2</v>
      </c>
      <c r="H37" s="18">
        <f>[19]副本!G73</f>
        <v>3631.2170000000519</v>
      </c>
      <c r="I37" s="18">
        <f>H37-955.747+477.874+477.873-1042.865-2628.137+500+542.865+2102.57+525.567-499.112-3147.566+2100+525+525+496.678-2617.899+1574.891+523.692-522.622+522.622-2589.467</f>
        <v>522.43400000005158</v>
      </c>
      <c r="J37" s="17"/>
      <c r="K37" s="15"/>
      <c r="L37" s="16">
        <f>H37-I37</f>
        <v>3108.7830000000004</v>
      </c>
      <c r="M37" s="15">
        <v>5000</v>
      </c>
      <c r="N37" s="14"/>
      <c r="O37" s="13"/>
      <c r="P37" s="12" t="s">
        <v>571</v>
      </c>
    </row>
    <row r="38" spans="1:16" s="11" customFormat="1" ht="36" customHeight="1" x14ac:dyDescent="0.15">
      <c r="A38" s="17">
        <v>20170124</v>
      </c>
      <c r="B38" s="19" t="s">
        <v>79</v>
      </c>
      <c r="C38" s="36" t="s">
        <v>57</v>
      </c>
      <c r="D38" s="17" t="s">
        <v>5</v>
      </c>
      <c r="E38" s="17" t="s">
        <v>78</v>
      </c>
      <c r="F38" s="17" t="s">
        <v>77</v>
      </c>
      <c r="G38" s="17" t="s">
        <v>2</v>
      </c>
      <c r="H38" s="18">
        <f>[19]副本!G74</f>
        <v>411.70600000000047</v>
      </c>
      <c r="I38" s="18">
        <f>H38</f>
        <v>411.70600000000047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444</v>
      </c>
    </row>
    <row r="39" spans="1:16" s="11" customFormat="1" ht="36" customHeight="1" x14ac:dyDescent="0.15">
      <c r="A39" s="17">
        <v>20170124</v>
      </c>
      <c r="B39" s="19" t="s">
        <v>74</v>
      </c>
      <c r="C39" s="36" t="s">
        <v>28</v>
      </c>
      <c r="D39" s="17"/>
      <c r="E39" s="17" t="s">
        <v>67</v>
      </c>
      <c r="F39" s="17" t="s">
        <v>39</v>
      </c>
      <c r="G39" s="17" t="s">
        <v>2</v>
      </c>
      <c r="H39" s="18">
        <f>[19]副本!G76</f>
        <v>31.463999999997668</v>
      </c>
      <c r="I39" s="18">
        <f>H39</f>
        <v>31.463999999997668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75</v>
      </c>
    </row>
    <row r="40" spans="1:16" s="11" customFormat="1" ht="36" customHeight="1" x14ac:dyDescent="0.15">
      <c r="A40" s="17">
        <v>20170124</v>
      </c>
      <c r="B40" s="19" t="s">
        <v>74</v>
      </c>
      <c r="C40" s="36" t="s">
        <v>28</v>
      </c>
      <c r="D40" s="17"/>
      <c r="E40" s="17" t="s">
        <v>67</v>
      </c>
      <c r="F40" s="17" t="s">
        <v>71</v>
      </c>
      <c r="G40" s="17" t="s">
        <v>2</v>
      </c>
      <c r="H40" s="18">
        <f>[19]副本!G77</f>
        <v>-0.23699999999985266</v>
      </c>
      <c r="I40" s="18">
        <f>H40</f>
        <v>-0.23699999999985266</v>
      </c>
      <c r="J40" s="17"/>
      <c r="K40" s="15"/>
      <c r="L40" s="16"/>
      <c r="M40" s="15">
        <v>4000</v>
      </c>
      <c r="N40" s="14"/>
      <c r="O40" s="13"/>
      <c r="P40" s="12" t="s">
        <v>240</v>
      </c>
    </row>
    <row r="41" spans="1:16" s="11" customFormat="1" ht="36" customHeight="1" x14ac:dyDescent="0.15">
      <c r="A41" s="17">
        <v>20170124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36" customHeight="1" x14ac:dyDescent="0.15">
      <c r="A42" s="17">
        <v>20170124</v>
      </c>
      <c r="B42" s="19" t="s">
        <v>72</v>
      </c>
      <c r="C42" s="36" t="s">
        <v>43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36" customHeight="1" x14ac:dyDescent="0.15">
      <c r="A43" s="17">
        <v>20170124</v>
      </c>
      <c r="B43" s="19" t="s">
        <v>68</v>
      </c>
      <c r="C43" s="36" t="s">
        <v>43</v>
      </c>
      <c r="D43" s="17"/>
      <c r="E43" s="17" t="s">
        <v>67</v>
      </c>
      <c r="F43" s="17" t="s">
        <v>39</v>
      </c>
      <c r="G43" s="17" t="s">
        <v>2</v>
      </c>
      <c r="H43" s="18">
        <f>[19]副本!G84</f>
        <v>1118.4909999999995</v>
      </c>
      <c r="I43" s="18">
        <f>H43</f>
        <v>1118.4909999999995</v>
      </c>
      <c r="J43" s="17"/>
      <c r="K43" s="15"/>
      <c r="L43" s="16">
        <f>H43-I43</f>
        <v>0</v>
      </c>
      <c r="M43" s="15">
        <v>5000</v>
      </c>
      <c r="N43" s="21"/>
      <c r="O43" s="13"/>
      <c r="P43" s="12" t="s">
        <v>258</v>
      </c>
    </row>
    <row r="44" spans="1:16" s="11" customFormat="1" ht="36" customHeight="1" x14ac:dyDescent="0.15">
      <c r="A44" s="17">
        <v>20170124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36" customHeight="1" x14ac:dyDescent="0.15">
      <c r="A45" s="17">
        <v>20170124</v>
      </c>
      <c r="B45" s="19" t="s">
        <v>64</v>
      </c>
      <c r="C45" s="36" t="s">
        <v>63</v>
      </c>
      <c r="D45" s="17"/>
      <c r="E45" s="17" t="s">
        <v>271</v>
      </c>
      <c r="F45" s="17" t="s">
        <v>232</v>
      </c>
      <c r="G45" s="17" t="s">
        <v>2</v>
      </c>
      <c r="H45" s="18">
        <f>[19]副本!G90</f>
        <v>2006.1080000000002</v>
      </c>
      <c r="I45" s="18">
        <f>H45-1021.25</f>
        <v>984.85800000000017</v>
      </c>
      <c r="J45" s="17"/>
      <c r="K45" s="15"/>
      <c r="L45" s="16">
        <f>H45-I45</f>
        <v>1021.25</v>
      </c>
      <c r="M45" s="15">
        <v>5000</v>
      </c>
      <c r="N45" s="14"/>
      <c r="O45" s="13"/>
      <c r="P45" s="12" t="s">
        <v>270</v>
      </c>
    </row>
    <row r="46" spans="1:16" s="11" customFormat="1" ht="36" customHeight="1" x14ac:dyDescent="0.15">
      <c r="A46" s="17">
        <v>20170124</v>
      </c>
      <c r="B46" s="19" t="s">
        <v>64</v>
      </c>
      <c r="C46" s="36" t="s">
        <v>63</v>
      </c>
      <c r="D46" s="17"/>
      <c r="E46" s="17" t="s">
        <v>271</v>
      </c>
      <c r="F46" s="17" t="s">
        <v>140</v>
      </c>
      <c r="G46" s="17" t="s">
        <v>2</v>
      </c>
      <c r="H46" s="18">
        <f>[19]副本!G91</f>
        <v>1000</v>
      </c>
      <c r="I46" s="18">
        <f>H46</f>
        <v>1000</v>
      </c>
      <c r="J46" s="17"/>
      <c r="K46" s="15"/>
      <c r="L46" s="16"/>
      <c r="M46" s="15">
        <v>5000</v>
      </c>
      <c r="N46" s="14"/>
      <c r="O46" s="13"/>
      <c r="P46" s="12" t="s">
        <v>270</v>
      </c>
    </row>
    <row r="47" spans="1:16" s="11" customFormat="1" ht="36" customHeight="1" x14ac:dyDescent="0.15">
      <c r="A47" s="17">
        <v>20170124</v>
      </c>
      <c r="B47" s="19" t="s">
        <v>62</v>
      </c>
      <c r="C47" s="36" t="s">
        <v>57</v>
      </c>
      <c r="D47" s="17"/>
      <c r="E47" s="17" t="s">
        <v>56</v>
      </c>
      <c r="F47" s="17" t="s">
        <v>61</v>
      </c>
      <c r="G47" s="17" t="s">
        <v>2</v>
      </c>
      <c r="H47" s="18">
        <f>[19]副本!G93</f>
        <v>586.12399999999411</v>
      </c>
      <c r="I47" s="18">
        <f>H47</f>
        <v>586.12399999999411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36" customHeight="1" x14ac:dyDescent="0.15">
      <c r="A48" s="17">
        <v>20170124</v>
      </c>
      <c r="B48" s="19" t="s">
        <v>60</v>
      </c>
      <c r="C48" s="36" t="s">
        <v>43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[19]副本!G95</f>
        <v>2409.6100000000006</v>
      </c>
      <c r="I48" s="18">
        <v>0</v>
      </c>
      <c r="J48" s="17"/>
      <c r="K48" s="15"/>
      <c r="L48" s="16">
        <f>H48-I48</f>
        <v>2409.6100000000006</v>
      </c>
      <c r="M48" s="15">
        <v>10000</v>
      </c>
      <c r="N48" s="14"/>
      <c r="O48" s="13"/>
      <c r="P48" s="12"/>
    </row>
    <row r="49" spans="1:17" s="11" customFormat="1" ht="36" customHeight="1" x14ac:dyDescent="0.15">
      <c r="A49" s="17">
        <v>20170124</v>
      </c>
      <c r="B49" s="19" t="s">
        <v>59</v>
      </c>
      <c r="C49" s="36" t="s">
        <v>28</v>
      </c>
      <c r="D49" s="17" t="s">
        <v>5</v>
      </c>
      <c r="E49" s="17" t="s">
        <v>34</v>
      </c>
      <c r="F49" s="17" t="s">
        <v>48</v>
      </c>
      <c r="G49" s="17" t="s">
        <v>2</v>
      </c>
      <c r="H49" s="18">
        <f>[19]副本!G97</f>
        <v>2625.0060000000003</v>
      </c>
      <c r="I49" s="18"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36" customHeight="1" x14ac:dyDescent="0.15">
      <c r="A50" s="17">
        <v>20170124</v>
      </c>
      <c r="B50" s="19" t="s">
        <v>58</v>
      </c>
      <c r="C50" s="36" t="s">
        <v>57</v>
      </c>
      <c r="D50" s="17"/>
      <c r="E50" s="17" t="s">
        <v>56</v>
      </c>
      <c r="F50" s="17" t="s">
        <v>268</v>
      </c>
      <c r="G50" s="17" t="s">
        <v>54</v>
      </c>
      <c r="H50" s="18">
        <f>[19]副本!G99</f>
        <v>3046.6530000000084</v>
      </c>
      <c r="I50" s="18">
        <f>H50</f>
        <v>3046.6530000000084</v>
      </c>
      <c r="J50" s="17"/>
      <c r="K50" s="16"/>
      <c r="L50" s="16">
        <v>0</v>
      </c>
      <c r="M50" s="15">
        <v>5000</v>
      </c>
      <c r="N50" s="23" t="s">
        <v>53</v>
      </c>
      <c r="O50" s="22" t="s">
        <v>52</v>
      </c>
      <c r="P50" s="12" t="s">
        <v>474</v>
      </c>
    </row>
    <row r="51" spans="1:17" s="11" customFormat="1" ht="36" customHeight="1" x14ac:dyDescent="0.15">
      <c r="A51" s="17">
        <v>20170124</v>
      </c>
      <c r="B51" s="19" t="s">
        <v>50</v>
      </c>
      <c r="C51" s="36" t="s">
        <v>28</v>
      </c>
      <c r="D51" s="17"/>
      <c r="E51" s="17"/>
      <c r="F51" s="17"/>
      <c r="G51" s="17"/>
      <c r="H51" s="18"/>
      <c r="I51" s="18"/>
      <c r="J51" s="17"/>
      <c r="K51" s="15"/>
      <c r="L51" s="16"/>
      <c r="M51" s="15">
        <v>3000</v>
      </c>
      <c r="N51" s="14"/>
      <c r="O51" s="13"/>
      <c r="P51" s="12"/>
    </row>
    <row r="52" spans="1:17" s="11" customFormat="1" ht="36" customHeight="1" x14ac:dyDescent="0.15">
      <c r="A52" s="17">
        <v>20170124</v>
      </c>
      <c r="B52" s="19" t="s">
        <v>49</v>
      </c>
      <c r="C52" s="36" t="s">
        <v>28</v>
      </c>
      <c r="D52" s="17" t="s">
        <v>5</v>
      </c>
      <c r="E52" s="17" t="s">
        <v>34</v>
      </c>
      <c r="F52" s="17" t="s">
        <v>48</v>
      </c>
      <c r="G52" s="17" t="s">
        <v>22</v>
      </c>
      <c r="H52" s="18">
        <f>[19]副本!G103</f>
        <v>5557.1929999999993</v>
      </c>
      <c r="I52" s="18">
        <v>0</v>
      </c>
      <c r="J52" s="17"/>
      <c r="K52" s="15"/>
      <c r="L52" s="16">
        <f>H52-I52</f>
        <v>5557.1929999999993</v>
      </c>
      <c r="M52" s="15">
        <v>25000</v>
      </c>
      <c r="N52" s="14" t="s">
        <v>47</v>
      </c>
      <c r="O52" s="13" t="s">
        <v>46</v>
      </c>
      <c r="P52" s="12" t="s">
        <v>45</v>
      </c>
    </row>
    <row r="53" spans="1:17" s="11" customFormat="1" ht="36" customHeight="1" x14ac:dyDescent="0.15">
      <c r="A53" s="17">
        <v>20170124</v>
      </c>
      <c r="B53" s="19" t="s">
        <v>44</v>
      </c>
      <c r="C53" s="36" t="s">
        <v>43</v>
      </c>
      <c r="D53" s="17" t="s">
        <v>5</v>
      </c>
      <c r="E53" s="17" t="s">
        <v>34</v>
      </c>
      <c r="F53" s="17" t="s">
        <v>234</v>
      </c>
      <c r="G53" s="17" t="s">
        <v>22</v>
      </c>
      <c r="H53" s="18">
        <f>[19]副本!G105</f>
        <v>10595.776000000082</v>
      </c>
      <c r="I53" s="18">
        <v>0</v>
      </c>
      <c r="J53" s="17"/>
      <c r="K53" s="15"/>
      <c r="L53" s="16">
        <f>H53-I53</f>
        <v>10595.776000000082</v>
      </c>
      <c r="M53" s="15">
        <v>50000</v>
      </c>
      <c r="N53" s="14"/>
      <c r="O53" s="13"/>
      <c r="P53" s="12"/>
    </row>
    <row r="54" spans="1:17" s="11" customFormat="1" ht="36" customHeight="1" x14ac:dyDescent="0.15">
      <c r="A54" s="17">
        <v>20170124</v>
      </c>
      <c r="B54" s="19" t="s">
        <v>41</v>
      </c>
      <c r="C54" s="36" t="s">
        <v>28</v>
      </c>
      <c r="D54" s="17"/>
      <c r="E54" s="17" t="s">
        <v>67</v>
      </c>
      <c r="F54" s="17" t="s">
        <v>39</v>
      </c>
      <c r="G54" s="17" t="s">
        <v>22</v>
      </c>
      <c r="H54" s="18">
        <f>[19]副本!G109</f>
        <v>2593.6109999999999</v>
      </c>
      <c r="I54" s="18">
        <f>H54</f>
        <v>2593.6109999999999</v>
      </c>
      <c r="J54" s="17"/>
      <c r="K54" s="15"/>
      <c r="L54" s="16">
        <f>H54-I54</f>
        <v>0</v>
      </c>
      <c r="M54" s="15">
        <v>4000</v>
      </c>
      <c r="N54" s="14"/>
      <c r="O54" s="13"/>
      <c r="P54" s="12" t="s">
        <v>457</v>
      </c>
    </row>
    <row r="55" spans="1:17" s="11" customFormat="1" ht="36" customHeight="1" x14ac:dyDescent="0.15">
      <c r="A55" s="17">
        <v>20170124</v>
      </c>
      <c r="B55" s="19" t="s">
        <v>37</v>
      </c>
      <c r="C55" s="36" t="s">
        <v>31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36" customHeight="1" x14ac:dyDescent="0.15">
      <c r="A56" s="17">
        <v>20170124</v>
      </c>
      <c r="B56" s="19" t="s">
        <v>36</v>
      </c>
      <c r="C56" s="36" t="s">
        <v>31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36" customHeight="1" x14ac:dyDescent="0.15">
      <c r="A57" s="17">
        <v>20170124</v>
      </c>
      <c r="B57" s="19" t="s">
        <v>35</v>
      </c>
      <c r="C57" s="36" t="s">
        <v>28</v>
      </c>
      <c r="D57" s="17" t="s">
        <v>5</v>
      </c>
      <c r="E57" s="17" t="s">
        <v>34</v>
      </c>
      <c r="F57" s="17" t="s">
        <v>435</v>
      </c>
      <c r="G57" s="17" t="s">
        <v>22</v>
      </c>
      <c r="H57" s="18">
        <f>[19]副本!G115</f>
        <v>1767.3689999999997</v>
      </c>
      <c r="I57" s="18">
        <v>0</v>
      </c>
      <c r="J57" s="17"/>
      <c r="K57" s="16"/>
      <c r="L57" s="16">
        <f>H57-I57</f>
        <v>1767.3689999999997</v>
      </c>
      <c r="M57" s="15">
        <v>10000</v>
      </c>
      <c r="N57" s="14"/>
      <c r="O57" s="13"/>
      <c r="P57" s="12"/>
      <c r="Q57" s="20"/>
    </row>
    <row r="58" spans="1:17" s="11" customFormat="1" ht="36" customHeight="1" x14ac:dyDescent="0.15">
      <c r="A58" s="17">
        <v>20170124</v>
      </c>
      <c r="B58" s="19" t="s">
        <v>32</v>
      </c>
      <c r="C58" s="36" t="s">
        <v>31</v>
      </c>
      <c r="D58" s="17" t="s">
        <v>5</v>
      </c>
      <c r="E58" s="17" t="s">
        <v>4</v>
      </c>
      <c r="F58" s="17" t="s">
        <v>436</v>
      </c>
      <c r="G58" s="17" t="s">
        <v>22</v>
      </c>
      <c r="H58" s="18">
        <f>[19]副本!G117</f>
        <v>3990.8999999999996</v>
      </c>
      <c r="I58" s="18">
        <v>0</v>
      </c>
      <c r="J58" s="17"/>
      <c r="K58" s="21">
        <v>150</v>
      </c>
      <c r="L58" s="16">
        <f>H58-I58</f>
        <v>3990.8999999999996</v>
      </c>
      <c r="M58" s="15">
        <v>15000</v>
      </c>
      <c r="N58" s="14"/>
      <c r="O58" s="13"/>
      <c r="P58" s="12" t="s">
        <v>472</v>
      </c>
      <c r="Q58" s="20"/>
    </row>
    <row r="59" spans="1:17" s="11" customFormat="1" ht="36" customHeight="1" x14ac:dyDescent="0.15">
      <c r="A59" s="17">
        <v>20170124</v>
      </c>
      <c r="B59" s="19" t="s">
        <v>32</v>
      </c>
      <c r="C59" s="36" t="s">
        <v>31</v>
      </c>
      <c r="D59" s="17" t="s">
        <v>5</v>
      </c>
      <c r="E59" s="17" t="s">
        <v>4</v>
      </c>
      <c r="F59" s="17" t="s">
        <v>437</v>
      </c>
      <c r="G59" s="17" t="s">
        <v>22</v>
      </c>
      <c r="H59" s="18">
        <f>[19]副本!G118</f>
        <v>283.90000000000055</v>
      </c>
      <c r="I59" s="18">
        <f>H59</f>
        <v>283.90000000000055</v>
      </c>
      <c r="J59" s="17"/>
      <c r="K59" s="21"/>
      <c r="L59" s="16">
        <f>H59-I59</f>
        <v>0</v>
      </c>
      <c r="M59" s="15">
        <v>15000</v>
      </c>
      <c r="N59" s="14"/>
      <c r="O59" s="13"/>
      <c r="P59" s="12" t="s">
        <v>470</v>
      </c>
      <c r="Q59" s="20"/>
    </row>
    <row r="60" spans="1:17" s="11" customFormat="1" ht="36" customHeight="1" x14ac:dyDescent="0.15">
      <c r="A60" s="17">
        <v>20170124</v>
      </c>
      <c r="B60" s="19" t="s">
        <v>30</v>
      </c>
      <c r="C60" s="19" t="s">
        <v>28</v>
      </c>
      <c r="D60" s="17" t="s">
        <v>5</v>
      </c>
      <c r="E60" s="17" t="s">
        <v>4</v>
      </c>
      <c r="F60" s="17" t="s">
        <v>3</v>
      </c>
      <c r="G60" s="17" t="s">
        <v>22</v>
      </c>
      <c r="H60" s="18">
        <f>[19]副本!G120</f>
        <v>9876.0309999999954</v>
      </c>
      <c r="I60" s="18">
        <f>H60</f>
        <v>9876.0309999999954</v>
      </c>
      <c r="J60" s="17"/>
      <c r="K60" s="15">
        <v>600</v>
      </c>
      <c r="L60" s="16"/>
      <c r="M60" s="15">
        <v>43000</v>
      </c>
      <c r="N60" s="14"/>
      <c r="O60" s="13"/>
      <c r="P60" s="12" t="s">
        <v>220</v>
      </c>
      <c r="Q60" s="20"/>
    </row>
    <row r="61" spans="1:17" s="11" customFormat="1" ht="36" customHeight="1" x14ac:dyDescent="0.15">
      <c r="A61" s="17">
        <v>20170124</v>
      </c>
      <c r="B61" s="19" t="s">
        <v>30</v>
      </c>
      <c r="C61" s="19" t="s">
        <v>28</v>
      </c>
      <c r="D61" s="17" t="s">
        <v>5</v>
      </c>
      <c r="E61" s="17" t="s">
        <v>4</v>
      </c>
      <c r="F61" s="17" t="s">
        <v>251</v>
      </c>
      <c r="G61" s="17" t="s">
        <v>22</v>
      </c>
      <c r="H61" s="18">
        <f>[19]副本!G121</f>
        <v>21.100000000000364</v>
      </c>
      <c r="I61" s="18">
        <f>H61</f>
        <v>21.100000000000364</v>
      </c>
      <c r="J61" s="17"/>
      <c r="K61" s="17"/>
      <c r="L61" s="16"/>
      <c r="M61" s="15">
        <v>43000</v>
      </c>
      <c r="N61" s="14"/>
      <c r="O61" s="13"/>
      <c r="P61" s="12" t="s">
        <v>220</v>
      </c>
      <c r="Q61" s="20"/>
    </row>
    <row r="62" spans="1:17" s="11" customFormat="1" ht="36" customHeight="1" x14ac:dyDescent="0.15">
      <c r="A62" s="17">
        <v>20170124</v>
      </c>
      <c r="B62" s="19" t="s">
        <v>29</v>
      </c>
      <c r="C62" s="19" t="s">
        <v>28</v>
      </c>
      <c r="D62" s="17" t="s">
        <v>5</v>
      </c>
      <c r="E62" s="17"/>
      <c r="F62" s="17"/>
      <c r="G62" s="17"/>
      <c r="H62" s="18"/>
      <c r="I62" s="18"/>
      <c r="J62" s="17"/>
      <c r="K62" s="15"/>
      <c r="L62" s="16"/>
      <c r="M62" s="15"/>
      <c r="N62" s="14"/>
      <c r="O62" s="13"/>
      <c r="P62" s="12"/>
      <c r="Q62" s="20"/>
    </row>
    <row r="63" spans="1:17" s="11" customFormat="1" ht="36" customHeight="1" x14ac:dyDescent="0.15">
      <c r="A63" s="17">
        <v>20170124</v>
      </c>
      <c r="B63" s="19" t="s">
        <v>24</v>
      </c>
      <c r="C63" s="36" t="s">
        <v>0</v>
      </c>
      <c r="D63" s="17"/>
      <c r="E63" s="17"/>
      <c r="F63" s="17"/>
      <c r="G63" s="17"/>
      <c r="H63" s="18"/>
      <c r="I63" s="18"/>
      <c r="J63" s="17"/>
      <c r="K63" s="15"/>
      <c r="L63" s="16"/>
      <c r="M63" s="15">
        <v>20000</v>
      </c>
      <c r="N63" s="14"/>
      <c r="O63" s="13"/>
      <c r="P63" s="12"/>
    </row>
    <row r="64" spans="1:17" s="11" customFormat="1" ht="36" customHeight="1" x14ac:dyDescent="0.15">
      <c r="A64" s="17">
        <v>20170124</v>
      </c>
      <c r="B64" s="19" t="s">
        <v>442</v>
      </c>
      <c r="C64" s="36" t="s">
        <v>0</v>
      </c>
      <c r="D64" s="17"/>
      <c r="E64" s="17" t="s">
        <v>12</v>
      </c>
      <c r="F64" s="17" t="s">
        <v>600</v>
      </c>
      <c r="G64" s="17" t="s">
        <v>2</v>
      </c>
      <c r="H64" s="18">
        <f>[19]副本!G127</f>
        <v>3456.2550000000047</v>
      </c>
      <c r="I64" s="18">
        <f>H64-4751.949+4751.949</f>
        <v>3456.2550000000047</v>
      </c>
      <c r="J64" s="17"/>
      <c r="K64" s="15"/>
      <c r="L64" s="16">
        <f>H64-I64</f>
        <v>0</v>
      </c>
      <c r="M64" s="15">
        <v>30000</v>
      </c>
      <c r="N64" s="14"/>
      <c r="O64" s="13"/>
      <c r="P64" s="12" t="s">
        <v>452</v>
      </c>
    </row>
    <row r="65" spans="1:16" s="11" customFormat="1" ht="36" customHeight="1" x14ac:dyDescent="0.15">
      <c r="A65" s="17">
        <v>20170124</v>
      </c>
      <c r="B65" s="19" t="s">
        <v>442</v>
      </c>
      <c r="C65" s="36" t="s">
        <v>0</v>
      </c>
      <c r="D65" s="17"/>
      <c r="E65" s="17" t="s">
        <v>12</v>
      </c>
      <c r="F65" s="17" t="s">
        <v>595</v>
      </c>
      <c r="G65" s="17" t="s">
        <v>2</v>
      </c>
      <c r="H65" s="18">
        <f>[19]副本!G128</f>
        <v>5000.9920000000002</v>
      </c>
      <c r="I65" s="18">
        <f>H65</f>
        <v>5000.9920000000002</v>
      </c>
      <c r="J65" s="17"/>
      <c r="K65" s="15"/>
      <c r="L65" s="16">
        <f>H65-I65</f>
        <v>0</v>
      </c>
      <c r="M65" s="15">
        <v>30000</v>
      </c>
      <c r="N65" s="14"/>
      <c r="O65" s="13"/>
      <c r="P65" s="12" t="s">
        <v>440</v>
      </c>
    </row>
    <row r="66" spans="1:16" s="11" customFormat="1" ht="36" customHeight="1" x14ac:dyDescent="0.15">
      <c r="A66" s="17">
        <v>20170124</v>
      </c>
      <c r="B66" s="19" t="s">
        <v>18</v>
      </c>
      <c r="C66" s="36" t="s">
        <v>0</v>
      </c>
      <c r="D66" s="17" t="s">
        <v>5</v>
      </c>
      <c r="E66" s="17" t="s">
        <v>4</v>
      </c>
      <c r="F66" s="17" t="s">
        <v>17</v>
      </c>
      <c r="G66" s="17" t="s">
        <v>2</v>
      </c>
      <c r="H66" s="18">
        <f>[19]副本!G130</f>
        <v>14976.093999999999</v>
      </c>
      <c r="I66" s="18">
        <f>H66-14976.094</f>
        <v>0</v>
      </c>
      <c r="J66" s="17"/>
      <c r="K66" s="15">
        <v>350</v>
      </c>
      <c r="L66" s="16">
        <f>H66-I66</f>
        <v>14976.093999999999</v>
      </c>
      <c r="M66" s="15">
        <v>20000</v>
      </c>
      <c r="N66" s="14" t="s">
        <v>16</v>
      </c>
      <c r="O66" s="13" t="s">
        <v>15</v>
      </c>
      <c r="P66" s="12" t="s">
        <v>14</v>
      </c>
    </row>
    <row r="67" spans="1:16" s="11" customFormat="1" ht="36" customHeight="1" x14ac:dyDescent="0.15">
      <c r="A67" s="17">
        <v>20170124</v>
      </c>
      <c r="B67" s="19" t="s">
        <v>13</v>
      </c>
      <c r="C67" s="36" t="s">
        <v>0</v>
      </c>
      <c r="D67" s="17"/>
      <c r="E67" s="17" t="s">
        <v>12</v>
      </c>
      <c r="F67" s="17" t="s">
        <v>11</v>
      </c>
      <c r="G67" s="17" t="s">
        <v>2</v>
      </c>
      <c r="H67" s="18">
        <f>[19]副本!G132</f>
        <v>25173.616999999973</v>
      </c>
      <c r="I67" s="18">
        <f>H67</f>
        <v>25173.616999999973</v>
      </c>
      <c r="J67" s="17"/>
      <c r="K67" s="15"/>
      <c r="L67" s="16">
        <v>0</v>
      </c>
      <c r="M67" s="15">
        <v>30000</v>
      </c>
      <c r="N67" s="14"/>
      <c r="O67" s="13"/>
      <c r="P67" s="12"/>
    </row>
    <row r="68" spans="1:16" s="11" customFormat="1" ht="36" customHeight="1" x14ac:dyDescent="0.15">
      <c r="A68" s="17">
        <v>20170124</v>
      </c>
      <c r="B68" s="19" t="s">
        <v>10</v>
      </c>
      <c r="C68" s="36" t="s">
        <v>0</v>
      </c>
      <c r="D68" s="17"/>
      <c r="E68" s="17" t="s">
        <v>9</v>
      </c>
      <c r="F68" s="12" t="s">
        <v>8</v>
      </c>
      <c r="G68" s="17" t="s">
        <v>2</v>
      </c>
      <c r="H68" s="18">
        <f>[19]副本!G134</f>
        <v>0</v>
      </c>
      <c r="I68" s="18">
        <f>H68</f>
        <v>0</v>
      </c>
      <c r="J68" s="17"/>
      <c r="K68" s="15"/>
      <c r="L68" s="16">
        <f>H68-I68</f>
        <v>0</v>
      </c>
      <c r="M68" s="15">
        <v>20000</v>
      </c>
      <c r="N68" s="14"/>
      <c r="O68" s="13"/>
      <c r="P68" s="17" t="s">
        <v>449</v>
      </c>
    </row>
    <row r="69" spans="1:16" s="11" customFormat="1" ht="36" customHeight="1" x14ac:dyDescent="0.15">
      <c r="A69" s="17">
        <v>20170124</v>
      </c>
      <c r="B69" s="19" t="s">
        <v>10</v>
      </c>
      <c r="C69" s="36" t="s">
        <v>0</v>
      </c>
      <c r="D69" s="17"/>
      <c r="E69" s="17" t="s">
        <v>9</v>
      </c>
      <c r="F69" s="12" t="s">
        <v>257</v>
      </c>
      <c r="G69" s="17" t="s">
        <v>2</v>
      </c>
      <c r="H69" s="18">
        <f>[19]副本!G135</f>
        <v>1200.4749999999985</v>
      </c>
      <c r="I69" s="18">
        <f>H69</f>
        <v>1200.4749999999985</v>
      </c>
      <c r="J69" s="17"/>
      <c r="K69" s="15"/>
      <c r="L69" s="16">
        <v>0</v>
      </c>
      <c r="M69" s="15">
        <v>20000</v>
      </c>
      <c r="N69" s="14"/>
      <c r="O69" s="13"/>
      <c r="P69" s="12" t="s">
        <v>252</v>
      </c>
    </row>
    <row r="70" spans="1:16" s="11" customFormat="1" ht="36" customHeight="1" x14ac:dyDescent="0.15">
      <c r="A70" s="17">
        <v>20170124</v>
      </c>
      <c r="B70" s="19" t="s">
        <v>7</v>
      </c>
      <c r="C70" s="36" t="s">
        <v>0</v>
      </c>
      <c r="D70" s="17"/>
      <c r="E70" s="17"/>
      <c r="F70" s="17"/>
      <c r="G70" s="17"/>
      <c r="H70" s="18"/>
      <c r="I70" s="18"/>
      <c r="J70" s="17"/>
      <c r="K70" s="15"/>
      <c r="L70" s="16"/>
      <c r="M70" s="15">
        <v>15000</v>
      </c>
      <c r="N70" s="14"/>
      <c r="O70" s="13"/>
      <c r="P70" s="12"/>
    </row>
    <row r="71" spans="1:16" s="11" customFormat="1" ht="36" customHeight="1" x14ac:dyDescent="0.15">
      <c r="A71" s="17">
        <v>20170124</v>
      </c>
      <c r="B71" s="19" t="s">
        <v>6</v>
      </c>
      <c r="C71" s="36" t="s">
        <v>0</v>
      </c>
      <c r="D71" s="17" t="s">
        <v>5</v>
      </c>
      <c r="E71" s="17" t="s">
        <v>4</v>
      </c>
      <c r="F71" s="17" t="s">
        <v>3</v>
      </c>
      <c r="G71" s="17" t="s">
        <v>2</v>
      </c>
      <c r="H71" s="18">
        <f>[19]副本!G139</f>
        <v>12005.106</v>
      </c>
      <c r="I71" s="18">
        <f>H71-12005.106</f>
        <v>0</v>
      </c>
      <c r="J71" s="17"/>
      <c r="K71" s="15"/>
      <c r="L71" s="16">
        <f>H71-I71</f>
        <v>12005.106</v>
      </c>
      <c r="M71" s="15">
        <v>15000</v>
      </c>
      <c r="N71" s="14"/>
      <c r="O71" s="13"/>
      <c r="P71" s="12"/>
    </row>
    <row r="72" spans="1:16" s="11" customFormat="1" ht="36" customHeight="1" x14ac:dyDescent="0.15">
      <c r="A72" s="17">
        <v>20170124</v>
      </c>
      <c r="B72" s="19" t="s">
        <v>1</v>
      </c>
      <c r="C72" s="36" t="s">
        <v>0</v>
      </c>
      <c r="D72" s="17"/>
      <c r="E72" s="17" t="s">
        <v>4</v>
      </c>
      <c r="F72" s="17" t="s">
        <v>437</v>
      </c>
      <c r="G72" s="17" t="s">
        <v>2</v>
      </c>
      <c r="H72" s="18">
        <f>[19]副本!G141</f>
        <v>6761.6299999999992</v>
      </c>
      <c r="I72" s="18">
        <f>H72</f>
        <v>6761.6299999999992</v>
      </c>
      <c r="J72" s="17"/>
      <c r="K72" s="15"/>
      <c r="L72" s="16">
        <f>H72-I72</f>
        <v>0</v>
      </c>
      <c r="M72" s="15">
        <v>15000</v>
      </c>
      <c r="N72" s="14"/>
      <c r="O72" s="13"/>
      <c r="P72" s="12" t="s">
        <v>475</v>
      </c>
    </row>
    <row r="78" spans="1:16" x14ac:dyDescent="0.15">
      <c r="L78" s="10"/>
    </row>
    <row r="230" spans="7:8" x14ac:dyDescent="0.15">
      <c r="G230" s="2"/>
      <c r="H230" s="2"/>
    </row>
  </sheetData>
  <autoFilter ref="B1:I72"/>
  <phoneticPr fontId="3" type="noConversion"/>
  <pageMargins left="0.36" right="7.9166666666666663E-2" top="0.57999999999999996" bottom="0.12" header="0.32" footer="0.09"/>
  <pageSetup scale="9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5"/>
  <sheetViews>
    <sheetView workbookViewId="0">
      <pane xSplit="3" ySplit="1" topLeftCell="D59" activePane="bottomRight" state="frozen"/>
      <selection activeCell="G5" sqref="G5"/>
      <selection pane="topRight" activeCell="G5" sqref="G5"/>
      <selection pane="bottomLeft" activeCell="G5" sqref="G5"/>
      <selection pane="bottomRight" activeCell="F20" sqref="F20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7.7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6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38" t="s">
        <v>211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25.5" customHeight="1" x14ac:dyDescent="0.15">
      <c r="A2" s="39">
        <v>20170102</v>
      </c>
      <c r="B2" s="19" t="s">
        <v>158</v>
      </c>
      <c r="C2" s="36" t="s">
        <v>63</v>
      </c>
      <c r="D2" s="19"/>
      <c r="E2" s="17" t="s">
        <v>141</v>
      </c>
      <c r="F2" s="17" t="s">
        <v>144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143</v>
      </c>
      <c r="O2" s="13" t="s">
        <v>124</v>
      </c>
      <c r="P2" s="12"/>
    </row>
    <row r="3" spans="1:17" s="11" customFormat="1" ht="25.5" customHeight="1" x14ac:dyDescent="0.15">
      <c r="A3" s="39">
        <v>20170102</v>
      </c>
      <c r="B3" s="19" t="s">
        <v>157</v>
      </c>
      <c r="C3" s="36" t="s">
        <v>63</v>
      </c>
      <c r="D3" s="19"/>
      <c r="E3" s="17" t="s">
        <v>209</v>
      </c>
      <c r="F3" s="17" t="s">
        <v>155</v>
      </c>
      <c r="G3" s="12"/>
      <c r="H3" s="18">
        <f>[2]副本!G5</f>
        <v>525.89599999999996</v>
      </c>
      <c r="I3" s="18">
        <f>H3-995.136+995.136</f>
        <v>525.89599999999996</v>
      </c>
      <c r="J3" s="17"/>
      <c r="K3" s="15"/>
      <c r="L3" s="16">
        <f>H3-I3</f>
        <v>0</v>
      </c>
      <c r="M3" s="15">
        <v>1500</v>
      </c>
      <c r="N3" s="14"/>
      <c r="O3" s="13"/>
      <c r="P3" s="12" t="s">
        <v>154</v>
      </c>
    </row>
    <row r="4" spans="1:17" s="11" customFormat="1" ht="25.5" customHeight="1" x14ac:dyDescent="0.15">
      <c r="A4" s="39">
        <v>20170102</v>
      </c>
      <c r="B4" s="19" t="s">
        <v>153</v>
      </c>
      <c r="C4" s="36" t="s">
        <v>63</v>
      </c>
      <c r="D4" s="19"/>
      <c r="E4" s="17" t="s">
        <v>190</v>
      </c>
      <c r="F4" s="17" t="s">
        <v>61</v>
      </c>
      <c r="G4" s="12" t="s">
        <v>54</v>
      </c>
      <c r="H4" s="18">
        <f>[2]副本!G7</f>
        <v>793.41399999999589</v>
      </c>
      <c r="I4" s="18">
        <f>H4</f>
        <v>793.41399999999589</v>
      </c>
      <c r="J4" s="17"/>
      <c r="K4" s="16"/>
      <c r="L4" s="16"/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25.5" customHeight="1" x14ac:dyDescent="0.15">
      <c r="A5" s="39">
        <v>20170102</v>
      </c>
      <c r="B5" s="19" t="s">
        <v>149</v>
      </c>
      <c r="C5" s="36" t="s">
        <v>63</v>
      </c>
      <c r="D5" s="17"/>
      <c r="E5" s="17" t="s">
        <v>208</v>
      </c>
      <c r="F5" s="17" t="s">
        <v>140</v>
      </c>
      <c r="G5" s="12" t="s">
        <v>54</v>
      </c>
      <c r="H5" s="18"/>
      <c r="I5" s="18"/>
      <c r="J5" s="17"/>
      <c r="K5" s="15"/>
      <c r="L5" s="16">
        <f>H5-I5</f>
        <v>0</v>
      </c>
      <c r="M5" s="15">
        <v>2000</v>
      </c>
      <c r="N5" s="14" t="s">
        <v>147</v>
      </c>
      <c r="O5" s="13" t="s">
        <v>124</v>
      </c>
      <c r="P5" s="12"/>
    </row>
    <row r="6" spans="1:17" s="11" customFormat="1" ht="25.5" customHeight="1" x14ac:dyDescent="0.15">
      <c r="A6" s="39">
        <v>20170102</v>
      </c>
      <c r="B6" s="19" t="s">
        <v>145</v>
      </c>
      <c r="C6" s="36" t="s">
        <v>63</v>
      </c>
      <c r="D6" s="17"/>
      <c r="E6" s="17" t="s">
        <v>141</v>
      </c>
      <c r="F6" s="17" t="s">
        <v>144</v>
      </c>
      <c r="G6" s="12" t="s">
        <v>54</v>
      </c>
      <c r="H6" s="18"/>
      <c r="I6" s="18"/>
      <c r="J6" s="17"/>
      <c r="K6" s="15"/>
      <c r="L6" s="16"/>
      <c r="M6" s="15">
        <v>3000</v>
      </c>
      <c r="N6" s="14" t="s">
        <v>143</v>
      </c>
      <c r="O6" s="13" t="s">
        <v>124</v>
      </c>
      <c r="P6" s="12"/>
      <c r="Q6" s="20"/>
    </row>
    <row r="7" spans="1:17" s="11" customFormat="1" ht="25.5" customHeight="1" x14ac:dyDescent="0.15">
      <c r="A7" s="39">
        <v>20170102</v>
      </c>
      <c r="B7" s="19" t="s">
        <v>142</v>
      </c>
      <c r="C7" s="36" t="s">
        <v>63</v>
      </c>
      <c r="D7" s="17"/>
      <c r="E7" s="17" t="s">
        <v>141</v>
      </c>
      <c r="F7" s="17" t="s">
        <v>140</v>
      </c>
      <c r="G7" s="17" t="s">
        <v>54</v>
      </c>
      <c r="H7" s="18"/>
      <c r="I7" s="18"/>
      <c r="J7" s="17"/>
      <c r="K7" s="15"/>
      <c r="L7" s="16"/>
      <c r="M7" s="15">
        <v>3000</v>
      </c>
      <c r="N7" s="14"/>
      <c r="O7" s="13"/>
      <c r="P7" s="12"/>
      <c r="Q7" s="20"/>
    </row>
    <row r="8" spans="1:17" s="11" customFormat="1" ht="25.5" customHeight="1" x14ac:dyDescent="0.15">
      <c r="A8" s="39">
        <v>20170102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25.5" customHeight="1" x14ac:dyDescent="0.15">
      <c r="A9" s="39">
        <v>20170102</v>
      </c>
      <c r="B9" s="19" t="s">
        <v>138</v>
      </c>
      <c r="C9" s="36" t="s">
        <v>31</v>
      </c>
      <c r="D9" s="17"/>
      <c r="E9" s="17" t="s">
        <v>174</v>
      </c>
      <c r="F9" s="17" t="s">
        <v>104</v>
      </c>
      <c r="G9" s="17" t="s">
        <v>54</v>
      </c>
      <c r="H9" s="17">
        <f>[2]副本!G17</f>
        <v>1322.4749999999999</v>
      </c>
      <c r="I9" s="18">
        <f>H9</f>
        <v>1322.4749999999999</v>
      </c>
      <c r="J9" s="17"/>
      <c r="K9" s="15">
        <v>100</v>
      </c>
      <c r="L9" s="16">
        <f>H9-I9</f>
        <v>0</v>
      </c>
      <c r="M9" s="15">
        <v>5000</v>
      </c>
      <c r="N9" s="14" t="s">
        <v>207</v>
      </c>
      <c r="O9" s="13" t="s">
        <v>136</v>
      </c>
      <c r="P9" s="12" t="s">
        <v>101</v>
      </c>
    </row>
    <row r="10" spans="1:17" s="11" customFormat="1" ht="25.5" customHeight="1" x14ac:dyDescent="0.15">
      <c r="A10" s="39">
        <v>20170102</v>
      </c>
      <c r="B10" s="19" t="s">
        <v>135</v>
      </c>
      <c r="C10" s="17" t="s">
        <v>63</v>
      </c>
      <c r="D10" s="17"/>
      <c r="E10" s="17"/>
      <c r="F10" s="17"/>
      <c r="G10" s="17"/>
      <c r="H10" s="18"/>
      <c r="I10" s="18"/>
      <c r="J10" s="17"/>
      <c r="K10" s="15"/>
      <c r="L10" s="16"/>
      <c r="M10" s="15">
        <v>1500</v>
      </c>
      <c r="N10" s="14"/>
      <c r="O10" s="13"/>
      <c r="P10" s="12"/>
    </row>
    <row r="11" spans="1:17" s="11" customFormat="1" ht="25.5" customHeight="1" x14ac:dyDescent="0.15">
      <c r="A11" s="39">
        <v>20170102</v>
      </c>
      <c r="B11" s="19" t="s">
        <v>134</v>
      </c>
      <c r="C11" s="17" t="s">
        <v>63</v>
      </c>
      <c r="D11" s="17"/>
      <c r="E11" s="17" t="s">
        <v>204</v>
      </c>
      <c r="F11" s="17" t="s">
        <v>115</v>
      </c>
      <c r="G11" s="17" t="s">
        <v>54</v>
      </c>
      <c r="H11" s="18">
        <f>[2]副本!G21</f>
        <v>1502.1479999999999</v>
      </c>
      <c r="I11" s="18">
        <f>H11</f>
        <v>1502.1479999999999</v>
      </c>
      <c r="J11" s="17"/>
      <c r="K11" s="15"/>
      <c r="L11" s="16"/>
      <c r="M11" s="15">
        <v>1500</v>
      </c>
      <c r="N11" s="14"/>
      <c r="O11" s="13"/>
      <c r="P11" s="12"/>
    </row>
    <row r="12" spans="1:17" s="11" customFormat="1" ht="25.5" customHeight="1" x14ac:dyDescent="0.15">
      <c r="A12" s="39">
        <v>20170102</v>
      </c>
      <c r="B12" s="19" t="s">
        <v>133</v>
      </c>
      <c r="C12" s="36" t="s">
        <v>28</v>
      </c>
      <c r="D12" s="17"/>
      <c r="E12" s="17"/>
      <c r="F12" s="17"/>
      <c r="G12" s="17"/>
      <c r="H12" s="18"/>
      <c r="I12" s="18"/>
      <c r="J12" s="17"/>
      <c r="K12" s="15"/>
      <c r="L12" s="16"/>
      <c r="M12" s="15">
        <v>1500</v>
      </c>
      <c r="N12" s="14"/>
      <c r="O12" s="13"/>
      <c r="P12" s="12"/>
      <c r="Q12" s="20"/>
    </row>
    <row r="13" spans="1:17" s="11" customFormat="1" ht="25.5" customHeight="1" x14ac:dyDescent="0.15">
      <c r="A13" s="39">
        <v>20170102</v>
      </c>
      <c r="B13" s="19" t="s">
        <v>132</v>
      </c>
      <c r="C13" s="36" t="s">
        <v>28</v>
      </c>
      <c r="D13" s="17"/>
      <c r="E13" s="17"/>
      <c r="F13" s="17"/>
      <c r="G13" s="17"/>
      <c r="H13" s="18"/>
      <c r="I13" s="18"/>
      <c r="J13" s="17"/>
      <c r="K13" s="16"/>
      <c r="L13" s="16"/>
      <c r="M13" s="15">
        <v>1500</v>
      </c>
      <c r="N13" s="14"/>
      <c r="O13" s="13"/>
      <c r="P13" s="12"/>
    </row>
    <row r="14" spans="1:17" s="11" customFormat="1" ht="25.5" customHeight="1" x14ac:dyDescent="0.15">
      <c r="A14" s="39">
        <v>20170102</v>
      </c>
      <c r="B14" s="19" t="s">
        <v>131</v>
      </c>
      <c r="C14" s="36" t="s">
        <v>63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</row>
    <row r="15" spans="1:17" s="11" customFormat="1" ht="25.5" customHeight="1" x14ac:dyDescent="0.15">
      <c r="A15" s="39">
        <v>20170102</v>
      </c>
      <c r="B15" s="19" t="s">
        <v>129</v>
      </c>
      <c r="C15" s="36" t="s">
        <v>121</v>
      </c>
      <c r="D15" s="17"/>
      <c r="E15" s="17" t="s">
        <v>12</v>
      </c>
      <c r="F15" s="17" t="s">
        <v>11</v>
      </c>
      <c r="G15" s="17" t="s">
        <v>2</v>
      </c>
      <c r="H15" s="18">
        <f>[2]副本!G29-H16</f>
        <v>14519.353000000017</v>
      </c>
      <c r="I15" s="18">
        <f>H15</f>
        <v>14519.353000000017</v>
      </c>
      <c r="J15" s="17"/>
      <c r="K15" s="15"/>
      <c r="L15" s="16">
        <f>H15-I15</f>
        <v>0</v>
      </c>
      <c r="M15" s="15">
        <v>21000</v>
      </c>
      <c r="N15" s="14" t="s">
        <v>120</v>
      </c>
      <c r="O15" s="13" t="s">
        <v>124</v>
      </c>
      <c r="P15" s="12" t="s">
        <v>206</v>
      </c>
    </row>
    <row r="16" spans="1:17" s="11" customFormat="1" ht="25.5" customHeight="1" x14ac:dyDescent="0.15">
      <c r="A16" s="39">
        <v>20170102</v>
      </c>
      <c r="B16" s="19" t="s">
        <v>129</v>
      </c>
      <c r="C16" s="36" t="s">
        <v>121</v>
      </c>
      <c r="D16" s="17"/>
      <c r="E16" s="17" t="s">
        <v>12</v>
      </c>
      <c r="F16" s="12" t="s">
        <v>592</v>
      </c>
      <c r="G16" s="17"/>
      <c r="H16" s="18">
        <f>[2]副本!G31</f>
        <v>3053.6469999999827</v>
      </c>
      <c r="I16" s="18">
        <f>H16</f>
        <v>3053.6469999999827</v>
      </c>
      <c r="J16" s="17"/>
      <c r="K16" s="15"/>
      <c r="L16" s="16">
        <f>H16-I16</f>
        <v>0</v>
      </c>
      <c r="M16" s="15">
        <v>21000</v>
      </c>
      <c r="N16" s="14" t="s">
        <v>120</v>
      </c>
      <c r="O16" s="13" t="s">
        <v>119</v>
      </c>
      <c r="P16" s="12" t="s">
        <v>128</v>
      </c>
    </row>
    <row r="17" spans="1:17" s="11" customFormat="1" ht="25.5" customHeight="1" x14ac:dyDescent="0.15">
      <c r="A17" s="39">
        <v>20170102</v>
      </c>
      <c r="B17" s="19" t="s">
        <v>127</v>
      </c>
      <c r="C17" s="36" t="s">
        <v>63</v>
      </c>
      <c r="D17" s="17"/>
      <c r="E17" s="17"/>
      <c r="F17" s="17"/>
      <c r="G17" s="17"/>
      <c r="H17" s="18"/>
      <c r="I17" s="18"/>
      <c r="J17" s="17"/>
      <c r="K17" s="15"/>
      <c r="L17" s="16"/>
      <c r="M17" s="15">
        <v>5000</v>
      </c>
      <c r="N17" s="14"/>
      <c r="O17" s="13"/>
      <c r="P17" s="12"/>
    </row>
    <row r="18" spans="1:17" s="11" customFormat="1" ht="25.5" customHeight="1" x14ac:dyDescent="0.15">
      <c r="A18" s="39">
        <v>20170102</v>
      </c>
      <c r="B18" s="19" t="s">
        <v>126</v>
      </c>
      <c r="C18" s="36" t="s">
        <v>63</v>
      </c>
      <c r="D18" s="17"/>
      <c r="E18" s="17"/>
      <c r="F18" s="17"/>
      <c r="G18" s="17"/>
      <c r="H18" s="18"/>
      <c r="I18" s="18"/>
      <c r="J18" s="17"/>
      <c r="K18" s="15"/>
      <c r="L18" s="16"/>
      <c r="M18" s="15">
        <v>3000</v>
      </c>
      <c r="N18" s="14"/>
      <c r="O18" s="13"/>
      <c r="P18" s="12"/>
    </row>
    <row r="19" spans="1:17" s="11" customFormat="1" ht="25.5" customHeight="1" x14ac:dyDescent="0.15">
      <c r="A19" s="39">
        <v>20170102</v>
      </c>
      <c r="B19" s="19" t="s">
        <v>122</v>
      </c>
      <c r="C19" s="36" t="s">
        <v>121</v>
      </c>
      <c r="D19" s="17"/>
      <c r="E19" s="17" t="s">
        <v>12</v>
      </c>
      <c r="F19" s="17" t="s">
        <v>11</v>
      </c>
      <c r="G19" s="17" t="s">
        <v>2</v>
      </c>
      <c r="H19" s="18">
        <f>[2]副本!G37-'20170102'!H20</f>
        <v>11138.453428000037</v>
      </c>
      <c r="I19" s="18">
        <f>H19</f>
        <v>11138.453428000037</v>
      </c>
      <c r="J19" s="17"/>
      <c r="K19" s="15"/>
      <c r="L19" s="16">
        <f>H19-I19</f>
        <v>0</v>
      </c>
      <c r="M19" s="15">
        <v>21000</v>
      </c>
      <c r="N19" s="14" t="s">
        <v>125</v>
      </c>
      <c r="O19" s="13" t="s">
        <v>124</v>
      </c>
      <c r="P19" s="12" t="s">
        <v>205</v>
      </c>
    </row>
    <row r="20" spans="1:17" s="11" customFormat="1" ht="25.5" customHeight="1" x14ac:dyDescent="0.15">
      <c r="A20" s="39">
        <v>20170102</v>
      </c>
      <c r="B20" s="19" t="s">
        <v>122</v>
      </c>
      <c r="C20" s="36" t="s">
        <v>121</v>
      </c>
      <c r="D20" s="17"/>
      <c r="E20" s="17" t="s">
        <v>12</v>
      </c>
      <c r="F20" s="12" t="s">
        <v>593</v>
      </c>
      <c r="G20" s="17" t="s">
        <v>2</v>
      </c>
      <c r="H20" s="18">
        <f>[2]副本!G39</f>
        <v>1350.5465719999629</v>
      </c>
      <c r="I20" s="18">
        <f>H20</f>
        <v>1350.5465719999629</v>
      </c>
      <c r="J20" s="17"/>
      <c r="K20" s="28"/>
      <c r="L20" s="16">
        <f>H20-I20</f>
        <v>0</v>
      </c>
      <c r="M20" s="15">
        <v>21000</v>
      </c>
      <c r="N20" s="14" t="s">
        <v>120</v>
      </c>
      <c r="O20" s="13" t="s">
        <v>119</v>
      </c>
      <c r="P20" s="12" t="s">
        <v>118</v>
      </c>
    </row>
    <row r="21" spans="1:17" s="11" customFormat="1" ht="25.5" customHeight="1" x14ac:dyDescent="0.15">
      <c r="A21" s="39">
        <v>20170102</v>
      </c>
      <c r="B21" s="19" t="s">
        <v>117</v>
      </c>
      <c r="C21" s="36" t="s">
        <v>63</v>
      </c>
      <c r="D21" s="17"/>
      <c r="E21" s="17" t="s">
        <v>204</v>
      </c>
      <c r="F21" s="17" t="s">
        <v>115</v>
      </c>
      <c r="G21" s="17" t="s">
        <v>2</v>
      </c>
      <c r="H21" s="18">
        <f>[2]副本!G41</f>
        <v>2906.4359999999997</v>
      </c>
      <c r="I21" s="18">
        <f>H21</f>
        <v>2906.4359999999997</v>
      </c>
      <c r="J21" s="17"/>
      <c r="K21" s="15">
        <v>300</v>
      </c>
      <c r="L21" s="16">
        <f>H21-I21</f>
        <v>0</v>
      </c>
      <c r="M21" s="15">
        <v>5000</v>
      </c>
      <c r="N21" s="14"/>
      <c r="O21" s="13"/>
      <c r="P21" s="12" t="s">
        <v>114</v>
      </c>
    </row>
    <row r="22" spans="1:17" s="11" customFormat="1" ht="25.5" customHeight="1" x14ac:dyDescent="0.15">
      <c r="A22" s="39">
        <v>20170102</v>
      </c>
      <c r="B22" s="19" t="s">
        <v>113</v>
      </c>
      <c r="C22" s="36" t="s">
        <v>0</v>
      </c>
      <c r="D22" s="17"/>
      <c r="E22" s="12"/>
      <c r="F22" s="17"/>
      <c r="G22" s="17"/>
      <c r="H22" s="18"/>
      <c r="I22" s="18"/>
      <c r="J22" s="17"/>
      <c r="K22" s="15"/>
      <c r="L22" s="16"/>
      <c r="M22" s="15">
        <v>5000</v>
      </c>
      <c r="N22" s="14"/>
      <c r="O22" s="13"/>
      <c r="P22" s="37"/>
    </row>
    <row r="23" spans="1:17" s="11" customFormat="1" ht="25.5" customHeight="1" x14ac:dyDescent="0.15">
      <c r="A23" s="39">
        <v>20170102</v>
      </c>
      <c r="B23" s="19" t="s">
        <v>110</v>
      </c>
      <c r="C23" s="36" t="s">
        <v>63</v>
      </c>
      <c r="D23" s="17"/>
      <c r="E23" s="17"/>
      <c r="F23" s="17"/>
      <c r="G23" s="17"/>
      <c r="H23" s="18"/>
      <c r="I23" s="18"/>
      <c r="J23" s="17"/>
      <c r="K23" s="15"/>
      <c r="L23" s="16"/>
      <c r="M23" s="15">
        <v>5000</v>
      </c>
      <c r="N23" s="14"/>
      <c r="O23" s="13"/>
      <c r="P23" s="12"/>
    </row>
    <row r="24" spans="1:17" s="11" customFormat="1" ht="25.5" customHeight="1" x14ac:dyDescent="0.15">
      <c r="A24" s="39">
        <v>20170102</v>
      </c>
      <c r="B24" s="19" t="s">
        <v>109</v>
      </c>
      <c r="C24" s="36" t="s">
        <v>63</v>
      </c>
      <c r="D24" s="17"/>
      <c r="E24" s="17" t="s">
        <v>108</v>
      </c>
      <c r="F24" s="17" t="s">
        <v>107</v>
      </c>
      <c r="G24" s="17" t="s">
        <v>2</v>
      </c>
      <c r="H24" s="18">
        <f>[2]副本!G47</f>
        <v>762.62100000004284</v>
      </c>
      <c r="I24" s="18">
        <f>H24</f>
        <v>762.62100000004284</v>
      </c>
      <c r="J24" s="17"/>
      <c r="K24" s="15"/>
      <c r="L24" s="16">
        <f t="shared" ref="L24:L29" si="0">H24-I24</f>
        <v>0</v>
      </c>
      <c r="M24" s="15">
        <v>4000</v>
      </c>
      <c r="N24" s="14" t="s">
        <v>186</v>
      </c>
      <c r="O24" s="13" t="s">
        <v>185</v>
      </c>
      <c r="P24" s="12"/>
    </row>
    <row r="25" spans="1:17" s="11" customFormat="1" ht="25.5" customHeight="1" x14ac:dyDescent="0.15">
      <c r="A25" s="39">
        <v>20170102</v>
      </c>
      <c r="B25" s="19" t="s">
        <v>106</v>
      </c>
      <c r="C25" s="36" t="s">
        <v>203</v>
      </c>
      <c r="D25" s="17"/>
      <c r="E25" s="17" t="s">
        <v>174</v>
      </c>
      <c r="F25" s="17" t="s">
        <v>104</v>
      </c>
      <c r="G25" s="17" t="s">
        <v>2</v>
      </c>
      <c r="H25" s="18">
        <f>[2]副本!G49</f>
        <v>272.52499999999998</v>
      </c>
      <c r="I25" s="18">
        <f>H25</f>
        <v>272.52499999999998</v>
      </c>
      <c r="J25" s="17"/>
      <c r="K25" s="15"/>
      <c r="L25" s="16">
        <f t="shared" si="0"/>
        <v>0</v>
      </c>
      <c r="M25" s="15">
        <v>5000</v>
      </c>
      <c r="N25" s="14" t="s">
        <v>202</v>
      </c>
      <c r="O25" s="13" t="s">
        <v>102</v>
      </c>
      <c r="P25" s="12" t="s">
        <v>101</v>
      </c>
    </row>
    <row r="26" spans="1:17" s="11" customFormat="1" ht="25.5" customHeight="1" x14ac:dyDescent="0.15">
      <c r="A26" s="39">
        <v>20170102</v>
      </c>
      <c r="B26" s="19" t="s">
        <v>100</v>
      </c>
      <c r="C26" s="36" t="s">
        <v>96</v>
      </c>
      <c r="D26" s="17"/>
      <c r="E26" s="17" t="s">
        <v>67</v>
      </c>
      <c r="F26" s="17" t="s">
        <v>39</v>
      </c>
      <c r="G26" s="17" t="s">
        <v>2</v>
      </c>
      <c r="H26" s="18">
        <f>[2]副本!G51</f>
        <v>19.961000000002969</v>
      </c>
      <c r="I26" s="18">
        <f>H26</f>
        <v>19.961000000002969</v>
      </c>
      <c r="J26" s="17"/>
      <c r="K26" s="15"/>
      <c r="L26" s="16">
        <f t="shared" si="0"/>
        <v>0</v>
      </c>
      <c r="M26" s="15">
        <v>2000</v>
      </c>
      <c r="N26" s="14"/>
      <c r="O26" s="13"/>
      <c r="P26" s="12" t="s">
        <v>182</v>
      </c>
    </row>
    <row r="27" spans="1:17" s="11" customFormat="1" ht="25.5" customHeight="1" x14ac:dyDescent="0.15">
      <c r="A27" s="39">
        <v>20170102</v>
      </c>
      <c r="B27" s="19" t="s">
        <v>99</v>
      </c>
      <c r="C27" s="36" t="s">
        <v>96</v>
      </c>
      <c r="D27" s="17"/>
      <c r="E27" s="17" t="s">
        <v>67</v>
      </c>
      <c r="F27" s="17" t="s">
        <v>66</v>
      </c>
      <c r="G27" s="17" t="s">
        <v>2</v>
      </c>
      <c r="H27" s="18">
        <f>[2]副本!G53</f>
        <v>1099.9159999999999</v>
      </c>
      <c r="I27" s="18">
        <f>H27-1099.916</f>
        <v>0</v>
      </c>
      <c r="J27" s="17"/>
      <c r="K27" s="15"/>
      <c r="L27" s="16">
        <f t="shared" si="0"/>
        <v>1099.9159999999999</v>
      </c>
      <c r="M27" s="15">
        <v>1500</v>
      </c>
      <c r="N27" s="14"/>
      <c r="O27" s="13"/>
      <c r="P27" s="12"/>
    </row>
    <row r="28" spans="1:17" s="11" customFormat="1" ht="25.5" customHeight="1" x14ac:dyDescent="0.15">
      <c r="A28" s="39">
        <v>20170102</v>
      </c>
      <c r="B28" s="19" t="s">
        <v>98</v>
      </c>
      <c r="C28" s="36" t="s">
        <v>96</v>
      </c>
      <c r="D28" s="17"/>
      <c r="E28" s="17"/>
      <c r="F28" s="17"/>
      <c r="G28" s="17"/>
      <c r="H28" s="18"/>
      <c r="I28" s="18"/>
      <c r="J28" s="17"/>
      <c r="K28" s="15"/>
      <c r="L28" s="16">
        <f t="shared" si="0"/>
        <v>0</v>
      </c>
      <c r="M28" s="15">
        <v>1500</v>
      </c>
      <c r="N28" s="14"/>
      <c r="O28" s="13"/>
      <c r="P28" s="12"/>
      <c r="Q28" s="20"/>
    </row>
    <row r="29" spans="1:17" s="11" customFormat="1" ht="25.5" customHeight="1" x14ac:dyDescent="0.15">
      <c r="A29" s="39">
        <v>20170102</v>
      </c>
      <c r="B29" s="19" t="s">
        <v>97</v>
      </c>
      <c r="C29" s="36" t="s">
        <v>96</v>
      </c>
      <c r="D29" s="17"/>
      <c r="E29" s="17" t="s">
        <v>67</v>
      </c>
      <c r="F29" s="17" t="s">
        <v>66</v>
      </c>
      <c r="G29" s="17" t="s">
        <v>2</v>
      </c>
      <c r="H29" s="18">
        <f>[2]副本!G57</f>
        <v>1098.2449999999999</v>
      </c>
      <c r="I29" s="18">
        <f>H29-1098.245</f>
        <v>0</v>
      </c>
      <c r="J29" s="17"/>
      <c r="K29" s="15"/>
      <c r="L29" s="16">
        <f t="shared" si="0"/>
        <v>1098.2449999999999</v>
      </c>
      <c r="M29" s="15">
        <v>1500</v>
      </c>
      <c r="N29" s="14"/>
      <c r="O29" s="13"/>
      <c r="P29" s="12"/>
    </row>
    <row r="30" spans="1:17" s="11" customFormat="1" ht="25.5" customHeight="1" x14ac:dyDescent="0.15">
      <c r="A30" s="39">
        <v>20170102</v>
      </c>
      <c r="B30" s="19" t="s">
        <v>95</v>
      </c>
      <c r="C30" s="36" t="s">
        <v>63</v>
      </c>
      <c r="D30" s="17"/>
      <c r="E30" s="17"/>
      <c r="F30" s="17"/>
      <c r="G30" s="17"/>
      <c r="H30" s="18"/>
      <c r="I30" s="18"/>
      <c r="J30" s="17"/>
      <c r="K30" s="15"/>
      <c r="L30" s="16"/>
      <c r="M30" s="15">
        <v>1500</v>
      </c>
      <c r="N30" s="14"/>
      <c r="O30" s="13"/>
      <c r="P30" s="12"/>
    </row>
    <row r="31" spans="1:17" s="11" customFormat="1" ht="25.5" customHeight="1" x14ac:dyDescent="0.15">
      <c r="A31" s="39">
        <v>20170102</v>
      </c>
      <c r="B31" s="19" t="s">
        <v>93</v>
      </c>
      <c r="C31" s="36" t="s">
        <v>191</v>
      </c>
      <c r="D31" s="17"/>
      <c r="E31" s="17" t="s">
        <v>201</v>
      </c>
      <c r="F31" s="17" t="s">
        <v>91</v>
      </c>
      <c r="G31" s="17"/>
      <c r="H31" s="17">
        <f>[2]副本!G61</f>
        <v>462.41900000000027</v>
      </c>
      <c r="I31" s="18">
        <f>H31-1035.099+1035.099</f>
        <v>462.41900000000032</v>
      </c>
      <c r="J31" s="17"/>
      <c r="K31" s="15">
        <v>30</v>
      </c>
      <c r="L31" s="16">
        <f>H31-I31</f>
        <v>0</v>
      </c>
      <c r="M31" s="15">
        <v>2000</v>
      </c>
      <c r="N31" s="14"/>
      <c r="O31" s="13"/>
      <c r="P31" s="12" t="s">
        <v>90</v>
      </c>
    </row>
    <row r="32" spans="1:17" s="11" customFormat="1" ht="25.5" customHeight="1" x14ac:dyDescent="0.15">
      <c r="A32" s="39">
        <v>20170102</v>
      </c>
      <c r="B32" s="19" t="s">
        <v>89</v>
      </c>
      <c r="C32" s="36" t="s">
        <v>63</v>
      </c>
      <c r="D32" s="17" t="s">
        <v>88</v>
      </c>
      <c r="E32" s="17" t="s">
        <v>200</v>
      </c>
      <c r="F32" s="17" t="s">
        <v>216</v>
      </c>
      <c r="G32" s="17" t="s">
        <v>54</v>
      </c>
      <c r="H32" s="18">
        <f>[2]副本!G63</f>
        <v>755.06299999999987</v>
      </c>
      <c r="I32" s="18">
        <f>H32-1037.023+500</f>
        <v>218.03999999999996</v>
      </c>
      <c r="J32" s="17"/>
      <c r="K32" s="15">
        <v>50</v>
      </c>
      <c r="L32" s="16">
        <f>H32-I32</f>
        <v>537.02299999999991</v>
      </c>
      <c r="M32" s="15">
        <v>3000</v>
      </c>
      <c r="N32" s="14"/>
      <c r="O32" s="13"/>
      <c r="P32" s="24" t="s">
        <v>199</v>
      </c>
    </row>
    <row r="33" spans="1:16" s="11" customFormat="1" ht="25.5" customHeight="1" x14ac:dyDescent="0.15">
      <c r="A33" s="39">
        <v>20170102</v>
      </c>
      <c r="B33" s="19" t="s">
        <v>85</v>
      </c>
      <c r="C33" s="36" t="s">
        <v>63</v>
      </c>
      <c r="D33" s="17" t="s">
        <v>5</v>
      </c>
      <c r="E33" s="17" t="s">
        <v>84</v>
      </c>
      <c r="F33" s="17" t="s">
        <v>81</v>
      </c>
      <c r="G33" s="17" t="s">
        <v>54</v>
      </c>
      <c r="H33" s="18">
        <f>[2]副本!G65</f>
        <v>0</v>
      </c>
      <c r="I33" s="18">
        <f>H33</f>
        <v>0</v>
      </c>
      <c r="J33" s="17"/>
      <c r="K33" s="15"/>
      <c r="L33" s="16">
        <f>H33-I33</f>
        <v>0</v>
      </c>
      <c r="M33" s="15">
        <v>4000</v>
      </c>
      <c r="N33" s="14"/>
      <c r="O33" s="13"/>
      <c r="P33" s="12" t="s">
        <v>198</v>
      </c>
    </row>
    <row r="34" spans="1:16" s="11" customFormat="1" ht="25.5" customHeight="1" x14ac:dyDescent="0.15">
      <c r="A34" s="39">
        <v>20170102</v>
      </c>
      <c r="B34" s="19" t="s">
        <v>82</v>
      </c>
      <c r="C34" s="36" t="s">
        <v>0</v>
      </c>
      <c r="D34" s="17"/>
      <c r="E34" s="17"/>
      <c r="F34" s="17"/>
      <c r="G34" s="17"/>
      <c r="H34" s="18"/>
      <c r="I34" s="18"/>
      <c r="J34" s="17"/>
      <c r="K34" s="15"/>
      <c r="L34" s="16"/>
      <c r="M34" s="15">
        <v>5000</v>
      </c>
      <c r="N34" s="14"/>
      <c r="O34" s="13"/>
      <c r="P34" s="12"/>
    </row>
    <row r="35" spans="1:16" s="11" customFormat="1" ht="25.5" customHeight="1" x14ac:dyDescent="0.15">
      <c r="A35" s="39">
        <v>20170102</v>
      </c>
      <c r="B35" s="19" t="s">
        <v>79</v>
      </c>
      <c r="C35" s="36" t="s">
        <v>191</v>
      </c>
      <c r="D35" s="17" t="s">
        <v>5</v>
      </c>
      <c r="E35" s="17" t="s">
        <v>78</v>
      </c>
      <c r="F35" s="17" t="s">
        <v>81</v>
      </c>
      <c r="G35" s="17" t="s">
        <v>2</v>
      </c>
      <c r="H35" s="18">
        <f>[2]副本!G69</f>
        <v>196.4720000000525</v>
      </c>
      <c r="I35" s="18">
        <f>H35-955.747+477.874+477.873-1042.865-2628.137+500+542.865+2102.57+525.567-499.112-3147.566+2100+525+525+496.678</f>
        <v>196.47200000005216</v>
      </c>
      <c r="J35" s="17"/>
      <c r="K35" s="15"/>
      <c r="L35" s="16">
        <f>H35-I35</f>
        <v>3.4106051316484809E-13</v>
      </c>
      <c r="M35" s="15">
        <v>5000</v>
      </c>
      <c r="N35" s="14"/>
      <c r="O35" s="13"/>
      <c r="P35" s="12" t="s">
        <v>197</v>
      </c>
    </row>
    <row r="36" spans="1:16" s="11" customFormat="1" ht="25.5" customHeight="1" x14ac:dyDescent="0.15">
      <c r="A36" s="39">
        <v>20170102</v>
      </c>
      <c r="B36" s="19" t="s">
        <v>79</v>
      </c>
      <c r="C36" s="36" t="s">
        <v>191</v>
      </c>
      <c r="D36" s="17"/>
      <c r="E36" s="17" t="s">
        <v>78</v>
      </c>
      <c r="F36" s="17" t="s">
        <v>77</v>
      </c>
      <c r="G36" s="17" t="s">
        <v>2</v>
      </c>
      <c r="H36" s="18">
        <f>[2]副本!G70</f>
        <v>2.6340000000004693</v>
      </c>
      <c r="I36" s="18">
        <f>H36</f>
        <v>2.6340000000004693</v>
      </c>
      <c r="J36" s="17"/>
      <c r="K36" s="15"/>
      <c r="L36" s="16">
        <f>H36-I36</f>
        <v>0</v>
      </c>
      <c r="M36" s="15">
        <v>5000</v>
      </c>
      <c r="N36" s="14"/>
      <c r="O36" s="13"/>
      <c r="P36" s="12" t="s">
        <v>76</v>
      </c>
    </row>
    <row r="37" spans="1:16" s="11" customFormat="1" ht="25.5" customHeight="1" x14ac:dyDescent="0.15">
      <c r="A37" s="39">
        <v>20170102</v>
      </c>
      <c r="B37" s="19" t="s">
        <v>74</v>
      </c>
      <c r="C37" s="36" t="s">
        <v>28</v>
      </c>
      <c r="D37" s="17"/>
      <c r="E37" s="17" t="s">
        <v>67</v>
      </c>
      <c r="F37" s="17" t="s">
        <v>39</v>
      </c>
      <c r="G37" s="17" t="s">
        <v>2</v>
      </c>
      <c r="H37" s="18">
        <f>[2]副本!G72</f>
        <v>490.36299999999756</v>
      </c>
      <c r="I37" s="18">
        <f>H37</f>
        <v>490.36299999999756</v>
      </c>
      <c r="J37" s="17"/>
      <c r="K37" s="15"/>
      <c r="L37" s="16">
        <f>H37-I37</f>
        <v>0</v>
      </c>
      <c r="M37" s="15">
        <v>4000</v>
      </c>
      <c r="N37" s="14"/>
      <c r="O37" s="13"/>
      <c r="P37" s="12" t="s">
        <v>75</v>
      </c>
    </row>
    <row r="38" spans="1:16" s="11" customFormat="1" ht="25.5" customHeight="1" x14ac:dyDescent="0.15">
      <c r="A38" s="39">
        <v>20170102</v>
      </c>
      <c r="B38" s="19" t="s">
        <v>74</v>
      </c>
      <c r="C38" s="36" t="s">
        <v>28</v>
      </c>
      <c r="D38" s="17"/>
      <c r="E38" s="17" t="s">
        <v>67</v>
      </c>
      <c r="F38" s="17" t="s">
        <v>71</v>
      </c>
      <c r="G38" s="17" t="s">
        <v>2</v>
      </c>
      <c r="H38" s="18">
        <f>[2]副本!G73</f>
        <v>290.33999999999997</v>
      </c>
      <c r="I38" s="18">
        <f>H38</f>
        <v>290.33999999999997</v>
      </c>
      <c r="J38" s="17"/>
      <c r="K38" s="15"/>
      <c r="L38" s="16"/>
      <c r="M38" s="15">
        <v>4000</v>
      </c>
      <c r="N38" s="14"/>
      <c r="O38" s="13"/>
      <c r="P38" s="12" t="s">
        <v>195</v>
      </c>
    </row>
    <row r="39" spans="1:16" s="11" customFormat="1" ht="25.5" customHeight="1" x14ac:dyDescent="0.15">
      <c r="A39" s="39">
        <v>20170102</v>
      </c>
      <c r="B39" s="19" t="s">
        <v>74</v>
      </c>
      <c r="C39" s="36" t="s">
        <v>28</v>
      </c>
      <c r="D39" s="17"/>
      <c r="E39" s="17" t="s">
        <v>67</v>
      </c>
      <c r="F39" s="17" t="s">
        <v>66</v>
      </c>
      <c r="G39" s="17" t="s">
        <v>2</v>
      </c>
      <c r="H39" s="18">
        <f>[2]副本!G74</f>
        <v>1001.944</v>
      </c>
      <c r="I39" s="18">
        <f>H39-1001.944</f>
        <v>0</v>
      </c>
      <c r="J39" s="17"/>
      <c r="K39" s="15"/>
      <c r="L39" s="16">
        <f>H39-I39</f>
        <v>1001.944</v>
      </c>
      <c r="M39" s="15">
        <v>4000</v>
      </c>
      <c r="N39" s="14"/>
      <c r="O39" s="13"/>
      <c r="P39" s="12"/>
    </row>
    <row r="40" spans="1:16" s="11" customFormat="1" ht="25.5" customHeight="1" x14ac:dyDescent="0.15">
      <c r="A40" s="39">
        <v>20170102</v>
      </c>
      <c r="B40" s="19" t="s">
        <v>73</v>
      </c>
      <c r="C40" s="36" t="s">
        <v>28</v>
      </c>
      <c r="D40" s="17"/>
      <c r="E40" s="17"/>
      <c r="F40" s="17"/>
      <c r="G40" s="17"/>
      <c r="H40" s="18"/>
      <c r="I40" s="18"/>
      <c r="J40" s="17"/>
      <c r="K40" s="15"/>
      <c r="L40" s="16"/>
      <c r="M40" s="15">
        <v>2000</v>
      </c>
      <c r="N40" s="14"/>
      <c r="O40" s="13"/>
      <c r="P40" s="12"/>
    </row>
    <row r="41" spans="1:16" s="11" customFormat="1" ht="25.5" customHeight="1" x14ac:dyDescent="0.15">
      <c r="A41" s="39">
        <v>20170102</v>
      </c>
      <c r="B41" s="19" t="s">
        <v>72</v>
      </c>
      <c r="C41" s="36" t="s">
        <v>183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3000</v>
      </c>
      <c r="N41" s="14"/>
      <c r="O41" s="13"/>
      <c r="P41" s="12"/>
    </row>
    <row r="42" spans="1:16" s="11" customFormat="1" ht="25.5" customHeight="1" x14ac:dyDescent="0.15">
      <c r="A42" s="39">
        <v>20170102</v>
      </c>
      <c r="B42" s="19" t="s">
        <v>196</v>
      </c>
      <c r="C42" s="36" t="s">
        <v>183</v>
      </c>
      <c r="D42" s="17"/>
      <c r="E42" s="17" t="s">
        <v>67</v>
      </c>
      <c r="F42" s="17" t="s">
        <v>39</v>
      </c>
      <c r="G42" s="17"/>
      <c r="H42" s="18">
        <f>[2]副本!G80</f>
        <v>2071.36</v>
      </c>
      <c r="I42" s="18">
        <f>H42</f>
        <v>2071.36</v>
      </c>
      <c r="J42" s="17"/>
      <c r="K42" s="15">
        <v>1200</v>
      </c>
      <c r="L42" s="16">
        <f>H42-I42</f>
        <v>0</v>
      </c>
      <c r="M42" s="15">
        <v>5000</v>
      </c>
      <c r="N42" s="14"/>
      <c r="O42" s="13"/>
      <c r="P42" s="12" t="s">
        <v>195</v>
      </c>
    </row>
    <row r="43" spans="1:16" s="11" customFormat="1" ht="25.5" customHeight="1" x14ac:dyDescent="0.15">
      <c r="A43" s="39">
        <v>20170102</v>
      </c>
      <c r="B43" s="19" t="s">
        <v>196</v>
      </c>
      <c r="C43" s="36" t="s">
        <v>183</v>
      </c>
      <c r="D43" s="17"/>
      <c r="E43" s="17" t="s">
        <v>67</v>
      </c>
      <c r="F43" s="17" t="s">
        <v>66</v>
      </c>
      <c r="G43" s="17"/>
      <c r="H43" s="18">
        <f>[2]副本!G81</f>
        <v>1584.5709999999999</v>
      </c>
      <c r="I43" s="18">
        <f>H43-1584.571</f>
        <v>0</v>
      </c>
      <c r="J43" s="17"/>
      <c r="K43" s="15"/>
      <c r="L43" s="16">
        <f>H43-I43</f>
        <v>1584.5709999999999</v>
      </c>
      <c r="M43" s="15">
        <v>5000</v>
      </c>
      <c r="N43" s="14"/>
      <c r="O43" s="13"/>
      <c r="P43" s="12"/>
    </row>
    <row r="44" spans="1:16" s="11" customFormat="1" ht="25.5" customHeight="1" x14ac:dyDescent="0.15">
      <c r="A44" s="39">
        <v>20170102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25.5" customHeight="1" x14ac:dyDescent="0.15">
      <c r="A45" s="39">
        <v>20170102</v>
      </c>
      <c r="B45" s="19" t="s">
        <v>64</v>
      </c>
      <c r="C45" s="36" t="s">
        <v>63</v>
      </c>
      <c r="D45" s="17"/>
      <c r="E45" s="17"/>
      <c r="F45" s="17"/>
      <c r="G45" s="17"/>
      <c r="H45" s="18"/>
      <c r="I45" s="18"/>
      <c r="J45" s="17"/>
      <c r="K45" s="15"/>
      <c r="L45" s="16"/>
      <c r="M45" s="15">
        <v>5000</v>
      </c>
      <c r="N45" s="14"/>
      <c r="O45" s="13"/>
      <c r="P45" s="12"/>
    </row>
    <row r="46" spans="1:16" s="11" customFormat="1" ht="25.5" customHeight="1" x14ac:dyDescent="0.15">
      <c r="A46" s="39">
        <v>20170102</v>
      </c>
      <c r="B46" s="19" t="s">
        <v>62</v>
      </c>
      <c r="C46" s="36" t="s">
        <v>191</v>
      </c>
      <c r="D46" s="17"/>
      <c r="E46" s="17" t="s">
        <v>190</v>
      </c>
      <c r="F46" s="17" t="s">
        <v>61</v>
      </c>
      <c r="G46" s="17" t="s">
        <v>2</v>
      </c>
      <c r="H46" s="18">
        <f>[2]副本!G87</f>
        <v>875.07899999999427</v>
      </c>
      <c r="I46" s="18">
        <f>H46</f>
        <v>875.07899999999427</v>
      </c>
      <c r="J46" s="17"/>
      <c r="K46" s="16"/>
      <c r="L46" s="16">
        <f>H46-I46</f>
        <v>0</v>
      </c>
      <c r="M46" s="15">
        <v>2000</v>
      </c>
      <c r="N46" s="14"/>
      <c r="O46" s="13"/>
      <c r="P46" s="12"/>
    </row>
    <row r="47" spans="1:16" s="11" customFormat="1" ht="25.5" customHeight="1" x14ac:dyDescent="0.15">
      <c r="A47" s="39">
        <v>20170102</v>
      </c>
      <c r="B47" s="19" t="s">
        <v>194</v>
      </c>
      <c r="C47" s="36" t="s">
        <v>183</v>
      </c>
      <c r="D47" s="17" t="s">
        <v>5</v>
      </c>
      <c r="E47" s="17" t="s">
        <v>34</v>
      </c>
      <c r="F47" s="17" t="s">
        <v>48</v>
      </c>
      <c r="G47" s="17" t="s">
        <v>2</v>
      </c>
      <c r="H47" s="18">
        <f>[2]副本!G89</f>
        <v>7193.6779999999999</v>
      </c>
      <c r="I47" s="18">
        <v>0</v>
      </c>
      <c r="J47" s="17"/>
      <c r="K47" s="15"/>
      <c r="L47" s="16">
        <f>H47-I47</f>
        <v>7193.6779999999999</v>
      </c>
      <c r="M47" s="15">
        <v>10000</v>
      </c>
      <c r="N47" s="14"/>
      <c r="O47" s="13"/>
      <c r="P47" s="12"/>
    </row>
    <row r="48" spans="1:16" s="11" customFormat="1" ht="25.5" customHeight="1" x14ac:dyDescent="0.15">
      <c r="A48" s="39">
        <v>20170102</v>
      </c>
      <c r="B48" s="19" t="s">
        <v>193</v>
      </c>
      <c r="C48" s="36" t="s">
        <v>28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[2]副本!G91</f>
        <v>7409.1850000000004</v>
      </c>
      <c r="I48" s="18">
        <f>H48-7409.185</f>
        <v>0</v>
      </c>
      <c r="J48" s="17"/>
      <c r="K48" s="15"/>
      <c r="L48" s="16">
        <v>0</v>
      </c>
      <c r="M48" s="15">
        <v>10000</v>
      </c>
      <c r="N48" s="14"/>
      <c r="O48" s="13"/>
      <c r="P48" s="12"/>
    </row>
    <row r="49" spans="1:17" s="11" customFormat="1" ht="25.5" customHeight="1" x14ac:dyDescent="0.15">
      <c r="A49" s="39">
        <v>20170102</v>
      </c>
      <c r="B49" s="19" t="s">
        <v>192</v>
      </c>
      <c r="C49" s="36" t="s">
        <v>191</v>
      </c>
      <c r="D49" s="17"/>
      <c r="E49" s="17" t="s">
        <v>190</v>
      </c>
      <c r="F49" s="17" t="s">
        <v>55</v>
      </c>
      <c r="G49" s="17" t="s">
        <v>54</v>
      </c>
      <c r="H49" s="18">
        <f>[2]副本!G93</f>
        <v>2592.4640000000081</v>
      </c>
      <c r="I49" s="18">
        <f>H49</f>
        <v>2592.4640000000081</v>
      </c>
      <c r="J49" s="17"/>
      <c r="K49" s="16"/>
      <c r="L49" s="16">
        <v>0</v>
      </c>
      <c r="M49" s="15">
        <v>5000</v>
      </c>
      <c r="N49" s="23" t="s">
        <v>53</v>
      </c>
      <c r="O49" s="22" t="s">
        <v>189</v>
      </c>
      <c r="P49" s="12" t="s">
        <v>188</v>
      </c>
    </row>
    <row r="50" spans="1:17" s="11" customFormat="1" ht="25.5" customHeight="1" x14ac:dyDescent="0.15">
      <c r="A50" s="39">
        <v>20170102</v>
      </c>
      <c r="B50" s="19" t="s">
        <v>50</v>
      </c>
      <c r="C50" s="36" t="s">
        <v>28</v>
      </c>
      <c r="D50" s="17"/>
      <c r="E50" s="17"/>
      <c r="F50" s="17"/>
      <c r="G50" s="17"/>
      <c r="H50" s="18"/>
      <c r="I50" s="18"/>
      <c r="J50" s="17"/>
      <c r="K50" s="15"/>
      <c r="L50" s="16">
        <f>H50-I50</f>
        <v>0</v>
      </c>
      <c r="M50" s="15">
        <v>3000</v>
      </c>
      <c r="N50" s="14"/>
      <c r="O50" s="13"/>
      <c r="P50" s="12"/>
    </row>
    <row r="51" spans="1:17" s="11" customFormat="1" ht="25.5" customHeight="1" x14ac:dyDescent="0.15">
      <c r="A51" s="39">
        <v>20170102</v>
      </c>
      <c r="B51" s="19" t="s">
        <v>187</v>
      </c>
      <c r="C51" s="36" t="s">
        <v>28</v>
      </c>
      <c r="D51" s="17" t="s">
        <v>5</v>
      </c>
      <c r="E51" s="17" t="s">
        <v>34</v>
      </c>
      <c r="F51" s="17" t="s">
        <v>48</v>
      </c>
      <c r="G51" s="17" t="s">
        <v>179</v>
      </c>
      <c r="H51" s="18">
        <f>[2]副本!G97</f>
        <v>17900.637999999999</v>
      </c>
      <c r="I51" s="18">
        <v>0</v>
      </c>
      <c r="J51" s="17"/>
      <c r="K51" s="15"/>
      <c r="L51" s="16">
        <f>H51-I51</f>
        <v>17900.637999999999</v>
      </c>
      <c r="M51" s="15">
        <v>25000</v>
      </c>
      <c r="N51" s="14" t="s">
        <v>186</v>
      </c>
      <c r="O51" s="13" t="s">
        <v>185</v>
      </c>
      <c r="P51" s="12" t="s">
        <v>184</v>
      </c>
    </row>
    <row r="52" spans="1:17" s="11" customFormat="1" ht="25.5" customHeight="1" x14ac:dyDescent="0.15">
      <c r="A52" s="39">
        <v>20170102</v>
      </c>
      <c r="B52" s="19" t="s">
        <v>44</v>
      </c>
      <c r="C52" s="36" t="s">
        <v>183</v>
      </c>
      <c r="D52" s="17" t="s">
        <v>5</v>
      </c>
      <c r="E52" s="17" t="s">
        <v>34</v>
      </c>
      <c r="F52" s="17" t="s">
        <v>218</v>
      </c>
      <c r="G52" s="17" t="s">
        <v>179</v>
      </c>
      <c r="H52" s="18">
        <f>[2]副本!G99</f>
        <v>17775.025000000081</v>
      </c>
      <c r="I52" s="18">
        <v>0</v>
      </c>
      <c r="J52" s="17"/>
      <c r="K52" s="15"/>
      <c r="L52" s="16">
        <f>H52-I52</f>
        <v>17775.025000000081</v>
      </c>
      <c r="M52" s="15">
        <v>50000</v>
      </c>
      <c r="N52" s="14"/>
      <c r="O52" s="13"/>
      <c r="P52" s="12"/>
    </row>
    <row r="53" spans="1:17" s="11" customFormat="1" ht="25.5" customHeight="1" x14ac:dyDescent="0.15">
      <c r="A53" s="39">
        <v>20170102</v>
      </c>
      <c r="B53" s="19" t="s">
        <v>41</v>
      </c>
      <c r="C53" s="36" t="s">
        <v>28</v>
      </c>
      <c r="D53" s="17"/>
      <c r="E53" s="17" t="s">
        <v>40</v>
      </c>
      <c r="F53" s="17" t="s">
        <v>39</v>
      </c>
      <c r="G53" s="17" t="s">
        <v>179</v>
      </c>
      <c r="H53" s="18">
        <f>[2]副本!G101</f>
        <v>920.43700000001695</v>
      </c>
      <c r="I53" s="18">
        <f>H53</f>
        <v>920.43700000001695</v>
      </c>
      <c r="J53" s="17"/>
      <c r="K53" s="15"/>
      <c r="L53" s="16">
        <f>H53-I53</f>
        <v>0</v>
      </c>
      <c r="M53" s="15">
        <v>4000</v>
      </c>
      <c r="N53" s="14"/>
      <c r="O53" s="13"/>
      <c r="P53" s="12" t="s">
        <v>182</v>
      </c>
    </row>
    <row r="54" spans="1:17" s="11" customFormat="1" ht="25.5" customHeight="1" x14ac:dyDescent="0.15">
      <c r="A54" s="39">
        <v>20170102</v>
      </c>
      <c r="B54" s="19" t="s">
        <v>181</v>
      </c>
      <c r="C54" s="36" t="s">
        <v>31</v>
      </c>
      <c r="D54" s="17"/>
      <c r="E54" s="17"/>
      <c r="F54" s="17"/>
      <c r="G54" s="17"/>
      <c r="H54" s="18"/>
      <c r="I54" s="18"/>
      <c r="J54" s="17"/>
      <c r="K54" s="15"/>
      <c r="L54" s="16"/>
      <c r="M54" s="15">
        <v>37000</v>
      </c>
      <c r="N54" s="14"/>
      <c r="O54" s="13"/>
      <c r="P54" s="12"/>
    </row>
    <row r="55" spans="1:17" s="11" customFormat="1" ht="25.5" customHeight="1" x14ac:dyDescent="0.15">
      <c r="A55" s="39">
        <v>20170102</v>
      </c>
      <c r="B55" s="19" t="s">
        <v>36</v>
      </c>
      <c r="C55" s="36" t="s">
        <v>31</v>
      </c>
      <c r="D55" s="17"/>
      <c r="E55" s="17"/>
      <c r="F55" s="17"/>
      <c r="G55" s="17"/>
      <c r="H55" s="18"/>
      <c r="I55" s="17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25.5" customHeight="1" x14ac:dyDescent="0.15">
      <c r="A56" s="39">
        <v>20170102</v>
      </c>
      <c r="B56" s="19" t="s">
        <v>35</v>
      </c>
      <c r="C56" s="36" t="s">
        <v>28</v>
      </c>
      <c r="D56" s="17" t="s">
        <v>5</v>
      </c>
      <c r="E56" s="17" t="s">
        <v>34</v>
      </c>
      <c r="F56" s="17" t="s">
        <v>48</v>
      </c>
      <c r="G56" s="17" t="s">
        <v>179</v>
      </c>
      <c r="H56" s="18">
        <f>[2]副本!G107</f>
        <v>6957.8649999999998</v>
      </c>
      <c r="I56" s="18">
        <f>H56-6957.865</f>
        <v>0</v>
      </c>
      <c r="J56" s="17"/>
      <c r="K56" s="16"/>
      <c r="L56" s="16">
        <f>H56-I56</f>
        <v>6957.8649999999998</v>
      </c>
      <c r="M56" s="15">
        <v>10000</v>
      </c>
      <c r="N56" s="14"/>
      <c r="O56" s="13"/>
      <c r="P56" s="12"/>
      <c r="Q56" s="20"/>
    </row>
    <row r="57" spans="1:17" s="11" customFormat="1" ht="25.5" customHeight="1" x14ac:dyDescent="0.15">
      <c r="A57" s="39">
        <v>20170102</v>
      </c>
      <c r="B57" s="19" t="s">
        <v>180</v>
      </c>
      <c r="C57" s="36" t="s">
        <v>31</v>
      </c>
      <c r="D57" s="17" t="s">
        <v>5</v>
      </c>
      <c r="E57" s="17"/>
      <c r="F57" s="17"/>
      <c r="G57" s="17"/>
      <c r="H57" s="18"/>
      <c r="I57" s="18"/>
      <c r="J57" s="17"/>
      <c r="K57" s="21"/>
      <c r="L57" s="16"/>
      <c r="M57" s="15">
        <v>15000</v>
      </c>
      <c r="N57" s="14"/>
      <c r="O57" s="13"/>
      <c r="P57" s="12"/>
      <c r="Q57" s="20"/>
    </row>
    <row r="58" spans="1:17" s="11" customFormat="1" ht="25.5" customHeight="1" x14ac:dyDescent="0.15">
      <c r="A58" s="39">
        <v>20170102</v>
      </c>
      <c r="B58" s="19" t="s">
        <v>30</v>
      </c>
      <c r="C58" s="19" t="s">
        <v>28</v>
      </c>
      <c r="D58" s="17" t="s">
        <v>5</v>
      </c>
      <c r="E58" s="17" t="s">
        <v>4</v>
      </c>
      <c r="F58" s="17" t="s">
        <v>3</v>
      </c>
      <c r="G58" s="17" t="s">
        <v>179</v>
      </c>
      <c r="H58" s="18">
        <f>[2]副本!G111</f>
        <v>28002.054</v>
      </c>
      <c r="I58" s="18">
        <f>H58-28002.054</f>
        <v>0</v>
      </c>
      <c r="J58" s="17"/>
      <c r="K58" s="15"/>
      <c r="L58" s="16"/>
      <c r="M58" s="15">
        <v>43000</v>
      </c>
      <c r="N58" s="14"/>
      <c r="O58" s="13"/>
      <c r="P58" s="12"/>
      <c r="Q58" s="20"/>
    </row>
    <row r="59" spans="1:17" s="11" customFormat="1" ht="25.5" customHeight="1" x14ac:dyDescent="0.15">
      <c r="A59" s="39">
        <v>20170102</v>
      </c>
      <c r="B59" s="19" t="s">
        <v>29</v>
      </c>
      <c r="C59" s="19" t="s">
        <v>28</v>
      </c>
      <c r="D59" s="17" t="s">
        <v>5</v>
      </c>
      <c r="E59" s="17"/>
      <c r="F59" s="17"/>
      <c r="G59" s="17"/>
      <c r="H59" s="18"/>
      <c r="I59" s="18"/>
      <c r="J59" s="17"/>
      <c r="K59" s="15"/>
      <c r="L59" s="16"/>
      <c r="M59" s="15">
        <v>43000</v>
      </c>
      <c r="N59" s="14"/>
      <c r="O59" s="13"/>
      <c r="P59" s="12"/>
      <c r="Q59" s="20"/>
    </row>
    <row r="60" spans="1:17" s="11" customFormat="1" ht="25.5" customHeight="1" x14ac:dyDescent="0.15">
      <c r="A60" s="39">
        <v>20170102</v>
      </c>
      <c r="B60" s="19" t="s">
        <v>24</v>
      </c>
      <c r="C60" s="36" t="s">
        <v>0</v>
      </c>
      <c r="D60" s="17"/>
      <c r="E60" s="17" t="s">
        <v>4</v>
      </c>
      <c r="F60" s="17" t="s">
        <v>23</v>
      </c>
      <c r="G60" s="17" t="s">
        <v>179</v>
      </c>
      <c r="H60" s="18">
        <f>[2]副本!G115</f>
        <v>2849.0869999999964</v>
      </c>
      <c r="I60" s="18">
        <f>H60-15652.787+4092.929+8666.148+2893.71</f>
        <v>2849.086999999995</v>
      </c>
      <c r="J60" s="17"/>
      <c r="K60" s="15">
        <v>200</v>
      </c>
      <c r="L60" s="16">
        <f>H60-I60</f>
        <v>0</v>
      </c>
      <c r="M60" s="15">
        <v>20000</v>
      </c>
      <c r="N60" s="14"/>
      <c r="O60" s="13"/>
      <c r="P60" s="12" t="s">
        <v>178</v>
      </c>
    </row>
    <row r="61" spans="1:17" s="11" customFormat="1" ht="25.5" customHeight="1" x14ac:dyDescent="0.15">
      <c r="A61" s="39">
        <v>20170102</v>
      </c>
      <c r="B61" s="19" t="s">
        <v>20</v>
      </c>
      <c r="C61" s="36" t="s">
        <v>0</v>
      </c>
      <c r="D61" s="17"/>
      <c r="E61" s="17" t="s">
        <v>12</v>
      </c>
      <c r="F61" s="17" t="s">
        <v>11</v>
      </c>
      <c r="G61" s="17" t="s">
        <v>2</v>
      </c>
      <c r="H61" s="18">
        <f>[2]副本!G117</f>
        <v>21897.301999999996</v>
      </c>
      <c r="I61" s="18">
        <f>H61-9993.226</f>
        <v>11904.075999999995</v>
      </c>
      <c r="J61" s="17"/>
      <c r="K61" s="15"/>
      <c r="L61" s="16">
        <f>H61-I61</f>
        <v>9993.2260000000006</v>
      </c>
      <c r="M61" s="15">
        <v>30000</v>
      </c>
      <c r="N61" s="14"/>
      <c r="O61" s="13"/>
      <c r="P61" s="12" t="s">
        <v>177</v>
      </c>
    </row>
    <row r="62" spans="1:17" s="11" customFormat="1" ht="25.5" customHeight="1" x14ac:dyDescent="0.15">
      <c r="A62" s="39">
        <v>20170102</v>
      </c>
      <c r="B62" s="19" t="s">
        <v>18</v>
      </c>
      <c r="C62" s="36" t="s">
        <v>0</v>
      </c>
      <c r="D62" s="17" t="s">
        <v>5</v>
      </c>
      <c r="E62" s="17" t="s">
        <v>4</v>
      </c>
      <c r="F62" s="17" t="s">
        <v>17</v>
      </c>
      <c r="G62" s="17" t="s">
        <v>2</v>
      </c>
      <c r="H62" s="18">
        <f>[2]副本!G119</f>
        <v>14976.093999999999</v>
      </c>
      <c r="I62" s="18">
        <f>H62-14976.094</f>
        <v>0</v>
      </c>
      <c r="J62" s="17"/>
      <c r="K62" s="15">
        <v>350</v>
      </c>
      <c r="L62" s="16">
        <f>H62-I62</f>
        <v>14976.093999999999</v>
      </c>
      <c r="M62" s="15">
        <v>20000</v>
      </c>
      <c r="N62" s="14" t="s">
        <v>16</v>
      </c>
      <c r="O62" s="13" t="s">
        <v>176</v>
      </c>
      <c r="P62" s="12" t="s">
        <v>175</v>
      </c>
    </row>
    <row r="63" spans="1:17" s="11" customFormat="1" ht="25.5" customHeight="1" x14ac:dyDescent="0.15">
      <c r="A63" s="39">
        <v>20170102</v>
      </c>
      <c r="B63" s="19" t="s">
        <v>13</v>
      </c>
      <c r="C63" s="36" t="s">
        <v>0</v>
      </c>
      <c r="D63" s="17"/>
      <c r="E63" s="17" t="s">
        <v>12</v>
      </c>
      <c r="F63" s="17" t="s">
        <v>11</v>
      </c>
      <c r="G63" s="17" t="s">
        <v>2</v>
      </c>
      <c r="H63" s="18">
        <f>[2]副本!G121</f>
        <v>4194.545999999973</v>
      </c>
      <c r="I63" s="18">
        <f>H63</f>
        <v>4194.545999999973</v>
      </c>
      <c r="J63" s="17"/>
      <c r="K63" s="15"/>
      <c r="L63" s="16">
        <v>0</v>
      </c>
      <c r="M63" s="15">
        <v>30000</v>
      </c>
      <c r="N63" s="14"/>
      <c r="O63" s="13"/>
      <c r="P63" s="12"/>
    </row>
    <row r="64" spans="1:17" s="11" customFormat="1" ht="25.5" customHeight="1" x14ac:dyDescent="0.15">
      <c r="A64" s="39">
        <v>20170102</v>
      </c>
      <c r="B64" s="19" t="s">
        <v>10</v>
      </c>
      <c r="C64" s="36" t="s">
        <v>0</v>
      </c>
      <c r="D64" s="17"/>
      <c r="E64" s="17" t="s">
        <v>174</v>
      </c>
      <c r="F64" s="12" t="s">
        <v>8</v>
      </c>
      <c r="G64" s="17" t="s">
        <v>2</v>
      </c>
      <c r="H64" s="18">
        <f>[2]副本!G123</f>
        <v>11979.215</v>
      </c>
      <c r="I64" s="18">
        <v>0</v>
      </c>
      <c r="J64" s="17"/>
      <c r="K64" s="15"/>
      <c r="L64" s="16">
        <f>H64-I64</f>
        <v>11979.215</v>
      </c>
      <c r="M64" s="15">
        <v>20000</v>
      </c>
      <c r="N64" s="14"/>
      <c r="O64" s="13"/>
      <c r="P64" s="12"/>
    </row>
    <row r="65" spans="1:16" s="11" customFormat="1" ht="25.5" customHeight="1" x14ac:dyDescent="0.15">
      <c r="A65" s="39">
        <v>20170102</v>
      </c>
      <c r="B65" s="19" t="s">
        <v>7</v>
      </c>
      <c r="C65" s="36" t="s">
        <v>0</v>
      </c>
      <c r="D65" s="17"/>
      <c r="E65" s="17"/>
      <c r="F65" s="17"/>
      <c r="G65" s="17"/>
      <c r="H65" s="18"/>
      <c r="I65" s="18"/>
      <c r="J65" s="17"/>
      <c r="K65" s="15"/>
      <c r="L65" s="16"/>
      <c r="M65" s="15">
        <v>15000</v>
      </c>
      <c r="N65" s="14"/>
      <c r="O65" s="13"/>
      <c r="P65" s="12"/>
    </row>
    <row r="66" spans="1:16" s="11" customFormat="1" ht="25.5" customHeight="1" x14ac:dyDescent="0.15">
      <c r="A66" s="39">
        <v>20170102</v>
      </c>
      <c r="B66" s="19" t="s">
        <v>6</v>
      </c>
      <c r="C66" s="36" t="s">
        <v>0</v>
      </c>
      <c r="D66" s="17" t="s">
        <v>5</v>
      </c>
      <c r="E66" s="17" t="s">
        <v>4</v>
      </c>
      <c r="F66" s="17" t="s">
        <v>3</v>
      </c>
      <c r="G66" s="17" t="s">
        <v>2</v>
      </c>
      <c r="H66" s="18">
        <f>[2]副本!G127</f>
        <v>12005.106</v>
      </c>
      <c r="I66" s="18">
        <f>H66-12005.106</f>
        <v>0</v>
      </c>
      <c r="J66" s="17"/>
      <c r="K66" s="15"/>
      <c r="L66" s="16">
        <f>H66-I66</f>
        <v>12005.106</v>
      </c>
      <c r="M66" s="15">
        <v>15000</v>
      </c>
      <c r="N66" s="14"/>
      <c r="O66" s="13"/>
      <c r="P66" s="12"/>
    </row>
    <row r="67" spans="1:16" s="11" customFormat="1" ht="25.5" customHeight="1" x14ac:dyDescent="0.15">
      <c r="A67" s="39">
        <v>20170102</v>
      </c>
      <c r="B67" s="19" t="s">
        <v>1</v>
      </c>
      <c r="C67" s="36" t="s">
        <v>0</v>
      </c>
      <c r="D67" s="17"/>
      <c r="E67" s="17"/>
      <c r="F67" s="17"/>
      <c r="G67" s="17"/>
      <c r="H67" s="18"/>
      <c r="I67" s="18"/>
      <c r="J67" s="17"/>
      <c r="K67" s="15"/>
      <c r="L67" s="16"/>
      <c r="M67" s="15">
        <v>15000</v>
      </c>
      <c r="N67" s="14"/>
      <c r="O67" s="13"/>
      <c r="P67" s="12"/>
    </row>
    <row r="68" spans="1:16" ht="25.5" customHeight="1" x14ac:dyDescent="0.15"/>
    <row r="73" spans="1:16" x14ac:dyDescent="0.15">
      <c r="L73" s="10"/>
    </row>
    <row r="225" spans="7:8" x14ac:dyDescent="0.15">
      <c r="G225" s="2"/>
      <c r="H225" s="2"/>
    </row>
  </sheetData>
  <autoFilter ref="B1:I67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14" activePane="bottomRight" state="frozen"/>
      <selection activeCell="G5" sqref="G5"/>
      <selection pane="topRight" activeCell="G5" sqref="G5"/>
      <selection pane="bottomLeft" activeCell="G5" sqref="G5"/>
      <selection pane="bottomRight" activeCell="F21" sqref="F21:F22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6.87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78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25" customFormat="1" ht="22.5" x14ac:dyDescent="0.15">
      <c r="A1" s="81" t="s">
        <v>272</v>
      </c>
      <c r="B1" s="82" t="s">
        <v>172</v>
      </c>
      <c r="C1" s="83" t="s">
        <v>171</v>
      </c>
      <c r="D1" s="83" t="s">
        <v>170</v>
      </c>
      <c r="E1" s="83" t="s">
        <v>169</v>
      </c>
      <c r="F1" s="83" t="s">
        <v>210</v>
      </c>
      <c r="G1" s="84" t="s">
        <v>167</v>
      </c>
      <c r="H1" s="85" t="s">
        <v>166</v>
      </c>
      <c r="I1" s="86" t="s">
        <v>165</v>
      </c>
      <c r="J1" s="83"/>
      <c r="K1" s="87" t="s">
        <v>164</v>
      </c>
      <c r="L1" s="88" t="s">
        <v>163</v>
      </c>
      <c r="M1" s="87" t="s">
        <v>162</v>
      </c>
      <c r="N1" s="89" t="s">
        <v>161</v>
      </c>
      <c r="O1" s="89" t="s">
        <v>160</v>
      </c>
      <c r="P1" s="83" t="s">
        <v>159</v>
      </c>
    </row>
    <row r="2" spans="1:17" s="11" customFormat="1" ht="27" customHeight="1" x14ac:dyDescent="0.15">
      <c r="A2" s="17">
        <v>20170126</v>
      </c>
      <c r="B2" s="19" t="s">
        <v>158</v>
      </c>
      <c r="C2" s="36" t="s">
        <v>63</v>
      </c>
      <c r="D2" s="19"/>
      <c r="E2" s="17" t="s">
        <v>141</v>
      </c>
      <c r="F2" s="63" t="s">
        <v>144</v>
      </c>
      <c r="G2" s="12" t="s">
        <v>54</v>
      </c>
      <c r="H2" s="18"/>
      <c r="I2" s="18"/>
      <c r="J2" s="17"/>
      <c r="K2" s="15"/>
      <c r="L2" s="16">
        <v>0</v>
      </c>
      <c r="M2" s="15">
        <v>2000</v>
      </c>
      <c r="N2" s="14" t="s">
        <v>143</v>
      </c>
      <c r="O2" s="13" t="s">
        <v>124</v>
      </c>
      <c r="P2" s="12"/>
    </row>
    <row r="3" spans="1:17" s="11" customFormat="1" ht="27" customHeight="1" x14ac:dyDescent="0.15">
      <c r="A3" s="17">
        <v>20170126</v>
      </c>
      <c r="B3" s="19" t="s">
        <v>157</v>
      </c>
      <c r="C3" s="36" t="s">
        <v>63</v>
      </c>
      <c r="D3" s="19"/>
      <c r="E3" s="17" t="s">
        <v>116</v>
      </c>
      <c r="F3" s="17" t="s">
        <v>468</v>
      </c>
      <c r="G3" s="12" t="s">
        <v>54</v>
      </c>
      <c r="H3" s="18">
        <f>[20]副本!G6</f>
        <v>857.05899999999997</v>
      </c>
      <c r="I3" s="18">
        <f>H3</f>
        <v>857.05899999999997</v>
      </c>
      <c r="J3" s="17"/>
      <c r="K3" s="15"/>
      <c r="L3" s="16">
        <f>H3-I3</f>
        <v>0</v>
      </c>
      <c r="M3" s="15">
        <v>1500</v>
      </c>
      <c r="N3" s="14"/>
      <c r="O3" s="13"/>
      <c r="P3" s="12"/>
    </row>
    <row r="4" spans="1:17" s="11" customFormat="1" ht="27" customHeight="1" x14ac:dyDescent="0.15">
      <c r="A4" s="17">
        <v>20170126</v>
      </c>
      <c r="B4" s="19" t="s">
        <v>153</v>
      </c>
      <c r="C4" s="36" t="s">
        <v>63</v>
      </c>
      <c r="D4" s="19"/>
      <c r="E4" s="17" t="s">
        <v>56</v>
      </c>
      <c r="F4" s="63" t="s">
        <v>61</v>
      </c>
      <c r="G4" s="12" t="s">
        <v>54</v>
      </c>
      <c r="H4" s="18">
        <f>[20]副本!G8</f>
        <v>1710.5029999999958</v>
      </c>
      <c r="I4" s="18">
        <f>H4</f>
        <v>1710.5029999999958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27" customHeight="1" x14ac:dyDescent="0.15">
      <c r="A5" s="17">
        <v>20170126</v>
      </c>
      <c r="B5" s="19" t="s">
        <v>149</v>
      </c>
      <c r="C5" s="36" t="s">
        <v>63</v>
      </c>
      <c r="D5" s="17"/>
      <c r="E5" s="17" t="s">
        <v>148</v>
      </c>
      <c r="F5" s="63" t="s">
        <v>140</v>
      </c>
      <c r="G5" s="12" t="s">
        <v>54</v>
      </c>
      <c r="H5" s="18">
        <f>[20]副本!G10</f>
        <v>493.60300000002826</v>
      </c>
      <c r="I5" s="18">
        <f>H5</f>
        <v>493.60300000002826</v>
      </c>
      <c r="J5" s="17"/>
      <c r="K5" s="15"/>
      <c r="L5" s="16">
        <v>0</v>
      </c>
      <c r="M5" s="15">
        <v>2000</v>
      </c>
      <c r="N5" s="14" t="s">
        <v>147</v>
      </c>
      <c r="O5" s="13" t="s">
        <v>124</v>
      </c>
      <c r="P5" s="12" t="s">
        <v>150</v>
      </c>
    </row>
    <row r="6" spans="1:17" s="11" customFormat="1" ht="27" customHeight="1" x14ac:dyDescent="0.15">
      <c r="A6" s="17">
        <v>20170126</v>
      </c>
      <c r="B6" s="19" t="s">
        <v>145</v>
      </c>
      <c r="C6" s="36" t="s">
        <v>63</v>
      </c>
      <c r="D6" s="17"/>
      <c r="E6" s="17" t="s">
        <v>141</v>
      </c>
      <c r="F6" s="63" t="s">
        <v>144</v>
      </c>
      <c r="G6" s="12" t="s">
        <v>54</v>
      </c>
      <c r="H6" s="18">
        <f>[20]副本!G12</f>
        <v>2871.8580000000002</v>
      </c>
      <c r="I6" s="18">
        <f>H6</f>
        <v>2871.8580000000002</v>
      </c>
      <c r="J6" s="17"/>
      <c r="K6" s="15"/>
      <c r="L6" s="16">
        <v>0</v>
      </c>
      <c r="M6" s="15">
        <v>3000</v>
      </c>
      <c r="N6" s="14" t="s">
        <v>143</v>
      </c>
      <c r="O6" s="13" t="s">
        <v>124</v>
      </c>
      <c r="P6" s="12" t="s">
        <v>576</v>
      </c>
      <c r="Q6" s="20"/>
    </row>
    <row r="7" spans="1:17" s="11" customFormat="1" ht="27" customHeight="1" x14ac:dyDescent="0.15">
      <c r="A7" s="17">
        <v>20170126</v>
      </c>
      <c r="B7" s="19" t="s">
        <v>142</v>
      </c>
      <c r="C7" s="36" t="s">
        <v>63</v>
      </c>
      <c r="D7" s="17"/>
      <c r="E7" s="17" t="s">
        <v>141</v>
      </c>
      <c r="F7" s="63" t="s">
        <v>140</v>
      </c>
      <c r="G7" s="17" t="s">
        <v>54</v>
      </c>
      <c r="H7" s="18"/>
      <c r="I7" s="18"/>
      <c r="J7" s="17"/>
      <c r="K7" s="15"/>
      <c r="L7" s="16">
        <v>0</v>
      </c>
      <c r="M7" s="15">
        <v>3000</v>
      </c>
      <c r="N7" s="14"/>
      <c r="O7" s="13"/>
      <c r="P7" s="12"/>
      <c r="Q7" s="20"/>
    </row>
    <row r="8" spans="1:17" s="11" customFormat="1" ht="27" customHeight="1" x14ac:dyDescent="0.15">
      <c r="A8" s="17">
        <v>20170126</v>
      </c>
      <c r="B8" s="19" t="s">
        <v>139</v>
      </c>
      <c r="C8" s="36" t="s">
        <v>63</v>
      </c>
      <c r="D8" s="17"/>
      <c r="E8" s="17" t="s">
        <v>583</v>
      </c>
      <c r="F8" s="17" t="s">
        <v>579</v>
      </c>
      <c r="G8" s="17" t="s">
        <v>54</v>
      </c>
      <c r="H8" s="18">
        <f>[20]副本!G16</f>
        <v>2087.2890000000002</v>
      </c>
      <c r="I8" s="18">
        <f t="shared" ref="I8:I14" si="0">H8</f>
        <v>2087.2890000000002</v>
      </c>
      <c r="J8" s="17"/>
      <c r="K8" s="15"/>
      <c r="L8" s="16">
        <v>0</v>
      </c>
      <c r="M8" s="15">
        <v>3000</v>
      </c>
      <c r="N8" s="14"/>
      <c r="O8" s="13"/>
      <c r="P8" s="12" t="s">
        <v>574</v>
      </c>
    </row>
    <row r="9" spans="1:17" s="11" customFormat="1" ht="27" customHeight="1" x14ac:dyDescent="0.15">
      <c r="A9" s="17">
        <v>20170126</v>
      </c>
      <c r="B9" s="19" t="s">
        <v>138</v>
      </c>
      <c r="C9" s="36" t="s">
        <v>31</v>
      </c>
      <c r="D9" s="17"/>
      <c r="E9" s="17" t="s">
        <v>9</v>
      </c>
      <c r="F9" s="17" t="s">
        <v>104</v>
      </c>
      <c r="G9" s="17" t="s">
        <v>54</v>
      </c>
      <c r="H9" s="17">
        <f>[20]副本!G18</f>
        <v>1322.4749999999999</v>
      </c>
      <c r="I9" s="18">
        <f t="shared" si="0"/>
        <v>1322.4749999999999</v>
      </c>
      <c r="J9" s="17"/>
      <c r="K9" s="15">
        <v>100</v>
      </c>
      <c r="L9" s="16">
        <f t="shared" ref="L9:L14" si="1">H9-I9</f>
        <v>0</v>
      </c>
      <c r="M9" s="15">
        <v>5000</v>
      </c>
      <c r="N9" s="14" t="s">
        <v>137</v>
      </c>
      <c r="O9" s="13" t="s">
        <v>136</v>
      </c>
      <c r="P9" s="35" t="s">
        <v>101</v>
      </c>
    </row>
    <row r="10" spans="1:17" s="11" customFormat="1" ht="27" customHeight="1" x14ac:dyDescent="0.15">
      <c r="A10" s="17">
        <v>20170126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[20]副本!G20</f>
        <v>1.5219999999999345</v>
      </c>
      <c r="I10" s="18">
        <f t="shared" si="0"/>
        <v>1.5219999999999345</v>
      </c>
      <c r="J10" s="17"/>
      <c r="K10" s="15"/>
      <c r="L10" s="16">
        <f t="shared" si="1"/>
        <v>0</v>
      </c>
      <c r="M10" s="15">
        <v>1500</v>
      </c>
      <c r="N10" s="14"/>
      <c r="O10" s="13"/>
      <c r="P10" s="12" t="s">
        <v>357</v>
      </c>
    </row>
    <row r="11" spans="1:17" s="11" customFormat="1" ht="27" customHeight="1" x14ac:dyDescent="0.15">
      <c r="A11" s="17">
        <v>20170126</v>
      </c>
      <c r="B11" s="19" t="s">
        <v>135</v>
      </c>
      <c r="C11" s="17" t="s">
        <v>63</v>
      </c>
      <c r="D11" s="17"/>
      <c r="E11" s="17" t="s">
        <v>92</v>
      </c>
      <c r="F11" s="17" t="s">
        <v>261</v>
      </c>
      <c r="G11" s="17" t="s">
        <v>54</v>
      </c>
      <c r="H11" s="18">
        <f>[20]副本!G21</f>
        <v>3.999999999996362E-2</v>
      </c>
      <c r="I11" s="18">
        <f t="shared" si="0"/>
        <v>3.999999999996362E-2</v>
      </c>
      <c r="J11" s="17"/>
      <c r="K11" s="15"/>
      <c r="L11" s="16">
        <f t="shared" si="1"/>
        <v>0</v>
      </c>
      <c r="M11" s="15">
        <v>1500</v>
      </c>
      <c r="N11" s="14"/>
      <c r="O11" s="13"/>
      <c r="P11" s="12" t="s">
        <v>355</v>
      </c>
    </row>
    <row r="12" spans="1:17" s="11" customFormat="1" ht="27" customHeight="1" x14ac:dyDescent="0.15">
      <c r="A12" s="17">
        <v>20170126</v>
      </c>
      <c r="B12" s="19" t="s">
        <v>135</v>
      </c>
      <c r="C12" s="17" t="s">
        <v>63</v>
      </c>
      <c r="D12" s="17"/>
      <c r="E12" s="17" t="s">
        <v>92</v>
      </c>
      <c r="F12" s="17" t="s">
        <v>91</v>
      </c>
      <c r="G12" s="17" t="s">
        <v>54</v>
      </c>
      <c r="H12" s="18">
        <f>[20]副本!G22</f>
        <v>1000</v>
      </c>
      <c r="I12" s="18">
        <f t="shared" si="0"/>
        <v>1000</v>
      </c>
      <c r="J12" s="17"/>
      <c r="K12" s="15"/>
      <c r="L12" s="16">
        <f t="shared" si="1"/>
        <v>0</v>
      </c>
      <c r="M12" s="15">
        <v>1500</v>
      </c>
      <c r="N12" s="14"/>
      <c r="O12" s="13"/>
      <c r="P12" s="12" t="s">
        <v>355</v>
      </c>
    </row>
    <row r="13" spans="1:17" s="11" customFormat="1" ht="27" customHeight="1" x14ac:dyDescent="0.15">
      <c r="A13" s="17">
        <v>20170126</v>
      </c>
      <c r="B13" s="19" t="s">
        <v>134</v>
      </c>
      <c r="C13" s="17" t="s">
        <v>63</v>
      </c>
      <c r="D13" s="17"/>
      <c r="E13" s="17" t="s">
        <v>116</v>
      </c>
      <c r="F13" s="17" t="s">
        <v>256</v>
      </c>
      <c r="G13" s="17" t="s">
        <v>54</v>
      </c>
      <c r="H13" s="18">
        <f>[20]副本!G24</f>
        <v>1502.1479999999999</v>
      </c>
      <c r="I13" s="18">
        <f t="shared" si="0"/>
        <v>1502.1479999999999</v>
      </c>
      <c r="J13" s="17"/>
      <c r="K13" s="15"/>
      <c r="L13" s="16">
        <f t="shared" si="1"/>
        <v>0</v>
      </c>
      <c r="M13" s="15">
        <v>1500</v>
      </c>
      <c r="N13" s="14"/>
      <c r="O13" s="13"/>
      <c r="P13" s="12"/>
    </row>
    <row r="14" spans="1:17" s="11" customFormat="1" ht="27" customHeight="1" x14ac:dyDescent="0.15">
      <c r="A14" s="17">
        <v>20170126</v>
      </c>
      <c r="B14" s="19" t="s">
        <v>133</v>
      </c>
      <c r="C14" s="36" t="s">
        <v>28</v>
      </c>
      <c r="D14" s="17"/>
      <c r="E14" s="17" t="s">
        <v>575</v>
      </c>
      <c r="F14" s="17" t="s">
        <v>579</v>
      </c>
      <c r="G14" s="17"/>
      <c r="H14" s="18">
        <f>[20]副本!G26</f>
        <v>904.43000000000006</v>
      </c>
      <c r="I14" s="18">
        <f t="shared" si="0"/>
        <v>904.43000000000006</v>
      </c>
      <c r="J14" s="17"/>
      <c r="K14" s="15"/>
      <c r="L14" s="16">
        <f t="shared" si="1"/>
        <v>0</v>
      </c>
      <c r="M14" s="15">
        <v>1500</v>
      </c>
      <c r="N14" s="14"/>
      <c r="O14" s="13"/>
      <c r="P14" s="12" t="s">
        <v>574</v>
      </c>
      <c r="Q14" s="20"/>
    </row>
    <row r="15" spans="1:17" s="11" customFormat="1" ht="27" customHeight="1" x14ac:dyDescent="0.15">
      <c r="A15" s="17">
        <v>20170126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27" customHeight="1" x14ac:dyDescent="0.15">
      <c r="A16" s="17">
        <v>20170126</v>
      </c>
      <c r="B16" s="19" t="s">
        <v>131</v>
      </c>
      <c r="C16" s="36" t="s">
        <v>63</v>
      </c>
      <c r="D16" s="17"/>
      <c r="E16" s="17" t="s">
        <v>92</v>
      </c>
      <c r="F16" s="17" t="s">
        <v>232</v>
      </c>
      <c r="G16" s="17" t="s">
        <v>54</v>
      </c>
      <c r="H16" s="18">
        <f>[20]副本!G30</f>
        <v>1051.9169999999999</v>
      </c>
      <c r="I16" s="18">
        <f>H16</f>
        <v>1051.9169999999999</v>
      </c>
      <c r="J16" s="17"/>
      <c r="K16" s="15">
        <v>70</v>
      </c>
      <c r="L16" s="16">
        <v>0</v>
      </c>
      <c r="M16" s="15">
        <v>1500</v>
      </c>
      <c r="N16" s="14"/>
      <c r="O16" s="13"/>
      <c r="P16" s="12" t="s">
        <v>351</v>
      </c>
    </row>
    <row r="17" spans="1:17" s="11" customFormat="1" ht="27" customHeight="1" x14ac:dyDescent="0.15">
      <c r="A17" s="17">
        <v>20170126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</v>
      </c>
      <c r="H17" s="18">
        <f>[20]副本!G32-H18</f>
        <v>9016.2470000000176</v>
      </c>
      <c r="I17" s="18">
        <f>H17</f>
        <v>9016.2470000000176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124</v>
      </c>
      <c r="P17" s="12" t="s">
        <v>130</v>
      </c>
    </row>
    <row r="18" spans="1:17" s="11" customFormat="1" ht="27" customHeight="1" x14ac:dyDescent="0.15">
      <c r="A18" s="17">
        <v>20170126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 t="s">
        <v>2</v>
      </c>
      <c r="H18" s="18">
        <f>[20]副本!G34</f>
        <v>4387.7529999999824</v>
      </c>
      <c r="I18" s="18">
        <f>H18</f>
        <v>4387.7529999999824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244</v>
      </c>
    </row>
    <row r="19" spans="1:17" s="11" customFormat="1" ht="27" customHeight="1" x14ac:dyDescent="0.15">
      <c r="A19" s="17">
        <v>20170126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27" customHeight="1" x14ac:dyDescent="0.15">
      <c r="A20" s="17">
        <v>20170126</v>
      </c>
      <c r="B20" s="19" t="s">
        <v>126</v>
      </c>
      <c r="C20" s="36" t="s">
        <v>63</v>
      </c>
      <c r="D20" s="17"/>
      <c r="E20" s="17" t="s">
        <v>84</v>
      </c>
      <c r="F20" s="17" t="s">
        <v>81</v>
      </c>
      <c r="G20" s="17" t="s">
        <v>54</v>
      </c>
      <c r="H20" s="18">
        <f>[20]副本!G38</f>
        <v>0.28799999999955617</v>
      </c>
      <c r="I20" s="18">
        <f>H20</f>
        <v>0.28799999999955617</v>
      </c>
      <c r="J20" s="17"/>
      <c r="K20" s="15"/>
      <c r="L20" s="16">
        <f>H20-I20</f>
        <v>0</v>
      </c>
      <c r="M20" s="15">
        <v>3000</v>
      </c>
      <c r="N20" s="14"/>
      <c r="O20" s="13"/>
      <c r="P20" s="12" t="s">
        <v>573</v>
      </c>
    </row>
    <row r="21" spans="1:17" s="11" customFormat="1" ht="27" customHeight="1" x14ac:dyDescent="0.15">
      <c r="A21" s="17">
        <v>20170126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</v>
      </c>
      <c r="H21" s="18">
        <f>[20]副本!G40-'20170126'!H22</f>
        <v>1818.5454280000376</v>
      </c>
      <c r="I21" s="18">
        <f>H21</f>
        <v>1818.5454280000376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124</v>
      </c>
      <c r="P21" s="12" t="s">
        <v>123</v>
      </c>
    </row>
    <row r="22" spans="1:17" s="11" customFormat="1" ht="27" customHeight="1" x14ac:dyDescent="0.15">
      <c r="A22" s="17">
        <v>20170126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 t="s">
        <v>2</v>
      </c>
      <c r="H22" s="18">
        <f>[20]副本!G42</f>
        <v>8385.4545719999624</v>
      </c>
      <c r="I22" s="18">
        <f>H22</f>
        <v>8385.4545719999624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243</v>
      </c>
    </row>
    <row r="23" spans="1:17" s="11" customFormat="1" ht="27" customHeight="1" x14ac:dyDescent="0.15">
      <c r="A23" s="17">
        <v>20170126</v>
      </c>
      <c r="B23" s="19" t="s">
        <v>117</v>
      </c>
      <c r="C23" s="36" t="s">
        <v>63</v>
      </c>
      <c r="D23" s="17"/>
      <c r="E23" s="17" t="s">
        <v>116</v>
      </c>
      <c r="F23" s="17" t="s">
        <v>115</v>
      </c>
      <c r="G23" s="17" t="s">
        <v>2</v>
      </c>
      <c r="H23" s="18">
        <f>[20]副本!G44</f>
        <v>6134.7419999999993</v>
      </c>
      <c r="I23" s="18">
        <f>H23</f>
        <v>6134.7419999999993</v>
      </c>
      <c r="J23" s="17"/>
      <c r="K23" s="15">
        <v>350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27" customHeight="1" x14ac:dyDescent="0.15">
      <c r="A24" s="17">
        <v>20170126</v>
      </c>
      <c r="B24" s="19" t="s">
        <v>113</v>
      </c>
      <c r="C24" s="36" t="s">
        <v>0</v>
      </c>
      <c r="D24" s="17"/>
      <c r="E24" s="12" t="s">
        <v>112</v>
      </c>
      <c r="F24" s="17" t="s">
        <v>39</v>
      </c>
      <c r="G24" s="17" t="s">
        <v>2</v>
      </c>
      <c r="H24" s="18">
        <f>[20]副本!G46</f>
        <v>1008.913</v>
      </c>
      <c r="I24" s="18">
        <f>H24</f>
        <v>1008.913</v>
      </c>
      <c r="J24" s="17"/>
      <c r="K24" s="15"/>
      <c r="L24" s="16">
        <f>H24-I24</f>
        <v>0</v>
      </c>
      <c r="M24" s="15">
        <v>5000</v>
      </c>
      <c r="N24" s="14"/>
      <c r="O24" s="13"/>
      <c r="P24" s="37" t="s">
        <v>462</v>
      </c>
    </row>
    <row r="25" spans="1:17" s="11" customFormat="1" ht="27" customHeight="1" x14ac:dyDescent="0.15">
      <c r="A25" s="17">
        <v>20170126</v>
      </c>
      <c r="B25" s="19" t="s">
        <v>110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27" customHeight="1" x14ac:dyDescent="0.15">
      <c r="A26" s="17">
        <v>20170126</v>
      </c>
      <c r="B26" s="19" t="s">
        <v>109</v>
      </c>
      <c r="C26" s="36" t="s">
        <v>63</v>
      </c>
      <c r="D26" s="17"/>
      <c r="E26" s="17"/>
      <c r="F26" s="17"/>
      <c r="G26" s="17"/>
      <c r="H26" s="18"/>
      <c r="I26" s="18"/>
      <c r="J26" s="17"/>
      <c r="K26" s="15"/>
      <c r="L26" s="16"/>
      <c r="M26" s="15">
        <v>4000</v>
      </c>
      <c r="N26" s="14"/>
      <c r="O26" s="13"/>
      <c r="P26" s="12"/>
    </row>
    <row r="27" spans="1:17" s="11" customFormat="1" ht="27" customHeight="1" x14ac:dyDescent="0.15">
      <c r="A27" s="17">
        <v>20170126</v>
      </c>
      <c r="B27" s="19" t="s">
        <v>106</v>
      </c>
      <c r="C27" s="36" t="s">
        <v>105</v>
      </c>
      <c r="D27" s="17"/>
      <c r="E27" s="17"/>
      <c r="F27" s="17"/>
      <c r="G27" s="17"/>
      <c r="H27" s="18"/>
      <c r="I27" s="18"/>
      <c r="J27" s="17"/>
      <c r="K27" s="15"/>
      <c r="L27" s="16"/>
      <c r="M27" s="15">
        <v>5000</v>
      </c>
      <c r="N27" s="14"/>
      <c r="O27" s="13"/>
      <c r="P27" s="12"/>
    </row>
    <row r="28" spans="1:17" s="11" customFormat="1" ht="27" customHeight="1" x14ac:dyDescent="0.15">
      <c r="A28" s="17">
        <v>20170126</v>
      </c>
      <c r="B28" s="19" t="s">
        <v>100</v>
      </c>
      <c r="C28" s="36" t="s">
        <v>96</v>
      </c>
      <c r="D28" s="17"/>
      <c r="E28" s="17" t="s">
        <v>67</v>
      </c>
      <c r="F28" s="17" t="s">
        <v>39</v>
      </c>
      <c r="G28" s="17" t="s">
        <v>2</v>
      </c>
      <c r="H28" s="18">
        <f>[20]副本!G55</f>
        <v>1496.749</v>
      </c>
      <c r="I28" s="18">
        <f>H28</f>
        <v>1496.749</v>
      </c>
      <c r="J28" s="17"/>
      <c r="K28" s="15">
        <v>1300</v>
      </c>
      <c r="L28" s="16">
        <f>H28-I28</f>
        <v>0</v>
      </c>
      <c r="M28" s="15">
        <v>2000</v>
      </c>
      <c r="N28" s="14"/>
      <c r="O28" s="13"/>
      <c r="P28" s="12" t="s">
        <v>457</v>
      </c>
    </row>
    <row r="29" spans="1:17" s="11" customFormat="1" ht="27" customHeight="1" x14ac:dyDescent="0.15">
      <c r="A29" s="17">
        <v>20170126</v>
      </c>
      <c r="B29" s="19" t="s">
        <v>99</v>
      </c>
      <c r="C29" s="36" t="s">
        <v>96</v>
      </c>
      <c r="D29" s="17"/>
      <c r="E29" s="17"/>
      <c r="F29" s="17"/>
      <c r="G29" s="17"/>
      <c r="H29" s="18"/>
      <c r="I29" s="18"/>
      <c r="J29" s="17"/>
      <c r="K29" s="15"/>
      <c r="L29" s="16"/>
      <c r="M29" s="15">
        <v>1500</v>
      </c>
      <c r="N29" s="14"/>
      <c r="O29" s="13"/>
      <c r="P29" s="12"/>
    </row>
    <row r="30" spans="1:17" s="11" customFormat="1" ht="27" customHeight="1" x14ac:dyDescent="0.15">
      <c r="A30" s="17">
        <v>20170126</v>
      </c>
      <c r="B30" s="19" t="s">
        <v>98</v>
      </c>
      <c r="C30" s="36" t="s">
        <v>96</v>
      </c>
      <c r="D30" s="17"/>
      <c r="E30" s="17" t="s">
        <v>67</v>
      </c>
      <c r="F30" s="17" t="s">
        <v>39</v>
      </c>
      <c r="G30" s="17" t="s">
        <v>2</v>
      </c>
      <c r="H30" s="18">
        <f>[20]副本!G59</f>
        <v>946.20700000000011</v>
      </c>
      <c r="I30" s="18">
        <f>H30</f>
        <v>946.20700000000011</v>
      </c>
      <c r="J30" s="17"/>
      <c r="K30" s="15"/>
      <c r="L30" s="16">
        <f>H30-I30</f>
        <v>0</v>
      </c>
      <c r="M30" s="15">
        <v>1500</v>
      </c>
      <c r="N30" s="14"/>
      <c r="O30" s="13"/>
      <c r="P30" s="12" t="s">
        <v>457</v>
      </c>
      <c r="Q30" s="20"/>
    </row>
    <row r="31" spans="1:17" s="11" customFormat="1" ht="27" customHeight="1" x14ac:dyDescent="0.15">
      <c r="A31" s="17">
        <v>20170126</v>
      </c>
      <c r="B31" s="19" t="s">
        <v>97</v>
      </c>
      <c r="C31" s="36" t="s">
        <v>96</v>
      </c>
      <c r="D31" s="17"/>
      <c r="E31" s="17" t="s">
        <v>67</v>
      </c>
      <c r="F31" s="17"/>
      <c r="G31" s="17"/>
      <c r="H31" s="18"/>
      <c r="I31" s="18"/>
      <c r="J31" s="17"/>
      <c r="K31" s="15"/>
      <c r="L31" s="16"/>
      <c r="M31" s="15">
        <v>1500</v>
      </c>
      <c r="N31" s="14"/>
      <c r="O31" s="13"/>
      <c r="P31" s="12"/>
    </row>
    <row r="32" spans="1:17" s="11" customFormat="1" ht="27" customHeight="1" x14ac:dyDescent="0.15">
      <c r="A32" s="17">
        <v>20170126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27" customHeight="1" x14ac:dyDescent="0.15">
      <c r="A33" s="17">
        <v>20170126</v>
      </c>
      <c r="B33" s="19" t="s">
        <v>93</v>
      </c>
      <c r="C33" s="36" t="s">
        <v>57</v>
      </c>
      <c r="D33" s="17"/>
      <c r="E33" s="17" t="s">
        <v>92</v>
      </c>
      <c r="F33" s="17" t="s">
        <v>91</v>
      </c>
      <c r="G33" s="17" t="s">
        <v>2</v>
      </c>
      <c r="H33" s="17">
        <f>[20]副本!G65</f>
        <v>408.81600000000014</v>
      </c>
      <c r="I33" s="18">
        <f>H33-1035.099+1035.099</f>
        <v>408.81600000000014</v>
      </c>
      <c r="J33" s="17"/>
      <c r="K33" s="15">
        <v>30</v>
      </c>
      <c r="L33" s="16">
        <f>H33-I33</f>
        <v>0</v>
      </c>
      <c r="M33" s="15">
        <v>2000</v>
      </c>
      <c r="N33" s="14"/>
      <c r="O33" s="13"/>
      <c r="P33" s="12" t="s">
        <v>536</v>
      </c>
    </row>
    <row r="34" spans="1:16" s="11" customFormat="1" ht="27" customHeight="1" x14ac:dyDescent="0.15">
      <c r="A34" s="17">
        <v>20170126</v>
      </c>
      <c r="B34" s="19" t="s">
        <v>89</v>
      </c>
      <c r="C34" s="36" t="s">
        <v>63</v>
      </c>
      <c r="D34" s="17" t="s">
        <v>88</v>
      </c>
      <c r="E34" s="17" t="s">
        <v>589</v>
      </c>
      <c r="F34" s="17" t="s">
        <v>216</v>
      </c>
      <c r="G34" s="17" t="s">
        <v>54</v>
      </c>
      <c r="H34" s="18">
        <f>[20]副本!G67</f>
        <v>640.54299999999989</v>
      </c>
      <c r="I34" s="18">
        <f>H34-1037.023+500+537.023</f>
        <v>640.54300000000001</v>
      </c>
      <c r="J34" s="17"/>
      <c r="K34" s="15">
        <v>100</v>
      </c>
      <c r="L34" s="16">
        <f>H34-I34</f>
        <v>0</v>
      </c>
      <c r="M34" s="15">
        <v>3000</v>
      </c>
      <c r="N34" s="14"/>
      <c r="O34" s="13"/>
      <c r="P34" s="24" t="s">
        <v>577</v>
      </c>
    </row>
    <row r="35" spans="1:16" s="11" customFormat="1" ht="27" customHeight="1" x14ac:dyDescent="0.15">
      <c r="A35" s="17">
        <v>20170126</v>
      </c>
      <c r="B35" s="19" t="s">
        <v>85</v>
      </c>
      <c r="C35" s="36" t="s">
        <v>63</v>
      </c>
      <c r="D35" s="17" t="s">
        <v>5</v>
      </c>
      <c r="E35" s="17" t="s">
        <v>84</v>
      </c>
      <c r="F35" s="17" t="s">
        <v>81</v>
      </c>
      <c r="G35" s="17" t="s">
        <v>54</v>
      </c>
      <c r="H35" s="18">
        <f>[20]副本!G69</f>
        <v>3147.802999999999</v>
      </c>
      <c r="I35" s="18">
        <f>H35-3607.546+2050+1050+507.546-1553.792+1553.792</f>
        <v>3147.802999999999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572</v>
      </c>
    </row>
    <row r="36" spans="1:16" s="11" customFormat="1" ht="27" customHeight="1" x14ac:dyDescent="0.15">
      <c r="A36" s="17">
        <v>20170126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27" customHeight="1" x14ac:dyDescent="0.15">
      <c r="A37" s="17">
        <v>20170126</v>
      </c>
      <c r="B37" s="19" t="s">
        <v>79</v>
      </c>
      <c r="C37" s="36" t="s">
        <v>57</v>
      </c>
      <c r="D37" s="17" t="s">
        <v>5</v>
      </c>
      <c r="E37" s="17" t="s">
        <v>78</v>
      </c>
      <c r="F37" s="17" t="s">
        <v>587</v>
      </c>
      <c r="G37" s="17" t="s">
        <v>2</v>
      </c>
      <c r="H37" s="18">
        <f>[20]副本!G73</f>
        <v>3108.5950000000521</v>
      </c>
      <c r="I37" s="18">
        <f>H37-955.747+477.874+477.873-1042.865-2628.137+500+542.865+2102.57+525.567-499.112-3147.566+2100+525+525+496.678-2617.899+1574.891+523.692-522.622+522.622-2589.467+523.692</f>
        <v>523.5040000000522</v>
      </c>
      <c r="J37" s="17"/>
      <c r="K37" s="15"/>
      <c r="L37" s="16">
        <f>H37-I37</f>
        <v>2585.0909999999999</v>
      </c>
      <c r="M37" s="15">
        <v>5000</v>
      </c>
      <c r="N37" s="14"/>
      <c r="O37" s="13"/>
      <c r="P37" s="12" t="s">
        <v>582</v>
      </c>
    </row>
    <row r="38" spans="1:16" s="11" customFormat="1" ht="27" customHeight="1" x14ac:dyDescent="0.15">
      <c r="A38" s="17">
        <v>20170126</v>
      </c>
      <c r="B38" s="19" t="s">
        <v>79</v>
      </c>
      <c r="C38" s="36" t="s">
        <v>57</v>
      </c>
      <c r="D38" s="17" t="s">
        <v>5</v>
      </c>
      <c r="E38" s="17" t="s">
        <v>78</v>
      </c>
      <c r="F38" s="17" t="s">
        <v>77</v>
      </c>
      <c r="G38" s="17" t="s">
        <v>2</v>
      </c>
      <c r="H38" s="18">
        <f>[20]副本!G74</f>
        <v>934.32800000000032</v>
      </c>
      <c r="I38" s="18">
        <f>H38</f>
        <v>934.32800000000032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581</v>
      </c>
    </row>
    <row r="39" spans="1:16" s="11" customFormat="1" ht="27" customHeight="1" x14ac:dyDescent="0.15">
      <c r="A39" s="17">
        <v>20170126</v>
      </c>
      <c r="B39" s="19" t="s">
        <v>74</v>
      </c>
      <c r="C39" s="36" t="s">
        <v>28</v>
      </c>
      <c r="D39" s="17"/>
      <c r="E39" s="17" t="s">
        <v>67</v>
      </c>
      <c r="F39" s="17" t="s">
        <v>39</v>
      </c>
      <c r="G39" s="17" t="s">
        <v>2</v>
      </c>
      <c r="H39" s="18">
        <f>[20]副本!G76</f>
        <v>31.463999999997668</v>
      </c>
      <c r="I39" s="18">
        <f>H39</f>
        <v>31.463999999997668</v>
      </c>
      <c r="J39" s="17"/>
      <c r="K39" s="15"/>
      <c r="L39" s="16">
        <f>H39-I39</f>
        <v>0</v>
      </c>
      <c r="M39" s="15">
        <v>4000</v>
      </c>
      <c r="N39" s="14"/>
      <c r="O39" s="13"/>
      <c r="P39" s="35" t="s">
        <v>75</v>
      </c>
    </row>
    <row r="40" spans="1:16" s="11" customFormat="1" ht="27" customHeight="1" x14ac:dyDescent="0.15">
      <c r="A40" s="17">
        <v>20170126</v>
      </c>
      <c r="B40" s="19" t="s">
        <v>74</v>
      </c>
      <c r="C40" s="36" t="s">
        <v>28</v>
      </c>
      <c r="D40" s="17"/>
      <c r="E40" s="17" t="s">
        <v>67</v>
      </c>
      <c r="F40" s="17" t="s">
        <v>71</v>
      </c>
      <c r="G40" s="17" t="s">
        <v>2</v>
      </c>
      <c r="H40" s="18">
        <f>[20]副本!G77</f>
        <v>-0.23699999999985266</v>
      </c>
      <c r="I40" s="18">
        <f>H40</f>
        <v>-0.23699999999985266</v>
      </c>
      <c r="J40" s="17"/>
      <c r="K40" s="15"/>
      <c r="L40" s="16"/>
      <c r="M40" s="15">
        <v>4000</v>
      </c>
      <c r="N40" s="14"/>
      <c r="O40" s="13"/>
      <c r="P40" s="35" t="s">
        <v>240</v>
      </c>
    </row>
    <row r="41" spans="1:16" s="11" customFormat="1" ht="27" customHeight="1" x14ac:dyDescent="0.15">
      <c r="A41" s="17">
        <v>20170126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27" customHeight="1" x14ac:dyDescent="0.15">
      <c r="A42" s="17">
        <v>20170126</v>
      </c>
      <c r="B42" s="19" t="s">
        <v>72</v>
      </c>
      <c r="C42" s="36" t="s">
        <v>43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27" customHeight="1" x14ac:dyDescent="0.15">
      <c r="A43" s="17">
        <v>20170126</v>
      </c>
      <c r="B43" s="19" t="s">
        <v>68</v>
      </c>
      <c r="C43" s="36" t="s">
        <v>43</v>
      </c>
      <c r="D43" s="17"/>
      <c r="E43" s="17" t="s">
        <v>67</v>
      </c>
      <c r="F43" s="17" t="s">
        <v>39</v>
      </c>
      <c r="G43" s="17" t="s">
        <v>2</v>
      </c>
      <c r="H43" s="18">
        <f>[20]副本!G84</f>
        <v>1118.4909999999995</v>
      </c>
      <c r="I43" s="18">
        <f>H43</f>
        <v>1118.4909999999995</v>
      </c>
      <c r="J43" s="17"/>
      <c r="K43" s="15"/>
      <c r="L43" s="16">
        <f>H43-I43</f>
        <v>0</v>
      </c>
      <c r="M43" s="15">
        <v>5000</v>
      </c>
      <c r="N43" s="21"/>
      <c r="O43" s="13"/>
      <c r="P43" s="35" t="s">
        <v>258</v>
      </c>
    </row>
    <row r="44" spans="1:16" s="11" customFormat="1" ht="27" customHeight="1" x14ac:dyDescent="0.15">
      <c r="A44" s="17">
        <v>20170126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27" customHeight="1" x14ac:dyDescent="0.15">
      <c r="A45" s="17">
        <v>20170126</v>
      </c>
      <c r="B45" s="19" t="s">
        <v>64</v>
      </c>
      <c r="C45" s="36" t="s">
        <v>63</v>
      </c>
      <c r="D45" s="17"/>
      <c r="E45" s="17" t="s">
        <v>271</v>
      </c>
      <c r="F45" s="17" t="s">
        <v>232</v>
      </c>
      <c r="G45" s="17" t="s">
        <v>2</v>
      </c>
      <c r="H45" s="18">
        <f>[20]副本!G90</f>
        <v>2006.1080000000002</v>
      </c>
      <c r="I45" s="18">
        <f>H45-1021.25</f>
        <v>984.85800000000017</v>
      </c>
      <c r="J45" s="17"/>
      <c r="K45" s="15">
        <v>70</v>
      </c>
      <c r="L45" s="16">
        <f>H45-I45</f>
        <v>1021.25</v>
      </c>
      <c r="M45" s="15">
        <v>5000</v>
      </c>
      <c r="N45" s="14"/>
      <c r="O45" s="13"/>
      <c r="P45" s="35" t="s">
        <v>270</v>
      </c>
    </row>
    <row r="46" spans="1:16" s="11" customFormat="1" ht="27" customHeight="1" x14ac:dyDescent="0.15">
      <c r="A46" s="17">
        <v>20170126</v>
      </c>
      <c r="B46" s="19" t="s">
        <v>64</v>
      </c>
      <c r="C46" s="36" t="s">
        <v>63</v>
      </c>
      <c r="D46" s="17"/>
      <c r="E46" s="17" t="s">
        <v>271</v>
      </c>
      <c r="F46" s="17" t="s">
        <v>140</v>
      </c>
      <c r="G46" s="17"/>
      <c r="H46" s="18">
        <f>[20]副本!G91</f>
        <v>1000</v>
      </c>
      <c r="I46" s="18">
        <f>H46</f>
        <v>1000</v>
      </c>
      <c r="J46" s="17"/>
      <c r="K46" s="15"/>
      <c r="L46" s="16"/>
      <c r="M46" s="15">
        <v>5000</v>
      </c>
      <c r="N46" s="14"/>
      <c r="O46" s="13"/>
      <c r="P46" s="35" t="s">
        <v>270</v>
      </c>
    </row>
    <row r="47" spans="1:16" s="11" customFormat="1" ht="27" customHeight="1" x14ac:dyDescent="0.15">
      <c r="A47" s="17">
        <v>20170126</v>
      </c>
      <c r="B47" s="19" t="s">
        <v>62</v>
      </c>
      <c r="C47" s="36" t="s">
        <v>57</v>
      </c>
      <c r="D47" s="17"/>
      <c r="E47" s="17" t="s">
        <v>56</v>
      </c>
      <c r="F47" s="17" t="s">
        <v>61</v>
      </c>
      <c r="G47" s="17" t="s">
        <v>2</v>
      </c>
      <c r="H47" s="18">
        <f>[20]副本!G93</f>
        <v>586.12399999999411</v>
      </c>
      <c r="I47" s="18">
        <f>H47</f>
        <v>586.12399999999411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27" customHeight="1" x14ac:dyDescent="0.15">
      <c r="A48" s="17">
        <v>20170126</v>
      </c>
      <c r="B48" s="19" t="s">
        <v>60</v>
      </c>
      <c r="C48" s="36" t="s">
        <v>43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[20]副本!G95</f>
        <v>2409.6100000000006</v>
      </c>
      <c r="I48" s="18">
        <v>0</v>
      </c>
      <c r="J48" s="17"/>
      <c r="K48" s="15"/>
      <c r="L48" s="16">
        <f>H48-I48</f>
        <v>2409.6100000000006</v>
      </c>
      <c r="M48" s="15">
        <v>10000</v>
      </c>
      <c r="N48" s="14"/>
      <c r="O48" s="13"/>
      <c r="P48" s="12"/>
    </row>
    <row r="49" spans="1:17" s="11" customFormat="1" ht="27" customHeight="1" x14ac:dyDescent="0.15">
      <c r="A49" s="17">
        <v>20170126</v>
      </c>
      <c r="B49" s="19" t="s">
        <v>59</v>
      </c>
      <c r="C49" s="36" t="s">
        <v>28</v>
      </c>
      <c r="D49" s="17" t="s">
        <v>5</v>
      </c>
      <c r="E49" s="17" t="s">
        <v>34</v>
      </c>
      <c r="F49" s="17" t="s">
        <v>48</v>
      </c>
      <c r="G49" s="17" t="s">
        <v>2</v>
      </c>
      <c r="H49" s="18">
        <f>[20]副本!G97</f>
        <v>2625.0060000000003</v>
      </c>
      <c r="I49" s="18"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27" customHeight="1" x14ac:dyDescent="0.15">
      <c r="A50" s="17">
        <v>20170126</v>
      </c>
      <c r="B50" s="19" t="s">
        <v>58</v>
      </c>
      <c r="C50" s="36" t="s">
        <v>57</v>
      </c>
      <c r="D50" s="17"/>
      <c r="E50" s="17" t="s">
        <v>56</v>
      </c>
      <c r="F50" s="17" t="s">
        <v>268</v>
      </c>
      <c r="G50" s="17" t="s">
        <v>54</v>
      </c>
      <c r="H50" s="18">
        <f>[20]副本!G99</f>
        <v>2534.0130000000081</v>
      </c>
      <c r="I50" s="18">
        <f>H50</f>
        <v>2534.0130000000081</v>
      </c>
      <c r="J50" s="17"/>
      <c r="K50" s="16"/>
      <c r="L50" s="16">
        <v>0</v>
      </c>
      <c r="M50" s="15">
        <v>5000</v>
      </c>
      <c r="N50" s="23" t="s">
        <v>53</v>
      </c>
      <c r="O50" s="22" t="s">
        <v>52</v>
      </c>
      <c r="P50" s="12" t="s">
        <v>578</v>
      </c>
    </row>
    <row r="51" spans="1:17" s="11" customFormat="1" ht="27" customHeight="1" x14ac:dyDescent="0.15">
      <c r="A51" s="17">
        <v>20170126</v>
      </c>
      <c r="B51" s="19" t="s">
        <v>50</v>
      </c>
      <c r="C51" s="36" t="s">
        <v>28</v>
      </c>
      <c r="D51" s="17"/>
      <c r="E51" s="17"/>
      <c r="F51" s="17"/>
      <c r="G51" s="17"/>
      <c r="H51" s="18"/>
      <c r="I51" s="18"/>
      <c r="J51" s="17"/>
      <c r="K51" s="15"/>
      <c r="L51" s="16"/>
      <c r="M51" s="15">
        <v>3000</v>
      </c>
      <c r="N51" s="14"/>
      <c r="O51" s="13"/>
      <c r="P51" s="12"/>
    </row>
    <row r="52" spans="1:17" s="11" customFormat="1" ht="27" customHeight="1" x14ac:dyDescent="0.15">
      <c r="A52" s="17">
        <v>20170126</v>
      </c>
      <c r="B52" s="19" t="s">
        <v>49</v>
      </c>
      <c r="C52" s="36" t="s">
        <v>28</v>
      </c>
      <c r="D52" s="17" t="s">
        <v>5</v>
      </c>
      <c r="E52" s="17" t="s">
        <v>34</v>
      </c>
      <c r="F52" s="17" t="s">
        <v>48</v>
      </c>
      <c r="G52" s="17" t="s">
        <v>22</v>
      </c>
      <c r="H52" s="18">
        <f>[20]副本!G103</f>
        <v>5557.1929999999993</v>
      </c>
      <c r="I52" s="18">
        <v>0</v>
      </c>
      <c r="J52" s="17"/>
      <c r="K52" s="15"/>
      <c r="L52" s="16">
        <f>H52-I52</f>
        <v>5557.1929999999993</v>
      </c>
      <c r="M52" s="15">
        <v>25000</v>
      </c>
      <c r="N52" s="14" t="s">
        <v>47</v>
      </c>
      <c r="O52" s="13" t="s">
        <v>46</v>
      </c>
      <c r="P52" s="12" t="s">
        <v>45</v>
      </c>
    </row>
    <row r="53" spans="1:17" s="11" customFormat="1" ht="27" customHeight="1" x14ac:dyDescent="0.15">
      <c r="A53" s="17">
        <v>20170126</v>
      </c>
      <c r="B53" s="19" t="s">
        <v>44</v>
      </c>
      <c r="C53" s="36" t="s">
        <v>43</v>
      </c>
      <c r="D53" s="17" t="s">
        <v>5</v>
      </c>
      <c r="E53" s="17" t="s">
        <v>34</v>
      </c>
      <c r="F53" s="17" t="s">
        <v>234</v>
      </c>
      <c r="G53" s="17" t="s">
        <v>22</v>
      </c>
      <c r="H53" s="18">
        <f>[20]副本!G105</f>
        <v>10595.776000000082</v>
      </c>
      <c r="I53" s="18">
        <v>0</v>
      </c>
      <c r="J53" s="17"/>
      <c r="K53" s="15"/>
      <c r="L53" s="16">
        <f>H53-I53</f>
        <v>10595.776000000082</v>
      </c>
      <c r="M53" s="15">
        <v>50000</v>
      </c>
      <c r="N53" s="14"/>
      <c r="O53" s="13"/>
      <c r="P53" s="12"/>
    </row>
    <row r="54" spans="1:17" s="11" customFormat="1" ht="27" customHeight="1" x14ac:dyDescent="0.15">
      <c r="A54" s="17">
        <v>20170126</v>
      </c>
      <c r="B54" s="19" t="s">
        <v>41</v>
      </c>
      <c r="C54" s="36" t="s">
        <v>28</v>
      </c>
      <c r="D54" s="17"/>
      <c r="E54" s="17" t="s">
        <v>67</v>
      </c>
      <c r="F54" s="17" t="s">
        <v>39</v>
      </c>
      <c r="G54" s="17" t="s">
        <v>22</v>
      </c>
      <c r="H54" s="18">
        <f>[20]副本!G109</f>
        <v>2593.6109999999999</v>
      </c>
      <c r="I54" s="18">
        <f>H54</f>
        <v>2593.6109999999999</v>
      </c>
      <c r="J54" s="17"/>
      <c r="K54" s="15"/>
      <c r="L54" s="16">
        <f>H54-I54</f>
        <v>0</v>
      </c>
      <c r="M54" s="15">
        <v>4000</v>
      </c>
      <c r="N54" s="14"/>
      <c r="O54" s="13"/>
      <c r="P54" s="12" t="s">
        <v>457</v>
      </c>
    </row>
    <row r="55" spans="1:17" s="11" customFormat="1" ht="27" customHeight="1" x14ac:dyDescent="0.15">
      <c r="A55" s="17">
        <v>20170126</v>
      </c>
      <c r="B55" s="19" t="s">
        <v>37</v>
      </c>
      <c r="C55" s="36" t="s">
        <v>31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27" customHeight="1" x14ac:dyDescent="0.15">
      <c r="A56" s="17">
        <v>20170126</v>
      </c>
      <c r="B56" s="19" t="s">
        <v>36</v>
      </c>
      <c r="C56" s="36" t="s">
        <v>31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27" customHeight="1" x14ac:dyDescent="0.15">
      <c r="A57" s="17">
        <v>20170126</v>
      </c>
      <c r="B57" s="19" t="s">
        <v>35</v>
      </c>
      <c r="C57" s="36" t="s">
        <v>28</v>
      </c>
      <c r="D57" s="17" t="s">
        <v>5</v>
      </c>
      <c r="E57" s="17" t="s">
        <v>34</v>
      </c>
      <c r="F57" s="17" t="s">
        <v>435</v>
      </c>
      <c r="G57" s="17" t="s">
        <v>22</v>
      </c>
      <c r="H57" s="18">
        <f>[20]副本!G115</f>
        <v>1767.3689999999997</v>
      </c>
      <c r="I57" s="18">
        <v>0</v>
      </c>
      <c r="J57" s="17"/>
      <c r="K57" s="16"/>
      <c r="L57" s="16">
        <f>H57-I57</f>
        <v>1767.3689999999997</v>
      </c>
      <c r="M57" s="15">
        <v>10000</v>
      </c>
      <c r="N57" s="14"/>
      <c r="O57" s="13"/>
      <c r="P57" s="12"/>
      <c r="Q57" s="20"/>
    </row>
    <row r="58" spans="1:17" s="11" customFormat="1" ht="27" customHeight="1" x14ac:dyDescent="0.15">
      <c r="A58" s="17">
        <v>20170126</v>
      </c>
      <c r="B58" s="19" t="s">
        <v>32</v>
      </c>
      <c r="C58" s="36" t="s">
        <v>31</v>
      </c>
      <c r="D58" s="17" t="s">
        <v>5</v>
      </c>
      <c r="E58" s="17" t="s">
        <v>4</v>
      </c>
      <c r="F58" s="17" t="s">
        <v>436</v>
      </c>
      <c r="G58" s="17" t="s">
        <v>22</v>
      </c>
      <c r="H58" s="18">
        <f>[20]副本!G117</f>
        <v>3990.8999999999996</v>
      </c>
      <c r="I58" s="18">
        <v>0</v>
      </c>
      <c r="J58" s="17"/>
      <c r="K58" s="21">
        <v>150</v>
      </c>
      <c r="L58" s="16">
        <f>H58-I58</f>
        <v>3990.8999999999996</v>
      </c>
      <c r="M58" s="15">
        <v>15000</v>
      </c>
      <c r="N58" s="14"/>
      <c r="O58" s="13"/>
      <c r="P58" s="12" t="s">
        <v>472</v>
      </c>
      <c r="Q58" s="20"/>
    </row>
    <row r="59" spans="1:17" s="11" customFormat="1" ht="27" customHeight="1" x14ac:dyDescent="0.15">
      <c r="A59" s="17">
        <v>20170126</v>
      </c>
      <c r="B59" s="19" t="s">
        <v>32</v>
      </c>
      <c r="C59" s="36" t="s">
        <v>31</v>
      </c>
      <c r="D59" s="17" t="s">
        <v>5</v>
      </c>
      <c r="E59" s="17" t="s">
        <v>4</v>
      </c>
      <c r="F59" s="17" t="s">
        <v>437</v>
      </c>
      <c r="G59" s="17" t="s">
        <v>22</v>
      </c>
      <c r="H59" s="18">
        <f>[20]副本!G118</f>
        <v>96.340000000000146</v>
      </c>
      <c r="I59" s="18">
        <f>H59</f>
        <v>96.340000000000146</v>
      </c>
      <c r="J59" s="17"/>
      <c r="K59" s="21"/>
      <c r="L59" s="16">
        <f>H59-I59</f>
        <v>0</v>
      </c>
      <c r="M59" s="15">
        <v>15000</v>
      </c>
      <c r="N59" s="14"/>
      <c r="O59" s="13"/>
      <c r="P59" s="12" t="s">
        <v>470</v>
      </c>
      <c r="Q59" s="20"/>
    </row>
    <row r="60" spans="1:17" s="11" customFormat="1" ht="27" customHeight="1" x14ac:dyDescent="0.15">
      <c r="A60" s="17">
        <v>20170126</v>
      </c>
      <c r="B60" s="19" t="s">
        <v>30</v>
      </c>
      <c r="C60" s="19" t="s">
        <v>28</v>
      </c>
      <c r="D60" s="17" t="s">
        <v>5</v>
      </c>
      <c r="E60" s="17" t="s">
        <v>4</v>
      </c>
      <c r="F60" s="17" t="s">
        <v>3</v>
      </c>
      <c r="G60" s="17" t="s">
        <v>22</v>
      </c>
      <c r="H60" s="18">
        <f>[20]副本!G120</f>
        <v>9876.0309999999954</v>
      </c>
      <c r="I60" s="18">
        <f>H60</f>
        <v>9876.0309999999954</v>
      </c>
      <c r="J60" s="17"/>
      <c r="K60" s="15">
        <v>650</v>
      </c>
      <c r="L60" s="16"/>
      <c r="M60" s="15">
        <v>43000</v>
      </c>
      <c r="N60" s="14"/>
      <c r="O60" s="13"/>
      <c r="P60" s="12" t="s">
        <v>220</v>
      </c>
      <c r="Q60" s="20"/>
    </row>
    <row r="61" spans="1:17" s="11" customFormat="1" ht="27" customHeight="1" x14ac:dyDescent="0.15">
      <c r="A61" s="17">
        <v>20170126</v>
      </c>
      <c r="B61" s="19" t="s">
        <v>30</v>
      </c>
      <c r="C61" s="19" t="s">
        <v>28</v>
      </c>
      <c r="D61" s="17" t="s">
        <v>5</v>
      </c>
      <c r="E61" s="17" t="s">
        <v>4</v>
      </c>
      <c r="F61" s="17" t="s">
        <v>251</v>
      </c>
      <c r="G61" s="17" t="s">
        <v>22</v>
      </c>
      <c r="H61" s="18">
        <f>[20]副本!G121</f>
        <v>21.100000000000364</v>
      </c>
      <c r="I61" s="18">
        <f>H61</f>
        <v>21.100000000000364</v>
      </c>
      <c r="J61" s="17"/>
      <c r="K61" s="17"/>
      <c r="L61" s="16"/>
      <c r="M61" s="15">
        <v>43000</v>
      </c>
      <c r="N61" s="14"/>
      <c r="O61" s="13"/>
      <c r="P61" s="12" t="s">
        <v>220</v>
      </c>
      <c r="Q61" s="20"/>
    </row>
    <row r="62" spans="1:17" s="11" customFormat="1" ht="27" customHeight="1" x14ac:dyDescent="0.15">
      <c r="A62" s="17">
        <v>20170126</v>
      </c>
      <c r="B62" s="19" t="s">
        <v>29</v>
      </c>
      <c r="C62" s="19" t="s">
        <v>28</v>
      </c>
      <c r="D62" s="17" t="s">
        <v>5</v>
      </c>
      <c r="E62" s="17"/>
      <c r="F62" s="17"/>
      <c r="G62" s="17"/>
      <c r="H62" s="18"/>
      <c r="I62" s="18"/>
      <c r="J62" s="17"/>
      <c r="K62" s="15"/>
      <c r="L62" s="16"/>
      <c r="M62" s="15"/>
      <c r="N62" s="14"/>
      <c r="O62" s="13"/>
      <c r="P62" s="12"/>
      <c r="Q62" s="20"/>
    </row>
    <row r="63" spans="1:17" s="11" customFormat="1" ht="27" customHeight="1" x14ac:dyDescent="0.15">
      <c r="A63" s="17">
        <v>20170126</v>
      </c>
      <c r="B63" s="19" t="s">
        <v>24</v>
      </c>
      <c r="C63" s="36" t="s">
        <v>0</v>
      </c>
      <c r="D63" s="17"/>
      <c r="E63" s="17"/>
      <c r="F63" s="17"/>
      <c r="G63" s="17"/>
      <c r="H63" s="18"/>
      <c r="I63" s="18"/>
      <c r="J63" s="17"/>
      <c r="K63" s="15"/>
      <c r="L63" s="16"/>
      <c r="M63" s="15">
        <v>20000</v>
      </c>
      <c r="N63" s="14"/>
      <c r="O63" s="13"/>
      <c r="P63" s="12"/>
    </row>
    <row r="64" spans="1:17" s="11" customFormat="1" ht="27" customHeight="1" x14ac:dyDescent="0.15">
      <c r="A64" s="17">
        <v>20170126</v>
      </c>
      <c r="B64" s="19" t="s">
        <v>442</v>
      </c>
      <c r="C64" s="36" t="s">
        <v>0</v>
      </c>
      <c r="D64" s="17"/>
      <c r="E64" s="17" t="s">
        <v>12</v>
      </c>
      <c r="F64" s="17" t="s">
        <v>601</v>
      </c>
      <c r="G64" s="17" t="s">
        <v>2</v>
      </c>
      <c r="H64" s="18">
        <f>[20]副本!G127</f>
        <v>12457.292000000001</v>
      </c>
      <c r="I64" s="18">
        <f>H64-4751.949+4751.949</f>
        <v>12457.292000000001</v>
      </c>
      <c r="J64" s="17"/>
      <c r="K64" s="15"/>
      <c r="L64" s="16">
        <f>H64-I64</f>
        <v>0</v>
      </c>
      <c r="M64" s="15">
        <v>30000</v>
      </c>
      <c r="N64" s="14"/>
      <c r="O64" s="13"/>
      <c r="P64" s="12" t="s">
        <v>580</v>
      </c>
    </row>
    <row r="65" spans="1:16" s="11" customFormat="1" ht="27" customHeight="1" x14ac:dyDescent="0.15">
      <c r="A65" s="17">
        <v>20170126</v>
      </c>
      <c r="B65" s="19" t="s">
        <v>18</v>
      </c>
      <c r="C65" s="36" t="s">
        <v>0</v>
      </c>
      <c r="D65" s="17" t="s">
        <v>5</v>
      </c>
      <c r="E65" s="17" t="s">
        <v>4</v>
      </c>
      <c r="F65" s="17" t="s">
        <v>17</v>
      </c>
      <c r="G65" s="17" t="s">
        <v>2</v>
      </c>
      <c r="H65" s="18">
        <f>[20]副本!G130</f>
        <v>14976.093999999999</v>
      </c>
      <c r="I65" s="18">
        <f>H65-14976.094</f>
        <v>0</v>
      </c>
      <c r="J65" s="17"/>
      <c r="K65" s="15">
        <v>350</v>
      </c>
      <c r="L65" s="16">
        <f>H65-I65</f>
        <v>14976.093999999999</v>
      </c>
      <c r="M65" s="15">
        <v>20000</v>
      </c>
      <c r="N65" s="14" t="s">
        <v>16</v>
      </c>
      <c r="O65" s="13" t="s">
        <v>15</v>
      </c>
      <c r="P65" s="12" t="s">
        <v>14</v>
      </c>
    </row>
    <row r="66" spans="1:16" s="11" customFormat="1" ht="27" customHeight="1" x14ac:dyDescent="0.15">
      <c r="A66" s="17">
        <v>20170126</v>
      </c>
      <c r="B66" s="19" t="s">
        <v>13</v>
      </c>
      <c r="C66" s="36" t="s">
        <v>0</v>
      </c>
      <c r="D66" s="17"/>
      <c r="E66" s="17" t="s">
        <v>12</v>
      </c>
      <c r="F66" s="17" t="s">
        <v>11</v>
      </c>
      <c r="G66" s="17" t="s">
        <v>2</v>
      </c>
      <c r="H66" s="18">
        <f>[20]副本!G132</f>
        <v>20204.884999999973</v>
      </c>
      <c r="I66" s="18">
        <f>H66</f>
        <v>20204.884999999973</v>
      </c>
      <c r="J66" s="17"/>
      <c r="K66" s="15"/>
      <c r="L66" s="16">
        <v>0</v>
      </c>
      <c r="M66" s="15">
        <v>30000</v>
      </c>
      <c r="N66" s="14"/>
      <c r="O66" s="13"/>
      <c r="P66" s="12"/>
    </row>
    <row r="67" spans="1:16" s="11" customFormat="1" ht="27" customHeight="1" x14ac:dyDescent="0.15">
      <c r="A67" s="17">
        <v>20170126</v>
      </c>
      <c r="B67" s="19" t="s">
        <v>10</v>
      </c>
      <c r="C67" s="36" t="s">
        <v>0</v>
      </c>
      <c r="D67" s="17"/>
      <c r="E67" s="17" t="s">
        <v>9</v>
      </c>
      <c r="F67" s="12" t="s">
        <v>8</v>
      </c>
      <c r="G67" s="17" t="s">
        <v>2</v>
      </c>
      <c r="H67" s="18">
        <f>[20]副本!G134</f>
        <v>0</v>
      </c>
      <c r="I67" s="18">
        <f>H67</f>
        <v>0</v>
      </c>
      <c r="J67" s="17"/>
      <c r="K67" s="15"/>
      <c r="L67" s="16">
        <f>H67-I67</f>
        <v>0</v>
      </c>
      <c r="M67" s="15">
        <v>20000</v>
      </c>
      <c r="N67" s="14"/>
      <c r="O67" s="13"/>
      <c r="P67" s="17" t="s">
        <v>449</v>
      </c>
    </row>
    <row r="68" spans="1:16" s="11" customFormat="1" ht="27" customHeight="1" x14ac:dyDescent="0.15">
      <c r="A68" s="17">
        <v>20170126</v>
      </c>
      <c r="B68" s="19" t="s">
        <v>10</v>
      </c>
      <c r="C68" s="36" t="s">
        <v>0</v>
      </c>
      <c r="D68" s="17"/>
      <c r="E68" s="17" t="s">
        <v>584</v>
      </c>
      <c r="F68" s="12" t="s">
        <v>257</v>
      </c>
      <c r="G68" s="17" t="s">
        <v>2</v>
      </c>
      <c r="H68" s="18">
        <f>[20]副本!G135</f>
        <v>-3.9050000000006548</v>
      </c>
      <c r="I68" s="18">
        <f>H68</f>
        <v>-3.9050000000006548</v>
      </c>
      <c r="J68" s="17"/>
      <c r="K68" s="15"/>
      <c r="L68" s="16">
        <v>0</v>
      </c>
      <c r="M68" s="15">
        <v>20000</v>
      </c>
      <c r="N68" s="14"/>
      <c r="O68" s="13"/>
      <c r="P68" s="12" t="s">
        <v>252</v>
      </c>
    </row>
    <row r="69" spans="1:16" s="11" customFormat="1" ht="27" customHeight="1" x14ac:dyDescent="0.15">
      <c r="A69" s="17">
        <v>20170126</v>
      </c>
      <c r="B69" s="19" t="s">
        <v>7</v>
      </c>
      <c r="C69" s="36" t="s">
        <v>0</v>
      </c>
      <c r="D69" s="17"/>
      <c r="E69" s="17"/>
      <c r="F69" s="17"/>
      <c r="G69" s="17"/>
      <c r="H69" s="18"/>
      <c r="I69" s="18"/>
      <c r="J69" s="17"/>
      <c r="K69" s="15"/>
      <c r="L69" s="16"/>
      <c r="M69" s="15">
        <v>15000</v>
      </c>
      <c r="N69" s="14"/>
      <c r="O69" s="13"/>
      <c r="P69" s="12"/>
    </row>
    <row r="70" spans="1:16" s="11" customFormat="1" ht="27" customHeight="1" x14ac:dyDescent="0.15">
      <c r="A70" s="17">
        <v>20170126</v>
      </c>
      <c r="B70" s="19" t="s">
        <v>6</v>
      </c>
      <c r="C70" s="36" t="s">
        <v>0</v>
      </c>
      <c r="D70" s="17" t="s">
        <v>5</v>
      </c>
      <c r="E70" s="17" t="s">
        <v>4</v>
      </c>
      <c r="F70" s="17" t="s">
        <v>3</v>
      </c>
      <c r="G70" s="17" t="s">
        <v>2</v>
      </c>
      <c r="H70" s="18">
        <f>[20]副本!G139</f>
        <v>12005.106</v>
      </c>
      <c r="I70" s="18">
        <f>H70-12005.106</f>
        <v>0</v>
      </c>
      <c r="J70" s="17"/>
      <c r="K70" s="15"/>
      <c r="L70" s="16">
        <f>H70-I70</f>
        <v>12005.106</v>
      </c>
      <c r="M70" s="15">
        <v>15000</v>
      </c>
      <c r="N70" s="14"/>
      <c r="O70" s="13"/>
      <c r="P70" s="12"/>
    </row>
    <row r="71" spans="1:16" s="11" customFormat="1" ht="27" customHeight="1" x14ac:dyDescent="0.15">
      <c r="A71" s="17">
        <v>20170126</v>
      </c>
      <c r="B71" s="19" t="s">
        <v>1</v>
      </c>
      <c r="C71" s="36" t="s">
        <v>0</v>
      </c>
      <c r="D71" s="17"/>
      <c r="E71" s="17" t="s">
        <v>4</v>
      </c>
      <c r="F71" s="17" t="s">
        <v>437</v>
      </c>
      <c r="G71" s="17" t="s">
        <v>2</v>
      </c>
      <c r="H71" s="18">
        <f>[20]副本!G141</f>
        <v>6761.6299999999992</v>
      </c>
      <c r="I71" s="18">
        <f>H71</f>
        <v>6761.6299999999992</v>
      </c>
      <c r="J71" s="17"/>
      <c r="K71" s="15"/>
      <c r="L71" s="16">
        <f>H71-I71</f>
        <v>0</v>
      </c>
      <c r="M71" s="15">
        <v>15000</v>
      </c>
      <c r="N71" s="14"/>
      <c r="O71" s="13"/>
      <c r="P71" s="12" t="s">
        <v>475</v>
      </c>
    </row>
    <row r="77" spans="1:16" x14ac:dyDescent="0.15">
      <c r="L77" s="10"/>
    </row>
    <row r="229" spans="7:8" x14ac:dyDescent="0.15">
      <c r="G229" s="2"/>
      <c r="H229" s="2"/>
    </row>
  </sheetData>
  <autoFilter ref="B1:I71"/>
  <phoneticPr fontId="3" type="noConversion"/>
  <pageMargins left="0.36" right="7.9166666666666663E-2" top="0.57999999999999996" bottom="0.12" header="0.32" footer="0.09"/>
  <pageSetup scale="95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workbookViewId="0">
      <pane xSplit="3" ySplit="1" topLeftCell="D2" activePane="bottomRight" state="frozen"/>
      <selection activeCell="G5" sqref="G5"/>
      <selection pane="topRight" activeCell="G5" sqref="G5"/>
      <selection pane="bottomLeft" activeCell="G5" sqref="G5"/>
      <selection pane="bottomRight" activeCell="F21" sqref="F21:F22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13.375" style="2" customWidth="1"/>
    <col min="6" max="6" width="24.2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78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29" t="s">
        <v>272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27" customHeight="1" x14ac:dyDescent="0.15">
      <c r="A2" s="17">
        <v>20170129</v>
      </c>
      <c r="B2" s="19" t="s">
        <v>158</v>
      </c>
      <c r="C2" s="36" t="s">
        <v>63</v>
      </c>
      <c r="D2" s="19"/>
      <c r="E2" s="17" t="s">
        <v>141</v>
      </c>
      <c r="F2" s="63" t="s">
        <v>144</v>
      </c>
      <c r="G2" s="12" t="s">
        <v>54</v>
      </c>
      <c r="H2" s="18"/>
      <c r="I2" s="18"/>
      <c r="J2" s="17"/>
      <c r="K2" s="15"/>
      <c r="L2" s="16">
        <v>0</v>
      </c>
      <c r="M2" s="15">
        <v>2000</v>
      </c>
      <c r="N2" s="14" t="s">
        <v>143</v>
      </c>
      <c r="O2" s="13" t="s">
        <v>124</v>
      </c>
      <c r="P2" s="12"/>
    </row>
    <row r="3" spans="1:17" s="11" customFormat="1" ht="27" customHeight="1" x14ac:dyDescent="0.15">
      <c r="A3" s="17">
        <v>20170129</v>
      </c>
      <c r="B3" s="19" t="s">
        <v>157</v>
      </c>
      <c r="C3" s="36" t="s">
        <v>63</v>
      </c>
      <c r="D3" s="19"/>
      <c r="E3" s="17" t="s">
        <v>116</v>
      </c>
      <c r="F3" s="17" t="s">
        <v>468</v>
      </c>
      <c r="G3" s="12" t="s">
        <v>54</v>
      </c>
      <c r="H3" s="18">
        <f>[21]副本!G6</f>
        <v>785.97899999999993</v>
      </c>
      <c r="I3" s="18">
        <f>H3</f>
        <v>785.97899999999993</v>
      </c>
      <c r="J3" s="17"/>
      <c r="K3" s="15"/>
      <c r="L3" s="16">
        <f>H3-I3</f>
        <v>0</v>
      </c>
      <c r="M3" s="15">
        <v>1500</v>
      </c>
      <c r="N3" s="14"/>
      <c r="O3" s="13"/>
      <c r="P3" s="12"/>
    </row>
    <row r="4" spans="1:17" s="11" customFormat="1" ht="27" customHeight="1" x14ac:dyDescent="0.15">
      <c r="A4" s="17">
        <v>20170129</v>
      </c>
      <c r="B4" s="19" t="s">
        <v>153</v>
      </c>
      <c r="C4" s="36" t="s">
        <v>63</v>
      </c>
      <c r="D4" s="19"/>
      <c r="E4" s="17" t="s">
        <v>56</v>
      </c>
      <c r="F4" s="63" t="s">
        <v>61</v>
      </c>
      <c r="G4" s="12" t="s">
        <v>54</v>
      </c>
      <c r="H4" s="18">
        <f>[21]副本!G8</f>
        <v>1710.5029999999958</v>
      </c>
      <c r="I4" s="18">
        <f>H4</f>
        <v>1710.5029999999958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27" customHeight="1" x14ac:dyDescent="0.15">
      <c r="A5" s="17">
        <v>20170129</v>
      </c>
      <c r="B5" s="19" t="s">
        <v>149</v>
      </c>
      <c r="C5" s="36" t="s">
        <v>63</v>
      </c>
      <c r="D5" s="17"/>
      <c r="E5" s="17" t="s">
        <v>148</v>
      </c>
      <c r="F5" s="63" t="s">
        <v>140</v>
      </c>
      <c r="G5" s="12" t="s">
        <v>54</v>
      </c>
      <c r="H5" s="18" t="s">
        <v>586</v>
      </c>
      <c r="I5" s="18" t="s">
        <v>586</v>
      </c>
      <c r="J5" s="17"/>
      <c r="K5" s="15"/>
      <c r="L5" s="16">
        <v>0</v>
      </c>
      <c r="M5" s="15">
        <v>2000</v>
      </c>
      <c r="N5" s="14" t="s">
        <v>147</v>
      </c>
      <c r="O5" s="13" t="s">
        <v>124</v>
      </c>
      <c r="P5" s="12" t="s">
        <v>150</v>
      </c>
    </row>
    <row r="6" spans="1:17" s="11" customFormat="1" ht="27" customHeight="1" x14ac:dyDescent="0.15">
      <c r="A6" s="17">
        <v>20170129</v>
      </c>
      <c r="B6" s="19" t="s">
        <v>145</v>
      </c>
      <c r="C6" s="36" t="s">
        <v>63</v>
      </c>
      <c r="D6" s="17"/>
      <c r="E6" s="17" t="s">
        <v>141</v>
      </c>
      <c r="F6" s="63" t="s">
        <v>144</v>
      </c>
      <c r="G6" s="12" t="s">
        <v>54</v>
      </c>
      <c r="H6" s="18">
        <f>[21]副本!G12</f>
        <v>2871.8580000000002</v>
      </c>
      <c r="I6" s="18">
        <f t="shared" ref="I6:I14" si="0">H6</f>
        <v>2871.8580000000002</v>
      </c>
      <c r="J6" s="17"/>
      <c r="K6" s="15"/>
      <c r="L6" s="16">
        <v>0</v>
      </c>
      <c r="M6" s="15">
        <v>3000</v>
      </c>
      <c r="N6" s="14" t="s">
        <v>143</v>
      </c>
      <c r="O6" s="13" t="s">
        <v>124</v>
      </c>
      <c r="P6" s="12" t="s">
        <v>576</v>
      </c>
      <c r="Q6" s="20"/>
    </row>
    <row r="7" spans="1:17" s="11" customFormat="1" ht="27" customHeight="1" x14ac:dyDescent="0.15">
      <c r="A7" s="17">
        <v>20170129</v>
      </c>
      <c r="B7" s="19" t="s">
        <v>142</v>
      </c>
      <c r="C7" s="36" t="s">
        <v>63</v>
      </c>
      <c r="D7" s="17"/>
      <c r="E7" s="17" t="s">
        <v>141</v>
      </c>
      <c r="F7" s="63" t="s">
        <v>140</v>
      </c>
      <c r="G7" s="17" t="s">
        <v>54</v>
      </c>
      <c r="H7" s="18">
        <f>[21]副本!G14</f>
        <v>2481.8399999999992</v>
      </c>
      <c r="I7" s="18">
        <f t="shared" si="0"/>
        <v>2481.8399999999992</v>
      </c>
      <c r="J7" s="17"/>
      <c r="K7" s="15"/>
      <c r="L7" s="16">
        <v>0</v>
      </c>
      <c r="M7" s="15">
        <v>3000</v>
      </c>
      <c r="N7" s="14"/>
      <c r="O7" s="13"/>
      <c r="P7" s="12" t="s">
        <v>585</v>
      </c>
      <c r="Q7" s="20"/>
    </row>
    <row r="8" spans="1:17" s="11" customFormat="1" ht="27" customHeight="1" x14ac:dyDescent="0.15">
      <c r="A8" s="17">
        <v>20170129</v>
      </c>
      <c r="B8" s="19" t="s">
        <v>139</v>
      </c>
      <c r="C8" s="36" t="s">
        <v>63</v>
      </c>
      <c r="D8" s="17"/>
      <c r="E8" s="17" t="s">
        <v>583</v>
      </c>
      <c r="F8" s="17" t="s">
        <v>579</v>
      </c>
      <c r="G8" s="17" t="s">
        <v>54</v>
      </c>
      <c r="H8" s="18">
        <f>[21]副本!G16</f>
        <v>2087.2890000000002</v>
      </c>
      <c r="I8" s="18">
        <f t="shared" si="0"/>
        <v>2087.2890000000002</v>
      </c>
      <c r="J8" s="17"/>
      <c r="K8" s="15"/>
      <c r="L8" s="16">
        <v>0</v>
      </c>
      <c r="M8" s="15">
        <v>3000</v>
      </c>
      <c r="N8" s="14"/>
      <c r="O8" s="13"/>
      <c r="P8" s="12" t="s">
        <v>574</v>
      </c>
    </row>
    <row r="9" spans="1:17" s="11" customFormat="1" ht="27" customHeight="1" x14ac:dyDescent="0.15">
      <c r="A9" s="17">
        <v>20170129</v>
      </c>
      <c r="B9" s="19" t="s">
        <v>138</v>
      </c>
      <c r="C9" s="36" t="s">
        <v>31</v>
      </c>
      <c r="D9" s="17"/>
      <c r="E9" s="17" t="s">
        <v>9</v>
      </c>
      <c r="F9" s="17" t="s">
        <v>104</v>
      </c>
      <c r="G9" s="17" t="s">
        <v>54</v>
      </c>
      <c r="H9" s="17">
        <f>[21]副本!G18</f>
        <v>1322.4749999999999</v>
      </c>
      <c r="I9" s="18">
        <f t="shared" si="0"/>
        <v>1322.4749999999999</v>
      </c>
      <c r="J9" s="17"/>
      <c r="K9" s="15">
        <v>100</v>
      </c>
      <c r="L9" s="16">
        <f t="shared" ref="L9:L14" si="1">H9-I9</f>
        <v>0</v>
      </c>
      <c r="M9" s="15">
        <v>5000</v>
      </c>
      <c r="N9" s="14" t="s">
        <v>137</v>
      </c>
      <c r="O9" s="13" t="s">
        <v>136</v>
      </c>
      <c r="P9" s="12" t="s">
        <v>101</v>
      </c>
    </row>
    <row r="10" spans="1:17" s="11" customFormat="1" ht="27" customHeight="1" x14ac:dyDescent="0.15">
      <c r="A10" s="17">
        <v>20170129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[21]副本!G20</f>
        <v>1.5219999999999345</v>
      </c>
      <c r="I10" s="18">
        <f t="shared" si="0"/>
        <v>1.5219999999999345</v>
      </c>
      <c r="J10" s="17"/>
      <c r="K10" s="15"/>
      <c r="L10" s="16">
        <f t="shared" si="1"/>
        <v>0</v>
      </c>
      <c r="M10" s="15">
        <v>1500</v>
      </c>
      <c r="N10" s="14"/>
      <c r="O10" s="13"/>
      <c r="P10" s="12" t="s">
        <v>357</v>
      </c>
    </row>
    <row r="11" spans="1:17" s="11" customFormat="1" ht="27" customHeight="1" x14ac:dyDescent="0.15">
      <c r="A11" s="17">
        <v>20170129</v>
      </c>
      <c r="B11" s="19" t="s">
        <v>135</v>
      </c>
      <c r="C11" s="17" t="s">
        <v>63</v>
      </c>
      <c r="D11" s="17"/>
      <c r="E11" s="17" t="s">
        <v>92</v>
      </c>
      <c r="F11" s="17" t="s">
        <v>261</v>
      </c>
      <c r="G11" s="17" t="s">
        <v>54</v>
      </c>
      <c r="H11" s="18">
        <f>[21]副本!G21</f>
        <v>3.999999999996362E-2</v>
      </c>
      <c r="I11" s="18">
        <f t="shared" si="0"/>
        <v>3.999999999996362E-2</v>
      </c>
      <c r="J11" s="17"/>
      <c r="K11" s="15"/>
      <c r="L11" s="16">
        <f t="shared" si="1"/>
        <v>0</v>
      </c>
      <c r="M11" s="15">
        <v>1500</v>
      </c>
      <c r="N11" s="14"/>
      <c r="O11" s="13"/>
      <c r="P11" s="12" t="s">
        <v>355</v>
      </c>
    </row>
    <row r="12" spans="1:17" s="11" customFormat="1" ht="27" customHeight="1" x14ac:dyDescent="0.15">
      <c r="A12" s="17">
        <v>20170129</v>
      </c>
      <c r="B12" s="19" t="s">
        <v>135</v>
      </c>
      <c r="C12" s="17" t="s">
        <v>63</v>
      </c>
      <c r="D12" s="17"/>
      <c r="E12" s="17" t="s">
        <v>92</v>
      </c>
      <c r="F12" s="17" t="s">
        <v>91</v>
      </c>
      <c r="G12" s="17" t="s">
        <v>54</v>
      </c>
      <c r="H12" s="18">
        <f>[21]副本!G22</f>
        <v>1000</v>
      </c>
      <c r="I12" s="18">
        <f t="shared" si="0"/>
        <v>1000</v>
      </c>
      <c r="J12" s="17"/>
      <c r="K12" s="15"/>
      <c r="L12" s="16">
        <f t="shared" si="1"/>
        <v>0</v>
      </c>
      <c r="M12" s="15">
        <v>1500</v>
      </c>
      <c r="N12" s="14"/>
      <c r="O12" s="13"/>
      <c r="P12" s="12" t="s">
        <v>355</v>
      </c>
    </row>
    <row r="13" spans="1:17" s="11" customFormat="1" ht="27" customHeight="1" x14ac:dyDescent="0.15">
      <c r="A13" s="17">
        <v>20170129</v>
      </c>
      <c r="B13" s="19" t="s">
        <v>134</v>
      </c>
      <c r="C13" s="17" t="s">
        <v>63</v>
      </c>
      <c r="D13" s="17"/>
      <c r="E13" s="17" t="s">
        <v>116</v>
      </c>
      <c r="F13" s="17" t="s">
        <v>256</v>
      </c>
      <c r="G13" s="17" t="s">
        <v>54</v>
      </c>
      <c r="H13" s="18">
        <f>[21]副本!G24</f>
        <v>1502.1479999999999</v>
      </c>
      <c r="I13" s="18">
        <f t="shared" si="0"/>
        <v>1502.1479999999999</v>
      </c>
      <c r="J13" s="17"/>
      <c r="K13" s="15"/>
      <c r="L13" s="16">
        <f t="shared" si="1"/>
        <v>0</v>
      </c>
      <c r="M13" s="15">
        <v>1500</v>
      </c>
      <c r="N13" s="14"/>
      <c r="O13" s="13"/>
      <c r="P13" s="12"/>
    </row>
    <row r="14" spans="1:17" s="11" customFormat="1" ht="27" customHeight="1" x14ac:dyDescent="0.15">
      <c r="A14" s="17">
        <v>20170129</v>
      </c>
      <c r="B14" s="19" t="s">
        <v>133</v>
      </c>
      <c r="C14" s="36" t="s">
        <v>28</v>
      </c>
      <c r="D14" s="17"/>
      <c r="E14" s="17" t="s">
        <v>575</v>
      </c>
      <c r="F14" s="17" t="s">
        <v>579</v>
      </c>
      <c r="G14" s="17"/>
      <c r="H14" s="18">
        <f>[21]副本!G26</f>
        <v>904.43000000000006</v>
      </c>
      <c r="I14" s="18">
        <f t="shared" si="0"/>
        <v>904.43000000000006</v>
      </c>
      <c r="J14" s="17"/>
      <c r="K14" s="15"/>
      <c r="L14" s="16">
        <f t="shared" si="1"/>
        <v>0</v>
      </c>
      <c r="M14" s="15">
        <v>1500</v>
      </c>
      <c r="N14" s="14"/>
      <c r="O14" s="13"/>
      <c r="P14" s="12" t="s">
        <v>574</v>
      </c>
      <c r="Q14" s="20"/>
    </row>
    <row r="15" spans="1:17" s="11" customFormat="1" ht="27" customHeight="1" x14ac:dyDescent="0.15">
      <c r="A15" s="17">
        <v>20170129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27" customHeight="1" x14ac:dyDescent="0.15">
      <c r="A16" s="17">
        <v>20170129</v>
      </c>
      <c r="B16" s="19" t="s">
        <v>131</v>
      </c>
      <c r="C16" s="36" t="s">
        <v>63</v>
      </c>
      <c r="D16" s="17"/>
      <c r="E16" s="17" t="s">
        <v>92</v>
      </c>
      <c r="F16" s="17" t="s">
        <v>232</v>
      </c>
      <c r="G16" s="17" t="s">
        <v>54</v>
      </c>
      <c r="H16" s="18">
        <f>[21]副本!G30</f>
        <v>1051.9169999999999</v>
      </c>
      <c r="I16" s="18">
        <f>H16</f>
        <v>1051.9169999999999</v>
      </c>
      <c r="J16" s="17"/>
      <c r="K16" s="15">
        <v>70</v>
      </c>
      <c r="L16" s="16">
        <v>0</v>
      </c>
      <c r="M16" s="15">
        <v>1500</v>
      </c>
      <c r="N16" s="14"/>
      <c r="O16" s="13"/>
      <c r="P16" s="12" t="s">
        <v>351</v>
      </c>
    </row>
    <row r="17" spans="1:17" s="11" customFormat="1" ht="27" customHeight="1" x14ac:dyDescent="0.15">
      <c r="A17" s="17">
        <v>20170129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</v>
      </c>
      <c r="H17" s="18">
        <f>[21]副本!G32-H18</f>
        <v>612.24700000001758</v>
      </c>
      <c r="I17" s="18">
        <f>H17</f>
        <v>612.24700000001758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124</v>
      </c>
      <c r="P17" s="12" t="s">
        <v>130</v>
      </c>
    </row>
    <row r="18" spans="1:17" s="11" customFormat="1" ht="27" customHeight="1" x14ac:dyDescent="0.15">
      <c r="A18" s="17">
        <v>20170129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 t="s">
        <v>2</v>
      </c>
      <c r="H18" s="18">
        <f>[21]副本!G34</f>
        <v>4387.7529999999824</v>
      </c>
      <c r="I18" s="18">
        <f>H18</f>
        <v>4387.7529999999824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244</v>
      </c>
    </row>
    <row r="19" spans="1:17" s="11" customFormat="1" ht="27" customHeight="1" x14ac:dyDescent="0.15">
      <c r="A19" s="17">
        <v>20170129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27" customHeight="1" x14ac:dyDescent="0.15">
      <c r="A20" s="17">
        <v>20170129</v>
      </c>
      <c r="B20" s="19" t="s">
        <v>126</v>
      </c>
      <c r="C20" s="36" t="s">
        <v>63</v>
      </c>
      <c r="D20" s="17"/>
      <c r="E20" s="17" t="s">
        <v>84</v>
      </c>
      <c r="F20" s="17" t="s">
        <v>81</v>
      </c>
      <c r="G20" s="17" t="s">
        <v>54</v>
      </c>
      <c r="H20" s="18">
        <f>[21]副本!G38</f>
        <v>0.28799999999955617</v>
      </c>
      <c r="I20" s="18">
        <f>H20</f>
        <v>0.28799999999955617</v>
      </c>
      <c r="J20" s="17"/>
      <c r="K20" s="15"/>
      <c r="L20" s="16">
        <f>H20-I20</f>
        <v>0</v>
      </c>
      <c r="M20" s="15">
        <v>3000</v>
      </c>
      <c r="N20" s="14"/>
      <c r="O20" s="13"/>
      <c r="P20" s="12" t="s">
        <v>573</v>
      </c>
    </row>
    <row r="21" spans="1:17" s="11" customFormat="1" ht="27" customHeight="1" x14ac:dyDescent="0.15">
      <c r="A21" s="17">
        <v>20170129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</v>
      </c>
      <c r="H21" s="18">
        <f>[21]副本!G40-'20170129'!H22</f>
        <v>8614.5454280000376</v>
      </c>
      <c r="I21" s="18">
        <f>H21</f>
        <v>8614.5454280000376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124</v>
      </c>
      <c r="P21" s="12" t="s">
        <v>123</v>
      </c>
    </row>
    <row r="22" spans="1:17" s="11" customFormat="1" ht="27" customHeight="1" x14ac:dyDescent="0.15">
      <c r="A22" s="17">
        <v>20170129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 t="s">
        <v>2</v>
      </c>
      <c r="H22" s="18">
        <f>[21]副本!G42</f>
        <v>8385.4545719999624</v>
      </c>
      <c r="I22" s="18">
        <f>H22</f>
        <v>8385.4545719999624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243</v>
      </c>
    </row>
    <row r="23" spans="1:17" s="11" customFormat="1" ht="27" customHeight="1" x14ac:dyDescent="0.15">
      <c r="A23" s="17">
        <v>20170129</v>
      </c>
      <c r="B23" s="19" t="s">
        <v>117</v>
      </c>
      <c r="C23" s="36" t="s">
        <v>63</v>
      </c>
      <c r="D23" s="17"/>
      <c r="E23" s="17" t="s">
        <v>116</v>
      </c>
      <c r="F23" s="17" t="s">
        <v>115</v>
      </c>
      <c r="G23" s="17" t="s">
        <v>2</v>
      </c>
      <c r="H23" s="18">
        <f>[21]副本!G44</f>
        <v>6134.7419999999993</v>
      </c>
      <c r="I23" s="18">
        <f>H23</f>
        <v>6134.7419999999993</v>
      </c>
      <c r="J23" s="17"/>
      <c r="K23" s="15">
        <v>350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27" customHeight="1" x14ac:dyDescent="0.15">
      <c r="A24" s="17">
        <v>20170129</v>
      </c>
      <c r="B24" s="19" t="s">
        <v>113</v>
      </c>
      <c r="C24" s="36" t="s">
        <v>0</v>
      </c>
      <c r="D24" s="17"/>
      <c r="E24" s="12" t="s">
        <v>112</v>
      </c>
      <c r="F24" s="17" t="s">
        <v>39</v>
      </c>
      <c r="G24" s="17" t="s">
        <v>2</v>
      </c>
      <c r="H24" s="18">
        <f>[21]副本!G46</f>
        <v>1008.913</v>
      </c>
      <c r="I24" s="18">
        <f>H24</f>
        <v>1008.913</v>
      </c>
      <c r="J24" s="17"/>
      <c r="K24" s="15"/>
      <c r="L24" s="16">
        <f>H24-I24</f>
        <v>0</v>
      </c>
      <c r="M24" s="15">
        <v>5000</v>
      </c>
      <c r="N24" s="14"/>
      <c r="O24" s="13"/>
      <c r="P24" s="37" t="s">
        <v>462</v>
      </c>
    </row>
    <row r="25" spans="1:17" s="11" customFormat="1" ht="27" customHeight="1" x14ac:dyDescent="0.15">
      <c r="A25" s="17">
        <v>20170129</v>
      </c>
      <c r="B25" s="19" t="s">
        <v>110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27" customHeight="1" x14ac:dyDescent="0.15">
      <c r="A26" s="17">
        <v>20170129</v>
      </c>
      <c r="B26" s="19" t="s">
        <v>109</v>
      </c>
      <c r="C26" s="36" t="s">
        <v>63</v>
      </c>
      <c r="D26" s="17"/>
      <c r="E26" s="17"/>
      <c r="F26" s="17"/>
      <c r="G26" s="17"/>
      <c r="H26" s="18"/>
      <c r="I26" s="18"/>
      <c r="J26" s="17"/>
      <c r="K26" s="15"/>
      <c r="L26" s="16"/>
      <c r="M26" s="15">
        <v>4000</v>
      </c>
      <c r="N26" s="14"/>
      <c r="O26" s="13"/>
      <c r="P26" s="12"/>
    </row>
    <row r="27" spans="1:17" s="11" customFormat="1" ht="27" customHeight="1" x14ac:dyDescent="0.15">
      <c r="A27" s="17">
        <v>20170129</v>
      </c>
      <c r="B27" s="19" t="s">
        <v>106</v>
      </c>
      <c r="C27" s="36" t="s">
        <v>105</v>
      </c>
      <c r="D27" s="17"/>
      <c r="E27" s="17"/>
      <c r="F27" s="17"/>
      <c r="G27" s="17"/>
      <c r="H27" s="18"/>
      <c r="I27" s="18"/>
      <c r="J27" s="17"/>
      <c r="K27" s="15"/>
      <c r="L27" s="16"/>
      <c r="M27" s="15">
        <v>5000</v>
      </c>
      <c r="N27" s="14"/>
      <c r="O27" s="13"/>
      <c r="P27" s="12"/>
    </row>
    <row r="28" spans="1:17" s="11" customFormat="1" ht="27" customHeight="1" x14ac:dyDescent="0.15">
      <c r="A28" s="17">
        <v>20170129</v>
      </c>
      <c r="B28" s="19" t="s">
        <v>100</v>
      </c>
      <c r="C28" s="36" t="s">
        <v>96</v>
      </c>
      <c r="D28" s="17"/>
      <c r="E28" s="17" t="s">
        <v>67</v>
      </c>
      <c r="F28" s="17" t="s">
        <v>39</v>
      </c>
      <c r="G28" s="17" t="s">
        <v>2</v>
      </c>
      <c r="H28" s="18">
        <f>[21]副本!G55</f>
        <v>1496.749</v>
      </c>
      <c r="I28" s="18">
        <f>H28</f>
        <v>1496.749</v>
      </c>
      <c r="J28" s="17"/>
      <c r="K28" s="15">
        <v>1300</v>
      </c>
      <c r="L28" s="16">
        <f>H28-I28</f>
        <v>0</v>
      </c>
      <c r="M28" s="15">
        <v>2000</v>
      </c>
      <c r="N28" s="14"/>
      <c r="O28" s="13"/>
      <c r="P28" s="12" t="s">
        <v>457</v>
      </c>
    </row>
    <row r="29" spans="1:17" s="11" customFormat="1" ht="27" customHeight="1" x14ac:dyDescent="0.15">
      <c r="A29" s="17">
        <v>20170129</v>
      </c>
      <c r="B29" s="19" t="s">
        <v>99</v>
      </c>
      <c r="C29" s="36" t="s">
        <v>96</v>
      </c>
      <c r="D29" s="17"/>
      <c r="E29" s="17"/>
      <c r="F29" s="17"/>
      <c r="G29" s="17"/>
      <c r="H29" s="18"/>
      <c r="I29" s="18"/>
      <c r="J29" s="17"/>
      <c r="K29" s="15"/>
      <c r="L29" s="16"/>
      <c r="M29" s="15">
        <v>1500</v>
      </c>
      <c r="N29" s="14"/>
      <c r="O29" s="13"/>
      <c r="P29" s="12"/>
    </row>
    <row r="30" spans="1:17" s="11" customFormat="1" ht="27" customHeight="1" x14ac:dyDescent="0.15">
      <c r="A30" s="17">
        <v>20170129</v>
      </c>
      <c r="B30" s="19" t="s">
        <v>98</v>
      </c>
      <c r="C30" s="36" t="s">
        <v>96</v>
      </c>
      <c r="D30" s="17"/>
      <c r="E30" s="17" t="s">
        <v>67</v>
      </c>
      <c r="F30" s="17" t="s">
        <v>39</v>
      </c>
      <c r="G30" s="17" t="s">
        <v>2</v>
      </c>
      <c r="H30" s="18">
        <f>[21]副本!G59</f>
        <v>946.20700000000011</v>
      </c>
      <c r="I30" s="18">
        <f>H30</f>
        <v>946.20700000000011</v>
      </c>
      <c r="J30" s="17"/>
      <c r="K30" s="15"/>
      <c r="L30" s="16">
        <f>H30-I30</f>
        <v>0</v>
      </c>
      <c r="M30" s="15">
        <v>1500</v>
      </c>
      <c r="N30" s="14"/>
      <c r="O30" s="13"/>
      <c r="P30" s="12" t="s">
        <v>457</v>
      </c>
      <c r="Q30" s="20"/>
    </row>
    <row r="31" spans="1:17" s="11" customFormat="1" ht="27" customHeight="1" x14ac:dyDescent="0.15">
      <c r="A31" s="17">
        <v>20170129</v>
      </c>
      <c r="B31" s="19" t="s">
        <v>97</v>
      </c>
      <c r="C31" s="36" t="s">
        <v>96</v>
      </c>
      <c r="D31" s="17"/>
      <c r="E31" s="17" t="s">
        <v>67</v>
      </c>
      <c r="F31" s="17"/>
      <c r="G31" s="17"/>
      <c r="H31" s="18"/>
      <c r="I31" s="18"/>
      <c r="J31" s="17"/>
      <c r="K31" s="15"/>
      <c r="L31" s="16"/>
      <c r="M31" s="15">
        <v>1500</v>
      </c>
      <c r="N31" s="14"/>
      <c r="O31" s="13"/>
      <c r="P31" s="12"/>
    </row>
    <row r="32" spans="1:17" s="11" customFormat="1" ht="27" customHeight="1" x14ac:dyDescent="0.15">
      <c r="A32" s="17">
        <v>20170129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27" customHeight="1" x14ac:dyDescent="0.15">
      <c r="A33" s="17">
        <v>20170129</v>
      </c>
      <c r="B33" s="19" t="s">
        <v>93</v>
      </c>
      <c r="C33" s="36" t="s">
        <v>57</v>
      </c>
      <c r="D33" s="17"/>
      <c r="E33" s="17" t="s">
        <v>92</v>
      </c>
      <c r="F33" s="17" t="s">
        <v>91</v>
      </c>
      <c r="G33" s="17" t="s">
        <v>2</v>
      </c>
      <c r="H33" s="17">
        <f>[21]副本!G65</f>
        <v>408.81600000000014</v>
      </c>
      <c r="I33" s="18">
        <f>H33-1035.099+1035.099</f>
        <v>408.81600000000014</v>
      </c>
      <c r="J33" s="17"/>
      <c r="K33" s="15">
        <v>30</v>
      </c>
      <c r="L33" s="16">
        <f>H33-I33</f>
        <v>0</v>
      </c>
      <c r="M33" s="15">
        <v>2000</v>
      </c>
      <c r="N33" s="14"/>
      <c r="O33" s="13"/>
      <c r="P33" s="12" t="s">
        <v>536</v>
      </c>
    </row>
    <row r="34" spans="1:16" s="11" customFormat="1" ht="27" customHeight="1" x14ac:dyDescent="0.15">
      <c r="A34" s="17">
        <v>20170129</v>
      </c>
      <c r="B34" s="19" t="s">
        <v>89</v>
      </c>
      <c r="C34" s="36" t="s">
        <v>63</v>
      </c>
      <c r="D34" s="17" t="s">
        <v>88</v>
      </c>
      <c r="E34" s="17" t="s">
        <v>87</v>
      </c>
      <c r="F34" s="17" t="s">
        <v>216</v>
      </c>
      <c r="G34" s="17" t="s">
        <v>54</v>
      </c>
      <c r="H34" s="18">
        <f>[21]副本!G67</f>
        <v>640.54299999999989</v>
      </c>
      <c r="I34" s="18">
        <f>H34-1037.023+500+537.023</f>
        <v>640.54300000000001</v>
      </c>
      <c r="J34" s="17"/>
      <c r="K34" s="15">
        <v>100</v>
      </c>
      <c r="L34" s="16">
        <f>H34-I34</f>
        <v>0</v>
      </c>
      <c r="M34" s="15">
        <v>3000</v>
      </c>
      <c r="N34" s="14"/>
      <c r="O34" s="13"/>
      <c r="P34" s="24" t="s">
        <v>467</v>
      </c>
    </row>
    <row r="35" spans="1:16" s="11" customFormat="1" ht="27" customHeight="1" x14ac:dyDescent="0.15">
      <c r="A35" s="17">
        <v>20170129</v>
      </c>
      <c r="B35" s="19" t="s">
        <v>85</v>
      </c>
      <c r="C35" s="36" t="s">
        <v>63</v>
      </c>
      <c r="D35" s="17" t="s">
        <v>5</v>
      </c>
      <c r="E35" s="17" t="s">
        <v>84</v>
      </c>
      <c r="F35" s="17" t="s">
        <v>81</v>
      </c>
      <c r="G35" s="17" t="s">
        <v>54</v>
      </c>
      <c r="H35" s="18">
        <f>[21]副本!G69</f>
        <v>3147.802999999999</v>
      </c>
      <c r="I35" s="18">
        <f>H35-3607.546+2050+1050+507.546-1553.792+1553.792</f>
        <v>3147.802999999999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572</v>
      </c>
    </row>
    <row r="36" spans="1:16" s="11" customFormat="1" ht="27" customHeight="1" x14ac:dyDescent="0.15">
      <c r="A36" s="17">
        <v>20170129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27" customHeight="1" x14ac:dyDescent="0.15">
      <c r="A37" s="17">
        <v>20170129</v>
      </c>
      <c r="B37" s="19" t="s">
        <v>79</v>
      </c>
      <c r="C37" s="36" t="s">
        <v>57</v>
      </c>
      <c r="D37" s="17" t="s">
        <v>5</v>
      </c>
      <c r="E37" s="17" t="s">
        <v>78</v>
      </c>
      <c r="F37" s="17" t="s">
        <v>81</v>
      </c>
      <c r="G37" s="17" t="s">
        <v>2</v>
      </c>
      <c r="H37" s="18">
        <f>[21]副本!G73</f>
        <v>3108.5950000000521</v>
      </c>
      <c r="I37" s="18">
        <f>H37-955.747+477.874+477.873-1042.865-2628.137+500+542.865+2102.57+525.567-499.112-3147.566+2100+525+525+496.678-2617.899+1574.891+523.692-522.622+522.622-2589.467+523.692</f>
        <v>523.5040000000522</v>
      </c>
      <c r="J37" s="17"/>
      <c r="K37" s="15"/>
      <c r="L37" s="16">
        <f>H37-I37</f>
        <v>2585.0909999999999</v>
      </c>
      <c r="M37" s="15">
        <v>5000</v>
      </c>
      <c r="N37" s="14"/>
      <c r="O37" s="13"/>
      <c r="P37" s="12" t="s">
        <v>582</v>
      </c>
    </row>
    <row r="38" spans="1:16" s="11" customFormat="1" ht="27" customHeight="1" x14ac:dyDescent="0.15">
      <c r="A38" s="17">
        <v>20170129</v>
      </c>
      <c r="B38" s="19" t="s">
        <v>79</v>
      </c>
      <c r="C38" s="36" t="s">
        <v>57</v>
      </c>
      <c r="D38" s="17" t="s">
        <v>5</v>
      </c>
      <c r="E38" s="17" t="s">
        <v>78</v>
      </c>
      <c r="F38" s="17" t="s">
        <v>77</v>
      </c>
      <c r="G38" s="17" t="s">
        <v>2</v>
      </c>
      <c r="H38" s="18">
        <f>[21]副本!G74</f>
        <v>934.32800000000032</v>
      </c>
      <c r="I38" s="18">
        <f>H38</f>
        <v>934.32800000000032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581</v>
      </c>
    </row>
    <row r="39" spans="1:16" s="11" customFormat="1" ht="27" customHeight="1" x14ac:dyDescent="0.15">
      <c r="A39" s="17">
        <v>20170129</v>
      </c>
      <c r="B39" s="19" t="s">
        <v>74</v>
      </c>
      <c r="C39" s="36" t="s">
        <v>28</v>
      </c>
      <c r="D39" s="17"/>
      <c r="E39" s="17" t="s">
        <v>67</v>
      </c>
      <c r="F39" s="17" t="s">
        <v>39</v>
      </c>
      <c r="G39" s="17" t="s">
        <v>2</v>
      </c>
      <c r="H39" s="18">
        <f>[21]副本!G76</f>
        <v>31.463999999997668</v>
      </c>
      <c r="I39" s="18">
        <f>H39</f>
        <v>31.463999999997668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75</v>
      </c>
    </row>
    <row r="40" spans="1:16" s="11" customFormat="1" ht="27" customHeight="1" x14ac:dyDescent="0.15">
      <c r="A40" s="17">
        <v>20170129</v>
      </c>
      <c r="B40" s="19" t="s">
        <v>74</v>
      </c>
      <c r="C40" s="36" t="s">
        <v>28</v>
      </c>
      <c r="D40" s="17"/>
      <c r="E40" s="17" t="s">
        <v>67</v>
      </c>
      <c r="F40" s="17" t="s">
        <v>71</v>
      </c>
      <c r="G40" s="17" t="s">
        <v>2</v>
      </c>
      <c r="H40" s="18">
        <f>[21]副本!G77</f>
        <v>-0.23699999999985266</v>
      </c>
      <c r="I40" s="18">
        <f>H40</f>
        <v>-0.23699999999985266</v>
      </c>
      <c r="J40" s="17"/>
      <c r="K40" s="15"/>
      <c r="L40" s="16"/>
      <c r="M40" s="15">
        <v>4000</v>
      </c>
      <c r="N40" s="14"/>
      <c r="O40" s="13"/>
      <c r="P40" s="12" t="s">
        <v>240</v>
      </c>
    </row>
    <row r="41" spans="1:16" s="11" customFormat="1" ht="27" customHeight="1" x14ac:dyDescent="0.15">
      <c r="A41" s="17">
        <v>20170129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27" customHeight="1" x14ac:dyDescent="0.15">
      <c r="A42" s="17">
        <v>20170129</v>
      </c>
      <c r="B42" s="19" t="s">
        <v>72</v>
      </c>
      <c r="C42" s="36" t="s">
        <v>43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27" customHeight="1" x14ac:dyDescent="0.15">
      <c r="A43" s="17">
        <v>20170129</v>
      </c>
      <c r="B43" s="19" t="s">
        <v>68</v>
      </c>
      <c r="C43" s="36" t="s">
        <v>43</v>
      </c>
      <c r="D43" s="17"/>
      <c r="E43" s="17" t="s">
        <v>67</v>
      </c>
      <c r="F43" s="17" t="s">
        <v>39</v>
      </c>
      <c r="G43" s="17" t="s">
        <v>2</v>
      </c>
      <c r="H43" s="18">
        <f>[21]副本!G84</f>
        <v>1118.4909999999995</v>
      </c>
      <c r="I43" s="18">
        <f>H43</f>
        <v>1118.4909999999995</v>
      </c>
      <c r="J43" s="17"/>
      <c r="K43" s="15"/>
      <c r="L43" s="16">
        <f>H43-I43</f>
        <v>0</v>
      </c>
      <c r="M43" s="15">
        <v>5000</v>
      </c>
      <c r="N43" s="21"/>
      <c r="O43" s="13"/>
      <c r="P43" s="12" t="s">
        <v>258</v>
      </c>
    </row>
    <row r="44" spans="1:16" s="11" customFormat="1" ht="27" customHeight="1" x14ac:dyDescent="0.15">
      <c r="A44" s="17">
        <v>20170129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27" customHeight="1" x14ac:dyDescent="0.15">
      <c r="A45" s="17">
        <v>20170129</v>
      </c>
      <c r="B45" s="19" t="s">
        <v>64</v>
      </c>
      <c r="C45" s="36" t="s">
        <v>63</v>
      </c>
      <c r="D45" s="17"/>
      <c r="E45" s="17" t="s">
        <v>271</v>
      </c>
      <c r="F45" s="17" t="s">
        <v>232</v>
      </c>
      <c r="G45" s="17" t="s">
        <v>2</v>
      </c>
      <c r="H45" s="18">
        <f>[21]副本!G90</f>
        <v>2006.1080000000002</v>
      </c>
      <c r="I45" s="18">
        <f>H45-1021.25</f>
        <v>984.85800000000017</v>
      </c>
      <c r="J45" s="17"/>
      <c r="K45" s="15">
        <v>70</v>
      </c>
      <c r="L45" s="16">
        <f>H45-I45</f>
        <v>1021.25</v>
      </c>
      <c r="M45" s="15">
        <v>5000</v>
      </c>
      <c r="N45" s="14"/>
      <c r="O45" s="13"/>
      <c r="P45" s="12" t="s">
        <v>270</v>
      </c>
    </row>
    <row r="46" spans="1:16" s="11" customFormat="1" ht="27" customHeight="1" x14ac:dyDescent="0.15">
      <c r="A46" s="17">
        <v>20170129</v>
      </c>
      <c r="B46" s="19" t="s">
        <v>64</v>
      </c>
      <c r="C46" s="36" t="s">
        <v>63</v>
      </c>
      <c r="D46" s="17"/>
      <c r="E46" s="17" t="s">
        <v>271</v>
      </c>
      <c r="F46" s="17" t="s">
        <v>140</v>
      </c>
      <c r="G46" s="17"/>
      <c r="H46" s="18">
        <f>[21]副本!G91</f>
        <v>1000</v>
      </c>
      <c r="I46" s="18">
        <f>H46</f>
        <v>1000</v>
      </c>
      <c r="J46" s="17"/>
      <c r="K46" s="15"/>
      <c r="L46" s="16"/>
      <c r="M46" s="15">
        <v>5000</v>
      </c>
      <c r="N46" s="14"/>
      <c r="O46" s="13"/>
      <c r="P46" s="12" t="s">
        <v>270</v>
      </c>
    </row>
    <row r="47" spans="1:16" s="11" customFormat="1" ht="27" customHeight="1" x14ac:dyDescent="0.15">
      <c r="A47" s="17">
        <v>20170129</v>
      </c>
      <c r="B47" s="19" t="s">
        <v>62</v>
      </c>
      <c r="C47" s="36" t="s">
        <v>57</v>
      </c>
      <c r="D47" s="17"/>
      <c r="E47" s="17" t="s">
        <v>56</v>
      </c>
      <c r="F47" s="17" t="s">
        <v>61</v>
      </c>
      <c r="G47" s="17" t="s">
        <v>2</v>
      </c>
      <c r="H47" s="18">
        <f>[21]副本!G93</f>
        <v>173.70399999999404</v>
      </c>
      <c r="I47" s="18">
        <f>H47</f>
        <v>173.70399999999404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27" customHeight="1" x14ac:dyDescent="0.15">
      <c r="A48" s="17">
        <v>20170129</v>
      </c>
      <c r="B48" s="19" t="s">
        <v>60</v>
      </c>
      <c r="C48" s="36" t="s">
        <v>43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[21]副本!G95</f>
        <v>2409.6100000000006</v>
      </c>
      <c r="I48" s="18">
        <v>0</v>
      </c>
      <c r="J48" s="17"/>
      <c r="K48" s="15"/>
      <c r="L48" s="16">
        <f>H48-I48</f>
        <v>2409.6100000000006</v>
      </c>
      <c r="M48" s="15">
        <v>10000</v>
      </c>
      <c r="N48" s="14"/>
      <c r="O48" s="13"/>
      <c r="P48" s="12"/>
    </row>
    <row r="49" spans="1:17" s="11" customFormat="1" ht="27" customHeight="1" x14ac:dyDescent="0.15">
      <c r="A49" s="17">
        <v>20170129</v>
      </c>
      <c r="B49" s="19" t="s">
        <v>59</v>
      </c>
      <c r="C49" s="36" t="s">
        <v>28</v>
      </c>
      <c r="D49" s="17" t="s">
        <v>5</v>
      </c>
      <c r="E49" s="17" t="s">
        <v>34</v>
      </c>
      <c r="F49" s="17" t="s">
        <v>48</v>
      </c>
      <c r="G49" s="17" t="s">
        <v>2</v>
      </c>
      <c r="H49" s="18">
        <f>[21]副本!G97</f>
        <v>4217.264000000001</v>
      </c>
      <c r="I49" s="18"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27" customHeight="1" x14ac:dyDescent="0.15">
      <c r="A50" s="17">
        <v>20170129</v>
      </c>
      <c r="B50" s="19" t="s">
        <v>58</v>
      </c>
      <c r="C50" s="36" t="s">
        <v>57</v>
      </c>
      <c r="D50" s="17"/>
      <c r="E50" s="17" t="s">
        <v>56</v>
      </c>
      <c r="F50" s="17" t="s">
        <v>268</v>
      </c>
      <c r="G50" s="17" t="s">
        <v>54</v>
      </c>
      <c r="H50" s="18">
        <f>[21]副本!G99</f>
        <v>4070.8150000000078</v>
      </c>
      <c r="I50" s="18">
        <f>H50</f>
        <v>4070.8150000000078</v>
      </c>
      <c r="J50" s="17"/>
      <c r="K50" s="16"/>
      <c r="L50" s="16">
        <v>0</v>
      </c>
      <c r="M50" s="15">
        <v>5000</v>
      </c>
      <c r="N50" s="23" t="s">
        <v>53</v>
      </c>
      <c r="O50" s="22" t="s">
        <v>52</v>
      </c>
      <c r="P50" s="12" t="s">
        <v>474</v>
      </c>
    </row>
    <row r="51" spans="1:17" s="11" customFormat="1" ht="27" customHeight="1" x14ac:dyDescent="0.15">
      <c r="A51" s="17">
        <v>20170129</v>
      </c>
      <c r="B51" s="19" t="s">
        <v>50</v>
      </c>
      <c r="C51" s="36" t="s">
        <v>28</v>
      </c>
      <c r="D51" s="17"/>
      <c r="E51" s="17"/>
      <c r="F51" s="17"/>
      <c r="G51" s="17"/>
      <c r="H51" s="18"/>
      <c r="I51" s="18"/>
      <c r="J51" s="17"/>
      <c r="K51" s="15"/>
      <c r="L51" s="16"/>
      <c r="M51" s="15">
        <v>3000</v>
      </c>
      <c r="N51" s="14"/>
      <c r="O51" s="13"/>
      <c r="P51" s="12"/>
    </row>
    <row r="52" spans="1:17" s="11" customFormat="1" ht="27" customHeight="1" x14ac:dyDescent="0.15">
      <c r="A52" s="17">
        <v>20170129</v>
      </c>
      <c r="B52" s="19" t="s">
        <v>49</v>
      </c>
      <c r="C52" s="36" t="s">
        <v>28</v>
      </c>
      <c r="D52" s="17" t="s">
        <v>5</v>
      </c>
      <c r="E52" s="17" t="s">
        <v>34</v>
      </c>
      <c r="F52" s="17" t="s">
        <v>48</v>
      </c>
      <c r="G52" s="17" t="s">
        <v>22</v>
      </c>
      <c r="H52" s="18">
        <f>[21]副本!G103</f>
        <v>17526.61</v>
      </c>
      <c r="I52" s="18">
        <v>0</v>
      </c>
      <c r="J52" s="17"/>
      <c r="K52" s="15"/>
      <c r="L52" s="16">
        <f>H52-I52</f>
        <v>17526.61</v>
      </c>
      <c r="M52" s="15">
        <v>25000</v>
      </c>
      <c r="N52" s="14" t="s">
        <v>47</v>
      </c>
      <c r="O52" s="13" t="s">
        <v>46</v>
      </c>
      <c r="P52" s="12" t="s">
        <v>45</v>
      </c>
    </row>
    <row r="53" spans="1:17" s="11" customFormat="1" ht="27" customHeight="1" x14ac:dyDescent="0.15">
      <c r="A53" s="17">
        <v>20170129</v>
      </c>
      <c r="B53" s="19" t="s">
        <v>44</v>
      </c>
      <c r="C53" s="36" t="s">
        <v>43</v>
      </c>
      <c r="D53" s="17" t="s">
        <v>5</v>
      </c>
      <c r="E53" s="17" t="s">
        <v>34</v>
      </c>
      <c r="F53" s="17" t="s">
        <v>234</v>
      </c>
      <c r="G53" s="17" t="s">
        <v>22</v>
      </c>
      <c r="H53" s="18">
        <f>[21]副本!G105</f>
        <v>36667.325000000084</v>
      </c>
      <c r="I53" s="18">
        <v>0</v>
      </c>
      <c r="J53" s="17"/>
      <c r="K53" s="15"/>
      <c r="L53" s="16">
        <f>H53-I53</f>
        <v>36667.325000000084</v>
      </c>
      <c r="M53" s="15">
        <v>50000</v>
      </c>
      <c r="N53" s="14"/>
      <c r="O53" s="13"/>
      <c r="P53" s="12"/>
    </row>
    <row r="54" spans="1:17" s="11" customFormat="1" ht="27" customHeight="1" x14ac:dyDescent="0.15">
      <c r="A54" s="17">
        <v>20170129</v>
      </c>
      <c r="B54" s="19" t="s">
        <v>41</v>
      </c>
      <c r="C54" s="36" t="s">
        <v>28</v>
      </c>
      <c r="D54" s="17"/>
      <c r="E54" s="17" t="s">
        <v>67</v>
      </c>
      <c r="F54" s="17" t="s">
        <v>39</v>
      </c>
      <c r="G54" s="17" t="s">
        <v>22</v>
      </c>
      <c r="H54" s="18">
        <f>[21]副本!G109</f>
        <v>2593.6109999999999</v>
      </c>
      <c r="I54" s="18">
        <f>H54</f>
        <v>2593.6109999999999</v>
      </c>
      <c r="J54" s="17"/>
      <c r="K54" s="15"/>
      <c r="L54" s="16">
        <f>H54-I54</f>
        <v>0</v>
      </c>
      <c r="M54" s="15">
        <v>4000</v>
      </c>
      <c r="N54" s="14"/>
      <c r="O54" s="13"/>
      <c r="P54" s="12" t="s">
        <v>457</v>
      </c>
    </row>
    <row r="55" spans="1:17" s="11" customFormat="1" ht="27" customHeight="1" x14ac:dyDescent="0.15">
      <c r="A55" s="17">
        <v>20170129</v>
      </c>
      <c r="B55" s="19" t="s">
        <v>37</v>
      </c>
      <c r="C55" s="36" t="s">
        <v>31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27" customHeight="1" x14ac:dyDescent="0.15">
      <c r="A56" s="17">
        <v>20170129</v>
      </c>
      <c r="B56" s="19" t="s">
        <v>36</v>
      </c>
      <c r="C56" s="36" t="s">
        <v>31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27" customHeight="1" x14ac:dyDescent="0.15">
      <c r="A57" s="17">
        <v>20170129</v>
      </c>
      <c r="B57" s="19" t="s">
        <v>35</v>
      </c>
      <c r="C57" s="36" t="s">
        <v>28</v>
      </c>
      <c r="D57" s="17" t="s">
        <v>5</v>
      </c>
      <c r="E57" s="17" t="s">
        <v>34</v>
      </c>
      <c r="F57" s="17" t="s">
        <v>435</v>
      </c>
      <c r="G57" s="17" t="s">
        <v>22</v>
      </c>
      <c r="H57" s="18">
        <f>[21]副本!G115</f>
        <v>1767.3689999999997</v>
      </c>
      <c r="I57" s="18">
        <v>0</v>
      </c>
      <c r="J57" s="17"/>
      <c r="K57" s="16"/>
      <c r="L57" s="16">
        <f>H57-I57</f>
        <v>1767.3689999999997</v>
      </c>
      <c r="M57" s="15">
        <v>10000</v>
      </c>
      <c r="N57" s="14"/>
      <c r="O57" s="13"/>
      <c r="P57" s="12"/>
      <c r="Q57" s="20"/>
    </row>
    <row r="58" spans="1:17" s="11" customFormat="1" ht="27" customHeight="1" x14ac:dyDescent="0.15">
      <c r="A58" s="17">
        <v>20170129</v>
      </c>
      <c r="B58" s="19" t="s">
        <v>32</v>
      </c>
      <c r="C58" s="36" t="s">
        <v>31</v>
      </c>
      <c r="D58" s="17" t="s">
        <v>5</v>
      </c>
      <c r="E58" s="17" t="s">
        <v>4</v>
      </c>
      <c r="F58" s="17" t="s">
        <v>436</v>
      </c>
      <c r="G58" s="17" t="s">
        <v>22</v>
      </c>
      <c r="H58" s="18">
        <f>[21]副本!G117</f>
        <v>3990.8999999999996</v>
      </c>
      <c r="I58" s="18">
        <v>0</v>
      </c>
      <c r="J58" s="17"/>
      <c r="K58" s="21">
        <v>150</v>
      </c>
      <c r="L58" s="16">
        <f>H58-I58</f>
        <v>3990.8999999999996</v>
      </c>
      <c r="M58" s="15">
        <v>15000</v>
      </c>
      <c r="N58" s="14"/>
      <c r="O58" s="13"/>
      <c r="P58" s="12" t="s">
        <v>472</v>
      </c>
      <c r="Q58" s="20"/>
    </row>
    <row r="59" spans="1:17" s="11" customFormat="1" ht="27" customHeight="1" x14ac:dyDescent="0.15">
      <c r="A59" s="17">
        <v>20170129</v>
      </c>
      <c r="B59" s="19" t="s">
        <v>32</v>
      </c>
      <c r="C59" s="36" t="s">
        <v>31</v>
      </c>
      <c r="D59" s="17" t="s">
        <v>5</v>
      </c>
      <c r="E59" s="17" t="s">
        <v>4</v>
      </c>
      <c r="F59" s="17" t="s">
        <v>437</v>
      </c>
      <c r="G59" s="17" t="s">
        <v>22</v>
      </c>
      <c r="H59" s="18">
        <f>[21]副本!G118</f>
        <v>96.340000000000146</v>
      </c>
      <c r="I59" s="18">
        <f>H59</f>
        <v>96.340000000000146</v>
      </c>
      <c r="J59" s="17"/>
      <c r="K59" s="21"/>
      <c r="L59" s="16">
        <f>H59-I59</f>
        <v>0</v>
      </c>
      <c r="M59" s="15">
        <v>15000</v>
      </c>
      <c r="N59" s="14"/>
      <c r="O59" s="13"/>
      <c r="P59" s="12" t="s">
        <v>470</v>
      </c>
      <c r="Q59" s="20"/>
    </row>
    <row r="60" spans="1:17" s="11" customFormat="1" ht="27" customHeight="1" x14ac:dyDescent="0.15">
      <c r="A60" s="17">
        <v>20170129</v>
      </c>
      <c r="B60" s="19" t="s">
        <v>30</v>
      </c>
      <c r="C60" s="19" t="s">
        <v>28</v>
      </c>
      <c r="D60" s="17" t="s">
        <v>5</v>
      </c>
      <c r="E60" s="17" t="s">
        <v>4</v>
      </c>
      <c r="F60" s="17" t="s">
        <v>3</v>
      </c>
      <c r="G60" s="17" t="s">
        <v>22</v>
      </c>
      <c r="H60" s="18">
        <f>[21]副本!G120</f>
        <v>9876.0309999999954</v>
      </c>
      <c r="I60" s="18">
        <f>H60</f>
        <v>9876.0309999999954</v>
      </c>
      <c r="J60" s="17"/>
      <c r="K60" s="15">
        <v>650</v>
      </c>
      <c r="L60" s="16"/>
      <c r="M60" s="15">
        <v>43000</v>
      </c>
      <c r="N60" s="14"/>
      <c r="O60" s="13"/>
      <c r="P60" s="12" t="s">
        <v>220</v>
      </c>
      <c r="Q60" s="20"/>
    </row>
    <row r="61" spans="1:17" s="11" customFormat="1" ht="27" customHeight="1" x14ac:dyDescent="0.15">
      <c r="A61" s="17">
        <v>20170129</v>
      </c>
      <c r="B61" s="19" t="s">
        <v>30</v>
      </c>
      <c r="C61" s="19" t="s">
        <v>28</v>
      </c>
      <c r="D61" s="17" t="s">
        <v>5</v>
      </c>
      <c r="E61" s="17" t="s">
        <v>4</v>
      </c>
      <c r="F61" s="17" t="s">
        <v>251</v>
      </c>
      <c r="G61" s="17" t="s">
        <v>22</v>
      </c>
      <c r="H61" s="18">
        <f>[21]副本!G121</f>
        <v>21.100000000000364</v>
      </c>
      <c r="I61" s="18">
        <f>H61</f>
        <v>21.100000000000364</v>
      </c>
      <c r="J61" s="17"/>
      <c r="K61" s="17"/>
      <c r="L61" s="16"/>
      <c r="M61" s="15">
        <v>43000</v>
      </c>
      <c r="N61" s="14"/>
      <c r="O61" s="13"/>
      <c r="P61" s="12" t="s">
        <v>220</v>
      </c>
      <c r="Q61" s="20"/>
    </row>
    <row r="62" spans="1:17" s="11" customFormat="1" ht="27" customHeight="1" x14ac:dyDescent="0.15">
      <c r="A62" s="17">
        <v>20170129</v>
      </c>
      <c r="B62" s="19" t="s">
        <v>29</v>
      </c>
      <c r="C62" s="19" t="s">
        <v>28</v>
      </c>
      <c r="D62" s="17" t="s">
        <v>5</v>
      </c>
      <c r="E62" s="17"/>
      <c r="F62" s="17"/>
      <c r="G62" s="17"/>
      <c r="H62" s="18"/>
      <c r="I62" s="18"/>
      <c r="J62" s="17"/>
      <c r="K62" s="15"/>
      <c r="L62" s="16"/>
      <c r="M62" s="15">
        <v>43000</v>
      </c>
      <c r="N62" s="14"/>
      <c r="O62" s="13"/>
      <c r="P62" s="12"/>
      <c r="Q62" s="20"/>
    </row>
    <row r="63" spans="1:17" s="11" customFormat="1" ht="27" customHeight="1" x14ac:dyDescent="0.15">
      <c r="A63" s="17">
        <v>20170129</v>
      </c>
      <c r="B63" s="19" t="s">
        <v>24</v>
      </c>
      <c r="C63" s="36" t="s">
        <v>0</v>
      </c>
      <c r="D63" s="17"/>
      <c r="E63" s="17" t="s">
        <v>590</v>
      </c>
      <c r="F63" s="17" t="s">
        <v>588</v>
      </c>
      <c r="G63" s="17" t="s">
        <v>2</v>
      </c>
      <c r="H63" s="18">
        <f>[21]副本!G125</f>
        <v>8339.3289999999961</v>
      </c>
      <c r="I63" s="18">
        <f>H63-8339.329</f>
        <v>0</v>
      </c>
      <c r="J63" s="17"/>
      <c r="K63" s="15"/>
      <c r="L63" s="16">
        <f>H63-I63</f>
        <v>8339.3289999999961</v>
      </c>
      <c r="M63" s="15">
        <v>20000</v>
      </c>
      <c r="N63" s="14"/>
      <c r="O63" s="13"/>
      <c r="P63" s="12"/>
    </row>
    <row r="64" spans="1:17" s="11" customFormat="1" ht="27" customHeight="1" x14ac:dyDescent="0.15">
      <c r="A64" s="17">
        <v>20170129</v>
      </c>
      <c r="B64" s="19" t="s">
        <v>442</v>
      </c>
      <c r="C64" s="36" t="s">
        <v>0</v>
      </c>
      <c r="D64" s="17"/>
      <c r="E64" s="17" t="s">
        <v>12</v>
      </c>
      <c r="F64" s="17" t="s">
        <v>602</v>
      </c>
      <c r="G64" s="17" t="s">
        <v>2</v>
      </c>
      <c r="H64" s="18">
        <f>[21]副本!G127</f>
        <v>13599.228999999992</v>
      </c>
      <c r="I64" s="18">
        <f>H64-4751.949+4751.949</f>
        <v>13599.228999999992</v>
      </c>
      <c r="J64" s="17"/>
      <c r="K64" s="15"/>
      <c r="L64" s="16">
        <f>H64-I64</f>
        <v>0</v>
      </c>
      <c r="M64" s="15">
        <v>30000</v>
      </c>
      <c r="N64" s="14"/>
      <c r="O64" s="13"/>
      <c r="P64" s="12" t="s">
        <v>580</v>
      </c>
    </row>
    <row r="65" spans="1:16" s="11" customFormat="1" ht="27" customHeight="1" x14ac:dyDescent="0.15">
      <c r="A65" s="17">
        <v>20170129</v>
      </c>
      <c r="B65" s="19" t="s">
        <v>18</v>
      </c>
      <c r="C65" s="36" t="s">
        <v>0</v>
      </c>
      <c r="D65" s="17" t="s">
        <v>5</v>
      </c>
      <c r="E65" s="17" t="s">
        <v>4</v>
      </c>
      <c r="F65" s="17" t="s">
        <v>17</v>
      </c>
      <c r="G65" s="17" t="s">
        <v>2</v>
      </c>
      <c r="H65" s="18">
        <f>[21]副本!G130</f>
        <v>14976.093999999999</v>
      </c>
      <c r="I65" s="18">
        <f>H65-14976.094</f>
        <v>0</v>
      </c>
      <c r="J65" s="17"/>
      <c r="K65" s="15">
        <v>350</v>
      </c>
      <c r="L65" s="16">
        <f>H65-I65</f>
        <v>14976.093999999999</v>
      </c>
      <c r="M65" s="15">
        <v>20000</v>
      </c>
      <c r="N65" s="14" t="s">
        <v>16</v>
      </c>
      <c r="O65" s="13" t="s">
        <v>15</v>
      </c>
      <c r="P65" s="12" t="s">
        <v>14</v>
      </c>
    </row>
    <row r="66" spans="1:16" s="11" customFormat="1" ht="27" customHeight="1" x14ac:dyDescent="0.15">
      <c r="A66" s="17">
        <v>20170129</v>
      </c>
      <c r="B66" s="19" t="s">
        <v>13</v>
      </c>
      <c r="C66" s="36" t="s">
        <v>0</v>
      </c>
      <c r="D66" s="17"/>
      <c r="E66" s="17" t="s">
        <v>12</v>
      </c>
      <c r="F66" s="17" t="s">
        <v>11</v>
      </c>
      <c r="G66" s="17" t="s">
        <v>2</v>
      </c>
      <c r="H66" s="18">
        <f>[21]副本!G132</f>
        <v>20204.884999999973</v>
      </c>
      <c r="I66" s="18">
        <f>H66</f>
        <v>20204.884999999973</v>
      </c>
      <c r="J66" s="17"/>
      <c r="K66" s="15"/>
      <c r="L66" s="16">
        <v>0</v>
      </c>
      <c r="M66" s="15">
        <v>30000</v>
      </c>
      <c r="N66" s="14"/>
      <c r="O66" s="13"/>
      <c r="P66" s="12"/>
    </row>
    <row r="67" spans="1:16" s="11" customFormat="1" ht="27" customHeight="1" x14ac:dyDescent="0.15">
      <c r="A67" s="17">
        <v>20170129</v>
      </c>
      <c r="B67" s="19" t="s">
        <v>10</v>
      </c>
      <c r="C67" s="36" t="s">
        <v>0</v>
      </c>
      <c r="D67" s="17"/>
      <c r="E67" s="17" t="s">
        <v>9</v>
      </c>
      <c r="F67" s="12" t="s">
        <v>8</v>
      </c>
      <c r="G67" s="17" t="s">
        <v>2</v>
      </c>
      <c r="H67" s="18">
        <f>[21]副本!G134</f>
        <v>0</v>
      </c>
      <c r="I67" s="18">
        <f>H67</f>
        <v>0</v>
      </c>
      <c r="J67" s="17"/>
      <c r="K67" s="15"/>
      <c r="L67" s="16">
        <f>H67-I67</f>
        <v>0</v>
      </c>
      <c r="M67" s="15">
        <v>20000</v>
      </c>
      <c r="N67" s="14"/>
      <c r="O67" s="13"/>
      <c r="P67" s="17" t="s">
        <v>449</v>
      </c>
    </row>
    <row r="68" spans="1:16" s="11" customFormat="1" ht="27" customHeight="1" x14ac:dyDescent="0.15">
      <c r="A68" s="17">
        <v>20170129</v>
      </c>
      <c r="B68" s="19" t="s">
        <v>10</v>
      </c>
      <c r="C68" s="36" t="s">
        <v>0</v>
      </c>
      <c r="D68" s="17"/>
      <c r="E68" s="17" t="s">
        <v>9</v>
      </c>
      <c r="F68" s="12" t="s">
        <v>257</v>
      </c>
      <c r="G68" s="17" t="s">
        <v>2</v>
      </c>
      <c r="H68" s="18">
        <f>[21]副本!G135</f>
        <v>-68.725000000000364</v>
      </c>
      <c r="I68" s="18">
        <f>H68</f>
        <v>-68.725000000000364</v>
      </c>
      <c r="J68" s="17"/>
      <c r="K68" s="15"/>
      <c r="L68" s="16">
        <v>0</v>
      </c>
      <c r="M68" s="15">
        <v>20000</v>
      </c>
      <c r="N68" s="14"/>
      <c r="O68" s="13"/>
      <c r="P68" s="12" t="s">
        <v>252</v>
      </c>
    </row>
    <row r="69" spans="1:16" s="11" customFormat="1" ht="27" customHeight="1" x14ac:dyDescent="0.15">
      <c r="A69" s="17">
        <v>20170129</v>
      </c>
      <c r="B69" s="19" t="s">
        <v>7</v>
      </c>
      <c r="C69" s="36" t="s">
        <v>0</v>
      </c>
      <c r="D69" s="17"/>
      <c r="E69" s="17"/>
      <c r="F69" s="17"/>
      <c r="G69" s="17"/>
      <c r="H69" s="18"/>
      <c r="I69" s="18"/>
      <c r="J69" s="17"/>
      <c r="K69" s="15"/>
      <c r="L69" s="16"/>
      <c r="M69" s="15">
        <v>15000</v>
      </c>
      <c r="N69" s="14"/>
      <c r="O69" s="13"/>
      <c r="P69" s="12"/>
    </row>
    <row r="70" spans="1:16" s="11" customFormat="1" ht="27" customHeight="1" x14ac:dyDescent="0.15">
      <c r="A70" s="17">
        <v>20170129</v>
      </c>
      <c r="B70" s="19" t="s">
        <v>6</v>
      </c>
      <c r="C70" s="36" t="s">
        <v>0</v>
      </c>
      <c r="D70" s="17" t="s">
        <v>5</v>
      </c>
      <c r="E70" s="17" t="s">
        <v>4</v>
      </c>
      <c r="F70" s="17" t="s">
        <v>3</v>
      </c>
      <c r="G70" s="17" t="s">
        <v>2</v>
      </c>
      <c r="H70" s="18">
        <f>[21]副本!G139</f>
        <v>12005.106</v>
      </c>
      <c r="I70" s="18">
        <f>H70-12005.106</f>
        <v>0</v>
      </c>
      <c r="J70" s="17"/>
      <c r="K70" s="15"/>
      <c r="L70" s="16">
        <f>H70-I70</f>
        <v>12005.106</v>
      </c>
      <c r="M70" s="15">
        <v>15000</v>
      </c>
      <c r="N70" s="14"/>
      <c r="O70" s="13"/>
      <c r="P70" s="12"/>
    </row>
    <row r="71" spans="1:16" s="11" customFormat="1" ht="27" customHeight="1" x14ac:dyDescent="0.15">
      <c r="A71" s="17">
        <v>20170129</v>
      </c>
      <c r="B71" s="19" t="s">
        <v>1</v>
      </c>
      <c r="C71" s="36" t="s">
        <v>0</v>
      </c>
      <c r="D71" s="17"/>
      <c r="E71" s="17" t="s">
        <v>4</v>
      </c>
      <c r="F71" s="17" t="s">
        <v>437</v>
      </c>
      <c r="G71" s="17" t="s">
        <v>2</v>
      </c>
      <c r="H71" s="18">
        <f>[21]副本!G141</f>
        <v>6761.6299999999992</v>
      </c>
      <c r="I71" s="18">
        <f>H71</f>
        <v>6761.6299999999992</v>
      </c>
      <c r="J71" s="17"/>
      <c r="K71" s="15"/>
      <c r="L71" s="16">
        <f>H71-I71</f>
        <v>0</v>
      </c>
      <c r="M71" s="15">
        <v>15000</v>
      </c>
      <c r="N71" s="14"/>
      <c r="O71" s="13"/>
      <c r="P71" s="12" t="s">
        <v>475</v>
      </c>
    </row>
    <row r="77" spans="1:16" x14ac:dyDescent="0.15">
      <c r="L77" s="10"/>
    </row>
    <row r="229" spans="7:8" x14ac:dyDescent="0.15">
      <c r="G229" s="2"/>
      <c r="H229" s="2"/>
    </row>
  </sheetData>
  <autoFilter ref="B1:I71"/>
  <phoneticPr fontId="3" type="noConversion"/>
  <pageMargins left="0.36" right="7.9166666666666663E-2" top="0.57999999999999996" bottom="0.12" header="0.32" footer="0.09"/>
  <pageSetup scale="95" orientation="landscape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9"/>
  <sheetViews>
    <sheetView tabSelected="1" workbookViewId="0">
      <pane xSplit="3" ySplit="1" topLeftCell="D8" activePane="bottomRight" state="frozen"/>
      <selection activeCell="G5" sqref="G5"/>
      <selection pane="topRight" activeCell="G5" sqref="G5"/>
      <selection pane="bottomLeft" activeCell="G5" sqref="G5"/>
      <selection pane="bottomRight" activeCell="F17" sqref="F17:F18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13.5" style="2" customWidth="1"/>
    <col min="6" max="6" width="28.12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78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29" t="s">
        <v>272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32.25" customHeight="1" x14ac:dyDescent="0.15">
      <c r="A2" s="17">
        <v>20170130</v>
      </c>
      <c r="B2" s="19" t="s">
        <v>158</v>
      </c>
      <c r="C2" s="36" t="s">
        <v>63</v>
      </c>
      <c r="D2" s="19"/>
      <c r="E2" s="17" t="s">
        <v>141</v>
      </c>
      <c r="F2" s="63" t="s">
        <v>144</v>
      </c>
      <c r="G2" s="12" t="s">
        <v>54</v>
      </c>
      <c r="H2" s="18"/>
      <c r="I2" s="18"/>
      <c r="J2" s="17"/>
      <c r="K2" s="15"/>
      <c r="L2" s="16">
        <v>0</v>
      </c>
      <c r="M2" s="15">
        <v>2000</v>
      </c>
      <c r="N2" s="14" t="s">
        <v>143</v>
      </c>
      <c r="O2" s="13" t="s">
        <v>124</v>
      </c>
      <c r="P2" s="12"/>
    </row>
    <row r="3" spans="1:17" s="11" customFormat="1" ht="32.25" customHeight="1" x14ac:dyDescent="0.15">
      <c r="A3" s="17">
        <v>20170130</v>
      </c>
      <c r="B3" s="19" t="s">
        <v>157</v>
      </c>
      <c r="C3" s="36" t="s">
        <v>63</v>
      </c>
      <c r="D3" s="19"/>
      <c r="E3" s="17" t="s">
        <v>116</v>
      </c>
      <c r="F3" s="17" t="s">
        <v>468</v>
      </c>
      <c r="G3" s="12" t="s">
        <v>54</v>
      </c>
      <c r="H3" s="18">
        <f>[22]副本!G6</f>
        <v>738.57899999999995</v>
      </c>
      <c r="I3" s="18">
        <f>H3</f>
        <v>738.57899999999995</v>
      </c>
      <c r="J3" s="17"/>
      <c r="K3" s="15"/>
      <c r="L3" s="16">
        <f>H3-I3</f>
        <v>0</v>
      </c>
      <c r="M3" s="15">
        <v>1500</v>
      </c>
      <c r="N3" s="14"/>
      <c r="O3" s="13"/>
      <c r="P3" s="12"/>
    </row>
    <row r="4" spans="1:17" s="11" customFormat="1" ht="32.25" customHeight="1" x14ac:dyDescent="0.15">
      <c r="A4" s="17">
        <v>20170130</v>
      </c>
      <c r="B4" s="19" t="s">
        <v>153</v>
      </c>
      <c r="C4" s="36" t="s">
        <v>63</v>
      </c>
      <c r="D4" s="19"/>
      <c r="E4" s="17" t="s">
        <v>56</v>
      </c>
      <c r="F4" s="63" t="s">
        <v>61</v>
      </c>
      <c r="G4" s="12" t="s">
        <v>54</v>
      </c>
      <c r="H4" s="18">
        <f>[22]副本!G8</f>
        <v>1710.5029999999958</v>
      </c>
      <c r="I4" s="18">
        <f>H4</f>
        <v>1710.5029999999958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32.25" customHeight="1" x14ac:dyDescent="0.15">
      <c r="A5" s="17">
        <v>20170130</v>
      </c>
      <c r="B5" s="19" t="s">
        <v>149</v>
      </c>
      <c r="C5" s="36" t="s">
        <v>63</v>
      </c>
      <c r="D5" s="17"/>
      <c r="E5" s="17" t="s">
        <v>148</v>
      </c>
      <c r="F5" s="63" t="s">
        <v>140</v>
      </c>
      <c r="G5" s="12" t="s">
        <v>54</v>
      </c>
      <c r="H5" s="18" t="s">
        <v>586</v>
      </c>
      <c r="I5" s="18" t="s">
        <v>586</v>
      </c>
      <c r="J5" s="17"/>
      <c r="K5" s="15"/>
      <c r="L5" s="16">
        <v>0</v>
      </c>
      <c r="M5" s="15">
        <v>2000</v>
      </c>
      <c r="N5" s="14" t="s">
        <v>147</v>
      </c>
      <c r="O5" s="13" t="s">
        <v>124</v>
      </c>
      <c r="P5" s="12" t="s">
        <v>150</v>
      </c>
    </row>
    <row r="6" spans="1:17" s="11" customFormat="1" ht="32.25" customHeight="1" x14ac:dyDescent="0.15">
      <c r="A6" s="17">
        <v>20170130</v>
      </c>
      <c r="B6" s="19" t="s">
        <v>145</v>
      </c>
      <c r="C6" s="36" t="s">
        <v>63</v>
      </c>
      <c r="D6" s="17"/>
      <c r="E6" s="17" t="s">
        <v>141</v>
      </c>
      <c r="F6" s="63" t="s">
        <v>144</v>
      </c>
      <c r="G6" s="12" t="s">
        <v>54</v>
      </c>
      <c r="H6" s="18">
        <f>[22]副本!G12</f>
        <v>2871.8580000000002</v>
      </c>
      <c r="I6" s="18">
        <f t="shared" ref="I6:I14" si="0">H6</f>
        <v>2871.8580000000002</v>
      </c>
      <c r="J6" s="17"/>
      <c r="K6" s="15"/>
      <c r="L6" s="16">
        <v>0</v>
      </c>
      <c r="M6" s="15">
        <v>3000</v>
      </c>
      <c r="N6" s="14" t="s">
        <v>143</v>
      </c>
      <c r="O6" s="13" t="s">
        <v>124</v>
      </c>
      <c r="P6" s="12" t="s">
        <v>576</v>
      </c>
      <c r="Q6" s="20"/>
    </row>
    <row r="7" spans="1:17" s="11" customFormat="1" ht="32.25" customHeight="1" x14ac:dyDescent="0.15">
      <c r="A7" s="17">
        <v>20170130</v>
      </c>
      <c r="B7" s="19" t="s">
        <v>142</v>
      </c>
      <c r="C7" s="36" t="s">
        <v>63</v>
      </c>
      <c r="D7" s="17"/>
      <c r="E7" s="17" t="s">
        <v>141</v>
      </c>
      <c r="F7" s="63" t="s">
        <v>140</v>
      </c>
      <c r="G7" s="17" t="s">
        <v>54</v>
      </c>
      <c r="H7" s="18">
        <f>[22]副本!G14</f>
        <v>2481.8399999999992</v>
      </c>
      <c r="I7" s="18">
        <f t="shared" si="0"/>
        <v>2481.8399999999992</v>
      </c>
      <c r="J7" s="17"/>
      <c r="K7" s="15"/>
      <c r="L7" s="16">
        <v>0</v>
      </c>
      <c r="M7" s="15">
        <v>3000</v>
      </c>
      <c r="N7" s="14"/>
      <c r="O7" s="13"/>
      <c r="P7" s="12" t="s">
        <v>585</v>
      </c>
      <c r="Q7" s="20"/>
    </row>
    <row r="8" spans="1:17" s="11" customFormat="1" ht="32.25" customHeight="1" x14ac:dyDescent="0.15">
      <c r="A8" s="17">
        <v>20170130</v>
      </c>
      <c r="B8" s="19" t="s">
        <v>139</v>
      </c>
      <c r="C8" s="36" t="s">
        <v>63</v>
      </c>
      <c r="D8" s="17"/>
      <c r="E8" s="17" t="s">
        <v>583</v>
      </c>
      <c r="F8" s="17" t="s">
        <v>579</v>
      </c>
      <c r="G8" s="17" t="s">
        <v>54</v>
      </c>
      <c r="H8" s="18">
        <f>[22]副本!G16</f>
        <v>2087.2890000000002</v>
      </c>
      <c r="I8" s="18">
        <f t="shared" si="0"/>
        <v>2087.2890000000002</v>
      </c>
      <c r="J8" s="17"/>
      <c r="K8" s="15"/>
      <c r="L8" s="16">
        <v>0</v>
      </c>
      <c r="M8" s="15">
        <v>3000</v>
      </c>
      <c r="N8" s="14"/>
      <c r="O8" s="13"/>
      <c r="P8" s="12" t="s">
        <v>574</v>
      </c>
    </row>
    <row r="9" spans="1:17" s="11" customFormat="1" ht="32.25" customHeight="1" x14ac:dyDescent="0.15">
      <c r="A9" s="17">
        <v>20170130</v>
      </c>
      <c r="B9" s="19" t="s">
        <v>138</v>
      </c>
      <c r="C9" s="36" t="s">
        <v>31</v>
      </c>
      <c r="D9" s="17"/>
      <c r="E9" s="17" t="s">
        <v>9</v>
      </c>
      <c r="F9" s="17" t="s">
        <v>104</v>
      </c>
      <c r="G9" s="17" t="s">
        <v>54</v>
      </c>
      <c r="H9" s="17">
        <f>[22]副本!G18</f>
        <v>1322.4749999999999</v>
      </c>
      <c r="I9" s="18">
        <f t="shared" si="0"/>
        <v>1322.4749999999999</v>
      </c>
      <c r="J9" s="17"/>
      <c r="K9" s="15">
        <v>100</v>
      </c>
      <c r="L9" s="16">
        <f t="shared" ref="L9:L14" si="1">H9-I9</f>
        <v>0</v>
      </c>
      <c r="M9" s="15">
        <v>5000</v>
      </c>
      <c r="N9" s="14" t="s">
        <v>137</v>
      </c>
      <c r="O9" s="13" t="s">
        <v>136</v>
      </c>
      <c r="P9" s="12" t="s">
        <v>101</v>
      </c>
    </row>
    <row r="10" spans="1:17" s="11" customFormat="1" ht="32.25" customHeight="1" x14ac:dyDescent="0.15">
      <c r="A10" s="17">
        <v>20170130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[22]副本!G20</f>
        <v>1.5219999999999345</v>
      </c>
      <c r="I10" s="18">
        <f t="shared" si="0"/>
        <v>1.5219999999999345</v>
      </c>
      <c r="J10" s="17"/>
      <c r="K10" s="15"/>
      <c r="L10" s="16">
        <f t="shared" si="1"/>
        <v>0</v>
      </c>
      <c r="M10" s="15">
        <v>1500</v>
      </c>
      <c r="N10" s="14"/>
      <c r="O10" s="13"/>
      <c r="P10" s="12" t="s">
        <v>357</v>
      </c>
    </row>
    <row r="11" spans="1:17" s="11" customFormat="1" ht="32.25" customHeight="1" x14ac:dyDescent="0.15">
      <c r="A11" s="17">
        <v>20170130</v>
      </c>
      <c r="B11" s="19" t="s">
        <v>135</v>
      </c>
      <c r="C11" s="17" t="s">
        <v>63</v>
      </c>
      <c r="D11" s="17"/>
      <c r="E11" s="17" t="s">
        <v>92</v>
      </c>
      <c r="F11" s="17" t="s">
        <v>261</v>
      </c>
      <c r="G11" s="17" t="s">
        <v>54</v>
      </c>
      <c r="H11" s="18">
        <f>[22]副本!G21</f>
        <v>3.999999999996362E-2</v>
      </c>
      <c r="I11" s="18">
        <f t="shared" si="0"/>
        <v>3.999999999996362E-2</v>
      </c>
      <c r="J11" s="17"/>
      <c r="K11" s="15"/>
      <c r="L11" s="16">
        <f t="shared" si="1"/>
        <v>0</v>
      </c>
      <c r="M11" s="15">
        <v>1500</v>
      </c>
      <c r="N11" s="14"/>
      <c r="O11" s="13"/>
      <c r="P11" s="12" t="s">
        <v>355</v>
      </c>
    </row>
    <row r="12" spans="1:17" s="11" customFormat="1" ht="32.25" customHeight="1" x14ac:dyDescent="0.15">
      <c r="A12" s="17">
        <v>20170130</v>
      </c>
      <c r="B12" s="19" t="s">
        <v>135</v>
      </c>
      <c r="C12" s="17" t="s">
        <v>63</v>
      </c>
      <c r="D12" s="17"/>
      <c r="E12" s="17" t="s">
        <v>92</v>
      </c>
      <c r="F12" s="17" t="s">
        <v>91</v>
      </c>
      <c r="G12" s="17" t="s">
        <v>54</v>
      </c>
      <c r="H12" s="18">
        <f>[22]副本!G22</f>
        <v>1000</v>
      </c>
      <c r="I12" s="18">
        <f t="shared" si="0"/>
        <v>1000</v>
      </c>
      <c r="J12" s="17"/>
      <c r="K12" s="15"/>
      <c r="L12" s="16">
        <f t="shared" si="1"/>
        <v>0</v>
      </c>
      <c r="M12" s="15">
        <v>1500</v>
      </c>
      <c r="N12" s="14"/>
      <c r="O12" s="13"/>
      <c r="P12" s="12" t="s">
        <v>355</v>
      </c>
    </row>
    <row r="13" spans="1:17" s="11" customFormat="1" ht="32.25" customHeight="1" x14ac:dyDescent="0.15">
      <c r="A13" s="17">
        <v>20170130</v>
      </c>
      <c r="B13" s="19" t="s">
        <v>134</v>
      </c>
      <c r="C13" s="17" t="s">
        <v>63</v>
      </c>
      <c r="D13" s="17"/>
      <c r="E13" s="17" t="s">
        <v>116</v>
      </c>
      <c r="F13" s="17" t="s">
        <v>256</v>
      </c>
      <c r="G13" s="17" t="s">
        <v>54</v>
      </c>
      <c r="H13" s="18">
        <f>[22]副本!G24</f>
        <v>1502.1479999999999</v>
      </c>
      <c r="I13" s="18">
        <f t="shared" si="0"/>
        <v>1502.1479999999999</v>
      </c>
      <c r="J13" s="17"/>
      <c r="K13" s="15"/>
      <c r="L13" s="16">
        <f t="shared" si="1"/>
        <v>0</v>
      </c>
      <c r="M13" s="15">
        <v>1500</v>
      </c>
      <c r="N13" s="14"/>
      <c r="O13" s="13"/>
      <c r="P13" s="12"/>
    </row>
    <row r="14" spans="1:17" s="11" customFormat="1" ht="32.25" customHeight="1" x14ac:dyDescent="0.15">
      <c r="A14" s="17">
        <v>20170130</v>
      </c>
      <c r="B14" s="19" t="s">
        <v>133</v>
      </c>
      <c r="C14" s="36" t="s">
        <v>28</v>
      </c>
      <c r="D14" s="17"/>
      <c r="E14" s="17" t="s">
        <v>575</v>
      </c>
      <c r="F14" s="17" t="s">
        <v>579</v>
      </c>
      <c r="G14" s="17"/>
      <c r="H14" s="18">
        <f>[22]副本!G26</f>
        <v>904.43000000000006</v>
      </c>
      <c r="I14" s="18">
        <f t="shared" si="0"/>
        <v>904.43000000000006</v>
      </c>
      <c r="J14" s="17"/>
      <c r="K14" s="15"/>
      <c r="L14" s="16">
        <f t="shared" si="1"/>
        <v>0</v>
      </c>
      <c r="M14" s="15">
        <v>1500</v>
      </c>
      <c r="N14" s="14"/>
      <c r="O14" s="13"/>
      <c r="P14" s="12" t="s">
        <v>574</v>
      </c>
      <c r="Q14" s="20"/>
    </row>
    <row r="15" spans="1:17" s="11" customFormat="1" ht="32.25" customHeight="1" x14ac:dyDescent="0.15">
      <c r="A15" s="17">
        <v>20170130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32.25" customHeight="1" x14ac:dyDescent="0.15">
      <c r="A16" s="17">
        <v>20170130</v>
      </c>
      <c r="B16" s="19" t="s">
        <v>131</v>
      </c>
      <c r="C16" s="36" t="s">
        <v>63</v>
      </c>
      <c r="D16" s="17"/>
      <c r="E16" s="17" t="s">
        <v>92</v>
      </c>
      <c r="F16" s="17" t="s">
        <v>232</v>
      </c>
      <c r="G16" s="17" t="s">
        <v>54</v>
      </c>
      <c r="H16" s="18">
        <f>[22]副本!G30</f>
        <v>1051.9169999999999</v>
      </c>
      <c r="I16" s="18">
        <f>H16</f>
        <v>1051.9169999999999</v>
      </c>
      <c r="J16" s="17"/>
      <c r="K16" s="15">
        <v>70</v>
      </c>
      <c r="L16" s="16">
        <v>0</v>
      </c>
      <c r="M16" s="15">
        <v>1500</v>
      </c>
      <c r="N16" s="14"/>
      <c r="O16" s="13"/>
      <c r="P16" s="12" t="s">
        <v>351</v>
      </c>
    </row>
    <row r="17" spans="1:17" s="11" customFormat="1" ht="32.25" customHeight="1" x14ac:dyDescent="0.15">
      <c r="A17" s="17">
        <v>20170130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</v>
      </c>
      <c r="H17" s="18">
        <f>[22]副本!G32-H18</f>
        <v>612.24700000001758</v>
      </c>
      <c r="I17" s="18">
        <f>H17</f>
        <v>612.24700000001758</v>
      </c>
      <c r="J17" s="17"/>
      <c r="K17" s="15"/>
      <c r="L17" s="16">
        <f t="shared" ref="L17:L24" si="2">H17-I17</f>
        <v>0</v>
      </c>
      <c r="M17" s="15">
        <v>21000</v>
      </c>
      <c r="N17" s="14" t="s">
        <v>120</v>
      </c>
      <c r="O17" s="13" t="s">
        <v>124</v>
      </c>
      <c r="P17" s="12" t="s">
        <v>130</v>
      </c>
    </row>
    <row r="18" spans="1:17" s="11" customFormat="1" ht="32.25" customHeight="1" x14ac:dyDescent="0.15">
      <c r="A18" s="17">
        <v>20170130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 t="s">
        <v>2</v>
      </c>
      <c r="H18" s="18">
        <f>[22]副本!G34</f>
        <v>4387.7529999999824</v>
      </c>
      <c r="I18" s="18">
        <f>H18</f>
        <v>4387.7529999999824</v>
      </c>
      <c r="J18" s="17"/>
      <c r="K18" s="15"/>
      <c r="L18" s="16">
        <f t="shared" si="2"/>
        <v>0</v>
      </c>
      <c r="M18" s="15">
        <v>21000</v>
      </c>
      <c r="N18" s="14" t="s">
        <v>120</v>
      </c>
      <c r="O18" s="13" t="s">
        <v>119</v>
      </c>
      <c r="P18" s="12" t="s">
        <v>244</v>
      </c>
    </row>
    <row r="19" spans="1:17" s="11" customFormat="1" ht="32.25" customHeight="1" x14ac:dyDescent="0.15">
      <c r="A19" s="17">
        <v>20170130</v>
      </c>
      <c r="B19" s="19" t="s">
        <v>127</v>
      </c>
      <c r="C19" s="36" t="s">
        <v>63</v>
      </c>
      <c r="D19" s="17" t="s">
        <v>5</v>
      </c>
      <c r="E19" s="17" t="s">
        <v>84</v>
      </c>
      <c r="F19" s="17" t="s">
        <v>81</v>
      </c>
      <c r="G19" s="17" t="s">
        <v>54</v>
      </c>
      <c r="H19" s="18">
        <f>[22]副本!G36</f>
        <v>3496.5419999999999</v>
      </c>
      <c r="I19" s="18">
        <f>H19-3496.542</f>
        <v>0</v>
      </c>
      <c r="J19" s="17"/>
      <c r="K19" s="15"/>
      <c r="L19" s="16">
        <f t="shared" si="2"/>
        <v>3496.5419999999999</v>
      </c>
      <c r="M19" s="15">
        <v>5000</v>
      </c>
      <c r="N19" s="14"/>
      <c r="O19" s="13"/>
      <c r="P19" s="12"/>
    </row>
    <row r="20" spans="1:17" s="11" customFormat="1" ht="32.25" customHeight="1" x14ac:dyDescent="0.15">
      <c r="A20" s="17">
        <v>20170130</v>
      </c>
      <c r="B20" s="19" t="s">
        <v>126</v>
      </c>
      <c r="C20" s="36" t="s">
        <v>63</v>
      </c>
      <c r="D20" s="17"/>
      <c r="E20" s="17" t="s">
        <v>84</v>
      </c>
      <c r="F20" s="17" t="s">
        <v>81</v>
      </c>
      <c r="G20" s="17" t="s">
        <v>54</v>
      </c>
      <c r="H20" s="18">
        <f>[22]副本!G38</f>
        <v>0.28799999999955617</v>
      </c>
      <c r="I20" s="18">
        <f>H20</f>
        <v>0.28799999999955617</v>
      </c>
      <c r="J20" s="17"/>
      <c r="K20" s="15"/>
      <c r="L20" s="16">
        <f t="shared" si="2"/>
        <v>0</v>
      </c>
      <c r="M20" s="15">
        <v>3000</v>
      </c>
      <c r="N20" s="14"/>
      <c r="O20" s="13"/>
      <c r="P20" s="12" t="s">
        <v>573</v>
      </c>
    </row>
    <row r="21" spans="1:17" s="11" customFormat="1" ht="32.25" customHeight="1" x14ac:dyDescent="0.15">
      <c r="A21" s="17">
        <v>20170130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</v>
      </c>
      <c r="H21" s="18">
        <f>[22]副本!G40-'20170130'!H22</f>
        <v>8614.5454280000376</v>
      </c>
      <c r="I21" s="18">
        <f>H21</f>
        <v>8614.5454280000376</v>
      </c>
      <c r="J21" s="17"/>
      <c r="K21" s="15"/>
      <c r="L21" s="16">
        <f t="shared" si="2"/>
        <v>0</v>
      </c>
      <c r="M21" s="15">
        <v>21000</v>
      </c>
      <c r="N21" s="14" t="s">
        <v>125</v>
      </c>
      <c r="O21" s="13" t="s">
        <v>124</v>
      </c>
      <c r="P21" s="12" t="s">
        <v>123</v>
      </c>
    </row>
    <row r="22" spans="1:17" s="11" customFormat="1" ht="32.25" customHeight="1" x14ac:dyDescent="0.15">
      <c r="A22" s="17">
        <v>20170130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 t="s">
        <v>2</v>
      </c>
      <c r="H22" s="18">
        <f>[22]副本!G42</f>
        <v>8385.4545719999624</v>
      </c>
      <c r="I22" s="18">
        <f>H22</f>
        <v>8385.4545719999624</v>
      </c>
      <c r="J22" s="17"/>
      <c r="K22" s="28"/>
      <c r="L22" s="16">
        <f t="shared" si="2"/>
        <v>0</v>
      </c>
      <c r="M22" s="15">
        <v>21000</v>
      </c>
      <c r="N22" s="14" t="s">
        <v>120</v>
      </c>
      <c r="O22" s="13" t="s">
        <v>119</v>
      </c>
      <c r="P22" s="12" t="s">
        <v>243</v>
      </c>
    </row>
    <row r="23" spans="1:17" s="11" customFormat="1" ht="32.25" customHeight="1" x14ac:dyDescent="0.15">
      <c r="A23" s="17">
        <v>20170130</v>
      </c>
      <c r="B23" s="19" t="s">
        <v>117</v>
      </c>
      <c r="C23" s="36" t="s">
        <v>63</v>
      </c>
      <c r="D23" s="17"/>
      <c r="E23" s="17" t="s">
        <v>116</v>
      </c>
      <c r="F23" s="17" t="s">
        <v>115</v>
      </c>
      <c r="G23" s="17" t="s">
        <v>2</v>
      </c>
      <c r="H23" s="18">
        <f>[22]副本!G44</f>
        <v>6134.7419999999993</v>
      </c>
      <c r="I23" s="18">
        <f>H23</f>
        <v>6134.7419999999993</v>
      </c>
      <c r="J23" s="17"/>
      <c r="K23" s="15">
        <v>350</v>
      </c>
      <c r="L23" s="16">
        <f t="shared" si="2"/>
        <v>0</v>
      </c>
      <c r="M23" s="15">
        <v>5000</v>
      </c>
      <c r="N23" s="14"/>
      <c r="O23" s="13"/>
      <c r="P23" s="12" t="s">
        <v>114</v>
      </c>
    </row>
    <row r="24" spans="1:17" s="11" customFormat="1" ht="32.25" customHeight="1" x14ac:dyDescent="0.15">
      <c r="A24" s="17">
        <v>20170130</v>
      </c>
      <c r="B24" s="19" t="s">
        <v>113</v>
      </c>
      <c r="C24" s="36" t="s">
        <v>0</v>
      </c>
      <c r="D24" s="17"/>
      <c r="E24" s="12" t="s">
        <v>112</v>
      </c>
      <c r="F24" s="17" t="s">
        <v>39</v>
      </c>
      <c r="G24" s="17" t="s">
        <v>2</v>
      </c>
      <c r="H24" s="18">
        <f>[22]副本!G46</f>
        <v>1008.913</v>
      </c>
      <c r="I24" s="18">
        <f>H24</f>
        <v>1008.913</v>
      </c>
      <c r="J24" s="17"/>
      <c r="K24" s="15"/>
      <c r="L24" s="16">
        <f t="shared" si="2"/>
        <v>0</v>
      </c>
      <c r="M24" s="15">
        <v>5000</v>
      </c>
      <c r="N24" s="14"/>
      <c r="O24" s="13"/>
      <c r="P24" s="37" t="s">
        <v>462</v>
      </c>
    </row>
    <row r="25" spans="1:17" s="11" customFormat="1" ht="32.25" customHeight="1" x14ac:dyDescent="0.15">
      <c r="A25" s="17">
        <v>20170130</v>
      </c>
      <c r="B25" s="19" t="s">
        <v>110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32.25" customHeight="1" x14ac:dyDescent="0.15">
      <c r="A26" s="17">
        <v>20170130</v>
      </c>
      <c r="B26" s="19" t="s">
        <v>109</v>
      </c>
      <c r="C26" s="36" t="s">
        <v>63</v>
      </c>
      <c r="D26" s="17"/>
      <c r="E26" s="17"/>
      <c r="F26" s="17"/>
      <c r="G26" s="17"/>
      <c r="H26" s="18"/>
      <c r="I26" s="18"/>
      <c r="J26" s="17"/>
      <c r="K26" s="15"/>
      <c r="L26" s="16"/>
      <c r="M26" s="15">
        <v>4000</v>
      </c>
      <c r="N26" s="14"/>
      <c r="O26" s="13"/>
      <c r="P26" s="12"/>
    </row>
    <row r="27" spans="1:17" s="11" customFormat="1" ht="32.25" customHeight="1" x14ac:dyDescent="0.15">
      <c r="A27" s="17">
        <v>20170130</v>
      </c>
      <c r="B27" s="19" t="s">
        <v>106</v>
      </c>
      <c r="C27" s="36" t="s">
        <v>105</v>
      </c>
      <c r="D27" s="17"/>
      <c r="E27" s="17"/>
      <c r="F27" s="17"/>
      <c r="G27" s="17"/>
      <c r="H27" s="18"/>
      <c r="I27" s="18"/>
      <c r="J27" s="17"/>
      <c r="K27" s="15"/>
      <c r="L27" s="16"/>
      <c r="M27" s="15">
        <v>5000</v>
      </c>
      <c r="N27" s="14"/>
      <c r="O27" s="13"/>
      <c r="P27" s="12"/>
    </row>
    <row r="28" spans="1:17" s="11" customFormat="1" ht="32.25" customHeight="1" x14ac:dyDescent="0.15">
      <c r="A28" s="17">
        <v>20170130</v>
      </c>
      <c r="B28" s="19" t="s">
        <v>100</v>
      </c>
      <c r="C28" s="36" t="s">
        <v>96</v>
      </c>
      <c r="D28" s="17"/>
      <c r="E28" s="17" t="s">
        <v>67</v>
      </c>
      <c r="F28" s="17" t="s">
        <v>39</v>
      </c>
      <c r="G28" s="17" t="s">
        <v>2</v>
      </c>
      <c r="H28" s="18">
        <f>[22]副本!G55</f>
        <v>1496.749</v>
      </c>
      <c r="I28" s="18">
        <f>H28</f>
        <v>1496.749</v>
      </c>
      <c r="J28" s="17"/>
      <c r="K28" s="15">
        <v>1300</v>
      </c>
      <c r="L28" s="16">
        <f>H28-I28</f>
        <v>0</v>
      </c>
      <c r="M28" s="15">
        <v>2000</v>
      </c>
      <c r="N28" s="14"/>
      <c r="O28" s="13"/>
      <c r="P28" s="12" t="s">
        <v>457</v>
      </c>
    </row>
    <row r="29" spans="1:17" s="11" customFormat="1" ht="32.25" customHeight="1" x14ac:dyDescent="0.15">
      <c r="A29" s="17">
        <v>20170130</v>
      </c>
      <c r="B29" s="19" t="s">
        <v>99</v>
      </c>
      <c r="C29" s="36" t="s">
        <v>96</v>
      </c>
      <c r="D29" s="17"/>
      <c r="E29" s="17"/>
      <c r="F29" s="17"/>
      <c r="G29" s="17"/>
      <c r="H29" s="18"/>
      <c r="I29" s="18"/>
      <c r="J29" s="17"/>
      <c r="K29" s="15"/>
      <c r="L29" s="16"/>
      <c r="M29" s="15">
        <v>1500</v>
      </c>
      <c r="N29" s="14"/>
      <c r="O29" s="13"/>
      <c r="P29" s="12"/>
    </row>
    <row r="30" spans="1:17" s="11" customFormat="1" ht="32.25" customHeight="1" x14ac:dyDescent="0.15">
      <c r="A30" s="17">
        <v>20170130</v>
      </c>
      <c r="B30" s="19" t="s">
        <v>98</v>
      </c>
      <c r="C30" s="36" t="s">
        <v>96</v>
      </c>
      <c r="D30" s="17"/>
      <c r="E30" s="17" t="s">
        <v>67</v>
      </c>
      <c r="F30" s="17" t="s">
        <v>39</v>
      </c>
      <c r="G30" s="17" t="s">
        <v>2</v>
      </c>
      <c r="H30" s="18">
        <f>[22]副本!G59</f>
        <v>946.20700000000011</v>
      </c>
      <c r="I30" s="18">
        <f>H30</f>
        <v>946.20700000000011</v>
      </c>
      <c r="J30" s="17"/>
      <c r="K30" s="15"/>
      <c r="L30" s="16">
        <f>H30-I30</f>
        <v>0</v>
      </c>
      <c r="M30" s="15">
        <v>1500</v>
      </c>
      <c r="N30" s="14"/>
      <c r="O30" s="13"/>
      <c r="P30" s="12" t="s">
        <v>457</v>
      </c>
      <c r="Q30" s="20"/>
    </row>
    <row r="31" spans="1:17" s="11" customFormat="1" ht="32.25" customHeight="1" x14ac:dyDescent="0.15">
      <c r="A31" s="17">
        <v>20170130</v>
      </c>
      <c r="B31" s="19" t="s">
        <v>97</v>
      </c>
      <c r="C31" s="36" t="s">
        <v>96</v>
      </c>
      <c r="D31" s="17"/>
      <c r="E31" s="17" t="s">
        <v>67</v>
      </c>
      <c r="F31" s="17"/>
      <c r="G31" s="17"/>
      <c r="H31" s="18"/>
      <c r="I31" s="18"/>
      <c r="J31" s="17"/>
      <c r="K31" s="15"/>
      <c r="L31" s="16"/>
      <c r="M31" s="15">
        <v>1500</v>
      </c>
      <c r="N31" s="14"/>
      <c r="O31" s="13"/>
      <c r="P31" s="12"/>
    </row>
    <row r="32" spans="1:17" s="11" customFormat="1" ht="32.25" customHeight="1" x14ac:dyDescent="0.15">
      <c r="A32" s="17">
        <v>20170130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32.25" customHeight="1" x14ac:dyDescent="0.15">
      <c r="A33" s="17">
        <v>20170130</v>
      </c>
      <c r="B33" s="19" t="s">
        <v>93</v>
      </c>
      <c r="C33" s="36" t="s">
        <v>57</v>
      </c>
      <c r="D33" s="17"/>
      <c r="E33" s="17" t="s">
        <v>92</v>
      </c>
      <c r="F33" s="17" t="s">
        <v>91</v>
      </c>
      <c r="G33" s="17" t="s">
        <v>2</v>
      </c>
      <c r="H33" s="17">
        <f>[22]副本!G65</f>
        <v>408.81600000000014</v>
      </c>
      <c r="I33" s="18">
        <f>H33-1035.099+1035.099</f>
        <v>408.81600000000014</v>
      </c>
      <c r="J33" s="17"/>
      <c r="K33" s="15">
        <v>30</v>
      </c>
      <c r="L33" s="16">
        <f>H33-I33</f>
        <v>0</v>
      </c>
      <c r="M33" s="15">
        <v>2000</v>
      </c>
      <c r="N33" s="14"/>
      <c r="O33" s="13"/>
      <c r="P33" s="12" t="s">
        <v>536</v>
      </c>
    </row>
    <row r="34" spans="1:16" s="11" customFormat="1" ht="32.25" customHeight="1" x14ac:dyDescent="0.15">
      <c r="A34" s="17">
        <v>20170130</v>
      </c>
      <c r="B34" s="19" t="s">
        <v>89</v>
      </c>
      <c r="C34" s="36" t="s">
        <v>63</v>
      </c>
      <c r="D34" s="17" t="s">
        <v>88</v>
      </c>
      <c r="E34" s="17" t="s">
        <v>87</v>
      </c>
      <c r="F34" s="17" t="s">
        <v>216</v>
      </c>
      <c r="G34" s="17" t="s">
        <v>54</v>
      </c>
      <c r="H34" s="18">
        <f>[22]副本!G67</f>
        <v>640.54299999999989</v>
      </c>
      <c r="I34" s="18">
        <f>H34-1037.023+500+537.023</f>
        <v>640.54300000000001</v>
      </c>
      <c r="J34" s="17"/>
      <c r="K34" s="15">
        <v>100</v>
      </c>
      <c r="L34" s="16">
        <f>H34-I34</f>
        <v>0</v>
      </c>
      <c r="M34" s="15">
        <v>3000</v>
      </c>
      <c r="N34" s="14"/>
      <c r="O34" s="13"/>
      <c r="P34" s="24" t="s">
        <v>467</v>
      </c>
    </row>
    <row r="35" spans="1:16" s="11" customFormat="1" ht="32.25" customHeight="1" x14ac:dyDescent="0.15">
      <c r="A35" s="17">
        <v>20170130</v>
      </c>
      <c r="B35" s="19" t="s">
        <v>85</v>
      </c>
      <c r="C35" s="36" t="s">
        <v>63</v>
      </c>
      <c r="D35" s="17" t="s">
        <v>5</v>
      </c>
      <c r="E35" s="17" t="s">
        <v>84</v>
      </c>
      <c r="F35" s="17" t="s">
        <v>81</v>
      </c>
      <c r="G35" s="17" t="s">
        <v>54</v>
      </c>
      <c r="H35" s="18">
        <f>[22]副本!G69</f>
        <v>3147.802999999999</v>
      </c>
      <c r="I35" s="18">
        <f>H35-3607.546+2050+1050+507.546-1553.792+1553.792</f>
        <v>3147.802999999999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572</v>
      </c>
    </row>
    <row r="36" spans="1:16" s="11" customFormat="1" ht="32.25" customHeight="1" x14ac:dyDescent="0.15">
      <c r="A36" s="17">
        <v>20170130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32.25" customHeight="1" x14ac:dyDescent="0.15">
      <c r="A37" s="17">
        <v>20170130</v>
      </c>
      <c r="B37" s="19" t="s">
        <v>79</v>
      </c>
      <c r="C37" s="36" t="s">
        <v>57</v>
      </c>
      <c r="D37" s="17" t="s">
        <v>5</v>
      </c>
      <c r="E37" s="17" t="s">
        <v>78</v>
      </c>
      <c r="F37" s="17" t="s">
        <v>81</v>
      </c>
      <c r="G37" s="17" t="s">
        <v>2</v>
      </c>
      <c r="H37" s="18">
        <f>[22]副本!G73</f>
        <v>3607.9570000000522</v>
      </c>
      <c r="I37" s="18">
        <f>H37-955.747+477.874+477.873-1042.865-2628.137+500+542.865+2102.57+525.567-499.112-3147.566+2100+525+525+496.678-2617.899+1574.891+523.692-522.622+522.622-2589.467+523.692-499.362</f>
        <v>523.5040000000522</v>
      </c>
      <c r="J37" s="17"/>
      <c r="K37" s="15"/>
      <c r="L37" s="16">
        <f>H37-I37</f>
        <v>3084.453</v>
      </c>
      <c r="M37" s="15">
        <v>5000</v>
      </c>
      <c r="N37" s="14"/>
      <c r="O37" s="13"/>
      <c r="P37" s="12" t="s">
        <v>582</v>
      </c>
    </row>
    <row r="38" spans="1:16" s="11" customFormat="1" ht="32.25" customHeight="1" x14ac:dyDescent="0.15">
      <c r="A38" s="17">
        <v>20170130</v>
      </c>
      <c r="B38" s="19" t="s">
        <v>79</v>
      </c>
      <c r="C38" s="36" t="s">
        <v>57</v>
      </c>
      <c r="D38" s="17" t="s">
        <v>5</v>
      </c>
      <c r="E38" s="17" t="s">
        <v>78</v>
      </c>
      <c r="F38" s="17" t="s">
        <v>77</v>
      </c>
      <c r="G38" s="17" t="s">
        <v>2</v>
      </c>
      <c r="H38" s="18">
        <f>[22]副本!G74</f>
        <v>934.32800000000032</v>
      </c>
      <c r="I38" s="18">
        <f>H38</f>
        <v>934.32800000000032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581</v>
      </c>
    </row>
    <row r="39" spans="1:16" s="11" customFormat="1" ht="32.25" customHeight="1" x14ac:dyDescent="0.15">
      <c r="A39" s="17">
        <v>20170130</v>
      </c>
      <c r="B39" s="19" t="s">
        <v>74</v>
      </c>
      <c r="C39" s="36" t="s">
        <v>28</v>
      </c>
      <c r="D39" s="17"/>
      <c r="E39" s="17" t="s">
        <v>67</v>
      </c>
      <c r="F39" s="17" t="s">
        <v>39</v>
      </c>
      <c r="G39" s="17" t="s">
        <v>2</v>
      </c>
      <c r="H39" s="18">
        <f>[22]副本!G76</f>
        <v>31.463999999997668</v>
      </c>
      <c r="I39" s="18">
        <f>H39</f>
        <v>31.463999999997668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75</v>
      </c>
    </row>
    <row r="40" spans="1:16" s="11" customFormat="1" ht="32.25" customHeight="1" x14ac:dyDescent="0.15">
      <c r="A40" s="17">
        <v>20170130</v>
      </c>
      <c r="B40" s="19" t="s">
        <v>74</v>
      </c>
      <c r="C40" s="36" t="s">
        <v>28</v>
      </c>
      <c r="D40" s="17"/>
      <c r="E40" s="17" t="s">
        <v>67</v>
      </c>
      <c r="F40" s="17" t="s">
        <v>71</v>
      </c>
      <c r="G40" s="17" t="s">
        <v>2</v>
      </c>
      <c r="H40" s="18">
        <f>[22]副本!G77</f>
        <v>-0.23699999999985266</v>
      </c>
      <c r="I40" s="18">
        <f>H40</f>
        <v>-0.23699999999985266</v>
      </c>
      <c r="J40" s="17"/>
      <c r="K40" s="15"/>
      <c r="L40" s="16"/>
      <c r="M40" s="15">
        <v>4000</v>
      </c>
      <c r="N40" s="14"/>
      <c r="O40" s="13"/>
      <c r="P40" s="12" t="s">
        <v>240</v>
      </c>
    </row>
    <row r="41" spans="1:16" s="11" customFormat="1" ht="32.25" customHeight="1" x14ac:dyDescent="0.15">
      <c r="A41" s="17">
        <v>20170130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32.25" customHeight="1" x14ac:dyDescent="0.15">
      <c r="A42" s="17">
        <v>20170130</v>
      </c>
      <c r="B42" s="19" t="s">
        <v>72</v>
      </c>
      <c r="C42" s="36" t="s">
        <v>43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32.25" customHeight="1" x14ac:dyDescent="0.15">
      <c r="A43" s="17">
        <v>20170130</v>
      </c>
      <c r="B43" s="19" t="s">
        <v>68</v>
      </c>
      <c r="C43" s="36" t="s">
        <v>43</v>
      </c>
      <c r="D43" s="17"/>
      <c r="E43" s="17" t="s">
        <v>67</v>
      </c>
      <c r="F43" s="17" t="s">
        <v>39</v>
      </c>
      <c r="G43" s="17" t="s">
        <v>2</v>
      </c>
      <c r="H43" s="18">
        <f>[22]副本!G84</f>
        <v>1118.4909999999995</v>
      </c>
      <c r="I43" s="18">
        <f>H43</f>
        <v>1118.4909999999995</v>
      </c>
      <c r="J43" s="17"/>
      <c r="K43" s="15"/>
      <c r="L43" s="16">
        <f>H43-I43</f>
        <v>0</v>
      </c>
      <c r="M43" s="15">
        <v>5000</v>
      </c>
      <c r="N43" s="21"/>
      <c r="O43" s="13"/>
      <c r="P43" s="12" t="s">
        <v>258</v>
      </c>
    </row>
    <row r="44" spans="1:16" s="11" customFormat="1" ht="32.25" customHeight="1" x14ac:dyDescent="0.15">
      <c r="A44" s="17">
        <v>20170130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32.25" customHeight="1" x14ac:dyDescent="0.15">
      <c r="A45" s="17">
        <v>20170130</v>
      </c>
      <c r="B45" s="19" t="s">
        <v>64</v>
      </c>
      <c r="C45" s="36" t="s">
        <v>63</v>
      </c>
      <c r="D45" s="17"/>
      <c r="E45" s="17" t="s">
        <v>271</v>
      </c>
      <c r="F45" s="17" t="s">
        <v>232</v>
      </c>
      <c r="G45" s="17" t="s">
        <v>2</v>
      </c>
      <c r="H45" s="18">
        <f>[22]副本!G90</f>
        <v>2006.1080000000002</v>
      </c>
      <c r="I45" s="18">
        <f>H45-1021.25</f>
        <v>984.85800000000017</v>
      </c>
      <c r="J45" s="17"/>
      <c r="K45" s="15">
        <v>70</v>
      </c>
      <c r="L45" s="16">
        <f>H45-I45</f>
        <v>1021.25</v>
      </c>
      <c r="M45" s="15">
        <v>5000</v>
      </c>
      <c r="N45" s="14"/>
      <c r="O45" s="13"/>
      <c r="P45" s="12" t="s">
        <v>270</v>
      </c>
    </row>
    <row r="46" spans="1:16" s="11" customFormat="1" ht="32.25" customHeight="1" x14ac:dyDescent="0.15">
      <c r="A46" s="17">
        <v>20170130</v>
      </c>
      <c r="B46" s="19" t="s">
        <v>64</v>
      </c>
      <c r="C46" s="36" t="s">
        <v>63</v>
      </c>
      <c r="D46" s="17"/>
      <c r="E46" s="17" t="s">
        <v>271</v>
      </c>
      <c r="F46" s="17" t="s">
        <v>140</v>
      </c>
      <c r="G46" s="17"/>
      <c r="H46" s="18">
        <f>[22]副本!G91</f>
        <v>1000</v>
      </c>
      <c r="I46" s="18">
        <f>H46</f>
        <v>1000</v>
      </c>
      <c r="J46" s="17"/>
      <c r="K46" s="15"/>
      <c r="L46" s="16"/>
      <c r="M46" s="15">
        <v>5000</v>
      </c>
      <c r="N46" s="14"/>
      <c r="O46" s="13"/>
      <c r="P46" s="12" t="s">
        <v>270</v>
      </c>
    </row>
    <row r="47" spans="1:16" s="11" customFormat="1" ht="32.25" customHeight="1" x14ac:dyDescent="0.15">
      <c r="A47" s="17">
        <v>20170130</v>
      </c>
      <c r="B47" s="19" t="s">
        <v>62</v>
      </c>
      <c r="C47" s="36" t="s">
        <v>57</v>
      </c>
      <c r="D47" s="17"/>
      <c r="E47" s="17" t="s">
        <v>56</v>
      </c>
      <c r="F47" s="17" t="s">
        <v>61</v>
      </c>
      <c r="G47" s="17" t="s">
        <v>2</v>
      </c>
      <c r="H47" s="18">
        <f>[22]副本!G93</f>
        <v>173.70399999999404</v>
      </c>
      <c r="I47" s="18">
        <f>H47</f>
        <v>173.70399999999404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32.25" customHeight="1" x14ac:dyDescent="0.15">
      <c r="A48" s="17">
        <v>20170130</v>
      </c>
      <c r="B48" s="19" t="s">
        <v>60</v>
      </c>
      <c r="C48" s="36" t="s">
        <v>43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[22]副本!G95</f>
        <v>2409.6100000000006</v>
      </c>
      <c r="I48" s="18">
        <v>0</v>
      </c>
      <c r="J48" s="17"/>
      <c r="K48" s="15"/>
      <c r="L48" s="16">
        <f>H48-I48</f>
        <v>2409.6100000000006</v>
      </c>
      <c r="M48" s="15">
        <v>10000</v>
      </c>
      <c r="N48" s="14"/>
      <c r="O48" s="13"/>
      <c r="P48" s="12"/>
    </row>
    <row r="49" spans="1:17" s="11" customFormat="1" ht="32.25" customHeight="1" x14ac:dyDescent="0.15">
      <c r="A49" s="17">
        <v>20170130</v>
      </c>
      <c r="B49" s="19" t="s">
        <v>59</v>
      </c>
      <c r="C49" s="36" t="s">
        <v>28</v>
      </c>
      <c r="D49" s="17" t="s">
        <v>5</v>
      </c>
      <c r="E49" s="17" t="s">
        <v>34</v>
      </c>
      <c r="F49" s="17" t="s">
        <v>48</v>
      </c>
      <c r="G49" s="17" t="s">
        <v>2</v>
      </c>
      <c r="H49" s="18">
        <f>[22]副本!G97</f>
        <v>4217.264000000001</v>
      </c>
      <c r="I49" s="18"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32.25" customHeight="1" x14ac:dyDescent="0.15">
      <c r="A50" s="17">
        <v>20170130</v>
      </c>
      <c r="B50" s="19" t="s">
        <v>58</v>
      </c>
      <c r="C50" s="36" t="s">
        <v>57</v>
      </c>
      <c r="D50" s="17"/>
      <c r="E50" s="17" t="s">
        <v>56</v>
      </c>
      <c r="F50" s="17" t="s">
        <v>268</v>
      </c>
      <c r="G50" s="17" t="s">
        <v>54</v>
      </c>
      <c r="H50" s="18">
        <f>[22]副本!G99</f>
        <v>3766.3150000000078</v>
      </c>
      <c r="I50" s="18">
        <f>H50</f>
        <v>3766.3150000000078</v>
      </c>
      <c r="J50" s="17"/>
      <c r="K50" s="16"/>
      <c r="L50" s="16">
        <v>0</v>
      </c>
      <c r="M50" s="15">
        <v>5000</v>
      </c>
      <c r="N50" s="23" t="s">
        <v>53</v>
      </c>
      <c r="O50" s="22" t="s">
        <v>52</v>
      </c>
      <c r="P50" s="12" t="s">
        <v>474</v>
      </c>
    </row>
    <row r="51" spans="1:17" s="11" customFormat="1" ht="32.25" customHeight="1" x14ac:dyDescent="0.15">
      <c r="A51" s="17">
        <v>20170130</v>
      </c>
      <c r="B51" s="19" t="s">
        <v>50</v>
      </c>
      <c r="C51" s="36" t="s">
        <v>28</v>
      </c>
      <c r="D51" s="17"/>
      <c r="E51" s="17"/>
      <c r="F51" s="17"/>
      <c r="G51" s="17"/>
      <c r="H51" s="18"/>
      <c r="I51" s="18"/>
      <c r="J51" s="17"/>
      <c r="K51" s="15"/>
      <c r="L51" s="16"/>
      <c r="M51" s="15">
        <v>3000</v>
      </c>
      <c r="N51" s="14"/>
      <c r="O51" s="13"/>
      <c r="P51" s="12"/>
    </row>
    <row r="52" spans="1:17" s="11" customFormat="1" ht="32.25" customHeight="1" x14ac:dyDescent="0.15">
      <c r="A52" s="17">
        <v>20170130</v>
      </c>
      <c r="B52" s="19" t="s">
        <v>49</v>
      </c>
      <c r="C52" s="36" t="s">
        <v>28</v>
      </c>
      <c r="D52" s="17" t="s">
        <v>5</v>
      </c>
      <c r="E52" s="17" t="s">
        <v>34</v>
      </c>
      <c r="F52" s="17" t="s">
        <v>48</v>
      </c>
      <c r="G52" s="17" t="s">
        <v>22</v>
      </c>
      <c r="H52" s="18">
        <f>[22]副本!G103</f>
        <v>17526.61</v>
      </c>
      <c r="I52" s="18">
        <v>0</v>
      </c>
      <c r="J52" s="17"/>
      <c r="K52" s="15"/>
      <c r="L52" s="16">
        <f>H52-I52</f>
        <v>17526.61</v>
      </c>
      <c r="M52" s="15">
        <v>25000</v>
      </c>
      <c r="N52" s="14" t="s">
        <v>47</v>
      </c>
      <c r="O52" s="13" t="s">
        <v>46</v>
      </c>
      <c r="P52" s="12" t="s">
        <v>45</v>
      </c>
    </row>
    <row r="53" spans="1:17" s="11" customFormat="1" ht="32.25" customHeight="1" x14ac:dyDescent="0.15">
      <c r="A53" s="17">
        <v>20170130</v>
      </c>
      <c r="B53" s="19" t="s">
        <v>44</v>
      </c>
      <c r="C53" s="36" t="s">
        <v>43</v>
      </c>
      <c r="D53" s="17" t="s">
        <v>5</v>
      </c>
      <c r="E53" s="17" t="s">
        <v>34</v>
      </c>
      <c r="F53" s="17" t="s">
        <v>234</v>
      </c>
      <c r="G53" s="17" t="s">
        <v>22</v>
      </c>
      <c r="H53" s="18">
        <f>[22]副本!G105</f>
        <v>36667.325000000084</v>
      </c>
      <c r="I53" s="18">
        <v>0</v>
      </c>
      <c r="J53" s="17"/>
      <c r="K53" s="15"/>
      <c r="L53" s="16">
        <f>H53-I53</f>
        <v>36667.325000000084</v>
      </c>
      <c r="M53" s="15">
        <v>50000</v>
      </c>
      <c r="N53" s="14"/>
      <c r="O53" s="13"/>
      <c r="P53" s="12"/>
    </row>
    <row r="54" spans="1:17" s="11" customFormat="1" ht="32.25" customHeight="1" x14ac:dyDescent="0.15">
      <c r="A54" s="17">
        <v>20170130</v>
      </c>
      <c r="B54" s="19" t="s">
        <v>41</v>
      </c>
      <c r="C54" s="36" t="s">
        <v>28</v>
      </c>
      <c r="D54" s="17"/>
      <c r="E54" s="17" t="s">
        <v>67</v>
      </c>
      <c r="F54" s="17" t="s">
        <v>39</v>
      </c>
      <c r="G54" s="17" t="s">
        <v>22</v>
      </c>
      <c r="H54" s="18">
        <f>[22]副本!G109</f>
        <v>2593.6109999999999</v>
      </c>
      <c r="I54" s="18">
        <f>H54</f>
        <v>2593.6109999999999</v>
      </c>
      <c r="J54" s="17"/>
      <c r="K54" s="15"/>
      <c r="L54" s="16">
        <f>H54-I54</f>
        <v>0</v>
      </c>
      <c r="M54" s="15">
        <v>4000</v>
      </c>
      <c r="N54" s="14"/>
      <c r="O54" s="13"/>
      <c r="P54" s="12" t="s">
        <v>457</v>
      </c>
    </row>
    <row r="55" spans="1:17" s="11" customFormat="1" ht="32.25" customHeight="1" x14ac:dyDescent="0.15">
      <c r="A55" s="17">
        <v>20170130</v>
      </c>
      <c r="B55" s="19" t="s">
        <v>37</v>
      </c>
      <c r="C55" s="36" t="s">
        <v>31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32.25" customHeight="1" x14ac:dyDescent="0.15">
      <c r="A56" s="17">
        <v>20170130</v>
      </c>
      <c r="B56" s="19" t="s">
        <v>36</v>
      </c>
      <c r="C56" s="36" t="s">
        <v>31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32.25" customHeight="1" x14ac:dyDescent="0.15">
      <c r="A57" s="17">
        <v>20170130</v>
      </c>
      <c r="B57" s="19" t="s">
        <v>35</v>
      </c>
      <c r="C57" s="36" t="s">
        <v>28</v>
      </c>
      <c r="D57" s="17" t="s">
        <v>5</v>
      </c>
      <c r="E57" s="17" t="s">
        <v>34</v>
      </c>
      <c r="F57" s="17" t="s">
        <v>435</v>
      </c>
      <c r="G57" s="17" t="s">
        <v>22</v>
      </c>
      <c r="H57" s="18">
        <f>[22]副本!G115</f>
        <v>1767.3689999999997</v>
      </c>
      <c r="I57" s="18">
        <v>0</v>
      </c>
      <c r="J57" s="17"/>
      <c r="K57" s="16"/>
      <c r="L57" s="16">
        <f>H57-I57</f>
        <v>1767.3689999999997</v>
      </c>
      <c r="M57" s="15">
        <v>10000</v>
      </c>
      <c r="N57" s="14"/>
      <c r="O57" s="13"/>
      <c r="P57" s="12"/>
      <c r="Q57" s="20"/>
    </row>
    <row r="58" spans="1:17" s="11" customFormat="1" ht="32.25" customHeight="1" x14ac:dyDescent="0.15">
      <c r="A58" s="17">
        <v>20170130</v>
      </c>
      <c r="B58" s="19" t="s">
        <v>32</v>
      </c>
      <c r="C58" s="36" t="s">
        <v>31</v>
      </c>
      <c r="D58" s="17" t="s">
        <v>5</v>
      </c>
      <c r="E58" s="17" t="s">
        <v>4</v>
      </c>
      <c r="F58" s="17" t="s">
        <v>436</v>
      </c>
      <c r="G58" s="17" t="s">
        <v>22</v>
      </c>
      <c r="H58" s="18">
        <f>[22]副本!G117</f>
        <v>3990.8999999999996</v>
      </c>
      <c r="I58" s="18">
        <v>0</v>
      </c>
      <c r="J58" s="17"/>
      <c r="K58" s="21">
        <v>150</v>
      </c>
      <c r="L58" s="16">
        <f>H58-I58</f>
        <v>3990.8999999999996</v>
      </c>
      <c r="M58" s="15">
        <v>15000</v>
      </c>
      <c r="N58" s="14"/>
      <c r="O58" s="13"/>
      <c r="P58" s="12" t="s">
        <v>472</v>
      </c>
      <c r="Q58" s="20"/>
    </row>
    <row r="59" spans="1:17" s="11" customFormat="1" ht="32.25" customHeight="1" x14ac:dyDescent="0.15">
      <c r="A59" s="17">
        <v>20170130</v>
      </c>
      <c r="B59" s="19" t="s">
        <v>32</v>
      </c>
      <c r="C59" s="36" t="s">
        <v>31</v>
      </c>
      <c r="D59" s="17" t="s">
        <v>5</v>
      </c>
      <c r="E59" s="17" t="s">
        <v>4</v>
      </c>
      <c r="F59" s="17" t="s">
        <v>437</v>
      </c>
      <c r="G59" s="17" t="s">
        <v>22</v>
      </c>
      <c r="H59" s="18">
        <f>[22]副本!G118</f>
        <v>96.340000000000146</v>
      </c>
      <c r="I59" s="18">
        <f>H59</f>
        <v>96.340000000000146</v>
      </c>
      <c r="J59" s="17"/>
      <c r="K59" s="21"/>
      <c r="L59" s="16">
        <f>H59-I59</f>
        <v>0</v>
      </c>
      <c r="M59" s="15">
        <v>15000</v>
      </c>
      <c r="N59" s="14"/>
      <c r="O59" s="13"/>
      <c r="P59" s="12" t="s">
        <v>470</v>
      </c>
      <c r="Q59" s="20"/>
    </row>
    <row r="60" spans="1:17" s="11" customFormat="1" ht="32.25" customHeight="1" x14ac:dyDescent="0.15">
      <c r="A60" s="17">
        <v>20170130</v>
      </c>
      <c r="B60" s="19" t="s">
        <v>30</v>
      </c>
      <c r="C60" s="19" t="s">
        <v>28</v>
      </c>
      <c r="D60" s="17" t="s">
        <v>5</v>
      </c>
      <c r="E60" s="17" t="s">
        <v>4</v>
      </c>
      <c r="F60" s="17" t="s">
        <v>3</v>
      </c>
      <c r="G60" s="17" t="s">
        <v>22</v>
      </c>
      <c r="H60" s="18">
        <f>[22]副本!G120</f>
        <v>9876.0309999999954</v>
      </c>
      <c r="I60" s="18">
        <f>H60</f>
        <v>9876.0309999999954</v>
      </c>
      <c r="J60" s="17"/>
      <c r="K60" s="15">
        <v>650</v>
      </c>
      <c r="L60" s="16"/>
      <c r="M60" s="15">
        <v>43000</v>
      </c>
      <c r="N60" s="14"/>
      <c r="O60" s="13"/>
      <c r="P60" s="12" t="s">
        <v>220</v>
      </c>
      <c r="Q60" s="20"/>
    </row>
    <row r="61" spans="1:17" s="11" customFormat="1" ht="32.25" customHeight="1" x14ac:dyDescent="0.15">
      <c r="A61" s="17">
        <v>20170130</v>
      </c>
      <c r="B61" s="19" t="s">
        <v>30</v>
      </c>
      <c r="C61" s="19" t="s">
        <v>28</v>
      </c>
      <c r="D61" s="17" t="s">
        <v>5</v>
      </c>
      <c r="E61" s="17" t="s">
        <v>4</v>
      </c>
      <c r="F61" s="17" t="s">
        <v>251</v>
      </c>
      <c r="G61" s="17" t="s">
        <v>22</v>
      </c>
      <c r="H61" s="18">
        <f>[22]副本!G121</f>
        <v>21.100000000000364</v>
      </c>
      <c r="I61" s="18">
        <f>H61</f>
        <v>21.100000000000364</v>
      </c>
      <c r="J61" s="17"/>
      <c r="K61" s="17"/>
      <c r="L61" s="16"/>
      <c r="M61" s="15">
        <v>43000</v>
      </c>
      <c r="N61" s="14"/>
      <c r="O61" s="13"/>
      <c r="P61" s="12" t="s">
        <v>220</v>
      </c>
      <c r="Q61" s="20"/>
    </row>
    <row r="62" spans="1:17" s="11" customFormat="1" ht="32.25" customHeight="1" x14ac:dyDescent="0.15">
      <c r="A62" s="17">
        <v>20170130</v>
      </c>
      <c r="B62" s="19" t="s">
        <v>29</v>
      </c>
      <c r="C62" s="19" t="s">
        <v>28</v>
      </c>
      <c r="D62" s="17" t="s">
        <v>5</v>
      </c>
      <c r="E62" s="17"/>
      <c r="F62" s="17"/>
      <c r="G62" s="17"/>
      <c r="H62" s="18"/>
      <c r="I62" s="18"/>
      <c r="J62" s="17"/>
      <c r="K62" s="15"/>
      <c r="L62" s="16"/>
      <c r="M62" s="15">
        <v>43000</v>
      </c>
      <c r="N62" s="14"/>
      <c r="O62" s="13"/>
      <c r="P62" s="12"/>
      <c r="Q62" s="20"/>
    </row>
    <row r="63" spans="1:17" s="11" customFormat="1" ht="32.25" customHeight="1" x14ac:dyDescent="0.15">
      <c r="A63" s="17">
        <v>20170130</v>
      </c>
      <c r="B63" s="19" t="s">
        <v>24</v>
      </c>
      <c r="C63" s="36" t="s">
        <v>0</v>
      </c>
      <c r="D63" s="17"/>
      <c r="E63" s="17" t="s">
        <v>591</v>
      </c>
      <c r="F63" s="17" t="s">
        <v>588</v>
      </c>
      <c r="G63" s="17" t="s">
        <v>2</v>
      </c>
      <c r="H63" s="18">
        <f>[22]副本!G125</f>
        <v>8339.3289999999961</v>
      </c>
      <c r="I63" s="18">
        <f>H63-8339.329</f>
        <v>0</v>
      </c>
      <c r="J63" s="17"/>
      <c r="K63" s="15"/>
      <c r="L63" s="16">
        <f>H63-I63</f>
        <v>8339.3289999999961</v>
      </c>
      <c r="M63" s="15">
        <v>20000</v>
      </c>
      <c r="N63" s="14"/>
      <c r="O63" s="13"/>
      <c r="P63" s="12"/>
    </row>
    <row r="64" spans="1:17" s="11" customFormat="1" ht="32.25" customHeight="1" x14ac:dyDescent="0.15">
      <c r="A64" s="17">
        <v>20170130</v>
      </c>
      <c r="B64" s="19" t="s">
        <v>442</v>
      </c>
      <c r="C64" s="36" t="s">
        <v>0</v>
      </c>
      <c r="D64" s="17"/>
      <c r="E64" s="17" t="s">
        <v>12</v>
      </c>
      <c r="F64" s="17" t="s">
        <v>602</v>
      </c>
      <c r="G64" s="17" t="s">
        <v>2</v>
      </c>
      <c r="H64" s="18">
        <f>[22]副本!G127</f>
        <v>23545.597999999998</v>
      </c>
      <c r="I64" s="18">
        <f>H64-4751.949+4751.949</f>
        <v>23545.597999999998</v>
      </c>
      <c r="J64" s="17"/>
      <c r="K64" s="15"/>
      <c r="L64" s="16">
        <f>H64-I64</f>
        <v>0</v>
      </c>
      <c r="M64" s="15">
        <v>30000</v>
      </c>
      <c r="N64" s="14"/>
      <c r="O64" s="13"/>
      <c r="P64" s="12" t="s">
        <v>580</v>
      </c>
    </row>
    <row r="65" spans="1:16" s="11" customFormat="1" ht="32.25" customHeight="1" x14ac:dyDescent="0.15">
      <c r="A65" s="17">
        <v>20170130</v>
      </c>
      <c r="B65" s="19" t="s">
        <v>18</v>
      </c>
      <c r="C65" s="36" t="s">
        <v>0</v>
      </c>
      <c r="D65" s="17" t="s">
        <v>5</v>
      </c>
      <c r="E65" s="17" t="s">
        <v>4</v>
      </c>
      <c r="F65" s="17" t="s">
        <v>17</v>
      </c>
      <c r="G65" s="17" t="s">
        <v>2</v>
      </c>
      <c r="H65" s="18">
        <f>[22]副本!G130</f>
        <v>14976.093999999999</v>
      </c>
      <c r="I65" s="18">
        <f>H65-14976.094</f>
        <v>0</v>
      </c>
      <c r="J65" s="17"/>
      <c r="K65" s="15">
        <v>350</v>
      </c>
      <c r="L65" s="16">
        <f>H65-I65</f>
        <v>14976.093999999999</v>
      </c>
      <c r="M65" s="15">
        <v>20000</v>
      </c>
      <c r="N65" s="14" t="s">
        <v>16</v>
      </c>
      <c r="O65" s="13" t="s">
        <v>15</v>
      </c>
      <c r="P65" s="12" t="s">
        <v>14</v>
      </c>
    </row>
    <row r="66" spans="1:16" s="11" customFormat="1" ht="32.25" customHeight="1" x14ac:dyDescent="0.15">
      <c r="A66" s="17">
        <v>20170130</v>
      </c>
      <c r="B66" s="19" t="s">
        <v>13</v>
      </c>
      <c r="C66" s="36" t="s">
        <v>0</v>
      </c>
      <c r="D66" s="17"/>
      <c r="E66" s="17" t="s">
        <v>12</v>
      </c>
      <c r="F66" s="17" t="s">
        <v>11</v>
      </c>
      <c r="G66" s="17" t="s">
        <v>2</v>
      </c>
      <c r="H66" s="18">
        <f>[22]副本!G132</f>
        <v>20204.884999999973</v>
      </c>
      <c r="I66" s="18">
        <f>H66</f>
        <v>20204.884999999973</v>
      </c>
      <c r="J66" s="17"/>
      <c r="K66" s="15"/>
      <c r="L66" s="16">
        <v>0</v>
      </c>
      <c r="M66" s="15">
        <v>30000</v>
      </c>
      <c r="N66" s="14"/>
      <c r="O66" s="13"/>
      <c r="P66" s="12"/>
    </row>
    <row r="67" spans="1:16" s="11" customFormat="1" ht="32.25" customHeight="1" x14ac:dyDescent="0.15">
      <c r="A67" s="17">
        <v>20170130</v>
      </c>
      <c r="B67" s="19" t="s">
        <v>10</v>
      </c>
      <c r="C67" s="36" t="s">
        <v>0</v>
      </c>
      <c r="D67" s="17"/>
      <c r="E67" s="17" t="s">
        <v>9</v>
      </c>
      <c r="F67" s="12" t="s">
        <v>8</v>
      </c>
      <c r="G67" s="17" t="s">
        <v>2</v>
      </c>
      <c r="H67" s="18">
        <f>[22]副本!G134</f>
        <v>0</v>
      </c>
      <c r="I67" s="18">
        <f>H67</f>
        <v>0</v>
      </c>
      <c r="J67" s="17"/>
      <c r="K67" s="15"/>
      <c r="L67" s="16">
        <f>H67-I67</f>
        <v>0</v>
      </c>
      <c r="M67" s="15">
        <v>20000</v>
      </c>
      <c r="N67" s="14"/>
      <c r="O67" s="13"/>
      <c r="P67" s="17" t="s">
        <v>449</v>
      </c>
    </row>
    <row r="68" spans="1:16" s="11" customFormat="1" ht="32.25" customHeight="1" x14ac:dyDescent="0.15">
      <c r="A68" s="17">
        <v>20170130</v>
      </c>
      <c r="B68" s="19" t="s">
        <v>10</v>
      </c>
      <c r="C68" s="36" t="s">
        <v>0</v>
      </c>
      <c r="D68" s="17"/>
      <c r="E68" s="17" t="s">
        <v>9</v>
      </c>
      <c r="F68" s="12" t="s">
        <v>257</v>
      </c>
      <c r="G68" s="17" t="s">
        <v>2</v>
      </c>
      <c r="H68" s="18">
        <f>[22]副本!G135</f>
        <v>-68.725000000000364</v>
      </c>
      <c r="I68" s="18">
        <f>H68</f>
        <v>-68.725000000000364</v>
      </c>
      <c r="J68" s="17"/>
      <c r="K68" s="15"/>
      <c r="L68" s="16">
        <v>0</v>
      </c>
      <c r="M68" s="15">
        <v>20000</v>
      </c>
      <c r="N68" s="14"/>
      <c r="O68" s="13"/>
      <c r="P68" s="12" t="s">
        <v>252</v>
      </c>
    </row>
    <row r="69" spans="1:16" s="11" customFormat="1" ht="32.25" customHeight="1" x14ac:dyDescent="0.15">
      <c r="A69" s="17">
        <v>20170130</v>
      </c>
      <c r="B69" s="19" t="s">
        <v>7</v>
      </c>
      <c r="C69" s="36" t="s">
        <v>0</v>
      </c>
      <c r="D69" s="17"/>
      <c r="E69" s="17"/>
      <c r="F69" s="17"/>
      <c r="G69" s="17"/>
      <c r="H69" s="18"/>
      <c r="I69" s="18"/>
      <c r="J69" s="17"/>
      <c r="K69" s="15"/>
      <c r="L69" s="16"/>
      <c r="M69" s="15">
        <v>15000</v>
      </c>
      <c r="N69" s="14"/>
      <c r="O69" s="13"/>
      <c r="P69" s="12"/>
    </row>
    <row r="70" spans="1:16" s="11" customFormat="1" ht="32.25" customHeight="1" x14ac:dyDescent="0.15">
      <c r="A70" s="17">
        <v>20170130</v>
      </c>
      <c r="B70" s="19" t="s">
        <v>6</v>
      </c>
      <c r="C70" s="36" t="s">
        <v>0</v>
      </c>
      <c r="D70" s="17" t="s">
        <v>5</v>
      </c>
      <c r="E70" s="17" t="s">
        <v>4</v>
      </c>
      <c r="F70" s="17" t="s">
        <v>3</v>
      </c>
      <c r="G70" s="17" t="s">
        <v>2</v>
      </c>
      <c r="H70" s="18">
        <f>[22]副本!G139</f>
        <v>12005.106</v>
      </c>
      <c r="I70" s="18">
        <f>H70-12005.106</f>
        <v>0</v>
      </c>
      <c r="J70" s="17"/>
      <c r="K70" s="15"/>
      <c r="L70" s="16">
        <f>H70-I70</f>
        <v>12005.106</v>
      </c>
      <c r="M70" s="15">
        <v>15000</v>
      </c>
      <c r="N70" s="14"/>
      <c r="O70" s="13"/>
      <c r="P70" s="12"/>
    </row>
    <row r="71" spans="1:16" s="11" customFormat="1" ht="32.25" customHeight="1" x14ac:dyDescent="0.15">
      <c r="A71" s="17">
        <v>20170130</v>
      </c>
      <c r="B71" s="19" t="s">
        <v>1</v>
      </c>
      <c r="C71" s="36" t="s">
        <v>0</v>
      </c>
      <c r="D71" s="17"/>
      <c r="E71" s="17" t="s">
        <v>4</v>
      </c>
      <c r="F71" s="17" t="s">
        <v>437</v>
      </c>
      <c r="G71" s="17" t="s">
        <v>2</v>
      </c>
      <c r="H71" s="18">
        <f>[22]副本!G141</f>
        <v>6761.6299999999992</v>
      </c>
      <c r="I71" s="18">
        <f>H71</f>
        <v>6761.6299999999992</v>
      </c>
      <c r="J71" s="17"/>
      <c r="K71" s="15"/>
      <c r="L71" s="16">
        <f>H71-I71</f>
        <v>0</v>
      </c>
      <c r="M71" s="15">
        <v>15000</v>
      </c>
      <c r="N71" s="14"/>
      <c r="O71" s="13"/>
      <c r="P71" s="12" t="s">
        <v>475</v>
      </c>
    </row>
    <row r="77" spans="1:16" x14ac:dyDescent="0.15">
      <c r="L77" s="10"/>
    </row>
    <row r="229" spans="7:8" x14ac:dyDescent="0.15">
      <c r="G229" s="2"/>
      <c r="H229" s="2"/>
    </row>
  </sheetData>
  <autoFilter ref="B1:I71"/>
  <phoneticPr fontId="3" type="noConversion"/>
  <pageMargins left="0.36" right="7.9166666666666663E-2" top="0.57999999999999996" bottom="0.12" header="0.32" footer="0.09"/>
  <pageSetup scale="95" orientation="landscape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5"/>
  <sheetViews>
    <sheetView workbookViewId="0">
      <pane xSplit="3" ySplit="1" topLeftCell="D62" activePane="bottomRight" state="frozen"/>
      <selection activeCell="G5" sqref="G5"/>
      <selection pane="topRight" activeCell="G5" sqref="G5"/>
      <selection pane="bottomLeft" activeCell="G5" sqref="G5"/>
      <selection pane="bottomRight" activeCell="F20" sqref="F20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15.375" style="2" customWidth="1"/>
    <col min="6" max="6" width="30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6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38" t="s">
        <v>227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30.75" customHeight="1" x14ac:dyDescent="0.15">
      <c r="A2" s="17">
        <v>20170103</v>
      </c>
      <c r="B2" s="19" t="s">
        <v>158</v>
      </c>
      <c r="C2" s="36" t="s">
        <v>63</v>
      </c>
      <c r="D2" s="19"/>
      <c r="E2" s="17" t="s">
        <v>141</v>
      </c>
      <c r="F2" s="17" t="s">
        <v>231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143</v>
      </c>
      <c r="O2" s="13" t="s">
        <v>124</v>
      </c>
      <c r="P2" s="12"/>
    </row>
    <row r="3" spans="1:17" s="11" customFormat="1" ht="30.75" customHeight="1" x14ac:dyDescent="0.15">
      <c r="A3" s="17">
        <v>20170103</v>
      </c>
      <c r="B3" s="19" t="s">
        <v>157</v>
      </c>
      <c r="C3" s="36" t="s">
        <v>63</v>
      </c>
      <c r="D3" s="19"/>
      <c r="E3" s="17" t="s">
        <v>156</v>
      </c>
      <c r="F3" s="17" t="s">
        <v>155</v>
      </c>
      <c r="G3" s="12"/>
      <c r="H3" s="18">
        <f>[3]副本!G5</f>
        <v>432.55599999999993</v>
      </c>
      <c r="I3" s="18">
        <f>H3-995.136+995.136</f>
        <v>432.55599999999993</v>
      </c>
      <c r="J3" s="17"/>
      <c r="K3" s="15"/>
      <c r="L3" s="16">
        <f>H3-I3</f>
        <v>0</v>
      </c>
      <c r="M3" s="15">
        <v>1500</v>
      </c>
      <c r="N3" s="14"/>
      <c r="O3" s="13"/>
      <c r="P3" s="12" t="s">
        <v>154</v>
      </c>
    </row>
    <row r="4" spans="1:17" s="11" customFormat="1" ht="30.75" customHeight="1" x14ac:dyDescent="0.15">
      <c r="A4" s="17">
        <v>20170103</v>
      </c>
      <c r="B4" s="19" t="s">
        <v>153</v>
      </c>
      <c r="C4" s="36" t="s">
        <v>63</v>
      </c>
      <c r="D4" s="19"/>
      <c r="E4" s="17" t="s">
        <v>56</v>
      </c>
      <c r="F4" s="17" t="s">
        <v>61</v>
      </c>
      <c r="G4" s="12" t="s">
        <v>54</v>
      </c>
      <c r="H4" s="18">
        <f>[3]副本!G7</f>
        <v>793.41399999999589</v>
      </c>
      <c r="I4" s="18">
        <f>H4</f>
        <v>793.41399999999589</v>
      </c>
      <c r="J4" s="17"/>
      <c r="K4" s="16"/>
      <c r="L4" s="16"/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30.75" customHeight="1" x14ac:dyDescent="0.15">
      <c r="A5" s="17">
        <v>20170103</v>
      </c>
      <c r="B5" s="19" t="s">
        <v>149</v>
      </c>
      <c r="C5" s="36" t="s">
        <v>63</v>
      </c>
      <c r="D5" s="17"/>
      <c r="E5" s="17" t="s">
        <v>148</v>
      </c>
      <c r="F5" s="17" t="s">
        <v>140</v>
      </c>
      <c r="G5" s="12" t="s">
        <v>54</v>
      </c>
      <c r="H5" s="18"/>
      <c r="I5" s="18"/>
      <c r="J5" s="17"/>
      <c r="K5" s="15"/>
      <c r="L5" s="16">
        <f>H5-I5</f>
        <v>0</v>
      </c>
      <c r="M5" s="15">
        <v>2000</v>
      </c>
      <c r="N5" s="14" t="s">
        <v>147</v>
      </c>
      <c r="O5" s="13" t="s">
        <v>124</v>
      </c>
      <c r="P5" s="12"/>
    </row>
    <row r="6" spans="1:17" s="11" customFormat="1" ht="30.75" customHeight="1" x14ac:dyDescent="0.15">
      <c r="A6" s="17">
        <v>20170103</v>
      </c>
      <c r="B6" s="19" t="s">
        <v>145</v>
      </c>
      <c r="C6" s="36" t="s">
        <v>63</v>
      </c>
      <c r="D6" s="17"/>
      <c r="E6" s="17" t="s">
        <v>141</v>
      </c>
      <c r="F6" s="17" t="s">
        <v>144</v>
      </c>
      <c r="G6" s="12" t="s">
        <v>54</v>
      </c>
      <c r="H6" s="18"/>
      <c r="I6" s="18"/>
      <c r="J6" s="17"/>
      <c r="K6" s="15"/>
      <c r="L6" s="16"/>
      <c r="M6" s="15">
        <v>3000</v>
      </c>
      <c r="N6" s="14" t="s">
        <v>143</v>
      </c>
      <c r="O6" s="13" t="s">
        <v>124</v>
      </c>
      <c r="P6" s="12"/>
      <c r="Q6" s="20"/>
    </row>
    <row r="7" spans="1:17" s="11" customFormat="1" ht="30.75" customHeight="1" x14ac:dyDescent="0.15">
      <c r="A7" s="17">
        <v>20170103</v>
      </c>
      <c r="B7" s="19" t="s">
        <v>142</v>
      </c>
      <c r="C7" s="36" t="s">
        <v>63</v>
      </c>
      <c r="D7" s="17"/>
      <c r="E7" s="17" t="s">
        <v>141</v>
      </c>
      <c r="F7" s="17" t="s">
        <v>140</v>
      </c>
      <c r="G7" s="17" t="s">
        <v>54</v>
      </c>
      <c r="H7" s="18"/>
      <c r="I7" s="18"/>
      <c r="J7" s="17"/>
      <c r="K7" s="15"/>
      <c r="L7" s="16"/>
      <c r="M7" s="15">
        <v>3000</v>
      </c>
      <c r="N7" s="14"/>
      <c r="O7" s="13"/>
      <c r="P7" s="12"/>
      <c r="Q7" s="20"/>
    </row>
    <row r="8" spans="1:17" s="11" customFormat="1" ht="30.75" customHeight="1" x14ac:dyDescent="0.15">
      <c r="A8" s="17">
        <v>20170103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30.75" customHeight="1" x14ac:dyDescent="0.15">
      <c r="A9" s="17">
        <v>20170103</v>
      </c>
      <c r="B9" s="19" t="s">
        <v>138</v>
      </c>
      <c r="C9" s="36" t="s">
        <v>31</v>
      </c>
      <c r="D9" s="17"/>
      <c r="E9" s="17" t="s">
        <v>9</v>
      </c>
      <c r="F9" s="17" t="s">
        <v>104</v>
      </c>
      <c r="G9" s="17" t="s">
        <v>54</v>
      </c>
      <c r="H9" s="17">
        <f>[3]副本!G17</f>
        <v>1322.4749999999999</v>
      </c>
      <c r="I9" s="18">
        <f>H9</f>
        <v>1322.4749999999999</v>
      </c>
      <c r="J9" s="17"/>
      <c r="K9" s="15">
        <v>100</v>
      </c>
      <c r="L9" s="16">
        <f>H9-I9</f>
        <v>0</v>
      </c>
      <c r="M9" s="15">
        <v>5000</v>
      </c>
      <c r="N9" s="14" t="s">
        <v>137</v>
      </c>
      <c r="O9" s="13" t="s">
        <v>136</v>
      </c>
      <c r="P9" s="35" t="s">
        <v>101</v>
      </c>
    </row>
    <row r="10" spans="1:17" s="11" customFormat="1" ht="30.75" customHeight="1" x14ac:dyDescent="0.15">
      <c r="A10" s="17">
        <v>20170103</v>
      </c>
      <c r="B10" s="19" t="s">
        <v>135</v>
      </c>
      <c r="C10" s="17" t="s">
        <v>63</v>
      </c>
      <c r="D10" s="17"/>
      <c r="E10" s="17"/>
      <c r="F10" s="17"/>
      <c r="G10" s="17"/>
      <c r="H10" s="18"/>
      <c r="I10" s="18"/>
      <c r="J10" s="17"/>
      <c r="K10" s="15"/>
      <c r="L10" s="16"/>
      <c r="M10" s="15">
        <v>1500</v>
      </c>
      <c r="N10" s="14"/>
      <c r="O10" s="13"/>
      <c r="P10" s="12"/>
    </row>
    <row r="11" spans="1:17" s="11" customFormat="1" ht="30.75" customHeight="1" x14ac:dyDescent="0.15">
      <c r="A11" s="17">
        <v>20170103</v>
      </c>
      <c r="B11" s="19" t="s">
        <v>134</v>
      </c>
      <c r="C11" s="17" t="s">
        <v>63</v>
      </c>
      <c r="D11" s="17"/>
      <c r="E11" s="17" t="s">
        <v>116</v>
      </c>
      <c r="F11" s="17" t="s">
        <v>115</v>
      </c>
      <c r="G11" s="17" t="s">
        <v>54</v>
      </c>
      <c r="H11" s="18">
        <f>[3]副本!G21</f>
        <v>1502.1479999999999</v>
      </c>
      <c r="I11" s="18">
        <f>H11</f>
        <v>1502.1479999999999</v>
      </c>
      <c r="J11" s="17"/>
      <c r="K11" s="15"/>
      <c r="L11" s="16"/>
      <c r="M11" s="15">
        <v>1500</v>
      </c>
      <c r="N11" s="14"/>
      <c r="O11" s="13"/>
      <c r="P11" s="12"/>
    </row>
    <row r="12" spans="1:17" s="11" customFormat="1" ht="30.75" customHeight="1" x14ac:dyDescent="0.15">
      <c r="A12" s="17">
        <v>20170103</v>
      </c>
      <c r="B12" s="19" t="s">
        <v>133</v>
      </c>
      <c r="C12" s="36" t="s">
        <v>28</v>
      </c>
      <c r="D12" s="17"/>
      <c r="E12" s="17"/>
      <c r="F12" s="17"/>
      <c r="G12" s="17"/>
      <c r="H12" s="18"/>
      <c r="I12" s="18"/>
      <c r="J12" s="17"/>
      <c r="K12" s="15"/>
      <c r="L12" s="16"/>
      <c r="M12" s="15">
        <v>1500</v>
      </c>
      <c r="N12" s="14"/>
      <c r="O12" s="13"/>
      <c r="P12" s="12"/>
      <c r="Q12" s="20"/>
    </row>
    <row r="13" spans="1:17" s="11" customFormat="1" ht="30.75" customHeight="1" x14ac:dyDescent="0.15">
      <c r="A13" s="17">
        <v>20170103</v>
      </c>
      <c r="B13" s="19" t="s">
        <v>132</v>
      </c>
      <c r="C13" s="36" t="s">
        <v>28</v>
      </c>
      <c r="D13" s="17"/>
      <c r="E13" s="17"/>
      <c r="F13" s="17"/>
      <c r="G13" s="17"/>
      <c r="H13" s="18"/>
      <c r="I13" s="18"/>
      <c r="J13" s="17"/>
      <c r="K13" s="16"/>
      <c r="L13" s="16"/>
      <c r="M13" s="15">
        <v>1500</v>
      </c>
      <c r="N13" s="14"/>
      <c r="O13" s="13"/>
      <c r="P13" s="12"/>
    </row>
    <row r="14" spans="1:17" s="11" customFormat="1" ht="30.75" customHeight="1" x14ac:dyDescent="0.15">
      <c r="A14" s="17">
        <v>20170103</v>
      </c>
      <c r="B14" s="19" t="s">
        <v>131</v>
      </c>
      <c r="C14" s="36" t="s">
        <v>63</v>
      </c>
      <c r="D14" s="17"/>
      <c r="E14" s="17"/>
      <c r="F14" s="17"/>
      <c r="G14" s="17"/>
      <c r="H14" s="18"/>
      <c r="I14" s="18"/>
      <c r="J14" s="17"/>
      <c r="K14" s="15"/>
      <c r="L14" s="16"/>
      <c r="M14" s="15"/>
      <c r="N14" s="14"/>
      <c r="O14" s="13"/>
      <c r="P14" s="12"/>
    </row>
    <row r="15" spans="1:17" s="11" customFormat="1" ht="30.75" customHeight="1" x14ac:dyDescent="0.15">
      <c r="A15" s="17">
        <v>20170103</v>
      </c>
      <c r="B15" s="19" t="s">
        <v>129</v>
      </c>
      <c r="C15" s="36" t="s">
        <v>121</v>
      </c>
      <c r="D15" s="17"/>
      <c r="E15" s="17" t="s">
        <v>12</v>
      </c>
      <c r="F15" s="17" t="s">
        <v>11</v>
      </c>
      <c r="G15" s="17" t="s">
        <v>2</v>
      </c>
      <c r="H15" s="18">
        <f>[3]副本!G29-H16</f>
        <v>15090.353000000017</v>
      </c>
      <c r="I15" s="18">
        <f>H15</f>
        <v>15090.353000000017</v>
      </c>
      <c r="J15" s="17"/>
      <c r="K15" s="15"/>
      <c r="L15" s="16">
        <f>H15-I15</f>
        <v>0</v>
      </c>
      <c r="M15" s="15">
        <v>21000</v>
      </c>
      <c r="N15" s="14" t="s">
        <v>120</v>
      </c>
      <c r="O15" s="13" t="s">
        <v>124</v>
      </c>
      <c r="P15" s="12" t="s">
        <v>130</v>
      </c>
    </row>
    <row r="16" spans="1:17" s="11" customFormat="1" ht="30.75" customHeight="1" x14ac:dyDescent="0.15">
      <c r="A16" s="17">
        <v>20170103</v>
      </c>
      <c r="B16" s="19" t="s">
        <v>129</v>
      </c>
      <c r="C16" s="36" t="s">
        <v>121</v>
      </c>
      <c r="D16" s="17"/>
      <c r="E16" s="17" t="s">
        <v>12</v>
      </c>
      <c r="F16" s="12" t="s">
        <v>594</v>
      </c>
      <c r="G16" s="17" t="s">
        <v>2</v>
      </c>
      <c r="H16" s="18">
        <f>[3]副本!G31</f>
        <v>838.64699999998265</v>
      </c>
      <c r="I16" s="18">
        <f>H16</f>
        <v>838.64699999998265</v>
      </c>
      <c r="J16" s="17"/>
      <c r="K16" s="15"/>
      <c r="L16" s="16">
        <f>H16-I16</f>
        <v>0</v>
      </c>
      <c r="M16" s="15">
        <v>21000</v>
      </c>
      <c r="N16" s="14" t="s">
        <v>120</v>
      </c>
      <c r="O16" s="13" t="s">
        <v>119</v>
      </c>
      <c r="P16" s="12" t="s">
        <v>128</v>
      </c>
    </row>
    <row r="17" spans="1:17" s="11" customFormat="1" ht="30.75" customHeight="1" x14ac:dyDescent="0.15">
      <c r="A17" s="17">
        <v>20170103</v>
      </c>
      <c r="B17" s="19" t="s">
        <v>127</v>
      </c>
      <c r="C17" s="36" t="s">
        <v>63</v>
      </c>
      <c r="D17" s="17"/>
      <c r="E17" s="17"/>
      <c r="F17" s="17"/>
      <c r="G17" s="17"/>
      <c r="H17" s="18"/>
      <c r="I17" s="18"/>
      <c r="J17" s="17"/>
      <c r="K17" s="15"/>
      <c r="L17" s="16"/>
      <c r="M17" s="15">
        <v>5000</v>
      </c>
      <c r="N17" s="14"/>
      <c r="O17" s="13"/>
      <c r="P17" s="12"/>
    </row>
    <row r="18" spans="1:17" s="11" customFormat="1" ht="30.75" customHeight="1" x14ac:dyDescent="0.15">
      <c r="A18" s="17">
        <v>20170103</v>
      </c>
      <c r="B18" s="19" t="s">
        <v>126</v>
      </c>
      <c r="C18" s="36" t="s">
        <v>63</v>
      </c>
      <c r="D18" s="17"/>
      <c r="E18" s="17"/>
      <c r="F18" s="17"/>
      <c r="G18" s="17"/>
      <c r="H18" s="18"/>
      <c r="I18" s="18"/>
      <c r="J18" s="17"/>
      <c r="K18" s="15"/>
      <c r="L18" s="16"/>
      <c r="M18" s="15">
        <v>3000</v>
      </c>
      <c r="N18" s="14"/>
      <c r="O18" s="13"/>
      <c r="P18" s="12"/>
    </row>
    <row r="19" spans="1:17" s="11" customFormat="1" ht="30.75" customHeight="1" x14ac:dyDescent="0.15">
      <c r="A19" s="17">
        <v>20170103</v>
      </c>
      <c r="B19" s="19" t="s">
        <v>122</v>
      </c>
      <c r="C19" s="36" t="s">
        <v>121</v>
      </c>
      <c r="D19" s="17"/>
      <c r="E19" s="17" t="s">
        <v>12</v>
      </c>
      <c r="F19" s="17" t="s">
        <v>11</v>
      </c>
      <c r="G19" s="17" t="s">
        <v>2</v>
      </c>
      <c r="H19" s="18">
        <f>[3]副本!G37-'20170103'!H20</f>
        <v>15598.453428000037</v>
      </c>
      <c r="I19" s="18">
        <f>H19</f>
        <v>15598.453428000037</v>
      </c>
      <c r="J19" s="17"/>
      <c r="K19" s="15"/>
      <c r="L19" s="16">
        <f>H19-I19</f>
        <v>0</v>
      </c>
      <c r="M19" s="15">
        <v>21000</v>
      </c>
      <c r="N19" s="14" t="s">
        <v>125</v>
      </c>
      <c r="O19" s="13" t="s">
        <v>124</v>
      </c>
      <c r="P19" s="12" t="s">
        <v>123</v>
      </c>
    </row>
    <row r="20" spans="1:17" s="11" customFormat="1" ht="30.75" customHeight="1" x14ac:dyDescent="0.15">
      <c r="A20" s="17">
        <v>20170103</v>
      </c>
      <c r="B20" s="19" t="s">
        <v>122</v>
      </c>
      <c r="C20" s="36" t="s">
        <v>121</v>
      </c>
      <c r="D20" s="17"/>
      <c r="E20" s="17" t="s">
        <v>12</v>
      </c>
      <c r="F20" s="12" t="s">
        <v>595</v>
      </c>
      <c r="G20" s="17"/>
      <c r="H20" s="18">
        <f>[3]副本!G39</f>
        <v>1350.5465719999629</v>
      </c>
      <c r="I20" s="18">
        <f>H20</f>
        <v>1350.5465719999629</v>
      </c>
      <c r="J20" s="17"/>
      <c r="K20" s="28"/>
      <c r="L20" s="16">
        <f>H20-I20</f>
        <v>0</v>
      </c>
      <c r="M20" s="15">
        <v>21000</v>
      </c>
      <c r="N20" s="14" t="s">
        <v>120</v>
      </c>
      <c r="O20" s="13" t="s">
        <v>119</v>
      </c>
      <c r="P20" s="12" t="s">
        <v>118</v>
      </c>
    </row>
    <row r="21" spans="1:17" s="11" customFormat="1" ht="30.75" customHeight="1" x14ac:dyDescent="0.15">
      <c r="A21" s="17">
        <v>20170103</v>
      </c>
      <c r="B21" s="19" t="s">
        <v>117</v>
      </c>
      <c r="C21" s="36" t="s">
        <v>63</v>
      </c>
      <c r="D21" s="17"/>
      <c r="E21" s="17" t="s">
        <v>116</v>
      </c>
      <c r="F21" s="17" t="s">
        <v>115</v>
      </c>
      <c r="G21" s="17" t="s">
        <v>2</v>
      </c>
      <c r="H21" s="18">
        <f>[3]副本!G41</f>
        <v>2906.4359999999997</v>
      </c>
      <c r="I21" s="18">
        <f>H21</f>
        <v>2906.4359999999997</v>
      </c>
      <c r="J21" s="17"/>
      <c r="K21" s="15">
        <v>300</v>
      </c>
      <c r="L21" s="16">
        <f>H21-I21</f>
        <v>0</v>
      </c>
      <c r="M21" s="15">
        <v>5000</v>
      </c>
      <c r="N21" s="14"/>
      <c r="O21" s="13"/>
      <c r="P21" s="12" t="s">
        <v>114</v>
      </c>
    </row>
    <row r="22" spans="1:17" s="11" customFormat="1" ht="30.75" customHeight="1" x14ac:dyDescent="0.15">
      <c r="A22" s="17">
        <v>20170103</v>
      </c>
      <c r="B22" s="19" t="s">
        <v>113</v>
      </c>
      <c r="C22" s="36" t="s">
        <v>0</v>
      </c>
      <c r="D22" s="17"/>
      <c r="E22" s="12"/>
      <c r="F22" s="17"/>
      <c r="G22" s="17"/>
      <c r="H22" s="18"/>
      <c r="I22" s="18"/>
      <c r="J22" s="17"/>
      <c r="K22" s="15"/>
      <c r="L22" s="16"/>
      <c r="M22" s="15">
        <v>5000</v>
      </c>
      <c r="N22" s="14"/>
      <c r="O22" s="13"/>
      <c r="P22" s="37"/>
    </row>
    <row r="23" spans="1:17" s="11" customFormat="1" ht="30.75" customHeight="1" x14ac:dyDescent="0.15">
      <c r="A23" s="17">
        <v>20170103</v>
      </c>
      <c r="B23" s="19" t="s">
        <v>226</v>
      </c>
      <c r="C23" s="36" t="s">
        <v>63</v>
      </c>
      <c r="D23" s="17"/>
      <c r="E23" s="17"/>
      <c r="F23" s="17"/>
      <c r="G23" s="17"/>
      <c r="H23" s="18"/>
      <c r="I23" s="18"/>
      <c r="J23" s="17"/>
      <c r="K23" s="15"/>
      <c r="L23" s="16"/>
      <c r="M23" s="15">
        <v>5000</v>
      </c>
      <c r="N23" s="14"/>
      <c r="O23" s="13"/>
      <c r="P23" s="12"/>
    </row>
    <row r="24" spans="1:17" s="11" customFormat="1" ht="30.75" customHeight="1" x14ac:dyDescent="0.15">
      <c r="A24" s="17">
        <v>20170103</v>
      </c>
      <c r="B24" s="19" t="s">
        <v>109</v>
      </c>
      <c r="C24" s="36" t="s">
        <v>63</v>
      </c>
      <c r="D24" s="17"/>
      <c r="E24" s="17" t="s">
        <v>108</v>
      </c>
      <c r="F24" s="17" t="s">
        <v>107</v>
      </c>
      <c r="G24" s="17" t="s">
        <v>2</v>
      </c>
      <c r="H24" s="18">
        <f>[3]副本!G47</f>
        <v>762.62100000004284</v>
      </c>
      <c r="I24" s="18">
        <f>H24</f>
        <v>762.62100000004284</v>
      </c>
      <c r="J24" s="17"/>
      <c r="K24" s="15"/>
      <c r="L24" s="16">
        <f t="shared" ref="L24:L29" si="0">H24-I24</f>
        <v>0</v>
      </c>
      <c r="M24" s="15">
        <v>4000</v>
      </c>
      <c r="N24" s="14" t="s">
        <v>47</v>
      </c>
      <c r="O24" s="13" t="s">
        <v>46</v>
      </c>
      <c r="P24" s="12"/>
    </row>
    <row r="25" spans="1:17" s="11" customFormat="1" ht="30.75" customHeight="1" x14ac:dyDescent="0.15">
      <c r="A25" s="17">
        <v>20170103</v>
      </c>
      <c r="B25" s="19" t="s">
        <v>106</v>
      </c>
      <c r="C25" s="36" t="s">
        <v>105</v>
      </c>
      <c r="D25" s="17"/>
      <c r="E25" s="17" t="s">
        <v>9</v>
      </c>
      <c r="F25" s="17" t="s">
        <v>104</v>
      </c>
      <c r="G25" s="17" t="s">
        <v>2</v>
      </c>
      <c r="H25" s="18">
        <f>[3]副本!G49</f>
        <v>272.52499999999998</v>
      </c>
      <c r="I25" s="18">
        <f>H25</f>
        <v>272.52499999999998</v>
      </c>
      <c r="J25" s="17"/>
      <c r="K25" s="15"/>
      <c r="L25" s="16">
        <f t="shared" si="0"/>
        <v>0</v>
      </c>
      <c r="M25" s="15">
        <v>5000</v>
      </c>
      <c r="N25" s="14" t="s">
        <v>225</v>
      </c>
      <c r="O25" s="13" t="s">
        <v>102</v>
      </c>
      <c r="P25" s="12" t="s">
        <v>101</v>
      </c>
    </row>
    <row r="26" spans="1:17" s="11" customFormat="1" ht="30.75" customHeight="1" x14ac:dyDescent="0.15">
      <c r="A26" s="17">
        <v>20170103</v>
      </c>
      <c r="B26" s="19" t="s">
        <v>100</v>
      </c>
      <c r="C26" s="36" t="s">
        <v>96</v>
      </c>
      <c r="D26" s="17"/>
      <c r="E26" s="17" t="s">
        <v>67</v>
      </c>
      <c r="F26" s="17" t="s">
        <v>39</v>
      </c>
      <c r="G26" s="17" t="s">
        <v>2</v>
      </c>
      <c r="H26" s="18">
        <f>[3]副本!G51</f>
        <v>0.62100000000296873</v>
      </c>
      <c r="I26" s="18">
        <f>H26</f>
        <v>0.62100000000296873</v>
      </c>
      <c r="J26" s="17"/>
      <c r="K26" s="15"/>
      <c r="L26" s="16">
        <f t="shared" si="0"/>
        <v>0</v>
      </c>
      <c r="M26" s="15">
        <v>2000</v>
      </c>
      <c r="N26" s="14"/>
      <c r="O26" s="13"/>
      <c r="P26" s="12" t="s">
        <v>38</v>
      </c>
    </row>
    <row r="27" spans="1:17" s="11" customFormat="1" ht="30.75" customHeight="1" x14ac:dyDescent="0.15">
      <c r="A27" s="17">
        <v>20170103</v>
      </c>
      <c r="B27" s="19" t="s">
        <v>224</v>
      </c>
      <c r="C27" s="36" t="s">
        <v>96</v>
      </c>
      <c r="D27" s="17"/>
      <c r="E27" s="17" t="s">
        <v>67</v>
      </c>
      <c r="F27" s="17" t="s">
        <v>66</v>
      </c>
      <c r="G27" s="17" t="s">
        <v>2</v>
      </c>
      <c r="H27" s="18">
        <f>[3]副本!G53</f>
        <v>1099.9159999999999</v>
      </c>
      <c r="I27" s="18">
        <f>H27-1099.916</f>
        <v>0</v>
      </c>
      <c r="J27" s="17"/>
      <c r="K27" s="15"/>
      <c r="L27" s="16">
        <f t="shared" si="0"/>
        <v>1099.9159999999999</v>
      </c>
      <c r="M27" s="15">
        <v>1500</v>
      </c>
      <c r="N27" s="14"/>
      <c r="O27" s="13"/>
      <c r="P27" s="12"/>
    </row>
    <row r="28" spans="1:17" s="11" customFormat="1" ht="30.75" customHeight="1" x14ac:dyDescent="0.15">
      <c r="A28" s="17">
        <v>20170103</v>
      </c>
      <c r="B28" s="19" t="s">
        <v>98</v>
      </c>
      <c r="C28" s="36" t="s">
        <v>96</v>
      </c>
      <c r="D28" s="17"/>
      <c r="E28" s="17"/>
      <c r="F28" s="17"/>
      <c r="G28" s="17"/>
      <c r="H28" s="18"/>
      <c r="I28" s="18"/>
      <c r="J28" s="17"/>
      <c r="K28" s="15"/>
      <c r="L28" s="16">
        <f t="shared" si="0"/>
        <v>0</v>
      </c>
      <c r="M28" s="15">
        <v>1500</v>
      </c>
      <c r="N28" s="14"/>
      <c r="O28" s="13"/>
      <c r="P28" s="12"/>
      <c r="Q28" s="20"/>
    </row>
    <row r="29" spans="1:17" s="11" customFormat="1" ht="30.75" customHeight="1" x14ac:dyDescent="0.15">
      <c r="A29" s="17">
        <v>20170103</v>
      </c>
      <c r="B29" s="19" t="s">
        <v>97</v>
      </c>
      <c r="C29" s="36" t="s">
        <v>96</v>
      </c>
      <c r="D29" s="17"/>
      <c r="E29" s="17" t="s">
        <v>67</v>
      </c>
      <c r="F29" s="17" t="s">
        <v>66</v>
      </c>
      <c r="G29" s="17" t="s">
        <v>2</v>
      </c>
      <c r="H29" s="18">
        <f>[3]副本!G57</f>
        <v>1098.2449999999999</v>
      </c>
      <c r="I29" s="18">
        <f>H29-1098.245</f>
        <v>0</v>
      </c>
      <c r="J29" s="17"/>
      <c r="K29" s="15"/>
      <c r="L29" s="16">
        <f t="shared" si="0"/>
        <v>1098.2449999999999</v>
      </c>
      <c r="M29" s="15">
        <v>1500</v>
      </c>
      <c r="N29" s="14"/>
      <c r="O29" s="13"/>
      <c r="P29" s="12"/>
    </row>
    <row r="30" spans="1:17" s="11" customFormat="1" ht="30.75" customHeight="1" x14ac:dyDescent="0.15">
      <c r="A30" s="17">
        <v>20170103</v>
      </c>
      <c r="B30" s="19" t="s">
        <v>95</v>
      </c>
      <c r="C30" s="36" t="s">
        <v>63</v>
      </c>
      <c r="D30" s="17"/>
      <c r="E30" s="17"/>
      <c r="F30" s="17"/>
      <c r="G30" s="17"/>
      <c r="H30" s="18"/>
      <c r="I30" s="18"/>
      <c r="J30" s="17"/>
      <c r="K30" s="15"/>
      <c r="L30" s="16"/>
      <c r="M30" s="15">
        <v>1500</v>
      </c>
      <c r="N30" s="14"/>
      <c r="O30" s="13"/>
      <c r="P30" s="12"/>
    </row>
    <row r="31" spans="1:17" s="11" customFormat="1" ht="30.75" customHeight="1" x14ac:dyDescent="0.15">
      <c r="A31" s="17">
        <v>20170103</v>
      </c>
      <c r="B31" s="19" t="s">
        <v>93</v>
      </c>
      <c r="C31" s="36" t="s">
        <v>57</v>
      </c>
      <c r="D31" s="17"/>
      <c r="E31" s="17" t="s">
        <v>92</v>
      </c>
      <c r="F31" s="17" t="s">
        <v>91</v>
      </c>
      <c r="G31" s="17"/>
      <c r="H31" s="17">
        <f>[3]副本!G61</f>
        <v>403.41900000000032</v>
      </c>
      <c r="I31" s="18">
        <f>H31-1035.099+1035.099</f>
        <v>403.41900000000032</v>
      </c>
      <c r="J31" s="17"/>
      <c r="K31" s="15">
        <v>30</v>
      </c>
      <c r="L31" s="16">
        <f>H31-I31</f>
        <v>0</v>
      </c>
      <c r="M31" s="15">
        <v>2000</v>
      </c>
      <c r="N31" s="14"/>
      <c r="O31" s="13"/>
      <c r="P31" s="12" t="s">
        <v>223</v>
      </c>
    </row>
    <row r="32" spans="1:17" s="11" customFormat="1" ht="30.75" customHeight="1" x14ac:dyDescent="0.15">
      <c r="A32" s="17">
        <v>20170103</v>
      </c>
      <c r="B32" s="19" t="s">
        <v>89</v>
      </c>
      <c r="C32" s="36" t="s">
        <v>63</v>
      </c>
      <c r="D32" s="17" t="s">
        <v>88</v>
      </c>
      <c r="E32" s="17" t="s">
        <v>87</v>
      </c>
      <c r="F32" s="17" t="s">
        <v>233</v>
      </c>
      <c r="G32" s="17" t="s">
        <v>54</v>
      </c>
      <c r="H32" s="18">
        <f>[3]副本!G63</f>
        <v>755.06299999999987</v>
      </c>
      <c r="I32" s="18">
        <f>H32-1037.023+500+537.023</f>
        <v>755.06299999999999</v>
      </c>
      <c r="J32" s="17"/>
      <c r="K32" s="15">
        <v>50</v>
      </c>
      <c r="L32" s="16">
        <f>H32-I32</f>
        <v>0</v>
      </c>
      <c r="M32" s="15">
        <v>3000</v>
      </c>
      <c r="N32" s="14"/>
      <c r="O32" s="13"/>
      <c r="P32" s="24" t="s">
        <v>222</v>
      </c>
    </row>
    <row r="33" spans="1:16" s="11" customFormat="1" ht="30.75" customHeight="1" x14ac:dyDescent="0.15">
      <c r="A33" s="17">
        <v>20170103</v>
      </c>
      <c r="B33" s="19" t="s">
        <v>85</v>
      </c>
      <c r="C33" s="36" t="s">
        <v>63</v>
      </c>
      <c r="D33" s="17" t="s">
        <v>5</v>
      </c>
      <c r="E33" s="17" t="s">
        <v>84</v>
      </c>
      <c r="F33" s="17" t="s">
        <v>81</v>
      </c>
      <c r="G33" s="17" t="s">
        <v>54</v>
      </c>
      <c r="H33" s="18">
        <f>[3]副本!G65</f>
        <v>0</v>
      </c>
      <c r="I33" s="18">
        <f>H33</f>
        <v>0</v>
      </c>
      <c r="J33" s="17"/>
      <c r="K33" s="15"/>
      <c r="L33" s="16">
        <f>H33-I33</f>
        <v>0</v>
      </c>
      <c r="M33" s="15">
        <v>4000</v>
      </c>
      <c r="N33" s="14"/>
      <c r="O33" s="13"/>
      <c r="P33" s="12" t="s">
        <v>83</v>
      </c>
    </row>
    <row r="34" spans="1:16" s="11" customFormat="1" ht="30.75" customHeight="1" x14ac:dyDescent="0.15">
      <c r="A34" s="17">
        <v>20170103</v>
      </c>
      <c r="B34" s="19" t="s">
        <v>82</v>
      </c>
      <c r="C34" s="36" t="s">
        <v>0</v>
      </c>
      <c r="D34" s="17"/>
      <c r="E34" s="17"/>
      <c r="F34" s="17"/>
      <c r="G34" s="17"/>
      <c r="H34" s="18"/>
      <c r="I34" s="18"/>
      <c r="J34" s="17"/>
      <c r="K34" s="15"/>
      <c r="L34" s="16"/>
      <c r="M34" s="15">
        <v>5000</v>
      </c>
      <c r="N34" s="14"/>
      <c r="O34" s="13"/>
      <c r="P34" s="12"/>
    </row>
    <row r="35" spans="1:16" s="11" customFormat="1" ht="30.75" customHeight="1" x14ac:dyDescent="0.15">
      <c r="A35" s="17">
        <v>20170103</v>
      </c>
      <c r="B35" s="19" t="s">
        <v>79</v>
      </c>
      <c r="C35" s="36" t="s">
        <v>57</v>
      </c>
      <c r="D35" s="17" t="s">
        <v>5</v>
      </c>
      <c r="E35" s="17" t="s">
        <v>78</v>
      </c>
      <c r="F35" s="17" t="s">
        <v>81</v>
      </c>
      <c r="G35" s="17" t="s">
        <v>2</v>
      </c>
      <c r="H35" s="18">
        <f>[3]副本!G69</f>
        <v>196.4720000000525</v>
      </c>
      <c r="I35" s="18">
        <f>H35-955.747+477.874+477.873-1042.865-2628.137+500+542.865+2102.57+525.567-499.112-3147.566+2100+525+525+496.678</f>
        <v>196.47200000005216</v>
      </c>
      <c r="J35" s="17"/>
      <c r="K35" s="15"/>
      <c r="L35" s="16">
        <f>H35-I35</f>
        <v>3.4106051316484809E-13</v>
      </c>
      <c r="M35" s="15">
        <v>5000</v>
      </c>
      <c r="N35" s="14"/>
      <c r="O35" s="13"/>
      <c r="P35" s="12" t="s">
        <v>80</v>
      </c>
    </row>
    <row r="36" spans="1:16" s="11" customFormat="1" ht="30.75" customHeight="1" x14ac:dyDescent="0.15">
      <c r="A36" s="17">
        <v>20170103</v>
      </c>
      <c r="B36" s="19" t="s">
        <v>79</v>
      </c>
      <c r="C36" s="36" t="s">
        <v>57</v>
      </c>
      <c r="D36" s="17" t="s">
        <v>5</v>
      </c>
      <c r="E36" s="17" t="s">
        <v>78</v>
      </c>
      <c r="F36" s="17" t="s">
        <v>77</v>
      </c>
      <c r="G36" s="17"/>
      <c r="H36" s="18">
        <f>[3]副本!G70</f>
        <v>2.6340000000004693</v>
      </c>
      <c r="I36" s="18">
        <f>H36</f>
        <v>2.6340000000004693</v>
      </c>
      <c r="J36" s="17"/>
      <c r="K36" s="15"/>
      <c r="L36" s="16">
        <f>H36-I36</f>
        <v>0</v>
      </c>
      <c r="M36" s="15">
        <v>5000</v>
      </c>
      <c r="N36" s="14"/>
      <c r="O36" s="13"/>
      <c r="P36" s="12" t="s">
        <v>76</v>
      </c>
    </row>
    <row r="37" spans="1:16" s="11" customFormat="1" ht="30.75" customHeight="1" x14ac:dyDescent="0.15">
      <c r="A37" s="17">
        <v>20170103</v>
      </c>
      <c r="B37" s="19" t="s">
        <v>74</v>
      </c>
      <c r="C37" s="36" t="s">
        <v>28</v>
      </c>
      <c r="D37" s="17"/>
      <c r="E37" s="17" t="s">
        <v>67</v>
      </c>
      <c r="F37" s="17" t="s">
        <v>39</v>
      </c>
      <c r="G37" s="17" t="s">
        <v>2</v>
      </c>
      <c r="H37" s="18">
        <f>[3]副本!G72</f>
        <v>490.36299999999756</v>
      </c>
      <c r="I37" s="18">
        <f>H37</f>
        <v>490.36299999999756</v>
      </c>
      <c r="J37" s="17"/>
      <c r="K37" s="15"/>
      <c r="L37" s="16">
        <f>H37-I37</f>
        <v>0</v>
      </c>
      <c r="M37" s="15">
        <v>4000</v>
      </c>
      <c r="N37" s="14"/>
      <c r="O37" s="13"/>
      <c r="P37" s="35" t="s">
        <v>75</v>
      </c>
    </row>
    <row r="38" spans="1:16" s="11" customFormat="1" ht="30.75" customHeight="1" x14ac:dyDescent="0.15">
      <c r="A38" s="17">
        <v>20170103</v>
      </c>
      <c r="B38" s="19" t="s">
        <v>74</v>
      </c>
      <c r="C38" s="36" t="s">
        <v>28</v>
      </c>
      <c r="D38" s="17"/>
      <c r="E38" s="17" t="s">
        <v>67</v>
      </c>
      <c r="F38" s="17" t="s">
        <v>71</v>
      </c>
      <c r="G38" s="17"/>
      <c r="H38" s="18">
        <f>[3]副本!G73</f>
        <v>261.26</v>
      </c>
      <c r="I38" s="18">
        <f>H38</f>
        <v>261.26</v>
      </c>
      <c r="J38" s="17"/>
      <c r="K38" s="15"/>
      <c r="L38" s="16"/>
      <c r="M38" s="15">
        <v>4000</v>
      </c>
      <c r="N38" s="14"/>
      <c r="O38" s="13"/>
      <c r="P38" s="35" t="s">
        <v>69</v>
      </c>
    </row>
    <row r="39" spans="1:16" s="11" customFormat="1" ht="30.75" customHeight="1" x14ac:dyDescent="0.15">
      <c r="A39" s="17">
        <v>20170103</v>
      </c>
      <c r="B39" s="19" t="s">
        <v>74</v>
      </c>
      <c r="C39" s="36" t="s">
        <v>28</v>
      </c>
      <c r="D39" s="17"/>
      <c r="E39" s="17" t="s">
        <v>67</v>
      </c>
      <c r="F39" s="17" t="s">
        <v>66</v>
      </c>
      <c r="G39" s="17"/>
      <c r="H39" s="18">
        <f>[3]副本!G74</f>
        <v>1001.944</v>
      </c>
      <c r="I39" s="18">
        <f>H39-1001.944</f>
        <v>0</v>
      </c>
      <c r="J39" s="17"/>
      <c r="K39" s="15"/>
      <c r="L39" s="16">
        <f>H39-I39</f>
        <v>1001.944</v>
      </c>
      <c r="M39" s="15">
        <v>4000</v>
      </c>
      <c r="N39" s="14"/>
      <c r="O39" s="13"/>
      <c r="P39" s="35"/>
    </row>
    <row r="40" spans="1:16" s="11" customFormat="1" ht="30.75" customHeight="1" x14ac:dyDescent="0.15">
      <c r="A40" s="17">
        <v>20170103</v>
      </c>
      <c r="B40" s="19" t="s">
        <v>73</v>
      </c>
      <c r="C40" s="36" t="s">
        <v>28</v>
      </c>
      <c r="D40" s="17"/>
      <c r="E40" s="17"/>
      <c r="F40" s="17"/>
      <c r="G40" s="17"/>
      <c r="H40" s="18"/>
      <c r="I40" s="18"/>
      <c r="J40" s="17"/>
      <c r="K40" s="15"/>
      <c r="L40" s="16"/>
      <c r="M40" s="15">
        <v>2000</v>
      </c>
      <c r="N40" s="14"/>
      <c r="O40" s="13"/>
      <c r="P40" s="12"/>
    </row>
    <row r="41" spans="1:16" s="11" customFormat="1" ht="30.75" customHeight="1" x14ac:dyDescent="0.15">
      <c r="A41" s="17">
        <v>20170103</v>
      </c>
      <c r="B41" s="19" t="s">
        <v>72</v>
      </c>
      <c r="C41" s="36" t="s">
        <v>43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3000</v>
      </c>
      <c r="N41" s="14"/>
      <c r="O41" s="13"/>
      <c r="P41" s="12"/>
    </row>
    <row r="42" spans="1:16" s="11" customFormat="1" ht="30.75" customHeight="1" x14ac:dyDescent="0.15">
      <c r="A42" s="17">
        <v>20170103</v>
      </c>
      <c r="B42" s="19" t="s">
        <v>68</v>
      </c>
      <c r="C42" s="36" t="s">
        <v>43</v>
      </c>
      <c r="D42" s="17"/>
      <c r="E42" s="17" t="s">
        <v>67</v>
      </c>
      <c r="F42" s="17" t="s">
        <v>39</v>
      </c>
      <c r="G42" s="17"/>
      <c r="H42" s="18">
        <f>[3]副本!G80</f>
        <v>2010.7000000000003</v>
      </c>
      <c r="I42" s="18">
        <f>H42</f>
        <v>2010.7000000000003</v>
      </c>
      <c r="J42" s="17"/>
      <c r="K42" s="15">
        <v>1200</v>
      </c>
      <c r="L42" s="16">
        <f>H42-I42</f>
        <v>0</v>
      </c>
      <c r="M42" s="15">
        <v>5000</v>
      </c>
      <c r="N42" s="14"/>
      <c r="O42" s="13"/>
      <c r="P42" s="35" t="s">
        <v>69</v>
      </c>
    </row>
    <row r="43" spans="1:16" s="11" customFormat="1" ht="30.75" customHeight="1" x14ac:dyDescent="0.15">
      <c r="A43" s="17">
        <v>20170103</v>
      </c>
      <c r="B43" s="19" t="s">
        <v>68</v>
      </c>
      <c r="C43" s="36" t="s">
        <v>43</v>
      </c>
      <c r="D43" s="17"/>
      <c r="E43" s="17" t="s">
        <v>67</v>
      </c>
      <c r="F43" s="17" t="s">
        <v>66</v>
      </c>
      <c r="G43" s="17"/>
      <c r="H43" s="18">
        <f>[3]副本!G81</f>
        <v>1584.5709999999999</v>
      </c>
      <c r="I43" s="18">
        <f>H43-1584.571</f>
        <v>0</v>
      </c>
      <c r="J43" s="17"/>
      <c r="K43" s="15"/>
      <c r="L43" s="16">
        <f>H43-I43</f>
        <v>1584.5709999999999</v>
      </c>
      <c r="M43" s="15">
        <v>5000</v>
      </c>
      <c r="N43" s="14"/>
      <c r="O43" s="13"/>
      <c r="P43" s="35"/>
    </row>
    <row r="44" spans="1:16" s="11" customFormat="1" ht="30.75" customHeight="1" x14ac:dyDescent="0.15">
      <c r="A44" s="17">
        <v>20170103</v>
      </c>
      <c r="B44" s="19" t="s">
        <v>65</v>
      </c>
      <c r="C44" s="36" t="s">
        <v>63</v>
      </c>
      <c r="D44" s="17"/>
      <c r="E44" s="17"/>
      <c r="F44" s="17"/>
      <c r="G44" s="17"/>
      <c r="H44" s="18"/>
      <c r="I44" s="18"/>
      <c r="J44" s="17"/>
      <c r="K44" s="15"/>
      <c r="L44" s="16"/>
      <c r="M44" s="15">
        <v>5000</v>
      </c>
      <c r="N44" s="14"/>
      <c r="O44" s="13"/>
      <c r="P44" s="12"/>
    </row>
    <row r="45" spans="1:16" s="11" customFormat="1" ht="30.75" customHeight="1" x14ac:dyDescent="0.15">
      <c r="A45" s="17">
        <v>20170103</v>
      </c>
      <c r="B45" s="19" t="s">
        <v>64</v>
      </c>
      <c r="C45" s="36" t="s">
        <v>63</v>
      </c>
      <c r="D45" s="17"/>
      <c r="E45" s="17"/>
      <c r="F45" s="17"/>
      <c r="G45" s="17"/>
      <c r="H45" s="18"/>
      <c r="I45" s="18"/>
      <c r="J45" s="17"/>
      <c r="K45" s="15"/>
      <c r="L45" s="16"/>
      <c r="M45" s="15">
        <v>5000</v>
      </c>
      <c r="N45" s="14"/>
      <c r="O45" s="13"/>
      <c r="P45" s="35"/>
    </row>
    <row r="46" spans="1:16" s="11" customFormat="1" ht="30.75" customHeight="1" x14ac:dyDescent="0.15">
      <c r="A46" s="17">
        <v>20170103</v>
      </c>
      <c r="B46" s="19" t="s">
        <v>62</v>
      </c>
      <c r="C46" s="36" t="s">
        <v>57</v>
      </c>
      <c r="D46" s="17"/>
      <c r="E46" s="17" t="s">
        <v>56</v>
      </c>
      <c r="F46" s="17" t="s">
        <v>61</v>
      </c>
      <c r="G46" s="17" t="s">
        <v>2</v>
      </c>
      <c r="H46" s="18">
        <f>[3]副本!G87</f>
        <v>875.07899999999427</v>
      </c>
      <c r="I46" s="18">
        <f>H46</f>
        <v>875.07899999999427</v>
      </c>
      <c r="J46" s="17"/>
      <c r="K46" s="16"/>
      <c r="L46" s="16">
        <f>H46-I46</f>
        <v>0</v>
      </c>
      <c r="M46" s="15">
        <v>2000</v>
      </c>
      <c r="N46" s="14"/>
      <c r="O46" s="13"/>
      <c r="P46" s="12"/>
    </row>
    <row r="47" spans="1:16" s="11" customFormat="1" ht="30.75" customHeight="1" x14ac:dyDescent="0.15">
      <c r="A47" s="17">
        <v>20170103</v>
      </c>
      <c r="B47" s="19" t="s">
        <v>60</v>
      </c>
      <c r="C47" s="36" t="s">
        <v>43</v>
      </c>
      <c r="D47" s="17" t="s">
        <v>5</v>
      </c>
      <c r="E47" s="17" t="s">
        <v>34</v>
      </c>
      <c r="F47" s="17" t="s">
        <v>48</v>
      </c>
      <c r="G47" s="17" t="s">
        <v>2</v>
      </c>
      <c r="H47" s="18">
        <f>[3]副本!G89</f>
        <v>7193.6779999999999</v>
      </c>
      <c r="I47" s="18">
        <v>0</v>
      </c>
      <c r="J47" s="17"/>
      <c r="K47" s="15"/>
      <c r="L47" s="16">
        <f>H47-I47</f>
        <v>7193.6779999999999</v>
      </c>
      <c r="M47" s="15">
        <v>10000</v>
      </c>
      <c r="N47" s="14"/>
      <c r="O47" s="13"/>
      <c r="P47" s="12"/>
    </row>
    <row r="48" spans="1:16" s="11" customFormat="1" ht="30.75" customHeight="1" x14ac:dyDescent="0.15">
      <c r="A48" s="17">
        <v>20170103</v>
      </c>
      <c r="B48" s="19" t="s">
        <v>59</v>
      </c>
      <c r="C48" s="36" t="s">
        <v>28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[3]副本!G91</f>
        <v>7409.1850000000004</v>
      </c>
      <c r="I48" s="18">
        <f>H48-7409.185</f>
        <v>0</v>
      </c>
      <c r="J48" s="17"/>
      <c r="K48" s="15"/>
      <c r="L48" s="16">
        <v>0</v>
      </c>
      <c r="M48" s="15">
        <v>10000</v>
      </c>
      <c r="N48" s="14"/>
      <c r="O48" s="13"/>
      <c r="P48" s="12"/>
    </row>
    <row r="49" spans="1:17" s="11" customFormat="1" ht="30.75" customHeight="1" x14ac:dyDescent="0.15">
      <c r="A49" s="17">
        <v>20170103</v>
      </c>
      <c r="B49" s="19" t="s">
        <v>58</v>
      </c>
      <c r="C49" s="36" t="s">
        <v>57</v>
      </c>
      <c r="D49" s="17"/>
      <c r="E49" s="17" t="s">
        <v>56</v>
      </c>
      <c r="F49" s="17" t="s">
        <v>55</v>
      </c>
      <c r="G49" s="17" t="s">
        <v>54</v>
      </c>
      <c r="H49" s="18">
        <f>[3]副本!G93</f>
        <v>2288.7240000000079</v>
      </c>
      <c r="I49" s="18">
        <f>H49</f>
        <v>2288.7240000000079</v>
      </c>
      <c r="J49" s="17"/>
      <c r="K49" s="16"/>
      <c r="L49" s="16">
        <v>0</v>
      </c>
      <c r="M49" s="15">
        <v>5000</v>
      </c>
      <c r="N49" s="23" t="s">
        <v>53</v>
      </c>
      <c r="O49" s="22" t="s">
        <v>52</v>
      </c>
      <c r="P49" s="12" t="s">
        <v>221</v>
      </c>
    </row>
    <row r="50" spans="1:17" s="11" customFormat="1" ht="30.75" customHeight="1" x14ac:dyDescent="0.15">
      <c r="A50" s="17">
        <v>20170103</v>
      </c>
      <c r="B50" s="19" t="s">
        <v>50</v>
      </c>
      <c r="C50" s="36" t="s">
        <v>28</v>
      </c>
      <c r="D50" s="17"/>
      <c r="E50" s="17"/>
      <c r="F50" s="17"/>
      <c r="G50" s="17"/>
      <c r="H50" s="18"/>
      <c r="I50" s="18"/>
      <c r="J50" s="17"/>
      <c r="K50" s="15"/>
      <c r="L50" s="16">
        <f>H50-I50</f>
        <v>0</v>
      </c>
      <c r="M50" s="15">
        <v>3000</v>
      </c>
      <c r="N50" s="14"/>
      <c r="O50" s="13"/>
      <c r="P50" s="12"/>
    </row>
    <row r="51" spans="1:17" s="11" customFormat="1" ht="30.75" customHeight="1" x14ac:dyDescent="0.15">
      <c r="A51" s="17">
        <v>20170103</v>
      </c>
      <c r="B51" s="19" t="s">
        <v>49</v>
      </c>
      <c r="C51" s="36" t="s">
        <v>28</v>
      </c>
      <c r="D51" s="17" t="s">
        <v>5</v>
      </c>
      <c r="E51" s="17" t="s">
        <v>34</v>
      </c>
      <c r="F51" s="17" t="s">
        <v>48</v>
      </c>
      <c r="G51" s="17" t="s">
        <v>22</v>
      </c>
      <c r="H51" s="18">
        <f>[3]副本!G97</f>
        <v>17900.637999999999</v>
      </c>
      <c r="I51" s="18">
        <v>0</v>
      </c>
      <c r="J51" s="17"/>
      <c r="K51" s="15"/>
      <c r="L51" s="16">
        <f>H51-I51</f>
        <v>17900.637999999999</v>
      </c>
      <c r="M51" s="15">
        <v>25000</v>
      </c>
      <c r="N51" s="14" t="s">
        <v>47</v>
      </c>
      <c r="O51" s="13" t="s">
        <v>46</v>
      </c>
      <c r="P51" s="12" t="s">
        <v>45</v>
      </c>
    </row>
    <row r="52" spans="1:17" s="11" customFormat="1" ht="30.75" customHeight="1" x14ac:dyDescent="0.15">
      <c r="A52" s="17">
        <v>20170103</v>
      </c>
      <c r="B52" s="19" t="s">
        <v>44</v>
      </c>
      <c r="C52" s="36" t="s">
        <v>43</v>
      </c>
      <c r="D52" s="17" t="s">
        <v>5</v>
      </c>
      <c r="E52" s="17" t="s">
        <v>34</v>
      </c>
      <c r="F52" s="17" t="s">
        <v>235</v>
      </c>
      <c r="G52" s="17" t="s">
        <v>22</v>
      </c>
      <c r="H52" s="18">
        <f>[3]副本!G99</f>
        <v>17775.025000000081</v>
      </c>
      <c r="I52" s="18">
        <v>0</v>
      </c>
      <c r="J52" s="17"/>
      <c r="K52" s="15"/>
      <c r="L52" s="16">
        <f>H52-I52</f>
        <v>17775.025000000081</v>
      </c>
      <c r="M52" s="15">
        <v>50000</v>
      </c>
      <c r="N52" s="14"/>
      <c r="O52" s="13"/>
      <c r="P52" s="12"/>
    </row>
    <row r="53" spans="1:17" s="11" customFormat="1" ht="30.75" customHeight="1" x14ac:dyDescent="0.15">
      <c r="A53" s="17">
        <v>20170103</v>
      </c>
      <c r="B53" s="19" t="s">
        <v>41</v>
      </c>
      <c r="C53" s="36" t="s">
        <v>28</v>
      </c>
      <c r="D53" s="17"/>
      <c r="E53" s="17" t="s">
        <v>40</v>
      </c>
      <c r="F53" s="17" t="s">
        <v>39</v>
      </c>
      <c r="G53" s="17" t="s">
        <v>22</v>
      </c>
      <c r="H53" s="18">
        <f>[3]副本!G101</f>
        <v>819.637000000017</v>
      </c>
      <c r="I53" s="18">
        <f>H53</f>
        <v>819.637000000017</v>
      </c>
      <c r="J53" s="17"/>
      <c r="K53" s="15"/>
      <c r="L53" s="16">
        <f>H53-I53</f>
        <v>0</v>
      </c>
      <c r="M53" s="15">
        <v>4000</v>
      </c>
      <c r="N53" s="14"/>
      <c r="O53" s="13"/>
      <c r="P53" s="12" t="s">
        <v>38</v>
      </c>
    </row>
    <row r="54" spans="1:17" s="11" customFormat="1" ht="30.75" customHeight="1" x14ac:dyDescent="0.15">
      <c r="A54" s="17">
        <v>20170103</v>
      </c>
      <c r="B54" s="19" t="s">
        <v>37</v>
      </c>
      <c r="C54" s="36" t="s">
        <v>31</v>
      </c>
      <c r="D54" s="17"/>
      <c r="E54" s="17"/>
      <c r="F54" s="17"/>
      <c r="G54" s="17"/>
      <c r="H54" s="18"/>
      <c r="I54" s="18"/>
      <c r="J54" s="17"/>
      <c r="K54" s="15"/>
      <c r="L54" s="16"/>
      <c r="M54" s="15">
        <v>37000</v>
      </c>
      <c r="N54" s="14"/>
      <c r="O54" s="13"/>
      <c r="P54" s="12"/>
    </row>
    <row r="55" spans="1:17" s="11" customFormat="1" ht="30.75" customHeight="1" x14ac:dyDescent="0.15">
      <c r="A55" s="17">
        <v>20170103</v>
      </c>
      <c r="B55" s="19" t="s">
        <v>36</v>
      </c>
      <c r="C55" s="36" t="s">
        <v>31</v>
      </c>
      <c r="D55" s="17"/>
      <c r="E55" s="17"/>
      <c r="F55" s="17"/>
      <c r="G55" s="17"/>
      <c r="H55" s="18"/>
      <c r="I55" s="17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30.75" customHeight="1" x14ac:dyDescent="0.15">
      <c r="A56" s="17">
        <v>20170103</v>
      </c>
      <c r="B56" s="19" t="s">
        <v>35</v>
      </c>
      <c r="C56" s="36" t="s">
        <v>28</v>
      </c>
      <c r="D56" s="17" t="s">
        <v>5</v>
      </c>
      <c r="E56" s="17" t="s">
        <v>34</v>
      </c>
      <c r="F56" s="17" t="s">
        <v>48</v>
      </c>
      <c r="G56" s="17" t="s">
        <v>22</v>
      </c>
      <c r="H56" s="18">
        <f>[3]副本!G107</f>
        <v>6957.8649999999998</v>
      </c>
      <c r="I56" s="18">
        <f>H56-6957.865</f>
        <v>0</v>
      </c>
      <c r="J56" s="17"/>
      <c r="K56" s="16"/>
      <c r="L56" s="16">
        <f>H56-I56</f>
        <v>6957.8649999999998</v>
      </c>
      <c r="M56" s="15">
        <v>10000</v>
      </c>
      <c r="N56" s="14"/>
      <c r="O56" s="13"/>
      <c r="P56" s="12"/>
      <c r="Q56" s="20"/>
    </row>
    <row r="57" spans="1:17" s="11" customFormat="1" ht="30.75" customHeight="1" x14ac:dyDescent="0.15">
      <c r="A57" s="17">
        <v>20170103</v>
      </c>
      <c r="B57" s="19" t="s">
        <v>32</v>
      </c>
      <c r="C57" s="36" t="s">
        <v>31</v>
      </c>
      <c r="D57" s="17" t="s">
        <v>5</v>
      </c>
      <c r="E57" s="17"/>
      <c r="F57" s="17"/>
      <c r="G57" s="17"/>
      <c r="H57" s="18"/>
      <c r="I57" s="18"/>
      <c r="J57" s="17"/>
      <c r="K57" s="21"/>
      <c r="L57" s="16"/>
      <c r="M57" s="15">
        <v>15000</v>
      </c>
      <c r="N57" s="14"/>
      <c r="O57" s="13"/>
      <c r="P57" s="12"/>
      <c r="Q57" s="20"/>
    </row>
    <row r="58" spans="1:17" s="11" customFormat="1" ht="30.75" customHeight="1" x14ac:dyDescent="0.15">
      <c r="A58" s="17">
        <v>20170103</v>
      </c>
      <c r="B58" s="19" t="s">
        <v>30</v>
      </c>
      <c r="C58" s="19" t="s">
        <v>28</v>
      </c>
      <c r="D58" s="17" t="s">
        <v>5</v>
      </c>
      <c r="E58" s="17" t="s">
        <v>4</v>
      </c>
      <c r="F58" s="17" t="s">
        <v>3</v>
      </c>
      <c r="G58" s="17" t="s">
        <v>22</v>
      </c>
      <c r="H58" s="18">
        <f>[3]副本!G111</f>
        <v>28002.054</v>
      </c>
      <c r="I58" s="18">
        <f>H58</f>
        <v>28002.054</v>
      </c>
      <c r="J58" s="17"/>
      <c r="K58" s="15"/>
      <c r="L58" s="16"/>
      <c r="M58" s="15">
        <v>43000</v>
      </c>
      <c r="N58" s="14"/>
      <c r="O58" s="13"/>
      <c r="P58" s="12" t="s">
        <v>220</v>
      </c>
      <c r="Q58" s="20"/>
    </row>
    <row r="59" spans="1:17" s="11" customFormat="1" ht="30.75" customHeight="1" x14ac:dyDescent="0.15">
      <c r="A59" s="17">
        <v>20170103</v>
      </c>
      <c r="B59" s="19" t="s">
        <v>29</v>
      </c>
      <c r="C59" s="19" t="s">
        <v>28</v>
      </c>
      <c r="D59" s="17" t="s">
        <v>5</v>
      </c>
      <c r="E59" s="17"/>
      <c r="F59" s="17"/>
      <c r="G59" s="17"/>
      <c r="H59" s="18"/>
      <c r="I59" s="18"/>
      <c r="J59" s="17"/>
      <c r="K59" s="15"/>
      <c r="L59" s="16"/>
      <c r="M59" s="15"/>
      <c r="N59" s="14"/>
      <c r="O59" s="13"/>
      <c r="P59" s="12"/>
      <c r="Q59" s="20"/>
    </row>
    <row r="60" spans="1:17" s="11" customFormat="1" ht="30.75" customHeight="1" x14ac:dyDescent="0.15">
      <c r="A60" s="17">
        <v>20170103</v>
      </c>
      <c r="B60" s="19" t="s">
        <v>24</v>
      </c>
      <c r="C60" s="36" t="s">
        <v>0</v>
      </c>
      <c r="D60" s="17"/>
      <c r="E60" s="17" t="s">
        <v>4</v>
      </c>
      <c r="F60" s="17" t="s">
        <v>23</v>
      </c>
      <c r="G60" s="17" t="s">
        <v>22</v>
      </c>
      <c r="H60" s="18">
        <f>[3]副本!G115</f>
        <v>2611.5469999999964</v>
      </c>
      <c r="I60" s="18">
        <f>H60-15652.787+4092.929+8666.148+2893.71</f>
        <v>2611.5469999999959</v>
      </c>
      <c r="J60" s="17"/>
      <c r="K60" s="15">
        <v>200</v>
      </c>
      <c r="L60" s="16">
        <f>H60-I60</f>
        <v>0</v>
      </c>
      <c r="M60" s="15">
        <v>20000</v>
      </c>
      <c r="N60" s="14"/>
      <c r="O60" s="13"/>
      <c r="P60" s="12" t="s">
        <v>21</v>
      </c>
    </row>
    <row r="61" spans="1:17" s="11" customFormat="1" ht="30.75" customHeight="1" x14ac:dyDescent="0.15">
      <c r="A61" s="17">
        <v>20170103</v>
      </c>
      <c r="B61" s="19" t="s">
        <v>20</v>
      </c>
      <c r="C61" s="36" t="s">
        <v>0</v>
      </c>
      <c r="D61" s="17"/>
      <c r="E61" s="17" t="s">
        <v>12</v>
      </c>
      <c r="F61" s="17" t="s">
        <v>11</v>
      </c>
      <c r="G61" s="17" t="s">
        <v>2</v>
      </c>
      <c r="H61" s="18">
        <f>[3]副本!G117</f>
        <v>19308.976999999995</v>
      </c>
      <c r="I61" s="18">
        <f>H61</f>
        <v>19308.976999999995</v>
      </c>
      <c r="J61" s="17"/>
      <c r="K61" s="15"/>
      <c r="L61" s="16">
        <f>H61-I61</f>
        <v>0</v>
      </c>
      <c r="M61" s="15">
        <v>30000</v>
      </c>
      <c r="N61" s="14"/>
      <c r="O61" s="13"/>
      <c r="P61" s="12" t="s">
        <v>219</v>
      </c>
    </row>
    <row r="62" spans="1:17" s="11" customFormat="1" ht="30.75" customHeight="1" x14ac:dyDescent="0.15">
      <c r="A62" s="17">
        <v>20170103</v>
      </c>
      <c r="B62" s="19" t="s">
        <v>18</v>
      </c>
      <c r="C62" s="36" t="s">
        <v>0</v>
      </c>
      <c r="D62" s="17" t="s">
        <v>5</v>
      </c>
      <c r="E62" s="17" t="s">
        <v>4</v>
      </c>
      <c r="F62" s="17" t="s">
        <v>17</v>
      </c>
      <c r="G62" s="17" t="s">
        <v>2</v>
      </c>
      <c r="H62" s="18">
        <f>[3]副本!G119</f>
        <v>14976.093999999999</v>
      </c>
      <c r="I62" s="18">
        <f>H62-14976.094</f>
        <v>0</v>
      </c>
      <c r="J62" s="17"/>
      <c r="K62" s="15">
        <v>350</v>
      </c>
      <c r="L62" s="16">
        <f>H62-I62</f>
        <v>14976.093999999999</v>
      </c>
      <c r="M62" s="15">
        <v>20000</v>
      </c>
      <c r="N62" s="14" t="s">
        <v>16</v>
      </c>
      <c r="O62" s="13" t="s">
        <v>15</v>
      </c>
      <c r="P62" s="12" t="s">
        <v>14</v>
      </c>
    </row>
    <row r="63" spans="1:17" s="11" customFormat="1" ht="30.75" customHeight="1" x14ac:dyDescent="0.15">
      <c r="A63" s="17">
        <v>20170103</v>
      </c>
      <c r="B63" s="19" t="s">
        <v>13</v>
      </c>
      <c r="C63" s="36" t="s">
        <v>0</v>
      </c>
      <c r="D63" s="17"/>
      <c r="E63" s="17" t="s">
        <v>12</v>
      </c>
      <c r="F63" s="17" t="s">
        <v>11</v>
      </c>
      <c r="G63" s="17" t="s">
        <v>2</v>
      </c>
      <c r="H63" s="18">
        <f>[3]副本!G121</f>
        <v>4194.545999999973</v>
      </c>
      <c r="I63" s="18">
        <f>H63</f>
        <v>4194.545999999973</v>
      </c>
      <c r="J63" s="17"/>
      <c r="K63" s="15"/>
      <c r="L63" s="16">
        <v>0</v>
      </c>
      <c r="M63" s="15">
        <v>30000</v>
      </c>
      <c r="N63" s="14"/>
      <c r="O63" s="13"/>
      <c r="P63" s="12"/>
    </row>
    <row r="64" spans="1:17" s="11" customFormat="1" ht="30.75" customHeight="1" x14ac:dyDescent="0.15">
      <c r="A64" s="17">
        <v>20170103</v>
      </c>
      <c r="B64" s="19" t="s">
        <v>10</v>
      </c>
      <c r="C64" s="36" t="s">
        <v>0</v>
      </c>
      <c r="D64" s="17"/>
      <c r="E64" s="17" t="s">
        <v>9</v>
      </c>
      <c r="F64" s="12" t="s">
        <v>8</v>
      </c>
      <c r="G64" s="17" t="s">
        <v>2</v>
      </c>
      <c r="H64" s="18">
        <f>[3]副本!G123</f>
        <v>11979.215</v>
      </c>
      <c r="I64" s="18">
        <v>0</v>
      </c>
      <c r="J64" s="17"/>
      <c r="K64" s="15"/>
      <c r="L64" s="16">
        <f>H64-I64</f>
        <v>11979.215</v>
      </c>
      <c r="M64" s="15">
        <v>20000</v>
      </c>
      <c r="N64" s="14"/>
      <c r="O64" s="13"/>
      <c r="P64" s="12"/>
    </row>
    <row r="65" spans="1:16" s="11" customFormat="1" ht="30.75" customHeight="1" x14ac:dyDescent="0.15">
      <c r="A65" s="17">
        <v>20170103</v>
      </c>
      <c r="B65" s="19" t="s">
        <v>7</v>
      </c>
      <c r="C65" s="36" t="s">
        <v>0</v>
      </c>
      <c r="D65" s="17"/>
      <c r="E65" s="17"/>
      <c r="F65" s="17"/>
      <c r="G65" s="17"/>
      <c r="H65" s="18"/>
      <c r="I65" s="18"/>
      <c r="J65" s="17"/>
      <c r="K65" s="15"/>
      <c r="L65" s="16"/>
      <c r="M65" s="15">
        <v>15000</v>
      </c>
      <c r="N65" s="14"/>
      <c r="O65" s="13"/>
      <c r="P65" s="12"/>
    </row>
    <row r="66" spans="1:16" s="11" customFormat="1" ht="30.75" customHeight="1" x14ac:dyDescent="0.15">
      <c r="A66" s="17">
        <v>20170103</v>
      </c>
      <c r="B66" s="19" t="s">
        <v>6</v>
      </c>
      <c r="C66" s="36" t="s">
        <v>0</v>
      </c>
      <c r="D66" s="17" t="s">
        <v>5</v>
      </c>
      <c r="E66" s="17" t="s">
        <v>4</v>
      </c>
      <c r="F66" s="17" t="s">
        <v>3</v>
      </c>
      <c r="G66" s="17" t="s">
        <v>2</v>
      </c>
      <c r="H66" s="18">
        <f>[3]副本!G127</f>
        <v>12005.106</v>
      </c>
      <c r="I66" s="18">
        <f>H66-12005.106</f>
        <v>0</v>
      </c>
      <c r="J66" s="17"/>
      <c r="K66" s="15"/>
      <c r="L66" s="16">
        <f>H66-I66</f>
        <v>12005.106</v>
      </c>
      <c r="M66" s="15">
        <v>15000</v>
      </c>
      <c r="N66" s="14"/>
      <c r="O66" s="13"/>
      <c r="P66" s="12"/>
    </row>
    <row r="67" spans="1:16" s="11" customFormat="1" ht="30.75" customHeight="1" x14ac:dyDescent="0.15">
      <c r="A67" s="17">
        <v>20170103</v>
      </c>
      <c r="B67" s="19" t="s">
        <v>1</v>
      </c>
      <c r="C67" s="36" t="s">
        <v>0</v>
      </c>
      <c r="D67" s="17"/>
      <c r="E67" s="17"/>
      <c r="F67" s="17"/>
      <c r="G67" s="17"/>
      <c r="H67" s="18"/>
      <c r="I67" s="18"/>
      <c r="J67" s="17"/>
      <c r="K67" s="15"/>
      <c r="L67" s="16"/>
      <c r="M67" s="15"/>
      <c r="N67" s="14"/>
      <c r="O67" s="13"/>
      <c r="P67" s="12"/>
    </row>
    <row r="73" spans="1:16" x14ac:dyDescent="0.15">
      <c r="L73" s="10"/>
    </row>
    <row r="225" spans="7:8" x14ac:dyDescent="0.15">
      <c r="G225" s="2"/>
      <c r="H225" s="2"/>
    </row>
  </sheetData>
  <autoFilter ref="B1:I67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6"/>
  <sheetViews>
    <sheetView workbookViewId="0">
      <pane xSplit="3" ySplit="1" topLeftCell="D59" activePane="bottomRight" state="frozen"/>
      <selection activeCell="G5" sqref="G5"/>
      <selection pane="topRight" activeCell="G5" sqref="G5"/>
      <selection pane="bottomLeft" activeCell="G5" sqref="G5"/>
      <selection pane="bottomRight" activeCell="F20" sqref="F20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5.62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6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38" t="s">
        <v>230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30.75" customHeight="1" x14ac:dyDescent="0.15">
      <c r="A2" s="17">
        <v>20170104</v>
      </c>
      <c r="B2" s="19" t="s">
        <v>158</v>
      </c>
      <c r="C2" s="36" t="s">
        <v>63</v>
      </c>
      <c r="D2" s="19"/>
      <c r="E2" s="17" t="s">
        <v>141</v>
      </c>
      <c r="F2" s="17" t="s">
        <v>144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143</v>
      </c>
      <c r="O2" s="13" t="s">
        <v>124</v>
      </c>
      <c r="P2" s="12"/>
    </row>
    <row r="3" spans="1:17" s="11" customFormat="1" ht="30.75" customHeight="1" x14ac:dyDescent="0.15">
      <c r="A3" s="17">
        <v>20170104</v>
      </c>
      <c r="B3" s="19" t="s">
        <v>157</v>
      </c>
      <c r="C3" s="36" t="s">
        <v>63</v>
      </c>
      <c r="D3" s="19"/>
      <c r="E3" s="17" t="s">
        <v>156</v>
      </c>
      <c r="F3" s="17" t="s">
        <v>155</v>
      </c>
      <c r="G3" s="12" t="s">
        <v>54</v>
      </c>
      <c r="H3" s="18">
        <f>[4]副本!G5</f>
        <v>371.61599999999999</v>
      </c>
      <c r="I3" s="18">
        <f>H3-995.136+995.136</f>
        <v>371.61599999999999</v>
      </c>
      <c r="J3" s="17"/>
      <c r="K3" s="15"/>
      <c r="L3" s="16">
        <f>H3-I3</f>
        <v>0</v>
      </c>
      <c r="M3" s="15">
        <v>1500</v>
      </c>
      <c r="N3" s="14"/>
      <c r="O3" s="13"/>
      <c r="P3" s="12" t="s">
        <v>154</v>
      </c>
    </row>
    <row r="4" spans="1:17" s="11" customFormat="1" ht="30.75" customHeight="1" x14ac:dyDescent="0.15">
      <c r="A4" s="17">
        <v>20170104</v>
      </c>
      <c r="B4" s="19" t="s">
        <v>153</v>
      </c>
      <c r="C4" s="36" t="s">
        <v>63</v>
      </c>
      <c r="D4" s="19"/>
      <c r="E4" s="17" t="s">
        <v>56</v>
      </c>
      <c r="F4" s="17" t="s">
        <v>61</v>
      </c>
      <c r="G4" s="12" t="s">
        <v>54</v>
      </c>
      <c r="H4" s="18">
        <f>[4]副本!G7</f>
        <v>1891.7629999999958</v>
      </c>
      <c r="I4" s="18">
        <f>H4</f>
        <v>1891.7629999999958</v>
      </c>
      <c r="J4" s="17"/>
      <c r="K4" s="16"/>
      <c r="L4" s="16"/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30.75" customHeight="1" x14ac:dyDescent="0.15">
      <c r="A5" s="17">
        <v>20170104</v>
      </c>
      <c r="B5" s="19" t="s">
        <v>149</v>
      </c>
      <c r="C5" s="36" t="s">
        <v>63</v>
      </c>
      <c r="D5" s="17"/>
      <c r="E5" s="17" t="s">
        <v>148</v>
      </c>
      <c r="F5" s="17" t="s">
        <v>140</v>
      </c>
      <c r="G5" s="12" t="s">
        <v>54</v>
      </c>
      <c r="H5" s="18"/>
      <c r="I5" s="18"/>
      <c r="J5" s="17"/>
      <c r="K5" s="15"/>
      <c r="L5" s="16">
        <f>H5-I5</f>
        <v>0</v>
      </c>
      <c r="M5" s="15">
        <v>2000</v>
      </c>
      <c r="N5" s="14" t="s">
        <v>147</v>
      </c>
      <c r="O5" s="13" t="s">
        <v>124</v>
      </c>
      <c r="P5" s="12"/>
    </row>
    <row r="6" spans="1:17" s="11" customFormat="1" ht="30.75" customHeight="1" x14ac:dyDescent="0.15">
      <c r="A6" s="17">
        <v>20170104</v>
      </c>
      <c r="B6" s="19" t="s">
        <v>145</v>
      </c>
      <c r="C6" s="36" t="s">
        <v>63</v>
      </c>
      <c r="D6" s="17"/>
      <c r="E6" s="17" t="s">
        <v>141</v>
      </c>
      <c r="F6" s="17" t="s">
        <v>144</v>
      </c>
      <c r="G6" s="12" t="s">
        <v>54</v>
      </c>
      <c r="H6" s="18"/>
      <c r="I6" s="18"/>
      <c r="J6" s="17"/>
      <c r="K6" s="15"/>
      <c r="L6" s="16"/>
      <c r="M6" s="15">
        <v>3000</v>
      </c>
      <c r="N6" s="14" t="s">
        <v>143</v>
      </c>
      <c r="O6" s="13" t="s">
        <v>124</v>
      </c>
      <c r="P6" s="12"/>
      <c r="Q6" s="20"/>
    </row>
    <row r="7" spans="1:17" s="11" customFormat="1" ht="30.75" customHeight="1" x14ac:dyDescent="0.15">
      <c r="A7" s="17">
        <v>20170104</v>
      </c>
      <c r="B7" s="19" t="s">
        <v>142</v>
      </c>
      <c r="C7" s="36" t="s">
        <v>63</v>
      </c>
      <c r="D7" s="17"/>
      <c r="E7" s="17" t="s">
        <v>141</v>
      </c>
      <c r="F7" s="17" t="s">
        <v>140</v>
      </c>
      <c r="G7" s="17" t="s">
        <v>54</v>
      </c>
      <c r="H7" s="18"/>
      <c r="I7" s="18"/>
      <c r="J7" s="17"/>
      <c r="K7" s="15"/>
      <c r="L7" s="16"/>
      <c r="M7" s="15">
        <v>3000</v>
      </c>
      <c r="N7" s="14"/>
      <c r="O7" s="13"/>
      <c r="P7" s="12"/>
      <c r="Q7" s="20"/>
    </row>
    <row r="8" spans="1:17" s="11" customFormat="1" ht="30.75" customHeight="1" x14ac:dyDescent="0.15">
      <c r="A8" s="17">
        <v>20170104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30.75" customHeight="1" x14ac:dyDescent="0.15">
      <c r="A9" s="17">
        <v>20170104</v>
      </c>
      <c r="B9" s="19" t="s">
        <v>138</v>
      </c>
      <c r="C9" s="36" t="s">
        <v>31</v>
      </c>
      <c r="D9" s="17"/>
      <c r="E9" s="17" t="s">
        <v>9</v>
      </c>
      <c r="F9" s="17" t="s">
        <v>104</v>
      </c>
      <c r="G9" s="17" t="s">
        <v>54</v>
      </c>
      <c r="H9" s="17">
        <f>[4]副本!G17</f>
        <v>1322.4749999999999</v>
      </c>
      <c r="I9" s="18">
        <f>H9</f>
        <v>1322.4749999999999</v>
      </c>
      <c r="J9" s="17"/>
      <c r="K9" s="15">
        <v>100</v>
      </c>
      <c r="L9" s="16">
        <f>H9-I9</f>
        <v>0</v>
      </c>
      <c r="M9" s="15">
        <v>5000</v>
      </c>
      <c r="N9" s="14" t="s">
        <v>137</v>
      </c>
      <c r="O9" s="13" t="s">
        <v>136</v>
      </c>
      <c r="P9" s="35" t="s">
        <v>101</v>
      </c>
    </row>
    <row r="10" spans="1:17" s="11" customFormat="1" ht="30.75" customHeight="1" x14ac:dyDescent="0.15">
      <c r="A10" s="17">
        <v>20170104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[4]副本!G19</f>
        <v>1514.162</v>
      </c>
      <c r="I10" s="18">
        <f>H10</f>
        <v>1514.162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229</v>
      </c>
    </row>
    <row r="11" spans="1:17" s="11" customFormat="1" ht="30.75" customHeight="1" x14ac:dyDescent="0.15">
      <c r="A11" s="17">
        <v>20170104</v>
      </c>
      <c r="B11" s="19" t="s">
        <v>134</v>
      </c>
      <c r="C11" s="17" t="s">
        <v>63</v>
      </c>
      <c r="D11" s="17"/>
      <c r="E11" s="17" t="s">
        <v>116</v>
      </c>
      <c r="F11" s="17" t="s">
        <v>115</v>
      </c>
      <c r="G11" s="17" t="s">
        <v>54</v>
      </c>
      <c r="H11" s="18">
        <f>[4]副本!G21</f>
        <v>1502.1479999999999</v>
      </c>
      <c r="I11" s="18">
        <f>H11</f>
        <v>1502.1479999999999</v>
      </c>
      <c r="J11" s="17"/>
      <c r="K11" s="15"/>
      <c r="L11" s="16"/>
      <c r="M11" s="15">
        <v>1500</v>
      </c>
      <c r="N11" s="14"/>
      <c r="O11" s="13"/>
      <c r="P11" s="12"/>
    </row>
    <row r="12" spans="1:17" s="11" customFormat="1" ht="30.75" customHeight="1" x14ac:dyDescent="0.15">
      <c r="A12" s="17">
        <v>20170104</v>
      </c>
      <c r="B12" s="19" t="s">
        <v>133</v>
      </c>
      <c r="C12" s="36" t="s">
        <v>28</v>
      </c>
      <c r="D12" s="17"/>
      <c r="E12" s="17"/>
      <c r="F12" s="17"/>
      <c r="G12" s="17"/>
      <c r="H12" s="18"/>
      <c r="I12" s="18"/>
      <c r="J12" s="17"/>
      <c r="K12" s="15"/>
      <c r="L12" s="16"/>
      <c r="M12" s="15">
        <v>1500</v>
      </c>
      <c r="N12" s="14"/>
      <c r="O12" s="13"/>
      <c r="P12" s="12"/>
      <c r="Q12" s="20"/>
    </row>
    <row r="13" spans="1:17" s="11" customFormat="1" ht="30.75" customHeight="1" x14ac:dyDescent="0.15">
      <c r="A13" s="17">
        <v>20170104</v>
      </c>
      <c r="B13" s="19" t="s">
        <v>132</v>
      </c>
      <c r="C13" s="36" t="s">
        <v>28</v>
      </c>
      <c r="D13" s="17"/>
      <c r="E13" s="17"/>
      <c r="F13" s="17"/>
      <c r="G13" s="17"/>
      <c r="H13" s="18"/>
      <c r="I13" s="18"/>
      <c r="J13" s="17"/>
      <c r="K13" s="16"/>
      <c r="L13" s="16"/>
      <c r="M13" s="15">
        <v>1500</v>
      </c>
      <c r="N13" s="14"/>
      <c r="O13" s="13"/>
      <c r="P13" s="12"/>
    </row>
    <row r="14" spans="1:17" s="11" customFormat="1" ht="30.75" customHeight="1" x14ac:dyDescent="0.15">
      <c r="A14" s="17">
        <v>20170104</v>
      </c>
      <c r="B14" s="19" t="s">
        <v>131</v>
      </c>
      <c r="C14" s="36" t="s">
        <v>63</v>
      </c>
      <c r="D14" s="17"/>
      <c r="E14" s="17" t="s">
        <v>92</v>
      </c>
      <c r="F14" s="17" t="s">
        <v>232</v>
      </c>
      <c r="G14" s="17" t="s">
        <v>54</v>
      </c>
      <c r="H14" s="18">
        <f>[4]副本!G27</f>
        <v>1526.837</v>
      </c>
      <c r="I14" s="18">
        <f>H14</f>
        <v>1526.837</v>
      </c>
      <c r="J14" s="17"/>
      <c r="K14" s="15"/>
      <c r="L14" s="16"/>
      <c r="M14" s="15">
        <v>1500</v>
      </c>
      <c r="N14" s="14"/>
      <c r="O14" s="13"/>
      <c r="P14" s="12" t="s">
        <v>228</v>
      </c>
    </row>
    <row r="15" spans="1:17" s="11" customFormat="1" ht="30.75" customHeight="1" x14ac:dyDescent="0.15">
      <c r="A15" s="17">
        <v>20170104</v>
      </c>
      <c r="B15" s="19" t="s">
        <v>129</v>
      </c>
      <c r="C15" s="36" t="s">
        <v>121</v>
      </c>
      <c r="D15" s="17"/>
      <c r="E15" s="17" t="s">
        <v>12</v>
      </c>
      <c r="F15" s="17" t="s">
        <v>11</v>
      </c>
      <c r="G15" s="17" t="s">
        <v>2</v>
      </c>
      <c r="H15" s="18">
        <f>[4]副本!G29-H16</f>
        <v>14141.353000000017</v>
      </c>
      <c r="I15" s="18">
        <f>H15</f>
        <v>14141.353000000017</v>
      </c>
      <c r="J15" s="17"/>
      <c r="K15" s="15"/>
      <c r="L15" s="16">
        <f>H15-I15</f>
        <v>0</v>
      </c>
      <c r="M15" s="15">
        <v>21000</v>
      </c>
      <c r="N15" s="14" t="s">
        <v>120</v>
      </c>
      <c r="O15" s="13" t="s">
        <v>124</v>
      </c>
      <c r="P15" s="12" t="s">
        <v>130</v>
      </c>
    </row>
    <row r="16" spans="1:17" s="11" customFormat="1" ht="30.75" customHeight="1" x14ac:dyDescent="0.15">
      <c r="A16" s="17">
        <v>20170104</v>
      </c>
      <c r="B16" s="19" t="s">
        <v>129</v>
      </c>
      <c r="C16" s="36" t="s">
        <v>121</v>
      </c>
      <c r="D16" s="17"/>
      <c r="E16" s="17" t="s">
        <v>12</v>
      </c>
      <c r="F16" s="12" t="s">
        <v>594</v>
      </c>
      <c r="G16" s="17" t="s">
        <v>2</v>
      </c>
      <c r="H16" s="18">
        <f>[4]副本!G31</f>
        <v>838.64699999998265</v>
      </c>
      <c r="I16" s="18">
        <f>H16</f>
        <v>838.64699999998265</v>
      </c>
      <c r="J16" s="17"/>
      <c r="K16" s="15"/>
      <c r="L16" s="16">
        <f>H16-I16</f>
        <v>0</v>
      </c>
      <c r="M16" s="15">
        <v>21000</v>
      </c>
      <c r="N16" s="14" t="s">
        <v>120</v>
      </c>
      <c r="O16" s="13" t="s">
        <v>119</v>
      </c>
      <c r="P16" s="12" t="s">
        <v>128</v>
      </c>
    </row>
    <row r="17" spans="1:17" s="11" customFormat="1" ht="30.75" customHeight="1" x14ac:dyDescent="0.15">
      <c r="A17" s="17">
        <v>20170104</v>
      </c>
      <c r="B17" s="19" t="s">
        <v>127</v>
      </c>
      <c r="C17" s="36" t="s">
        <v>63</v>
      </c>
      <c r="D17" s="17"/>
      <c r="E17" s="17"/>
      <c r="F17" s="17"/>
      <c r="G17" s="17"/>
      <c r="H17" s="18"/>
      <c r="I17" s="18"/>
      <c r="J17" s="17"/>
      <c r="K17" s="15"/>
      <c r="L17" s="16"/>
      <c r="M17" s="15">
        <v>5000</v>
      </c>
      <c r="N17" s="14"/>
      <c r="O17" s="13"/>
      <c r="P17" s="12"/>
    </row>
    <row r="18" spans="1:17" s="11" customFormat="1" ht="30.75" customHeight="1" x14ac:dyDescent="0.15">
      <c r="A18" s="17">
        <v>20170104</v>
      </c>
      <c r="B18" s="19" t="s">
        <v>126</v>
      </c>
      <c r="C18" s="36" t="s">
        <v>63</v>
      </c>
      <c r="D18" s="17"/>
      <c r="E18" s="17"/>
      <c r="F18" s="17"/>
      <c r="G18" s="17"/>
      <c r="H18" s="18"/>
      <c r="I18" s="18"/>
      <c r="J18" s="17"/>
      <c r="K18" s="15"/>
      <c r="L18" s="16"/>
      <c r="M18" s="15">
        <v>3000</v>
      </c>
      <c r="N18" s="14"/>
      <c r="O18" s="13"/>
      <c r="P18" s="12"/>
    </row>
    <row r="19" spans="1:17" s="11" customFormat="1" ht="30.75" customHeight="1" x14ac:dyDescent="0.15">
      <c r="A19" s="17">
        <v>20170104</v>
      </c>
      <c r="B19" s="19" t="s">
        <v>122</v>
      </c>
      <c r="C19" s="36" t="s">
        <v>121</v>
      </c>
      <c r="D19" s="17"/>
      <c r="E19" s="17" t="s">
        <v>12</v>
      </c>
      <c r="F19" s="17" t="s">
        <v>11</v>
      </c>
      <c r="G19" s="17" t="s">
        <v>2</v>
      </c>
      <c r="H19" s="18">
        <f>[4]副本!G37-'20170104'!H20</f>
        <v>15608.453428000037</v>
      </c>
      <c r="I19" s="18">
        <f>H19</f>
        <v>15608.453428000037</v>
      </c>
      <c r="J19" s="17"/>
      <c r="K19" s="15"/>
      <c r="L19" s="16">
        <f>H19-I19</f>
        <v>0</v>
      </c>
      <c r="M19" s="15">
        <v>21000</v>
      </c>
      <c r="N19" s="14" t="s">
        <v>125</v>
      </c>
      <c r="O19" s="13" t="s">
        <v>124</v>
      </c>
      <c r="P19" s="12" t="s">
        <v>123</v>
      </c>
    </row>
    <row r="20" spans="1:17" s="11" customFormat="1" ht="30.75" customHeight="1" x14ac:dyDescent="0.15">
      <c r="A20" s="17">
        <v>20170104</v>
      </c>
      <c r="B20" s="19" t="s">
        <v>122</v>
      </c>
      <c r="C20" s="36" t="s">
        <v>121</v>
      </c>
      <c r="D20" s="17"/>
      <c r="E20" s="17" t="s">
        <v>12</v>
      </c>
      <c r="F20" s="12" t="s">
        <v>595</v>
      </c>
      <c r="G20" s="17" t="s">
        <v>2</v>
      </c>
      <c r="H20" s="18">
        <f>[4]副本!G39</f>
        <v>1350.5465719999629</v>
      </c>
      <c r="I20" s="18">
        <f>H20</f>
        <v>1350.5465719999629</v>
      </c>
      <c r="J20" s="17"/>
      <c r="K20" s="28"/>
      <c r="L20" s="16">
        <f>H20-I20</f>
        <v>0</v>
      </c>
      <c r="M20" s="15">
        <v>21000</v>
      </c>
      <c r="N20" s="14" t="s">
        <v>120</v>
      </c>
      <c r="O20" s="13" t="s">
        <v>119</v>
      </c>
      <c r="P20" s="12" t="s">
        <v>118</v>
      </c>
    </row>
    <row r="21" spans="1:17" s="11" customFormat="1" ht="30.75" customHeight="1" x14ac:dyDescent="0.15">
      <c r="A21" s="17">
        <v>20170104</v>
      </c>
      <c r="B21" s="19" t="s">
        <v>117</v>
      </c>
      <c r="C21" s="36" t="s">
        <v>63</v>
      </c>
      <c r="D21" s="17"/>
      <c r="E21" s="17" t="s">
        <v>116</v>
      </c>
      <c r="F21" s="17" t="s">
        <v>115</v>
      </c>
      <c r="G21" s="17" t="s">
        <v>2</v>
      </c>
      <c r="H21" s="18">
        <f>[4]副本!G41</f>
        <v>2859.2159999999999</v>
      </c>
      <c r="I21" s="18">
        <f>H21</f>
        <v>2859.2159999999999</v>
      </c>
      <c r="J21" s="17"/>
      <c r="K21" s="15">
        <v>300</v>
      </c>
      <c r="L21" s="16">
        <f>H21-I21</f>
        <v>0</v>
      </c>
      <c r="M21" s="15">
        <v>5000</v>
      </c>
      <c r="N21" s="14"/>
      <c r="O21" s="13"/>
      <c r="P21" s="12" t="s">
        <v>114</v>
      </c>
    </row>
    <row r="22" spans="1:17" s="11" customFormat="1" ht="30.75" customHeight="1" x14ac:dyDescent="0.15">
      <c r="A22" s="17">
        <v>20170104</v>
      </c>
      <c r="B22" s="19" t="s">
        <v>113</v>
      </c>
      <c r="C22" s="36" t="s">
        <v>0</v>
      </c>
      <c r="D22" s="17"/>
      <c r="E22" s="12"/>
      <c r="F22" s="17"/>
      <c r="G22" s="17"/>
      <c r="H22" s="18"/>
      <c r="I22" s="18"/>
      <c r="J22" s="17"/>
      <c r="K22" s="15"/>
      <c r="L22" s="16"/>
      <c r="M22" s="15">
        <v>5000</v>
      </c>
      <c r="N22" s="14"/>
      <c r="O22" s="13"/>
      <c r="P22" s="37"/>
    </row>
    <row r="23" spans="1:17" s="11" customFormat="1" ht="30.75" customHeight="1" x14ac:dyDescent="0.15">
      <c r="A23" s="17">
        <v>20170104</v>
      </c>
      <c r="B23" s="19" t="s">
        <v>226</v>
      </c>
      <c r="C23" s="36" t="s">
        <v>63</v>
      </c>
      <c r="D23" s="17"/>
      <c r="E23" s="17"/>
      <c r="F23" s="17"/>
      <c r="G23" s="17"/>
      <c r="H23" s="18"/>
      <c r="I23" s="18"/>
      <c r="J23" s="17"/>
      <c r="K23" s="15"/>
      <c r="L23" s="16"/>
      <c r="M23" s="15">
        <v>5000</v>
      </c>
      <c r="N23" s="14"/>
      <c r="O23" s="13"/>
      <c r="P23" s="12"/>
    </row>
    <row r="24" spans="1:17" s="11" customFormat="1" ht="30.75" customHeight="1" x14ac:dyDescent="0.15">
      <c r="A24" s="17">
        <v>20170104</v>
      </c>
      <c r="B24" s="19" t="s">
        <v>109</v>
      </c>
      <c r="C24" s="36" t="s">
        <v>63</v>
      </c>
      <c r="D24" s="17"/>
      <c r="E24" s="17" t="s">
        <v>108</v>
      </c>
      <c r="F24" s="17" t="s">
        <v>248</v>
      </c>
      <c r="G24" s="17" t="s">
        <v>2</v>
      </c>
      <c r="H24" s="18">
        <f>[4]副本!G47</f>
        <v>642.48100000004285</v>
      </c>
      <c r="I24" s="18">
        <f>H24</f>
        <v>642.48100000004285</v>
      </c>
      <c r="J24" s="17"/>
      <c r="K24" s="15"/>
      <c r="L24" s="16">
        <f t="shared" ref="L24:L29" si="0">H24-I24</f>
        <v>0</v>
      </c>
      <c r="M24" s="15">
        <v>4000</v>
      </c>
      <c r="N24" s="14" t="s">
        <v>47</v>
      </c>
      <c r="O24" s="13" t="s">
        <v>46</v>
      </c>
      <c r="P24" s="12"/>
    </row>
    <row r="25" spans="1:17" s="11" customFormat="1" ht="30.75" customHeight="1" x14ac:dyDescent="0.15">
      <c r="A25" s="17">
        <v>20170104</v>
      </c>
      <c r="B25" s="19" t="s">
        <v>106</v>
      </c>
      <c r="C25" s="36" t="s">
        <v>105</v>
      </c>
      <c r="D25" s="17"/>
      <c r="E25" s="17" t="s">
        <v>9</v>
      </c>
      <c r="F25" s="17" t="s">
        <v>104</v>
      </c>
      <c r="G25" s="17" t="s">
        <v>2</v>
      </c>
      <c r="H25" s="18">
        <f>[4]副本!G49</f>
        <v>272.52499999999998</v>
      </c>
      <c r="I25" s="18">
        <f>H25</f>
        <v>272.52499999999998</v>
      </c>
      <c r="J25" s="17"/>
      <c r="K25" s="15"/>
      <c r="L25" s="16">
        <f t="shared" si="0"/>
        <v>0</v>
      </c>
      <c r="M25" s="15">
        <v>5000</v>
      </c>
      <c r="N25" s="14" t="s">
        <v>225</v>
      </c>
      <c r="O25" s="13" t="s">
        <v>102</v>
      </c>
      <c r="P25" s="12" t="s">
        <v>101</v>
      </c>
    </row>
    <row r="26" spans="1:17" s="11" customFormat="1" ht="30.75" customHeight="1" x14ac:dyDescent="0.15">
      <c r="A26" s="17">
        <v>20170104</v>
      </c>
      <c r="B26" s="19" t="s">
        <v>100</v>
      </c>
      <c r="C26" s="36" t="s">
        <v>96</v>
      </c>
      <c r="D26" s="17"/>
      <c r="E26" s="17" t="s">
        <v>67</v>
      </c>
      <c r="F26" s="17" t="s">
        <v>39</v>
      </c>
      <c r="G26" s="17" t="s">
        <v>2</v>
      </c>
      <c r="H26" s="18">
        <f>[4]副本!G51</f>
        <v>0.62100000000296873</v>
      </c>
      <c r="I26" s="18">
        <f>H26</f>
        <v>0.62100000000296873</v>
      </c>
      <c r="J26" s="17"/>
      <c r="K26" s="15"/>
      <c r="L26" s="16">
        <f t="shared" si="0"/>
        <v>0</v>
      </c>
      <c r="M26" s="15">
        <v>2000</v>
      </c>
      <c r="N26" s="14"/>
      <c r="O26" s="13"/>
      <c r="P26" s="12" t="s">
        <v>38</v>
      </c>
    </row>
    <row r="27" spans="1:17" s="11" customFormat="1" ht="30.75" customHeight="1" x14ac:dyDescent="0.15">
      <c r="A27" s="17">
        <v>20170104</v>
      </c>
      <c r="B27" s="19" t="s">
        <v>224</v>
      </c>
      <c r="C27" s="36" t="s">
        <v>96</v>
      </c>
      <c r="D27" s="17"/>
      <c r="E27" s="17" t="s">
        <v>67</v>
      </c>
      <c r="F27" s="17" t="s">
        <v>66</v>
      </c>
      <c r="G27" s="17" t="s">
        <v>2</v>
      </c>
      <c r="H27" s="18">
        <f>[4]副本!G53</f>
        <v>1099.9159999999999</v>
      </c>
      <c r="I27" s="18">
        <f>H27-1099.916</f>
        <v>0</v>
      </c>
      <c r="J27" s="17"/>
      <c r="K27" s="15"/>
      <c r="L27" s="16">
        <f t="shared" si="0"/>
        <v>1099.9159999999999</v>
      </c>
      <c r="M27" s="15">
        <v>1500</v>
      </c>
      <c r="N27" s="14"/>
      <c r="O27" s="13"/>
      <c r="P27" s="12"/>
    </row>
    <row r="28" spans="1:17" s="11" customFormat="1" ht="30.75" customHeight="1" x14ac:dyDescent="0.15">
      <c r="A28" s="17">
        <v>20170104</v>
      </c>
      <c r="B28" s="19" t="s">
        <v>98</v>
      </c>
      <c r="C28" s="36" t="s">
        <v>96</v>
      </c>
      <c r="D28" s="17"/>
      <c r="E28" s="17"/>
      <c r="F28" s="17"/>
      <c r="G28" s="17"/>
      <c r="H28" s="18"/>
      <c r="I28" s="18"/>
      <c r="J28" s="17"/>
      <c r="K28" s="15"/>
      <c r="L28" s="16">
        <f t="shared" si="0"/>
        <v>0</v>
      </c>
      <c r="M28" s="15">
        <v>1500</v>
      </c>
      <c r="N28" s="14"/>
      <c r="O28" s="13"/>
      <c r="P28" s="12"/>
      <c r="Q28" s="20"/>
    </row>
    <row r="29" spans="1:17" s="11" customFormat="1" ht="30.75" customHeight="1" x14ac:dyDescent="0.15">
      <c r="A29" s="17">
        <v>20170104</v>
      </c>
      <c r="B29" s="19" t="s">
        <v>97</v>
      </c>
      <c r="C29" s="36" t="s">
        <v>96</v>
      </c>
      <c r="D29" s="17"/>
      <c r="E29" s="17" t="s">
        <v>67</v>
      </c>
      <c r="F29" s="17" t="s">
        <v>66</v>
      </c>
      <c r="G29" s="17" t="s">
        <v>2</v>
      </c>
      <c r="H29" s="18">
        <f>[4]副本!G57</f>
        <v>1098.2449999999999</v>
      </c>
      <c r="I29" s="18">
        <f>H29-1098.245</f>
        <v>0</v>
      </c>
      <c r="J29" s="17"/>
      <c r="K29" s="15"/>
      <c r="L29" s="16">
        <f t="shared" si="0"/>
        <v>1098.2449999999999</v>
      </c>
      <c r="M29" s="15">
        <v>1500</v>
      </c>
      <c r="N29" s="14"/>
      <c r="O29" s="13"/>
      <c r="P29" s="12"/>
    </row>
    <row r="30" spans="1:17" s="11" customFormat="1" ht="30.75" customHeight="1" x14ac:dyDescent="0.15">
      <c r="A30" s="17">
        <v>20170104</v>
      </c>
      <c r="B30" s="19" t="s">
        <v>95</v>
      </c>
      <c r="C30" s="36" t="s">
        <v>63</v>
      </c>
      <c r="D30" s="17"/>
      <c r="E30" s="17"/>
      <c r="F30" s="17"/>
      <c r="G30" s="17"/>
      <c r="H30" s="18"/>
      <c r="I30" s="18"/>
      <c r="J30" s="17"/>
      <c r="K30" s="15"/>
      <c r="L30" s="16"/>
      <c r="M30" s="15">
        <v>1500</v>
      </c>
      <c r="N30" s="14"/>
      <c r="O30" s="13"/>
      <c r="P30" s="12"/>
    </row>
    <row r="31" spans="1:17" s="11" customFormat="1" ht="30.75" customHeight="1" x14ac:dyDescent="0.15">
      <c r="A31" s="17">
        <v>20170104</v>
      </c>
      <c r="B31" s="19" t="s">
        <v>93</v>
      </c>
      <c r="C31" s="36" t="s">
        <v>57</v>
      </c>
      <c r="D31" s="17"/>
      <c r="E31" s="17" t="s">
        <v>92</v>
      </c>
      <c r="F31" s="17" t="s">
        <v>91</v>
      </c>
      <c r="G31" s="17"/>
      <c r="H31" s="17">
        <f>[4]副本!G61</f>
        <v>343.3790000000003</v>
      </c>
      <c r="I31" s="18">
        <f>H31-1035.099+1035.099</f>
        <v>343.37900000000036</v>
      </c>
      <c r="J31" s="17"/>
      <c r="K31" s="15">
        <v>30</v>
      </c>
      <c r="L31" s="16">
        <f>H31-I31</f>
        <v>0</v>
      </c>
      <c r="M31" s="15">
        <v>2000</v>
      </c>
      <c r="N31" s="14"/>
      <c r="O31" s="13"/>
      <c r="P31" s="12" t="s">
        <v>223</v>
      </c>
    </row>
    <row r="32" spans="1:17" s="11" customFormat="1" ht="30.75" customHeight="1" x14ac:dyDescent="0.15">
      <c r="A32" s="17">
        <v>20170104</v>
      </c>
      <c r="B32" s="19" t="s">
        <v>89</v>
      </c>
      <c r="C32" s="36" t="s">
        <v>63</v>
      </c>
      <c r="D32" s="17" t="s">
        <v>88</v>
      </c>
      <c r="E32" s="17" t="s">
        <v>87</v>
      </c>
      <c r="F32" s="17" t="s">
        <v>233</v>
      </c>
      <c r="G32" s="17" t="s">
        <v>54</v>
      </c>
      <c r="H32" s="18">
        <f>[4]副本!G63</f>
        <v>755.06299999999987</v>
      </c>
      <c r="I32" s="18">
        <f>H32-1037.023+500+537.023</f>
        <v>755.06299999999999</v>
      </c>
      <c r="J32" s="17"/>
      <c r="K32" s="15">
        <v>50</v>
      </c>
      <c r="L32" s="16">
        <f>H32-I32</f>
        <v>0</v>
      </c>
      <c r="M32" s="15">
        <v>3000</v>
      </c>
      <c r="N32" s="14"/>
      <c r="O32" s="13"/>
      <c r="P32" s="24" t="s">
        <v>222</v>
      </c>
    </row>
    <row r="33" spans="1:16" s="11" customFormat="1" ht="30.75" customHeight="1" x14ac:dyDescent="0.15">
      <c r="A33" s="17">
        <v>20170104</v>
      </c>
      <c r="B33" s="19" t="s">
        <v>85</v>
      </c>
      <c r="C33" s="36" t="s">
        <v>63</v>
      </c>
      <c r="D33" s="17" t="s">
        <v>5</v>
      </c>
      <c r="E33" s="17" t="s">
        <v>84</v>
      </c>
      <c r="F33" s="17" t="s">
        <v>81</v>
      </c>
      <c r="G33" s="17" t="s">
        <v>54</v>
      </c>
      <c r="H33" s="18">
        <f>[4]副本!G65</f>
        <v>524.06799999999998</v>
      </c>
      <c r="I33" s="18">
        <f>H33-524.068</f>
        <v>0</v>
      </c>
      <c r="J33" s="17"/>
      <c r="K33" s="15"/>
      <c r="L33" s="16">
        <f>H33-I33</f>
        <v>524.06799999999998</v>
      </c>
      <c r="M33" s="15">
        <v>4000</v>
      </c>
      <c r="N33" s="14"/>
      <c r="O33" s="13"/>
      <c r="P33" s="12" t="s">
        <v>83</v>
      </c>
    </row>
    <row r="34" spans="1:16" s="11" customFormat="1" ht="30.75" customHeight="1" x14ac:dyDescent="0.15">
      <c r="A34" s="17">
        <v>20170104</v>
      </c>
      <c r="B34" s="19" t="s">
        <v>82</v>
      </c>
      <c r="C34" s="36" t="s">
        <v>0</v>
      </c>
      <c r="D34" s="17"/>
      <c r="E34" s="17"/>
      <c r="F34" s="17"/>
      <c r="G34" s="17"/>
      <c r="H34" s="18"/>
      <c r="I34" s="18"/>
      <c r="J34" s="17"/>
      <c r="K34" s="15"/>
      <c r="L34" s="16"/>
      <c r="M34" s="15">
        <v>5000</v>
      </c>
      <c r="N34" s="14"/>
      <c r="O34" s="13"/>
      <c r="P34" s="12"/>
    </row>
    <row r="35" spans="1:16" s="11" customFormat="1" ht="30.75" customHeight="1" x14ac:dyDescent="0.15">
      <c r="A35" s="17">
        <v>20170104</v>
      </c>
      <c r="B35" s="19" t="s">
        <v>79</v>
      </c>
      <c r="C35" s="36" t="s">
        <v>57</v>
      </c>
      <c r="D35" s="17" t="s">
        <v>5</v>
      </c>
      <c r="E35" s="17" t="s">
        <v>78</v>
      </c>
      <c r="F35" s="17" t="s">
        <v>81</v>
      </c>
      <c r="G35" s="17" t="s">
        <v>2</v>
      </c>
      <c r="H35" s="18">
        <f>[4]副本!G69</f>
        <v>2814.3710000000524</v>
      </c>
      <c r="I35" s="18">
        <f>H35-955.747+477.874+477.873-1042.865-2628.137+500+542.865+2102.57+525.567-499.112-3147.566+2100+525+525+496.678-2617.899</f>
        <v>196.4720000000525</v>
      </c>
      <c r="J35" s="17"/>
      <c r="K35" s="15"/>
      <c r="L35" s="16">
        <f>H35-I35</f>
        <v>2617.8989999999999</v>
      </c>
      <c r="M35" s="15">
        <v>5000</v>
      </c>
      <c r="N35" s="14"/>
      <c r="O35" s="13"/>
      <c r="P35" s="12" t="s">
        <v>80</v>
      </c>
    </row>
    <row r="36" spans="1:16" s="11" customFormat="1" ht="30.75" customHeight="1" x14ac:dyDescent="0.15">
      <c r="A36" s="17">
        <v>20170104</v>
      </c>
      <c r="B36" s="19" t="s">
        <v>79</v>
      </c>
      <c r="C36" s="36" t="s">
        <v>57</v>
      </c>
      <c r="D36" s="17" t="s">
        <v>5</v>
      </c>
      <c r="E36" s="17" t="s">
        <v>78</v>
      </c>
      <c r="F36" s="17" t="s">
        <v>77</v>
      </c>
      <c r="G36" s="17"/>
      <c r="H36" s="18">
        <f>[4]副本!G70</f>
        <v>2.6340000000004693</v>
      </c>
      <c r="I36" s="18">
        <f>H36</f>
        <v>2.6340000000004693</v>
      </c>
      <c r="J36" s="17"/>
      <c r="K36" s="15"/>
      <c r="L36" s="16">
        <f>H36-I36</f>
        <v>0</v>
      </c>
      <c r="M36" s="15">
        <v>5000</v>
      </c>
      <c r="N36" s="14"/>
      <c r="O36" s="13"/>
      <c r="P36" s="12" t="s">
        <v>76</v>
      </c>
    </row>
    <row r="37" spans="1:16" s="11" customFormat="1" ht="30.75" customHeight="1" x14ac:dyDescent="0.15">
      <c r="A37" s="17">
        <v>20170104</v>
      </c>
      <c r="B37" s="19" t="s">
        <v>74</v>
      </c>
      <c r="C37" s="36" t="s">
        <v>28</v>
      </c>
      <c r="D37" s="17"/>
      <c r="E37" s="17" t="s">
        <v>67</v>
      </c>
      <c r="F37" s="17" t="s">
        <v>39</v>
      </c>
      <c r="G37" s="17" t="s">
        <v>2</v>
      </c>
      <c r="H37" s="18">
        <f>[4]副本!G72</f>
        <v>-2.4442670110147446E-12</v>
      </c>
      <c r="I37" s="18">
        <f>H37</f>
        <v>-2.4442670110147446E-12</v>
      </c>
      <c r="J37" s="17"/>
      <c r="K37" s="15"/>
      <c r="L37" s="16">
        <f>H37-I37</f>
        <v>0</v>
      </c>
      <c r="M37" s="15">
        <v>4000</v>
      </c>
      <c r="N37" s="14"/>
      <c r="O37" s="13"/>
      <c r="P37" s="35" t="s">
        <v>75</v>
      </c>
    </row>
    <row r="38" spans="1:16" s="11" customFormat="1" ht="30.75" customHeight="1" x14ac:dyDescent="0.15">
      <c r="A38" s="17">
        <v>20170104</v>
      </c>
      <c r="B38" s="19" t="s">
        <v>74</v>
      </c>
      <c r="C38" s="36" t="s">
        <v>28</v>
      </c>
      <c r="D38" s="17"/>
      <c r="E38" s="17" t="s">
        <v>67</v>
      </c>
      <c r="F38" s="17" t="s">
        <v>71</v>
      </c>
      <c r="G38" s="17" t="s">
        <v>2</v>
      </c>
      <c r="H38" s="18">
        <f>[4]副本!G73</f>
        <v>715.12300000000005</v>
      </c>
      <c r="I38" s="18">
        <f>H38</f>
        <v>715.12300000000005</v>
      </c>
      <c r="J38" s="17"/>
      <c r="K38" s="15"/>
      <c r="L38" s="16"/>
      <c r="M38" s="15">
        <v>4000</v>
      </c>
      <c r="N38" s="14"/>
      <c r="O38" s="13"/>
      <c r="P38" s="35" t="s">
        <v>69</v>
      </c>
    </row>
    <row r="39" spans="1:16" s="11" customFormat="1" ht="30.75" customHeight="1" x14ac:dyDescent="0.15">
      <c r="A39" s="17">
        <v>20170104</v>
      </c>
      <c r="B39" s="19" t="s">
        <v>74</v>
      </c>
      <c r="C39" s="36" t="s">
        <v>28</v>
      </c>
      <c r="D39" s="17"/>
      <c r="E39" s="17" t="s">
        <v>67</v>
      </c>
      <c r="F39" s="17" t="s">
        <v>66</v>
      </c>
      <c r="G39" s="17" t="s">
        <v>2</v>
      </c>
      <c r="H39" s="18">
        <f>[4]副本!G74</f>
        <v>1001.944</v>
      </c>
      <c r="I39" s="18">
        <f>H39-1001.944</f>
        <v>0</v>
      </c>
      <c r="J39" s="17"/>
      <c r="K39" s="15"/>
      <c r="L39" s="16">
        <f>H39-I39</f>
        <v>1001.944</v>
      </c>
      <c r="M39" s="15">
        <v>4000</v>
      </c>
      <c r="N39" s="14"/>
      <c r="O39" s="13"/>
      <c r="P39" s="35"/>
    </row>
    <row r="40" spans="1:16" s="11" customFormat="1" ht="30.75" customHeight="1" x14ac:dyDescent="0.15">
      <c r="A40" s="17">
        <v>20170104</v>
      </c>
      <c r="B40" s="19" t="s">
        <v>73</v>
      </c>
      <c r="C40" s="36" t="s">
        <v>28</v>
      </c>
      <c r="D40" s="17"/>
      <c r="E40" s="17"/>
      <c r="F40" s="17"/>
      <c r="G40" s="17"/>
      <c r="H40" s="18"/>
      <c r="I40" s="18"/>
      <c r="J40" s="17"/>
      <c r="K40" s="15"/>
      <c r="L40" s="16"/>
      <c r="M40" s="15">
        <v>2000</v>
      </c>
      <c r="N40" s="14"/>
      <c r="O40" s="13"/>
      <c r="P40" s="12"/>
    </row>
    <row r="41" spans="1:16" s="11" customFormat="1" ht="30.75" customHeight="1" x14ac:dyDescent="0.15">
      <c r="A41" s="17">
        <v>20170104</v>
      </c>
      <c r="B41" s="19" t="s">
        <v>72</v>
      </c>
      <c r="C41" s="36" t="s">
        <v>43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3000</v>
      </c>
      <c r="N41" s="14"/>
      <c r="O41" s="13"/>
      <c r="P41" s="12"/>
    </row>
    <row r="42" spans="1:16" s="11" customFormat="1" ht="30.75" customHeight="1" x14ac:dyDescent="0.15">
      <c r="A42" s="17">
        <v>20170104</v>
      </c>
      <c r="B42" s="19" t="s">
        <v>68</v>
      </c>
      <c r="C42" s="36" t="s">
        <v>43</v>
      </c>
      <c r="D42" s="17"/>
      <c r="E42" s="17" t="s">
        <v>67</v>
      </c>
      <c r="F42" s="17" t="s">
        <v>39</v>
      </c>
      <c r="G42" s="17"/>
      <c r="H42" s="18">
        <f>[4]副本!G80</f>
        <v>1743.7000000000003</v>
      </c>
      <c r="I42" s="18">
        <f>H42</f>
        <v>1743.7000000000003</v>
      </c>
      <c r="J42" s="17"/>
      <c r="K42" s="15">
        <v>1200</v>
      </c>
      <c r="L42" s="16">
        <f>H42-I42</f>
        <v>0</v>
      </c>
      <c r="M42" s="15">
        <v>5000</v>
      </c>
      <c r="N42" s="14"/>
      <c r="O42" s="13"/>
      <c r="P42" s="35" t="s">
        <v>69</v>
      </c>
    </row>
    <row r="43" spans="1:16" s="11" customFormat="1" ht="30.75" customHeight="1" x14ac:dyDescent="0.15">
      <c r="A43" s="17">
        <v>20170104</v>
      </c>
      <c r="B43" s="19" t="s">
        <v>68</v>
      </c>
      <c r="C43" s="36" t="s">
        <v>43</v>
      </c>
      <c r="D43" s="17"/>
      <c r="E43" s="17" t="s">
        <v>67</v>
      </c>
      <c r="F43" s="17" t="s">
        <v>66</v>
      </c>
      <c r="G43" s="17"/>
      <c r="H43" s="18">
        <f>[4]副本!G81</f>
        <v>1584.5709999999999</v>
      </c>
      <c r="I43" s="18">
        <f>H43-1584.571</f>
        <v>0</v>
      </c>
      <c r="J43" s="17"/>
      <c r="K43" s="15"/>
      <c r="L43" s="16">
        <f>H43-I43</f>
        <v>1584.5709999999999</v>
      </c>
      <c r="M43" s="15">
        <v>5000</v>
      </c>
      <c r="N43" s="14"/>
      <c r="O43" s="13"/>
      <c r="P43" s="35"/>
    </row>
    <row r="44" spans="1:16" s="11" customFormat="1" ht="30.75" customHeight="1" x14ac:dyDescent="0.15">
      <c r="A44" s="17">
        <v>20170104</v>
      </c>
      <c r="B44" s="19" t="s">
        <v>65</v>
      </c>
      <c r="C44" s="36" t="s">
        <v>63</v>
      </c>
      <c r="D44" s="17"/>
      <c r="E44" s="17" t="s">
        <v>148</v>
      </c>
      <c r="F44" s="17" t="s">
        <v>144</v>
      </c>
      <c r="G44" s="17" t="s">
        <v>2</v>
      </c>
      <c r="H44" s="18">
        <f>[4]副本!G83</f>
        <v>1988.8340000000001</v>
      </c>
      <c r="I44" s="18">
        <f>H44-1988.834</f>
        <v>0</v>
      </c>
      <c r="J44" s="17"/>
      <c r="K44" s="15"/>
      <c r="L44" s="16">
        <f>H44-I44</f>
        <v>1988.8340000000001</v>
      </c>
      <c r="M44" s="15">
        <v>5000</v>
      </c>
      <c r="N44" s="14"/>
      <c r="O44" s="13"/>
      <c r="P44" s="12"/>
    </row>
    <row r="45" spans="1:16" s="11" customFormat="1" ht="30.75" customHeight="1" x14ac:dyDescent="0.15">
      <c r="A45" s="17">
        <v>20170104</v>
      </c>
      <c r="B45" s="19" t="s">
        <v>64</v>
      </c>
      <c r="C45" s="36" t="s">
        <v>63</v>
      </c>
      <c r="D45" s="17"/>
      <c r="E45" s="17"/>
      <c r="F45" s="17"/>
      <c r="G45" s="17"/>
      <c r="H45" s="18"/>
      <c r="I45" s="18"/>
      <c r="J45" s="17"/>
      <c r="K45" s="15"/>
      <c r="L45" s="16"/>
      <c r="M45" s="15">
        <v>5000</v>
      </c>
      <c r="N45" s="14"/>
      <c r="O45" s="13"/>
      <c r="P45" s="35"/>
    </row>
    <row r="46" spans="1:16" s="11" customFormat="1" ht="30.75" customHeight="1" x14ac:dyDescent="0.15">
      <c r="A46" s="17">
        <v>20170104</v>
      </c>
      <c r="B46" s="19" t="s">
        <v>62</v>
      </c>
      <c r="C46" s="36" t="s">
        <v>57</v>
      </c>
      <c r="D46" s="17"/>
      <c r="E46" s="17" t="s">
        <v>56</v>
      </c>
      <c r="F46" s="17" t="s">
        <v>61</v>
      </c>
      <c r="G46" s="17" t="s">
        <v>2</v>
      </c>
      <c r="H46" s="18">
        <f>[4]副本!G87</f>
        <v>1672.8439999999941</v>
      </c>
      <c r="I46" s="18">
        <f>H46</f>
        <v>1672.8439999999941</v>
      </c>
      <c r="J46" s="17"/>
      <c r="K46" s="16"/>
      <c r="L46" s="16">
        <f>H46-I46</f>
        <v>0</v>
      </c>
      <c r="M46" s="15">
        <v>2000</v>
      </c>
      <c r="N46" s="14"/>
      <c r="O46" s="13"/>
      <c r="P46" s="12"/>
    </row>
    <row r="47" spans="1:16" s="11" customFormat="1" ht="30.75" customHeight="1" x14ac:dyDescent="0.15">
      <c r="A47" s="17">
        <v>20170104</v>
      </c>
      <c r="B47" s="19" t="s">
        <v>60</v>
      </c>
      <c r="C47" s="36" t="s">
        <v>43</v>
      </c>
      <c r="D47" s="17" t="s">
        <v>5</v>
      </c>
      <c r="E47" s="17" t="s">
        <v>34</v>
      </c>
      <c r="F47" s="17" t="s">
        <v>48</v>
      </c>
      <c r="G47" s="17" t="s">
        <v>2</v>
      </c>
      <c r="H47" s="18">
        <f>[4]副本!G89</f>
        <v>7193.6779999999999</v>
      </c>
      <c r="I47" s="18">
        <v>0</v>
      </c>
      <c r="J47" s="17"/>
      <c r="K47" s="15"/>
      <c r="L47" s="16">
        <f>H47-I47</f>
        <v>7193.6779999999999</v>
      </c>
      <c r="M47" s="15">
        <v>10000</v>
      </c>
      <c r="N47" s="14"/>
      <c r="O47" s="13"/>
      <c r="P47" s="12"/>
    </row>
    <row r="48" spans="1:16" s="11" customFormat="1" ht="30.75" customHeight="1" x14ac:dyDescent="0.15">
      <c r="A48" s="17">
        <v>20170104</v>
      </c>
      <c r="B48" s="19" t="s">
        <v>59</v>
      </c>
      <c r="C48" s="36" t="s">
        <v>28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[4]副本!G91</f>
        <v>7409.1850000000004</v>
      </c>
      <c r="I48" s="18">
        <f>H48-7409.185</f>
        <v>0</v>
      </c>
      <c r="J48" s="17"/>
      <c r="K48" s="15"/>
      <c r="L48" s="16">
        <v>0</v>
      </c>
      <c r="M48" s="15">
        <v>10000</v>
      </c>
      <c r="N48" s="14"/>
      <c r="O48" s="13"/>
      <c r="P48" s="12"/>
    </row>
    <row r="49" spans="1:17" s="11" customFormat="1" ht="30.75" customHeight="1" x14ac:dyDescent="0.15">
      <c r="A49" s="17">
        <v>20170104</v>
      </c>
      <c r="B49" s="19" t="s">
        <v>58</v>
      </c>
      <c r="C49" s="36" t="s">
        <v>57</v>
      </c>
      <c r="D49" s="17"/>
      <c r="E49" s="17" t="s">
        <v>56</v>
      </c>
      <c r="F49" s="17" t="s">
        <v>55</v>
      </c>
      <c r="G49" s="17" t="s">
        <v>54</v>
      </c>
      <c r="H49" s="18">
        <f>[4]副本!G93</f>
        <v>2050.8040000000083</v>
      </c>
      <c r="I49" s="18">
        <f>H49</f>
        <v>2050.8040000000083</v>
      </c>
      <c r="J49" s="17"/>
      <c r="K49" s="16"/>
      <c r="L49" s="16">
        <v>0</v>
      </c>
      <c r="M49" s="15">
        <v>5000</v>
      </c>
      <c r="N49" s="23" t="s">
        <v>53</v>
      </c>
      <c r="O49" s="22" t="s">
        <v>52</v>
      </c>
      <c r="P49" s="12" t="s">
        <v>221</v>
      </c>
    </row>
    <row r="50" spans="1:17" s="11" customFormat="1" ht="30.75" customHeight="1" x14ac:dyDescent="0.15">
      <c r="A50" s="17">
        <v>20170104</v>
      </c>
      <c r="B50" s="19" t="s">
        <v>50</v>
      </c>
      <c r="C50" s="36" t="s">
        <v>28</v>
      </c>
      <c r="D50" s="17"/>
      <c r="E50" s="17"/>
      <c r="F50" s="17"/>
      <c r="G50" s="17"/>
      <c r="H50" s="18"/>
      <c r="I50" s="18"/>
      <c r="J50" s="17"/>
      <c r="K50" s="15"/>
      <c r="L50" s="16">
        <f>H50-I50</f>
        <v>0</v>
      </c>
      <c r="M50" s="15">
        <v>3000</v>
      </c>
      <c r="N50" s="14"/>
      <c r="O50" s="13"/>
      <c r="P50" s="12"/>
    </row>
    <row r="51" spans="1:17" s="11" customFormat="1" ht="30.75" customHeight="1" x14ac:dyDescent="0.15">
      <c r="A51" s="17">
        <v>20170104</v>
      </c>
      <c r="B51" s="19" t="s">
        <v>49</v>
      </c>
      <c r="C51" s="36" t="s">
        <v>28</v>
      </c>
      <c r="D51" s="17" t="s">
        <v>5</v>
      </c>
      <c r="E51" s="17" t="s">
        <v>34</v>
      </c>
      <c r="F51" s="17" t="s">
        <v>48</v>
      </c>
      <c r="G51" s="17" t="s">
        <v>22</v>
      </c>
      <c r="H51" s="18">
        <f>[4]副本!G97</f>
        <v>17900.637999999999</v>
      </c>
      <c r="I51" s="18">
        <v>0</v>
      </c>
      <c r="J51" s="17"/>
      <c r="K51" s="15"/>
      <c r="L51" s="16">
        <f>H51-I51</f>
        <v>17900.637999999999</v>
      </c>
      <c r="M51" s="15">
        <v>25000</v>
      </c>
      <c r="N51" s="14" t="s">
        <v>47</v>
      </c>
      <c r="O51" s="13" t="s">
        <v>46</v>
      </c>
      <c r="P51" s="12" t="s">
        <v>45</v>
      </c>
    </row>
    <row r="52" spans="1:17" s="11" customFormat="1" ht="30.75" customHeight="1" x14ac:dyDescent="0.15">
      <c r="A52" s="17">
        <v>20170104</v>
      </c>
      <c r="B52" s="19" t="s">
        <v>44</v>
      </c>
      <c r="C52" s="36" t="s">
        <v>43</v>
      </c>
      <c r="D52" s="17" t="s">
        <v>5</v>
      </c>
      <c r="E52" s="17" t="s">
        <v>34</v>
      </c>
      <c r="F52" s="17" t="s">
        <v>235</v>
      </c>
      <c r="G52" s="17" t="s">
        <v>22</v>
      </c>
      <c r="H52" s="18">
        <f>[4]副本!G99</f>
        <v>17775.025000000081</v>
      </c>
      <c r="I52" s="18">
        <v>0</v>
      </c>
      <c r="J52" s="17"/>
      <c r="K52" s="15"/>
      <c r="L52" s="16">
        <f>H52-I52</f>
        <v>17775.025000000081</v>
      </c>
      <c r="M52" s="15">
        <v>50000</v>
      </c>
      <c r="N52" s="14"/>
      <c r="O52" s="13"/>
      <c r="P52" s="12"/>
    </row>
    <row r="53" spans="1:17" s="11" customFormat="1" ht="30.75" customHeight="1" x14ac:dyDescent="0.15">
      <c r="A53" s="17">
        <v>20170104</v>
      </c>
      <c r="B53" s="19" t="s">
        <v>41</v>
      </c>
      <c r="C53" s="36" t="s">
        <v>28</v>
      </c>
      <c r="D53" s="17"/>
      <c r="E53" s="17" t="s">
        <v>40</v>
      </c>
      <c r="F53" s="17" t="s">
        <v>39</v>
      </c>
      <c r="G53" s="17" t="s">
        <v>22</v>
      </c>
      <c r="H53" s="18">
        <f>[4]副本!G101</f>
        <v>588.60000000001696</v>
      </c>
      <c r="I53" s="18">
        <f>H53</f>
        <v>588.60000000001696</v>
      </c>
      <c r="J53" s="17"/>
      <c r="K53" s="15"/>
      <c r="L53" s="16">
        <f>H53-I53</f>
        <v>0</v>
      </c>
      <c r="M53" s="15">
        <v>4000</v>
      </c>
      <c r="N53" s="14"/>
      <c r="O53" s="13"/>
      <c r="P53" s="12" t="s">
        <v>38</v>
      </c>
    </row>
    <row r="54" spans="1:17" s="11" customFormat="1" ht="30.75" customHeight="1" x14ac:dyDescent="0.15">
      <c r="A54" s="17">
        <v>20170104</v>
      </c>
      <c r="B54" s="19" t="s">
        <v>41</v>
      </c>
      <c r="C54" s="36" t="s">
        <v>28</v>
      </c>
      <c r="D54" s="17"/>
      <c r="E54" s="17" t="s">
        <v>40</v>
      </c>
      <c r="F54" s="17" t="s">
        <v>71</v>
      </c>
      <c r="G54" s="17" t="s">
        <v>22</v>
      </c>
      <c r="H54" s="18">
        <f>[4]副本!G102</f>
        <v>17.157</v>
      </c>
      <c r="I54" s="18">
        <f>H54</f>
        <v>17.157</v>
      </c>
      <c r="J54" s="17"/>
      <c r="K54" s="15"/>
      <c r="L54" s="16"/>
      <c r="M54" s="15">
        <v>4000</v>
      </c>
      <c r="N54" s="14"/>
      <c r="O54" s="13"/>
      <c r="P54" s="12" t="s">
        <v>38</v>
      </c>
    </row>
    <row r="55" spans="1:17" s="11" customFormat="1" ht="30.75" customHeight="1" x14ac:dyDescent="0.15">
      <c r="A55" s="17">
        <v>20170104</v>
      </c>
      <c r="B55" s="19" t="s">
        <v>37</v>
      </c>
      <c r="C55" s="36" t="s">
        <v>31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30.75" customHeight="1" x14ac:dyDescent="0.15">
      <c r="A56" s="17">
        <v>20170104</v>
      </c>
      <c r="B56" s="19" t="s">
        <v>36</v>
      </c>
      <c r="C56" s="36" t="s">
        <v>31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30.75" customHeight="1" x14ac:dyDescent="0.15">
      <c r="A57" s="17">
        <v>20170104</v>
      </c>
      <c r="B57" s="19" t="s">
        <v>35</v>
      </c>
      <c r="C57" s="36" t="s">
        <v>28</v>
      </c>
      <c r="D57" s="17" t="s">
        <v>5</v>
      </c>
      <c r="E57" s="17" t="s">
        <v>34</v>
      </c>
      <c r="F57" s="17" t="s">
        <v>48</v>
      </c>
      <c r="G57" s="17" t="s">
        <v>22</v>
      </c>
      <c r="H57" s="18">
        <f>[4]副本!G108</f>
        <v>6957.8649999999998</v>
      </c>
      <c r="I57" s="18">
        <f>H57-6957.865</f>
        <v>0</v>
      </c>
      <c r="J57" s="17"/>
      <c r="K57" s="16"/>
      <c r="L57" s="16">
        <f>H57-I57</f>
        <v>6957.8649999999998</v>
      </c>
      <c r="M57" s="15">
        <v>10000</v>
      </c>
      <c r="N57" s="14"/>
      <c r="O57" s="13"/>
      <c r="P57" s="12"/>
      <c r="Q57" s="20"/>
    </row>
    <row r="58" spans="1:17" s="11" customFormat="1" ht="30.75" customHeight="1" x14ac:dyDescent="0.15">
      <c r="A58" s="17">
        <v>20170104</v>
      </c>
      <c r="B58" s="19" t="s">
        <v>32</v>
      </c>
      <c r="C58" s="36" t="s">
        <v>31</v>
      </c>
      <c r="D58" s="17" t="s">
        <v>5</v>
      </c>
      <c r="E58" s="17"/>
      <c r="F58" s="17"/>
      <c r="G58" s="17"/>
      <c r="H58" s="18"/>
      <c r="I58" s="18"/>
      <c r="J58" s="17"/>
      <c r="K58" s="21"/>
      <c r="L58" s="16"/>
      <c r="M58" s="15">
        <v>15000</v>
      </c>
      <c r="N58" s="14"/>
      <c r="O58" s="13"/>
      <c r="P58" s="12"/>
      <c r="Q58" s="20"/>
    </row>
    <row r="59" spans="1:17" s="11" customFormat="1" ht="30.75" customHeight="1" x14ac:dyDescent="0.15">
      <c r="A59" s="17">
        <v>20170104</v>
      </c>
      <c r="B59" s="19" t="s">
        <v>30</v>
      </c>
      <c r="C59" s="19" t="s">
        <v>28</v>
      </c>
      <c r="D59" s="17" t="s">
        <v>5</v>
      </c>
      <c r="E59" s="17" t="s">
        <v>4</v>
      </c>
      <c r="F59" s="17" t="s">
        <v>3</v>
      </c>
      <c r="G59" s="17" t="s">
        <v>22</v>
      </c>
      <c r="H59" s="18">
        <f>[4]副本!G112</f>
        <v>27552.774000000001</v>
      </c>
      <c r="I59" s="18">
        <f>H59</f>
        <v>27552.774000000001</v>
      </c>
      <c r="J59" s="17"/>
      <c r="K59" s="15"/>
      <c r="L59" s="16"/>
      <c r="M59" s="15">
        <v>43000</v>
      </c>
      <c r="N59" s="14"/>
      <c r="O59" s="13"/>
      <c r="P59" s="12" t="s">
        <v>220</v>
      </c>
      <c r="Q59" s="20"/>
    </row>
    <row r="60" spans="1:17" s="11" customFormat="1" ht="30.75" customHeight="1" x14ac:dyDescent="0.15">
      <c r="A60" s="17">
        <v>20170104</v>
      </c>
      <c r="B60" s="19" t="s">
        <v>29</v>
      </c>
      <c r="C60" s="19" t="s">
        <v>28</v>
      </c>
      <c r="D60" s="17" t="s">
        <v>5</v>
      </c>
      <c r="E60" s="17"/>
      <c r="F60" s="17"/>
      <c r="G60" s="17"/>
      <c r="H60" s="18"/>
      <c r="I60" s="18"/>
      <c r="J60" s="17"/>
      <c r="K60" s="15"/>
      <c r="L60" s="16"/>
      <c r="M60" s="15">
        <v>40000</v>
      </c>
      <c r="N60" s="14"/>
      <c r="O60" s="13"/>
      <c r="P60" s="12"/>
      <c r="Q60" s="20"/>
    </row>
    <row r="61" spans="1:17" s="11" customFormat="1" ht="30.75" customHeight="1" x14ac:dyDescent="0.15">
      <c r="A61" s="17">
        <v>20170104</v>
      </c>
      <c r="B61" s="19" t="s">
        <v>24</v>
      </c>
      <c r="C61" s="36" t="s">
        <v>0</v>
      </c>
      <c r="D61" s="17"/>
      <c r="E61" s="17" t="s">
        <v>4</v>
      </c>
      <c r="F61" s="17" t="s">
        <v>23</v>
      </c>
      <c r="G61" s="17" t="s">
        <v>22</v>
      </c>
      <c r="H61" s="18">
        <f>[4]副本!G116</f>
        <v>2431.6669999999963</v>
      </c>
      <c r="I61" s="18">
        <f>H61-15652.787+4092.929+8666.148+2893.71</f>
        <v>2431.6669999999949</v>
      </c>
      <c r="J61" s="17"/>
      <c r="K61" s="15">
        <v>200</v>
      </c>
      <c r="L61" s="16">
        <f>H61-I61</f>
        <v>0</v>
      </c>
      <c r="M61" s="15">
        <v>20000</v>
      </c>
      <c r="N61" s="14"/>
      <c r="O61" s="13"/>
      <c r="P61" s="12" t="s">
        <v>21</v>
      </c>
    </row>
    <row r="62" spans="1:17" s="11" customFormat="1" ht="30.75" customHeight="1" x14ac:dyDescent="0.15">
      <c r="A62" s="17">
        <v>20170104</v>
      </c>
      <c r="B62" s="19" t="s">
        <v>20</v>
      </c>
      <c r="C62" s="36" t="s">
        <v>0</v>
      </c>
      <c r="D62" s="17"/>
      <c r="E62" s="17" t="s">
        <v>12</v>
      </c>
      <c r="F62" s="17" t="s">
        <v>11</v>
      </c>
      <c r="G62" s="17" t="s">
        <v>2</v>
      </c>
      <c r="H62" s="18">
        <f>[4]副本!G118</f>
        <v>20599.858999999997</v>
      </c>
      <c r="I62" s="18">
        <f>H62-5234.379</f>
        <v>15365.479999999996</v>
      </c>
      <c r="J62" s="17"/>
      <c r="K62" s="15"/>
      <c r="L62" s="16">
        <f>H62-I62</f>
        <v>5234.3790000000008</v>
      </c>
      <c r="M62" s="15">
        <v>30000</v>
      </c>
      <c r="N62" s="14"/>
      <c r="O62" s="13"/>
      <c r="P62" s="12" t="s">
        <v>219</v>
      </c>
    </row>
    <row r="63" spans="1:17" s="11" customFormat="1" ht="30.75" customHeight="1" x14ac:dyDescent="0.15">
      <c r="A63" s="17">
        <v>20170104</v>
      </c>
      <c r="B63" s="19" t="s">
        <v>18</v>
      </c>
      <c r="C63" s="36" t="s">
        <v>0</v>
      </c>
      <c r="D63" s="17" t="s">
        <v>5</v>
      </c>
      <c r="E63" s="17" t="s">
        <v>4</v>
      </c>
      <c r="F63" s="17" t="s">
        <v>17</v>
      </c>
      <c r="G63" s="17" t="s">
        <v>2</v>
      </c>
      <c r="H63" s="18">
        <f>[4]副本!G120</f>
        <v>14976.093999999999</v>
      </c>
      <c r="I63" s="18">
        <f>H63-14976.094</f>
        <v>0</v>
      </c>
      <c r="J63" s="17"/>
      <c r="K63" s="15">
        <v>350</v>
      </c>
      <c r="L63" s="16">
        <f>H63-I63</f>
        <v>14976.093999999999</v>
      </c>
      <c r="M63" s="15">
        <v>20000</v>
      </c>
      <c r="N63" s="14" t="s">
        <v>16</v>
      </c>
      <c r="O63" s="13" t="s">
        <v>15</v>
      </c>
      <c r="P63" s="12" t="s">
        <v>14</v>
      </c>
    </row>
    <row r="64" spans="1:17" s="11" customFormat="1" ht="30.75" customHeight="1" x14ac:dyDescent="0.15">
      <c r="A64" s="17">
        <v>20170104</v>
      </c>
      <c r="B64" s="19" t="s">
        <v>13</v>
      </c>
      <c r="C64" s="36" t="s">
        <v>0</v>
      </c>
      <c r="D64" s="17"/>
      <c r="E64" s="17" t="s">
        <v>12</v>
      </c>
      <c r="F64" s="17" t="s">
        <v>11</v>
      </c>
      <c r="G64" s="17" t="s">
        <v>2</v>
      </c>
      <c r="H64" s="18">
        <f>[4]副本!G122</f>
        <v>5576.7479999999732</v>
      </c>
      <c r="I64" s="18">
        <f>H64</f>
        <v>5576.7479999999732</v>
      </c>
      <c r="J64" s="17"/>
      <c r="K64" s="15"/>
      <c r="L64" s="16">
        <v>0</v>
      </c>
      <c r="M64" s="15">
        <v>30000</v>
      </c>
      <c r="N64" s="14"/>
      <c r="O64" s="13"/>
      <c r="P64" s="12"/>
    </row>
    <row r="65" spans="1:16" s="11" customFormat="1" ht="30.75" customHeight="1" x14ac:dyDescent="0.15">
      <c r="A65" s="17">
        <v>20170104</v>
      </c>
      <c r="B65" s="19" t="s">
        <v>10</v>
      </c>
      <c r="C65" s="36" t="s">
        <v>0</v>
      </c>
      <c r="D65" s="17"/>
      <c r="E65" s="17" t="s">
        <v>9</v>
      </c>
      <c r="F65" s="12" t="s">
        <v>8</v>
      </c>
      <c r="G65" s="17" t="s">
        <v>2</v>
      </c>
      <c r="H65" s="18">
        <f>[4]副本!G124</f>
        <v>11979.215</v>
      </c>
      <c r="I65" s="18">
        <v>0</v>
      </c>
      <c r="J65" s="17"/>
      <c r="K65" s="15"/>
      <c r="L65" s="16">
        <f>H65-I65</f>
        <v>11979.215</v>
      </c>
      <c r="M65" s="15">
        <v>20000</v>
      </c>
      <c r="N65" s="14"/>
      <c r="O65" s="13"/>
      <c r="P65" s="12"/>
    </row>
    <row r="66" spans="1:16" s="11" customFormat="1" ht="30.75" customHeight="1" x14ac:dyDescent="0.15">
      <c r="A66" s="17">
        <v>20170104</v>
      </c>
      <c r="B66" s="19" t="s">
        <v>7</v>
      </c>
      <c r="C66" s="36" t="s">
        <v>0</v>
      </c>
      <c r="D66" s="17"/>
      <c r="E66" s="17"/>
      <c r="F66" s="17"/>
      <c r="G66" s="17"/>
      <c r="H66" s="18"/>
      <c r="I66" s="18"/>
      <c r="J66" s="17"/>
      <c r="K66" s="15"/>
      <c r="L66" s="16"/>
      <c r="M66" s="15">
        <v>15000</v>
      </c>
      <c r="N66" s="14"/>
      <c r="O66" s="13"/>
      <c r="P66" s="12"/>
    </row>
    <row r="67" spans="1:16" s="11" customFormat="1" ht="30.75" customHeight="1" x14ac:dyDescent="0.15">
      <c r="A67" s="17">
        <v>20170104</v>
      </c>
      <c r="B67" s="19" t="s">
        <v>6</v>
      </c>
      <c r="C67" s="36" t="s">
        <v>0</v>
      </c>
      <c r="D67" s="17" t="s">
        <v>5</v>
      </c>
      <c r="E67" s="17" t="s">
        <v>4</v>
      </c>
      <c r="F67" s="17" t="s">
        <v>3</v>
      </c>
      <c r="G67" s="17" t="s">
        <v>2</v>
      </c>
      <c r="H67" s="18">
        <f>[4]副本!G128</f>
        <v>12005.106</v>
      </c>
      <c r="I67" s="18">
        <f>H67-12005.106</f>
        <v>0</v>
      </c>
      <c r="J67" s="17"/>
      <c r="K67" s="15"/>
      <c r="L67" s="16">
        <f>H67-I67</f>
        <v>12005.106</v>
      </c>
      <c r="M67" s="15">
        <v>15000</v>
      </c>
      <c r="N67" s="14"/>
      <c r="O67" s="13"/>
      <c r="P67" s="12"/>
    </row>
    <row r="68" spans="1:16" s="11" customFormat="1" ht="30.75" customHeight="1" x14ac:dyDescent="0.15">
      <c r="A68" s="17">
        <v>20170104</v>
      </c>
      <c r="B68" s="19" t="s">
        <v>1</v>
      </c>
      <c r="C68" s="36" t="s">
        <v>0</v>
      </c>
      <c r="D68" s="17"/>
      <c r="E68" s="17"/>
      <c r="F68" s="17"/>
      <c r="G68" s="17"/>
      <c r="H68" s="18"/>
      <c r="I68" s="18"/>
      <c r="J68" s="17"/>
      <c r="K68" s="15"/>
      <c r="L68" s="16"/>
      <c r="M68" s="15">
        <v>15000</v>
      </c>
      <c r="N68" s="14"/>
      <c r="O68" s="13"/>
      <c r="P68" s="12"/>
    </row>
    <row r="74" spans="1:16" x14ac:dyDescent="0.15">
      <c r="L74" s="10"/>
    </row>
    <row r="226" spans="7:8" x14ac:dyDescent="0.15">
      <c r="G226" s="2"/>
      <c r="H226" s="2"/>
    </row>
  </sheetData>
  <autoFilter ref="B1:I68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59" activePane="bottomRight" state="frozen"/>
      <selection activeCell="G5" sqref="G5"/>
      <selection pane="topRight" activeCell="G5" sqref="G5"/>
      <selection pane="bottomLeft" activeCell="G5" sqref="G5"/>
      <selection pane="bottomRight" activeCell="F19" sqref="F19:F20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7.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6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40" customFormat="1" ht="22.5" x14ac:dyDescent="0.15">
      <c r="A1" s="38" t="s">
        <v>245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28.5" customHeight="1" x14ac:dyDescent="0.15">
      <c r="A2" s="17">
        <v>20170106</v>
      </c>
      <c r="B2" s="19" t="s">
        <v>158</v>
      </c>
      <c r="C2" s="36" t="s">
        <v>63</v>
      </c>
      <c r="D2" s="19"/>
      <c r="E2" s="17" t="s">
        <v>141</v>
      </c>
      <c r="F2" s="17" t="s">
        <v>144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143</v>
      </c>
      <c r="O2" s="13" t="s">
        <v>124</v>
      </c>
      <c r="P2" s="12"/>
    </row>
    <row r="3" spans="1:17" s="11" customFormat="1" ht="28.5" customHeight="1" x14ac:dyDescent="0.15">
      <c r="A3" s="17">
        <v>20170106</v>
      </c>
      <c r="B3" s="19" t="s">
        <v>157</v>
      </c>
      <c r="C3" s="36" t="s">
        <v>63</v>
      </c>
      <c r="D3" s="19"/>
      <c r="E3" s="17" t="s">
        <v>156</v>
      </c>
      <c r="F3" s="17" t="s">
        <v>155</v>
      </c>
      <c r="G3" s="12" t="s">
        <v>54</v>
      </c>
      <c r="H3" s="18">
        <f>[5]副本!G5</f>
        <v>245.55599999999993</v>
      </c>
      <c r="I3" s="18">
        <f>H3-995.136+995.136</f>
        <v>245.55599999999993</v>
      </c>
      <c r="J3" s="17"/>
      <c r="K3" s="15"/>
      <c r="L3" s="16">
        <f>H3-I3</f>
        <v>0</v>
      </c>
      <c r="M3" s="15">
        <v>1500</v>
      </c>
      <c r="N3" s="14"/>
      <c r="O3" s="13"/>
      <c r="P3" s="12" t="s">
        <v>154</v>
      </c>
    </row>
    <row r="4" spans="1:17" s="11" customFormat="1" ht="28.5" customHeight="1" x14ac:dyDescent="0.15">
      <c r="A4" s="17">
        <v>20170106</v>
      </c>
      <c r="B4" s="19" t="s">
        <v>153</v>
      </c>
      <c r="C4" s="36" t="s">
        <v>63</v>
      </c>
      <c r="D4" s="19"/>
      <c r="E4" s="17" t="s">
        <v>56</v>
      </c>
      <c r="F4" s="17" t="s">
        <v>61</v>
      </c>
      <c r="G4" s="12" t="s">
        <v>54</v>
      </c>
      <c r="H4" s="18">
        <f>[5]副本!G7</f>
        <v>1865.2429999999958</v>
      </c>
      <c r="I4" s="18">
        <f>H4</f>
        <v>1865.2429999999958</v>
      </c>
      <c r="J4" s="17"/>
      <c r="K4" s="16"/>
      <c r="L4" s="16"/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28.5" customHeight="1" x14ac:dyDescent="0.15">
      <c r="A5" s="17">
        <v>20170106</v>
      </c>
      <c r="B5" s="19" t="s">
        <v>149</v>
      </c>
      <c r="C5" s="36" t="s">
        <v>63</v>
      </c>
      <c r="D5" s="17"/>
      <c r="E5" s="17" t="s">
        <v>148</v>
      </c>
      <c r="F5" s="17" t="s">
        <v>140</v>
      </c>
      <c r="G5" s="12" t="s">
        <v>54</v>
      </c>
      <c r="H5" s="18"/>
      <c r="I5" s="18"/>
      <c r="J5" s="17"/>
      <c r="K5" s="15"/>
      <c r="L5" s="16">
        <f>H5-I5</f>
        <v>0</v>
      </c>
      <c r="M5" s="15">
        <v>2000</v>
      </c>
      <c r="N5" s="14" t="s">
        <v>147</v>
      </c>
      <c r="O5" s="13" t="s">
        <v>124</v>
      </c>
      <c r="P5" s="12"/>
    </row>
    <row r="6" spans="1:17" s="11" customFormat="1" ht="28.5" customHeight="1" x14ac:dyDescent="0.15">
      <c r="A6" s="17">
        <v>20170106</v>
      </c>
      <c r="B6" s="19" t="s">
        <v>145</v>
      </c>
      <c r="C6" s="36" t="s">
        <v>63</v>
      </c>
      <c r="D6" s="17"/>
      <c r="E6" s="17" t="s">
        <v>141</v>
      </c>
      <c r="F6" s="17" t="s">
        <v>144</v>
      </c>
      <c r="G6" s="12" t="s">
        <v>54</v>
      </c>
      <c r="H6" s="18"/>
      <c r="I6" s="18"/>
      <c r="J6" s="17"/>
      <c r="K6" s="15"/>
      <c r="L6" s="16"/>
      <c r="M6" s="15">
        <v>3000</v>
      </c>
      <c r="N6" s="14" t="s">
        <v>143</v>
      </c>
      <c r="O6" s="13" t="s">
        <v>124</v>
      </c>
      <c r="P6" s="12"/>
      <c r="Q6" s="20"/>
    </row>
    <row r="7" spans="1:17" s="11" customFormat="1" ht="28.5" customHeight="1" x14ac:dyDescent="0.15">
      <c r="A7" s="17">
        <v>20170106</v>
      </c>
      <c r="B7" s="19" t="s">
        <v>142</v>
      </c>
      <c r="C7" s="36" t="s">
        <v>63</v>
      </c>
      <c r="D7" s="17"/>
      <c r="E7" s="17" t="s">
        <v>141</v>
      </c>
      <c r="F7" s="17" t="s">
        <v>140</v>
      </c>
      <c r="G7" s="17" t="s">
        <v>54</v>
      </c>
      <c r="H7" s="18"/>
      <c r="I7" s="18"/>
      <c r="J7" s="17"/>
      <c r="K7" s="15"/>
      <c r="L7" s="16"/>
      <c r="M7" s="15">
        <v>3000</v>
      </c>
      <c r="N7" s="14"/>
      <c r="O7" s="13"/>
      <c r="P7" s="12"/>
      <c r="Q7" s="20"/>
    </row>
    <row r="8" spans="1:17" s="11" customFormat="1" ht="28.5" customHeight="1" x14ac:dyDescent="0.15">
      <c r="A8" s="17">
        <v>20170106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28.5" customHeight="1" x14ac:dyDescent="0.15">
      <c r="A9" s="17">
        <v>20170106</v>
      </c>
      <c r="B9" s="19" t="s">
        <v>138</v>
      </c>
      <c r="C9" s="36" t="s">
        <v>31</v>
      </c>
      <c r="D9" s="17"/>
      <c r="E9" s="17" t="s">
        <v>9</v>
      </c>
      <c r="F9" s="17" t="s">
        <v>104</v>
      </c>
      <c r="G9" s="17" t="s">
        <v>54</v>
      </c>
      <c r="H9" s="17">
        <f>[5]副本!G17</f>
        <v>1322.4749999999999</v>
      </c>
      <c r="I9" s="18">
        <f>H9</f>
        <v>1322.4749999999999</v>
      </c>
      <c r="J9" s="17"/>
      <c r="K9" s="15">
        <v>100</v>
      </c>
      <c r="L9" s="16">
        <f>H9-I9</f>
        <v>0</v>
      </c>
      <c r="M9" s="15">
        <v>5000</v>
      </c>
      <c r="N9" s="14" t="s">
        <v>137</v>
      </c>
      <c r="O9" s="13" t="s">
        <v>136</v>
      </c>
      <c r="P9" s="12" t="s">
        <v>101</v>
      </c>
    </row>
    <row r="10" spans="1:17" s="11" customFormat="1" ht="28.5" customHeight="1" x14ac:dyDescent="0.15">
      <c r="A10" s="17">
        <v>20170106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[5]副本!G19</f>
        <v>1514.162</v>
      </c>
      <c r="I10" s="18">
        <f>H10</f>
        <v>1514.162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229</v>
      </c>
    </row>
    <row r="11" spans="1:17" s="11" customFormat="1" ht="28.5" customHeight="1" x14ac:dyDescent="0.15">
      <c r="A11" s="17">
        <v>20170106</v>
      </c>
      <c r="B11" s="19" t="s">
        <v>134</v>
      </c>
      <c r="C11" s="17" t="s">
        <v>63</v>
      </c>
      <c r="D11" s="17"/>
      <c r="E11" s="17" t="s">
        <v>116</v>
      </c>
      <c r="F11" s="17" t="s">
        <v>115</v>
      </c>
      <c r="G11" s="17" t="s">
        <v>54</v>
      </c>
      <c r="H11" s="18">
        <f>[5]副本!G21</f>
        <v>1502.1479999999999</v>
      </c>
      <c r="I11" s="18">
        <f>H11</f>
        <v>1502.1479999999999</v>
      </c>
      <c r="J11" s="17"/>
      <c r="K11" s="15"/>
      <c r="L11" s="16"/>
      <c r="M11" s="15">
        <v>1500</v>
      </c>
      <c r="N11" s="14"/>
      <c r="O11" s="13"/>
      <c r="P11" s="12"/>
    </row>
    <row r="12" spans="1:17" s="11" customFormat="1" ht="28.5" customHeight="1" x14ac:dyDescent="0.15">
      <c r="A12" s="17">
        <v>20170106</v>
      </c>
      <c r="B12" s="19" t="s">
        <v>133</v>
      </c>
      <c r="C12" s="36" t="s">
        <v>28</v>
      </c>
      <c r="D12" s="17"/>
      <c r="E12" s="17"/>
      <c r="F12" s="17"/>
      <c r="G12" s="17"/>
      <c r="H12" s="18"/>
      <c r="I12" s="18"/>
      <c r="J12" s="17"/>
      <c r="K12" s="15"/>
      <c r="L12" s="16"/>
      <c r="M12" s="15">
        <v>1500</v>
      </c>
      <c r="N12" s="14"/>
      <c r="O12" s="13"/>
      <c r="P12" s="12"/>
      <c r="Q12" s="20"/>
    </row>
    <row r="13" spans="1:17" s="11" customFormat="1" ht="28.5" customHeight="1" x14ac:dyDescent="0.15">
      <c r="A13" s="17">
        <v>20170106</v>
      </c>
      <c r="B13" s="19" t="s">
        <v>132</v>
      </c>
      <c r="C13" s="36" t="s">
        <v>28</v>
      </c>
      <c r="D13" s="17"/>
      <c r="E13" s="17"/>
      <c r="F13" s="17"/>
      <c r="G13" s="17"/>
      <c r="H13" s="18"/>
      <c r="I13" s="18"/>
      <c r="J13" s="17"/>
      <c r="K13" s="16"/>
      <c r="L13" s="16"/>
      <c r="M13" s="15">
        <v>1500</v>
      </c>
      <c r="N13" s="14"/>
      <c r="O13" s="13"/>
      <c r="P13" s="12"/>
    </row>
    <row r="14" spans="1:17" s="11" customFormat="1" ht="28.5" customHeight="1" x14ac:dyDescent="0.15">
      <c r="A14" s="17">
        <v>20170106</v>
      </c>
      <c r="B14" s="19" t="s">
        <v>131</v>
      </c>
      <c r="C14" s="36" t="s">
        <v>63</v>
      </c>
      <c r="D14" s="17"/>
      <c r="E14" s="17" t="s">
        <v>92</v>
      </c>
      <c r="F14" s="17" t="s">
        <v>232</v>
      </c>
      <c r="G14" s="17" t="s">
        <v>54</v>
      </c>
      <c r="H14" s="18">
        <f>[5]副本!G27</f>
        <v>1378.1769999999999</v>
      </c>
      <c r="I14" s="18">
        <f>H14</f>
        <v>1378.1769999999999</v>
      </c>
      <c r="J14" s="17"/>
      <c r="K14" s="15"/>
      <c r="L14" s="16"/>
      <c r="M14" s="15"/>
      <c r="N14" s="14"/>
      <c r="O14" s="13"/>
      <c r="P14" s="12" t="s">
        <v>228</v>
      </c>
    </row>
    <row r="15" spans="1:17" s="11" customFormat="1" ht="28.5" customHeight="1" x14ac:dyDescent="0.15">
      <c r="A15" s="17">
        <v>20170106</v>
      </c>
      <c r="B15" s="19" t="s">
        <v>129</v>
      </c>
      <c r="C15" s="36" t="s">
        <v>121</v>
      </c>
      <c r="D15" s="17"/>
      <c r="E15" s="17" t="s">
        <v>12</v>
      </c>
      <c r="F15" s="17" t="s">
        <v>11</v>
      </c>
      <c r="G15" s="17" t="s">
        <v>2</v>
      </c>
      <c r="H15" s="18">
        <f>[5]副本!G29-H16</f>
        <v>6139.2470000000176</v>
      </c>
      <c r="I15" s="18">
        <f>H15</f>
        <v>6139.2470000000176</v>
      </c>
      <c r="J15" s="17"/>
      <c r="K15" s="15"/>
      <c r="L15" s="16">
        <f>H15-I15</f>
        <v>0</v>
      </c>
      <c r="M15" s="15">
        <v>21000</v>
      </c>
      <c r="N15" s="14" t="s">
        <v>120</v>
      </c>
      <c r="O15" s="13" t="s">
        <v>124</v>
      </c>
      <c r="P15" s="12" t="s">
        <v>130</v>
      </c>
    </row>
    <row r="16" spans="1:17" s="11" customFormat="1" ht="28.5" customHeight="1" x14ac:dyDescent="0.15">
      <c r="A16" s="17">
        <v>20170106</v>
      </c>
      <c r="B16" s="19" t="s">
        <v>129</v>
      </c>
      <c r="C16" s="36" t="s">
        <v>121</v>
      </c>
      <c r="D16" s="17"/>
      <c r="E16" s="17" t="s">
        <v>12</v>
      </c>
      <c r="F16" s="17" t="s">
        <v>11</v>
      </c>
      <c r="G16" s="17"/>
      <c r="H16" s="18">
        <f>[5]副本!G31</f>
        <v>9324.7529999999824</v>
      </c>
      <c r="I16" s="18">
        <f>H16</f>
        <v>9324.7529999999824</v>
      </c>
      <c r="J16" s="17"/>
      <c r="K16" s="15"/>
      <c r="L16" s="16">
        <f>H16-I16</f>
        <v>0</v>
      </c>
      <c r="M16" s="15">
        <v>21000</v>
      </c>
      <c r="N16" s="14" t="s">
        <v>120</v>
      </c>
      <c r="O16" s="13" t="s">
        <v>119</v>
      </c>
      <c r="P16" s="12" t="s">
        <v>244</v>
      </c>
    </row>
    <row r="17" spans="1:17" s="11" customFormat="1" ht="28.5" customHeight="1" x14ac:dyDescent="0.15">
      <c r="A17" s="17">
        <v>20170106</v>
      </c>
      <c r="B17" s="19" t="s">
        <v>127</v>
      </c>
      <c r="C17" s="36" t="s">
        <v>63</v>
      </c>
      <c r="D17" s="17"/>
      <c r="E17" s="17"/>
      <c r="F17" s="17"/>
      <c r="G17" s="17"/>
      <c r="H17" s="18"/>
      <c r="I17" s="18"/>
      <c r="J17" s="17"/>
      <c r="K17" s="15"/>
      <c r="L17" s="16"/>
      <c r="M17" s="15">
        <v>5000</v>
      </c>
      <c r="N17" s="14"/>
      <c r="O17" s="13"/>
      <c r="P17" s="12"/>
    </row>
    <row r="18" spans="1:17" s="11" customFormat="1" ht="28.5" customHeight="1" x14ac:dyDescent="0.15">
      <c r="A18" s="17">
        <v>20170106</v>
      </c>
      <c r="B18" s="19" t="s">
        <v>126</v>
      </c>
      <c r="C18" s="36" t="s">
        <v>63</v>
      </c>
      <c r="D18" s="17"/>
      <c r="E18" s="17"/>
      <c r="F18" s="17"/>
      <c r="G18" s="17"/>
      <c r="H18" s="18"/>
      <c r="I18" s="18"/>
      <c r="J18" s="17"/>
      <c r="K18" s="15"/>
      <c r="L18" s="16"/>
      <c r="M18" s="15">
        <v>3000</v>
      </c>
      <c r="N18" s="14"/>
      <c r="O18" s="13"/>
      <c r="P18" s="12"/>
    </row>
    <row r="19" spans="1:17" s="11" customFormat="1" ht="28.5" customHeight="1" x14ac:dyDescent="0.15">
      <c r="A19" s="17">
        <v>20170106</v>
      </c>
      <c r="B19" s="19" t="s">
        <v>122</v>
      </c>
      <c r="C19" s="36" t="s">
        <v>121</v>
      </c>
      <c r="D19" s="17"/>
      <c r="E19" s="17" t="s">
        <v>12</v>
      </c>
      <c r="F19" s="17" t="s">
        <v>11</v>
      </c>
      <c r="G19" s="17" t="s">
        <v>2</v>
      </c>
      <c r="H19" s="18">
        <f>[5]副本!G37-'20170106'!H20</f>
        <v>13574.537428000036</v>
      </c>
      <c r="I19" s="18">
        <f>H19</f>
        <v>13574.537428000036</v>
      </c>
      <c r="J19" s="17"/>
      <c r="K19" s="15"/>
      <c r="L19" s="16">
        <f>H19-I19</f>
        <v>0</v>
      </c>
      <c r="M19" s="15">
        <v>21000</v>
      </c>
      <c r="N19" s="14" t="s">
        <v>125</v>
      </c>
      <c r="O19" s="13" t="s">
        <v>124</v>
      </c>
      <c r="P19" s="12" t="s">
        <v>123</v>
      </c>
    </row>
    <row r="20" spans="1:17" s="11" customFormat="1" ht="28.5" customHeight="1" x14ac:dyDescent="0.15">
      <c r="A20" s="17">
        <v>20170106</v>
      </c>
      <c r="B20" s="19" t="s">
        <v>122</v>
      </c>
      <c r="C20" s="36" t="s">
        <v>121</v>
      </c>
      <c r="D20" s="17"/>
      <c r="E20" s="17" t="s">
        <v>12</v>
      </c>
      <c r="F20" s="17" t="s">
        <v>11</v>
      </c>
      <c r="G20" s="17"/>
      <c r="H20" s="18">
        <f>[5]副本!G39</f>
        <v>3384.4625719999631</v>
      </c>
      <c r="I20" s="18">
        <f>H20</f>
        <v>3384.4625719999631</v>
      </c>
      <c r="J20" s="17"/>
      <c r="K20" s="28"/>
      <c r="L20" s="16">
        <f>H20-I20</f>
        <v>0</v>
      </c>
      <c r="M20" s="15">
        <v>21000</v>
      </c>
      <c r="N20" s="14" t="s">
        <v>120</v>
      </c>
      <c r="O20" s="13" t="s">
        <v>119</v>
      </c>
      <c r="P20" s="12" t="s">
        <v>243</v>
      </c>
    </row>
    <row r="21" spans="1:17" s="11" customFormat="1" ht="28.5" customHeight="1" x14ac:dyDescent="0.15">
      <c r="A21" s="17">
        <v>20170106</v>
      </c>
      <c r="B21" s="19" t="s">
        <v>117</v>
      </c>
      <c r="C21" s="36" t="s">
        <v>63</v>
      </c>
      <c r="D21" s="17"/>
      <c r="E21" s="17" t="s">
        <v>116</v>
      </c>
      <c r="F21" s="17" t="s">
        <v>115</v>
      </c>
      <c r="G21" s="17" t="s">
        <v>2</v>
      </c>
      <c r="H21" s="18">
        <f>[5]副本!G41</f>
        <v>2835.7159999999999</v>
      </c>
      <c r="I21" s="18">
        <f>H21</f>
        <v>2835.7159999999999</v>
      </c>
      <c r="J21" s="17"/>
      <c r="K21" s="15">
        <v>300</v>
      </c>
      <c r="L21" s="16">
        <f>H21-I21</f>
        <v>0</v>
      </c>
      <c r="M21" s="15">
        <v>5000</v>
      </c>
      <c r="N21" s="14"/>
      <c r="O21" s="13"/>
      <c r="P21" s="12" t="s">
        <v>114</v>
      </c>
    </row>
    <row r="22" spans="1:17" s="11" customFormat="1" ht="28.5" customHeight="1" x14ac:dyDescent="0.15">
      <c r="A22" s="17">
        <v>20170106</v>
      </c>
      <c r="B22" s="19" t="s">
        <v>113</v>
      </c>
      <c r="C22" s="36" t="s">
        <v>0</v>
      </c>
      <c r="D22" s="17"/>
      <c r="E22" s="12"/>
      <c r="F22" s="17"/>
      <c r="G22" s="17"/>
      <c r="H22" s="18"/>
      <c r="I22" s="18"/>
      <c r="J22" s="17"/>
      <c r="K22" s="15"/>
      <c r="L22" s="16"/>
      <c r="M22" s="15">
        <v>5000</v>
      </c>
      <c r="N22" s="14"/>
      <c r="O22" s="13"/>
      <c r="P22" s="37"/>
    </row>
    <row r="23" spans="1:17" s="11" customFormat="1" ht="28.5" customHeight="1" x14ac:dyDescent="0.15">
      <c r="A23" s="17">
        <v>20170106</v>
      </c>
      <c r="B23" s="19" t="s">
        <v>226</v>
      </c>
      <c r="C23" s="36" t="s">
        <v>63</v>
      </c>
      <c r="D23" s="17"/>
      <c r="E23" s="17"/>
      <c r="F23" s="17"/>
      <c r="G23" s="17"/>
      <c r="H23" s="18"/>
      <c r="I23" s="18"/>
      <c r="J23" s="17"/>
      <c r="K23" s="15"/>
      <c r="L23" s="16"/>
      <c r="M23" s="15">
        <v>5000</v>
      </c>
      <c r="N23" s="14"/>
      <c r="O23" s="13"/>
      <c r="P23" s="12"/>
    </row>
    <row r="24" spans="1:17" s="11" customFormat="1" ht="28.5" customHeight="1" x14ac:dyDescent="0.15">
      <c r="A24" s="17">
        <v>20170106</v>
      </c>
      <c r="B24" s="19" t="s">
        <v>109</v>
      </c>
      <c r="C24" s="36" t="s">
        <v>63</v>
      </c>
      <c r="D24" s="17"/>
      <c r="E24" s="17" t="s">
        <v>108</v>
      </c>
      <c r="F24" s="17" t="s">
        <v>248</v>
      </c>
      <c r="G24" s="17" t="s">
        <v>2</v>
      </c>
      <c r="H24" s="18">
        <f>[5]副本!G47</f>
        <v>524.84100000004287</v>
      </c>
      <c r="I24" s="18">
        <f>H24</f>
        <v>524.84100000004287</v>
      </c>
      <c r="J24" s="17"/>
      <c r="K24" s="15"/>
      <c r="L24" s="16">
        <f>H24-I24</f>
        <v>0</v>
      </c>
      <c r="M24" s="15">
        <v>4000</v>
      </c>
      <c r="N24" s="14" t="s">
        <v>47</v>
      </c>
      <c r="O24" s="13" t="s">
        <v>46</v>
      </c>
      <c r="P24" s="12"/>
    </row>
    <row r="25" spans="1:17" s="11" customFormat="1" ht="28.5" customHeight="1" x14ac:dyDescent="0.15">
      <c r="A25" s="17">
        <v>20170106</v>
      </c>
      <c r="B25" s="19" t="s">
        <v>106</v>
      </c>
      <c r="C25" s="36" t="s">
        <v>105</v>
      </c>
      <c r="D25" s="17"/>
      <c r="E25" s="17" t="s">
        <v>9</v>
      </c>
      <c r="F25" s="17" t="s">
        <v>104</v>
      </c>
      <c r="G25" s="17" t="s">
        <v>2</v>
      </c>
      <c r="H25" s="18">
        <f>[5]副本!G49</f>
        <v>272.52499999999998</v>
      </c>
      <c r="I25" s="18">
        <f>H25</f>
        <v>272.52499999999998</v>
      </c>
      <c r="J25" s="17"/>
      <c r="K25" s="15"/>
      <c r="L25" s="16">
        <f>H25-I25</f>
        <v>0</v>
      </c>
      <c r="M25" s="15">
        <v>5000</v>
      </c>
      <c r="N25" s="14" t="s">
        <v>225</v>
      </c>
      <c r="O25" s="13" t="s">
        <v>102</v>
      </c>
      <c r="P25" s="12" t="s">
        <v>101</v>
      </c>
    </row>
    <row r="26" spans="1:17" s="11" customFormat="1" ht="28.5" customHeight="1" x14ac:dyDescent="0.15">
      <c r="A26" s="17">
        <v>20170106</v>
      </c>
      <c r="B26" s="19" t="s">
        <v>100</v>
      </c>
      <c r="C26" s="36" t="s">
        <v>96</v>
      </c>
      <c r="D26" s="17"/>
      <c r="E26" s="17"/>
      <c r="F26" s="17"/>
      <c r="G26" s="17"/>
      <c r="H26" s="18"/>
      <c r="I26" s="18"/>
      <c r="J26" s="17"/>
      <c r="K26" s="15"/>
      <c r="L26" s="16"/>
      <c r="M26" s="15">
        <v>2000</v>
      </c>
      <c r="N26" s="14"/>
      <c r="O26" s="13"/>
      <c r="P26" s="12"/>
    </row>
    <row r="27" spans="1:17" s="11" customFormat="1" ht="28.5" customHeight="1" x14ac:dyDescent="0.15">
      <c r="A27" s="17">
        <v>20170106</v>
      </c>
      <c r="B27" s="19" t="s">
        <v>224</v>
      </c>
      <c r="C27" s="36" t="s">
        <v>96</v>
      </c>
      <c r="D27" s="17"/>
      <c r="E27" s="17" t="s">
        <v>67</v>
      </c>
      <c r="F27" s="17" t="s">
        <v>66</v>
      </c>
      <c r="G27" s="17" t="s">
        <v>2</v>
      </c>
      <c r="H27" s="18">
        <f>[5]副本!G53</f>
        <v>1099.9159999999999</v>
      </c>
      <c r="I27" s="18">
        <f>H27</f>
        <v>1099.9159999999999</v>
      </c>
      <c r="J27" s="17"/>
      <c r="K27" s="15"/>
      <c r="L27" s="16">
        <f>H27-I27</f>
        <v>0</v>
      </c>
      <c r="M27" s="15">
        <v>1500</v>
      </c>
      <c r="N27" s="14"/>
      <c r="O27" s="13"/>
      <c r="P27" s="12" t="s">
        <v>240</v>
      </c>
    </row>
    <row r="28" spans="1:17" s="11" customFormat="1" ht="28.5" customHeight="1" x14ac:dyDescent="0.15">
      <c r="A28" s="17">
        <v>20170106</v>
      </c>
      <c r="B28" s="19" t="s">
        <v>98</v>
      </c>
      <c r="C28" s="36" t="s">
        <v>96</v>
      </c>
      <c r="D28" s="17"/>
      <c r="E28" s="17"/>
      <c r="F28" s="17"/>
      <c r="G28" s="17"/>
      <c r="H28" s="18"/>
      <c r="I28" s="18"/>
      <c r="J28" s="17"/>
      <c r="K28" s="15"/>
      <c r="L28" s="16">
        <f>H28-I28</f>
        <v>0</v>
      </c>
      <c r="M28" s="15">
        <v>1500</v>
      </c>
      <c r="N28" s="14"/>
      <c r="O28" s="13"/>
      <c r="P28" s="12"/>
      <c r="Q28" s="20"/>
    </row>
    <row r="29" spans="1:17" s="11" customFormat="1" ht="28.5" customHeight="1" x14ac:dyDescent="0.15">
      <c r="A29" s="17">
        <v>20170106</v>
      </c>
      <c r="B29" s="19" t="s">
        <v>97</v>
      </c>
      <c r="C29" s="36" t="s">
        <v>96</v>
      </c>
      <c r="D29" s="17"/>
      <c r="E29" s="17" t="s">
        <v>67</v>
      </c>
      <c r="F29" s="17" t="s">
        <v>66</v>
      </c>
      <c r="G29" s="17" t="s">
        <v>2</v>
      </c>
      <c r="H29" s="18">
        <f>[5]副本!G57</f>
        <v>1098.2449999999999</v>
      </c>
      <c r="I29" s="18">
        <f>H29</f>
        <v>1098.2449999999999</v>
      </c>
      <c r="J29" s="17"/>
      <c r="K29" s="15"/>
      <c r="L29" s="16">
        <f>H29-I29</f>
        <v>0</v>
      </c>
      <c r="M29" s="15">
        <v>1500</v>
      </c>
      <c r="N29" s="14"/>
      <c r="O29" s="13"/>
      <c r="P29" s="12" t="s">
        <v>240</v>
      </c>
    </row>
    <row r="30" spans="1:17" s="11" customFormat="1" ht="28.5" customHeight="1" x14ac:dyDescent="0.15">
      <c r="A30" s="17">
        <v>20170106</v>
      </c>
      <c r="B30" s="19" t="s">
        <v>95</v>
      </c>
      <c r="C30" s="36" t="s">
        <v>63</v>
      </c>
      <c r="D30" s="17"/>
      <c r="E30" s="17"/>
      <c r="F30" s="17"/>
      <c r="G30" s="17"/>
      <c r="H30" s="18"/>
      <c r="I30" s="18"/>
      <c r="J30" s="17"/>
      <c r="K30" s="15"/>
      <c r="L30" s="16"/>
      <c r="M30" s="15">
        <v>1500</v>
      </c>
      <c r="N30" s="14"/>
      <c r="O30" s="13"/>
      <c r="P30" s="12"/>
    </row>
    <row r="31" spans="1:17" s="11" customFormat="1" ht="28.5" customHeight="1" x14ac:dyDescent="0.15">
      <c r="A31" s="17">
        <v>20170106</v>
      </c>
      <c r="B31" s="19" t="s">
        <v>93</v>
      </c>
      <c r="C31" s="36" t="s">
        <v>57</v>
      </c>
      <c r="D31" s="17"/>
      <c r="E31" s="17" t="s">
        <v>92</v>
      </c>
      <c r="F31" s="17" t="s">
        <v>91</v>
      </c>
      <c r="G31" s="17"/>
      <c r="H31" s="17">
        <f>[5]副本!G61</f>
        <v>232.23900000000026</v>
      </c>
      <c r="I31" s="18">
        <f>H31-1035.099+1035.099</f>
        <v>232.23900000000026</v>
      </c>
      <c r="J31" s="17"/>
      <c r="K31" s="15">
        <v>30</v>
      </c>
      <c r="L31" s="16">
        <f>H31-I31</f>
        <v>0</v>
      </c>
      <c r="M31" s="15">
        <v>2000</v>
      </c>
      <c r="N31" s="14"/>
      <c r="O31" s="13"/>
      <c r="P31" s="12" t="s">
        <v>223</v>
      </c>
    </row>
    <row r="32" spans="1:17" s="11" customFormat="1" ht="28.5" customHeight="1" x14ac:dyDescent="0.15">
      <c r="A32" s="17">
        <v>20170106</v>
      </c>
      <c r="B32" s="19" t="s">
        <v>89</v>
      </c>
      <c r="C32" s="36" t="s">
        <v>63</v>
      </c>
      <c r="D32" s="17" t="s">
        <v>88</v>
      </c>
      <c r="E32" s="17" t="s">
        <v>87</v>
      </c>
      <c r="F32" s="17" t="s">
        <v>233</v>
      </c>
      <c r="G32" s="17" t="s">
        <v>54</v>
      </c>
      <c r="H32" s="18">
        <f>[5]副本!G63</f>
        <v>755.06299999999987</v>
      </c>
      <c r="I32" s="18">
        <f>H32-1037.023+500+537.023</f>
        <v>755.06299999999999</v>
      </c>
      <c r="J32" s="17"/>
      <c r="K32" s="15">
        <v>50</v>
      </c>
      <c r="L32" s="16">
        <f>H32-I32</f>
        <v>0</v>
      </c>
      <c r="M32" s="15">
        <v>3000</v>
      </c>
      <c r="N32" s="14"/>
      <c r="O32" s="13"/>
      <c r="P32" s="24" t="s">
        <v>222</v>
      </c>
    </row>
    <row r="33" spans="1:16" s="11" customFormat="1" ht="28.5" customHeight="1" x14ac:dyDescent="0.15">
      <c r="A33" s="17">
        <v>20170106</v>
      </c>
      <c r="B33" s="19" t="s">
        <v>85</v>
      </c>
      <c r="C33" s="36" t="s">
        <v>63</v>
      </c>
      <c r="D33" s="17" t="s">
        <v>5</v>
      </c>
      <c r="E33" s="17" t="s">
        <v>84</v>
      </c>
      <c r="F33" s="17" t="s">
        <v>81</v>
      </c>
      <c r="G33" s="17" t="s">
        <v>54</v>
      </c>
      <c r="H33" s="18">
        <f>[5]副本!G65</f>
        <v>524.06799999999998</v>
      </c>
      <c r="I33" s="18">
        <f>H33</f>
        <v>524.06799999999998</v>
      </c>
      <c r="J33" s="17"/>
      <c r="K33" s="15"/>
      <c r="L33" s="16">
        <f>H33-I33</f>
        <v>0</v>
      </c>
      <c r="M33" s="15">
        <v>4000</v>
      </c>
      <c r="N33" s="14"/>
      <c r="O33" s="13"/>
      <c r="P33" s="12" t="s">
        <v>242</v>
      </c>
    </row>
    <row r="34" spans="1:16" s="11" customFormat="1" ht="28.5" customHeight="1" x14ac:dyDescent="0.15">
      <c r="A34" s="17">
        <v>20170106</v>
      </c>
      <c r="B34" s="19" t="s">
        <v>82</v>
      </c>
      <c r="C34" s="36" t="s">
        <v>0</v>
      </c>
      <c r="D34" s="17"/>
      <c r="E34" s="17"/>
      <c r="F34" s="17"/>
      <c r="G34" s="17"/>
      <c r="H34" s="18"/>
      <c r="I34" s="18"/>
      <c r="J34" s="17"/>
      <c r="K34" s="15"/>
      <c r="L34" s="16"/>
      <c r="M34" s="15">
        <v>5000</v>
      </c>
      <c r="N34" s="14"/>
      <c r="O34" s="13"/>
      <c r="P34" s="12"/>
    </row>
    <row r="35" spans="1:16" s="11" customFormat="1" ht="28.5" customHeight="1" x14ac:dyDescent="0.15">
      <c r="A35" s="17">
        <v>20170106</v>
      </c>
      <c r="B35" s="19" t="s">
        <v>79</v>
      </c>
      <c r="C35" s="36" t="s">
        <v>57</v>
      </c>
      <c r="D35" s="17" t="s">
        <v>5</v>
      </c>
      <c r="E35" s="17" t="s">
        <v>78</v>
      </c>
      <c r="F35" s="17" t="s">
        <v>81</v>
      </c>
      <c r="G35" s="17" t="s">
        <v>2</v>
      </c>
      <c r="H35" s="18">
        <f>[5]副本!G69</f>
        <v>1701.8010000000522</v>
      </c>
      <c r="I35" s="18">
        <f>H35-955.747+477.874+477.873-1042.865-2628.137+500+542.865+2102.57+525.567-499.112-3147.566+2100+525+525+496.678-2617.899+1574.891</f>
        <v>658.79300000005242</v>
      </c>
      <c r="J35" s="17"/>
      <c r="K35" s="15"/>
      <c r="L35" s="16">
        <f>H35-I35</f>
        <v>1043.0079999999998</v>
      </c>
      <c r="M35" s="15">
        <v>5000</v>
      </c>
      <c r="N35" s="14"/>
      <c r="O35" s="13"/>
      <c r="P35" s="12" t="s">
        <v>241</v>
      </c>
    </row>
    <row r="36" spans="1:16" s="11" customFormat="1" ht="28.5" customHeight="1" x14ac:dyDescent="0.15">
      <c r="A36" s="17">
        <v>20170106</v>
      </c>
      <c r="B36" s="19" t="s">
        <v>79</v>
      </c>
      <c r="C36" s="36" t="s">
        <v>57</v>
      </c>
      <c r="D36" s="17" t="s">
        <v>5</v>
      </c>
      <c r="E36" s="17" t="s">
        <v>78</v>
      </c>
      <c r="F36" s="17" t="s">
        <v>77</v>
      </c>
      <c r="G36" s="17"/>
      <c r="H36" s="18">
        <f>[5]副本!G70</f>
        <v>2.6340000000004693</v>
      </c>
      <c r="I36" s="18">
        <f>H36</f>
        <v>2.6340000000004693</v>
      </c>
      <c r="J36" s="17"/>
      <c r="K36" s="15"/>
      <c r="L36" s="16">
        <f>H36-I36</f>
        <v>0</v>
      </c>
      <c r="M36" s="15">
        <v>5000</v>
      </c>
      <c r="N36" s="14"/>
      <c r="O36" s="13"/>
      <c r="P36" s="12" t="s">
        <v>76</v>
      </c>
    </row>
    <row r="37" spans="1:16" s="11" customFormat="1" ht="28.5" customHeight="1" x14ac:dyDescent="0.15">
      <c r="A37" s="17">
        <v>20170106</v>
      </c>
      <c r="B37" s="19" t="s">
        <v>74</v>
      </c>
      <c r="C37" s="36" t="s">
        <v>28</v>
      </c>
      <c r="D37" s="17"/>
      <c r="E37" s="17" t="s">
        <v>67</v>
      </c>
      <c r="F37" s="17" t="s">
        <v>263</v>
      </c>
      <c r="G37" s="17" t="s">
        <v>2</v>
      </c>
      <c r="H37" s="18">
        <f>[5]副本!G72</f>
        <v>-2.4442670110147446E-12</v>
      </c>
      <c r="I37" s="18">
        <f>H37</f>
        <v>-2.4442670110147446E-12</v>
      </c>
      <c r="J37" s="17"/>
      <c r="K37" s="15"/>
      <c r="L37" s="16">
        <f>H37-I37</f>
        <v>0</v>
      </c>
      <c r="M37" s="15">
        <v>4000</v>
      </c>
      <c r="N37" s="14"/>
      <c r="O37" s="13"/>
      <c r="P37" s="12" t="s">
        <v>75</v>
      </c>
    </row>
    <row r="38" spans="1:16" s="11" customFormat="1" ht="28.5" customHeight="1" x14ac:dyDescent="0.15">
      <c r="A38" s="17">
        <v>20170106</v>
      </c>
      <c r="B38" s="19" t="s">
        <v>74</v>
      </c>
      <c r="C38" s="36" t="s">
        <v>28</v>
      </c>
      <c r="D38" s="17"/>
      <c r="E38" s="17" t="s">
        <v>67</v>
      </c>
      <c r="F38" s="17" t="s">
        <v>71</v>
      </c>
      <c r="G38" s="17" t="s">
        <v>2</v>
      </c>
      <c r="H38" s="18">
        <f>[5]副本!G73</f>
        <v>543.26300000000015</v>
      </c>
      <c r="I38" s="18">
        <f>H38</f>
        <v>543.26300000000015</v>
      </c>
      <c r="J38" s="17"/>
      <c r="K38" s="15"/>
      <c r="L38" s="16"/>
      <c r="M38" s="15">
        <v>4000</v>
      </c>
      <c r="N38" s="14"/>
      <c r="O38" s="13"/>
      <c r="P38" s="12" t="s">
        <v>69</v>
      </c>
    </row>
    <row r="39" spans="1:16" s="11" customFormat="1" ht="28.5" customHeight="1" x14ac:dyDescent="0.15">
      <c r="A39" s="17">
        <v>20170106</v>
      </c>
      <c r="B39" s="19" t="s">
        <v>74</v>
      </c>
      <c r="C39" s="36" t="s">
        <v>28</v>
      </c>
      <c r="D39" s="17"/>
      <c r="E39" s="17" t="s">
        <v>67</v>
      </c>
      <c r="F39" s="17" t="s">
        <v>66</v>
      </c>
      <c r="G39" s="17" t="s">
        <v>2</v>
      </c>
      <c r="H39" s="18">
        <f>[5]副本!G74</f>
        <v>1001.944</v>
      </c>
      <c r="I39" s="18">
        <f>H39</f>
        <v>1001.944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240</v>
      </c>
    </row>
    <row r="40" spans="1:16" s="11" customFormat="1" ht="28.5" customHeight="1" x14ac:dyDescent="0.15">
      <c r="A40" s="17">
        <v>20170106</v>
      </c>
      <c r="B40" s="19" t="s">
        <v>73</v>
      </c>
      <c r="C40" s="36" t="s">
        <v>28</v>
      </c>
      <c r="D40" s="17"/>
      <c r="E40" s="17"/>
      <c r="F40" s="17"/>
      <c r="G40" s="17"/>
      <c r="H40" s="18"/>
      <c r="I40" s="18"/>
      <c r="J40" s="17"/>
      <c r="K40" s="15"/>
      <c r="L40" s="16"/>
      <c r="M40" s="15">
        <v>2000</v>
      </c>
      <c r="N40" s="14"/>
      <c r="O40" s="13"/>
      <c r="P40" s="12"/>
    </row>
    <row r="41" spans="1:16" s="11" customFormat="1" ht="28.5" customHeight="1" x14ac:dyDescent="0.15">
      <c r="A41" s="17">
        <v>20170106</v>
      </c>
      <c r="B41" s="19" t="s">
        <v>72</v>
      </c>
      <c r="C41" s="36" t="s">
        <v>43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3000</v>
      </c>
      <c r="N41" s="14"/>
      <c r="O41" s="13"/>
      <c r="P41" s="12"/>
    </row>
    <row r="42" spans="1:16" s="11" customFormat="1" ht="28.5" customHeight="1" x14ac:dyDescent="0.15">
      <c r="A42" s="17">
        <v>20170106</v>
      </c>
      <c r="B42" s="19" t="s">
        <v>68</v>
      </c>
      <c r="C42" s="36" t="s">
        <v>43</v>
      </c>
      <c r="D42" s="17"/>
      <c r="E42" s="17" t="s">
        <v>67</v>
      </c>
      <c r="F42" s="17" t="s">
        <v>262</v>
      </c>
      <c r="G42" s="17" t="s">
        <v>2</v>
      </c>
      <c r="H42" s="18">
        <f>[5]副本!G80</f>
        <v>1352.88</v>
      </c>
      <c r="I42" s="18">
        <f>H42</f>
        <v>1352.88</v>
      </c>
      <c r="J42" s="17"/>
      <c r="K42" s="15">
        <v>1200</v>
      </c>
      <c r="L42" s="16">
        <f>H42-I42</f>
        <v>0</v>
      </c>
      <c r="M42" s="15">
        <v>5000</v>
      </c>
      <c r="N42" s="14"/>
      <c r="O42" s="13"/>
      <c r="P42" s="12" t="s">
        <v>69</v>
      </c>
    </row>
    <row r="43" spans="1:16" s="11" customFormat="1" ht="28.5" customHeight="1" x14ac:dyDescent="0.15">
      <c r="A43" s="17">
        <v>20170106</v>
      </c>
      <c r="B43" s="19" t="s">
        <v>68</v>
      </c>
      <c r="C43" s="36" t="s">
        <v>43</v>
      </c>
      <c r="D43" s="17"/>
      <c r="E43" s="17" t="s">
        <v>67</v>
      </c>
      <c r="F43" s="17" t="s">
        <v>66</v>
      </c>
      <c r="G43" s="17" t="s">
        <v>2</v>
      </c>
      <c r="H43" s="18">
        <f>[5]副本!G81</f>
        <v>1584.5709999999999</v>
      </c>
      <c r="I43" s="18">
        <f>H43</f>
        <v>1584.5709999999999</v>
      </c>
      <c r="J43" s="17"/>
      <c r="K43" s="15"/>
      <c r="L43" s="16">
        <f>H43-I43</f>
        <v>0</v>
      </c>
      <c r="M43" s="15">
        <v>5000</v>
      </c>
      <c r="N43" s="14"/>
      <c r="O43" s="13"/>
      <c r="P43" s="12" t="s">
        <v>240</v>
      </c>
    </row>
    <row r="44" spans="1:16" s="11" customFormat="1" ht="28.5" customHeight="1" x14ac:dyDescent="0.15">
      <c r="A44" s="17">
        <v>20170106</v>
      </c>
      <c r="B44" s="19" t="s">
        <v>68</v>
      </c>
      <c r="C44" s="36" t="s">
        <v>43</v>
      </c>
      <c r="D44" s="17"/>
      <c r="E44" s="17" t="s">
        <v>67</v>
      </c>
      <c r="F44" s="17" t="s">
        <v>70</v>
      </c>
      <c r="G44" s="17" t="s">
        <v>2</v>
      </c>
      <c r="H44" s="18">
        <f>[5]副本!G82</f>
        <v>0</v>
      </c>
      <c r="I44" s="18">
        <f>H44</f>
        <v>0</v>
      </c>
      <c r="J44" s="17"/>
      <c r="K44" s="15"/>
      <c r="L44" s="16">
        <f>H44-I44</f>
        <v>0</v>
      </c>
      <c r="M44" s="15">
        <v>5000</v>
      </c>
      <c r="N44" s="14"/>
      <c r="O44" s="13"/>
      <c r="P44" s="12" t="s">
        <v>69</v>
      </c>
    </row>
    <row r="45" spans="1:16" s="11" customFormat="1" ht="28.5" customHeight="1" x14ac:dyDescent="0.15">
      <c r="A45" s="17">
        <v>20170106</v>
      </c>
      <c r="B45" s="19" t="s">
        <v>65</v>
      </c>
      <c r="C45" s="36" t="s">
        <v>63</v>
      </c>
      <c r="D45" s="17"/>
      <c r="E45" s="17" t="s">
        <v>148</v>
      </c>
      <c r="F45" s="17" t="s">
        <v>144</v>
      </c>
      <c r="G45" s="17" t="s">
        <v>2</v>
      </c>
      <c r="H45" s="18">
        <f>[5]副本!G84</f>
        <v>1988.8340000000001</v>
      </c>
      <c r="I45" s="18">
        <f>H45</f>
        <v>1988.8340000000001</v>
      </c>
      <c r="J45" s="17"/>
      <c r="K45" s="15"/>
      <c r="L45" s="16">
        <f>H45-I45</f>
        <v>0</v>
      </c>
      <c r="M45" s="15">
        <v>5000</v>
      </c>
      <c r="N45" s="14"/>
      <c r="O45" s="13"/>
      <c r="P45" s="12" t="s">
        <v>239</v>
      </c>
    </row>
    <row r="46" spans="1:16" s="11" customFormat="1" ht="28.5" customHeight="1" x14ac:dyDescent="0.15">
      <c r="A46" s="17">
        <v>20170106</v>
      </c>
      <c r="B46" s="19" t="s">
        <v>64</v>
      </c>
      <c r="C46" s="36" t="s">
        <v>63</v>
      </c>
      <c r="D46" s="17"/>
      <c r="E46" s="17"/>
      <c r="F46" s="17"/>
      <c r="G46" s="17"/>
      <c r="H46" s="18"/>
      <c r="I46" s="18"/>
      <c r="J46" s="17"/>
      <c r="K46" s="15"/>
      <c r="L46" s="16"/>
      <c r="M46" s="15">
        <v>5000</v>
      </c>
      <c r="N46" s="14"/>
      <c r="O46" s="13"/>
      <c r="P46" s="12"/>
    </row>
    <row r="47" spans="1:16" s="11" customFormat="1" ht="28.5" customHeight="1" x14ac:dyDescent="0.15">
      <c r="A47" s="17">
        <v>20170106</v>
      </c>
      <c r="B47" s="19" t="s">
        <v>62</v>
      </c>
      <c r="C47" s="36" t="s">
        <v>57</v>
      </c>
      <c r="D47" s="17"/>
      <c r="E47" s="17" t="s">
        <v>56</v>
      </c>
      <c r="F47" s="17" t="s">
        <v>61</v>
      </c>
      <c r="G47" s="17" t="s">
        <v>2</v>
      </c>
      <c r="H47" s="18">
        <f>[5]副本!G88</f>
        <v>1672.8439999999941</v>
      </c>
      <c r="I47" s="18">
        <f>H47</f>
        <v>1672.8439999999941</v>
      </c>
      <c r="J47" s="17"/>
      <c r="K47" s="16"/>
      <c r="L47" s="16">
        <f>H47-I47</f>
        <v>0</v>
      </c>
      <c r="M47" s="15">
        <v>2000</v>
      </c>
      <c r="N47" s="14"/>
      <c r="O47" s="13"/>
      <c r="P47" s="12"/>
    </row>
    <row r="48" spans="1:16" s="11" customFormat="1" ht="28.5" customHeight="1" x14ac:dyDescent="0.15">
      <c r="A48" s="17">
        <v>20170106</v>
      </c>
      <c r="B48" s="19" t="s">
        <v>60</v>
      </c>
      <c r="C48" s="36" t="s">
        <v>43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[5]副本!G90</f>
        <v>7193.6779999999999</v>
      </c>
      <c r="I48" s="18">
        <v>0</v>
      </c>
      <c r="J48" s="17"/>
      <c r="K48" s="15"/>
      <c r="L48" s="16">
        <f>H48-I48</f>
        <v>7193.6779999999999</v>
      </c>
      <c r="M48" s="15">
        <v>10000</v>
      </c>
      <c r="N48" s="14"/>
      <c r="O48" s="13"/>
      <c r="P48" s="12"/>
    </row>
    <row r="49" spans="1:17" s="11" customFormat="1" ht="28.5" customHeight="1" x14ac:dyDescent="0.15">
      <c r="A49" s="17">
        <v>20170106</v>
      </c>
      <c r="B49" s="19" t="s">
        <v>59</v>
      </c>
      <c r="C49" s="36" t="s">
        <v>28</v>
      </c>
      <c r="D49" s="17" t="s">
        <v>5</v>
      </c>
      <c r="E49" s="17" t="s">
        <v>34</v>
      </c>
      <c r="F49" s="17" t="s">
        <v>48</v>
      </c>
      <c r="G49" s="17" t="s">
        <v>2</v>
      </c>
      <c r="H49" s="18">
        <f>[5]副本!G92</f>
        <v>7409.1850000000004</v>
      </c>
      <c r="I49" s="18">
        <f>H49-7409.185</f>
        <v>0</v>
      </c>
      <c r="J49" s="17"/>
      <c r="K49" s="15"/>
      <c r="L49" s="16">
        <v>0</v>
      </c>
      <c r="M49" s="15">
        <v>10000</v>
      </c>
      <c r="N49" s="14"/>
      <c r="O49" s="13"/>
      <c r="P49" s="12"/>
    </row>
    <row r="50" spans="1:17" s="11" customFormat="1" ht="28.5" customHeight="1" x14ac:dyDescent="0.15">
      <c r="A50" s="17">
        <v>20170106</v>
      </c>
      <c r="B50" s="19" t="s">
        <v>58</v>
      </c>
      <c r="C50" s="36" t="s">
        <v>57</v>
      </c>
      <c r="D50" s="17"/>
      <c r="E50" s="17" t="s">
        <v>56</v>
      </c>
      <c r="F50" s="17" t="s">
        <v>55</v>
      </c>
      <c r="G50" s="17" t="s">
        <v>54</v>
      </c>
      <c r="H50" s="18">
        <f>[5]副本!G94</f>
        <v>1575.9640000000081</v>
      </c>
      <c r="I50" s="18">
        <f>H50</f>
        <v>1575.9640000000081</v>
      </c>
      <c r="J50" s="17"/>
      <c r="K50" s="16"/>
      <c r="L50" s="16">
        <v>0</v>
      </c>
      <c r="M50" s="15">
        <v>5000</v>
      </c>
      <c r="N50" s="23" t="s">
        <v>53</v>
      </c>
      <c r="O50" s="22" t="s">
        <v>52</v>
      </c>
      <c r="P50" s="12" t="s">
        <v>51</v>
      </c>
    </row>
    <row r="51" spans="1:17" s="11" customFormat="1" ht="28.5" customHeight="1" x14ac:dyDescent="0.15">
      <c r="A51" s="17">
        <v>20170106</v>
      </c>
      <c r="B51" s="19" t="s">
        <v>50</v>
      </c>
      <c r="C51" s="36" t="s">
        <v>28</v>
      </c>
      <c r="D51" s="17"/>
      <c r="E51" s="17" t="s">
        <v>238</v>
      </c>
      <c r="F51" s="17" t="s">
        <v>250</v>
      </c>
      <c r="G51" s="17" t="s">
        <v>2</v>
      </c>
      <c r="H51" s="18">
        <f>[5]副本!G96</f>
        <v>2000.7190000000001</v>
      </c>
      <c r="I51" s="18">
        <f>H51</f>
        <v>2000.7190000000001</v>
      </c>
      <c r="J51" s="17"/>
      <c r="K51" s="15"/>
      <c r="L51" s="16">
        <f>H51-I51</f>
        <v>0</v>
      </c>
      <c r="M51" s="15">
        <v>3000</v>
      </c>
      <c r="N51" s="14"/>
      <c r="O51" s="13"/>
      <c r="P51" s="12" t="s">
        <v>237</v>
      </c>
    </row>
    <row r="52" spans="1:17" s="11" customFormat="1" ht="28.5" customHeight="1" x14ac:dyDescent="0.15">
      <c r="A52" s="17">
        <v>20170106</v>
      </c>
      <c r="B52" s="19" t="s">
        <v>49</v>
      </c>
      <c r="C52" s="36" t="s">
        <v>28</v>
      </c>
      <c r="D52" s="17" t="s">
        <v>5</v>
      </c>
      <c r="E52" s="17" t="s">
        <v>34</v>
      </c>
      <c r="F52" s="17" t="s">
        <v>48</v>
      </c>
      <c r="G52" s="17" t="s">
        <v>22</v>
      </c>
      <c r="H52" s="18">
        <f>[5]副本!G98</f>
        <v>17900.637999999999</v>
      </c>
      <c r="I52" s="18">
        <v>0</v>
      </c>
      <c r="J52" s="17"/>
      <c r="K52" s="15"/>
      <c r="L52" s="16">
        <f>H52-I52</f>
        <v>17900.637999999999</v>
      </c>
      <c r="M52" s="15">
        <v>25000</v>
      </c>
      <c r="N52" s="14" t="s">
        <v>47</v>
      </c>
      <c r="O52" s="13" t="s">
        <v>46</v>
      </c>
      <c r="P52" s="12" t="s">
        <v>45</v>
      </c>
    </row>
    <row r="53" spans="1:17" s="11" customFormat="1" ht="28.5" customHeight="1" x14ac:dyDescent="0.15">
      <c r="A53" s="17">
        <v>20170106</v>
      </c>
      <c r="B53" s="19" t="s">
        <v>44</v>
      </c>
      <c r="C53" s="36" t="s">
        <v>43</v>
      </c>
      <c r="D53" s="17" t="s">
        <v>5</v>
      </c>
      <c r="E53" s="17" t="s">
        <v>34</v>
      </c>
      <c r="F53" s="17" t="s">
        <v>235</v>
      </c>
      <c r="G53" s="17" t="s">
        <v>22</v>
      </c>
      <c r="H53" s="18">
        <f>[5]副本!G100</f>
        <v>17775.025000000081</v>
      </c>
      <c r="I53" s="18">
        <v>0</v>
      </c>
      <c r="J53" s="17"/>
      <c r="K53" s="15"/>
      <c r="L53" s="16">
        <f>H53-I53</f>
        <v>17775.025000000081</v>
      </c>
      <c r="M53" s="15">
        <v>50000</v>
      </c>
      <c r="N53" s="14"/>
      <c r="O53" s="13"/>
      <c r="P53" s="12"/>
    </row>
    <row r="54" spans="1:17" s="11" customFormat="1" ht="28.5" customHeight="1" x14ac:dyDescent="0.15">
      <c r="A54" s="17">
        <v>20170106</v>
      </c>
      <c r="B54" s="19" t="s">
        <v>41</v>
      </c>
      <c r="C54" s="36" t="s">
        <v>28</v>
      </c>
      <c r="D54" s="17"/>
      <c r="E54" s="17" t="s">
        <v>40</v>
      </c>
      <c r="F54" s="17" t="s">
        <v>262</v>
      </c>
      <c r="G54" s="17" t="s">
        <v>22</v>
      </c>
      <c r="H54" s="18">
        <f>[5]副本!G102</f>
        <v>82.120000000017171</v>
      </c>
      <c r="I54" s="18">
        <f>H54</f>
        <v>82.120000000017171</v>
      </c>
      <c r="J54" s="17"/>
      <c r="K54" s="15"/>
      <c r="L54" s="16">
        <f>H54-I54</f>
        <v>0</v>
      </c>
      <c r="M54" s="15">
        <v>4000</v>
      </c>
      <c r="N54" s="14"/>
      <c r="O54" s="13"/>
      <c r="P54" s="12" t="s">
        <v>38</v>
      </c>
    </row>
    <row r="55" spans="1:17" s="11" customFormat="1" ht="28.5" customHeight="1" x14ac:dyDescent="0.15">
      <c r="A55" s="17">
        <v>20170106</v>
      </c>
      <c r="B55" s="19" t="s">
        <v>41</v>
      </c>
      <c r="C55" s="36" t="s">
        <v>28</v>
      </c>
      <c r="D55" s="17"/>
      <c r="E55" s="17" t="s">
        <v>40</v>
      </c>
      <c r="F55" s="17" t="s">
        <v>71</v>
      </c>
      <c r="G55" s="17"/>
      <c r="H55" s="18">
        <f>[5]副本!G103</f>
        <v>17.157</v>
      </c>
      <c r="I55" s="18">
        <f>H55</f>
        <v>17.157</v>
      </c>
      <c r="J55" s="17"/>
      <c r="K55" s="15"/>
      <c r="L55" s="16"/>
      <c r="M55" s="15">
        <v>4000</v>
      </c>
      <c r="N55" s="14"/>
      <c r="O55" s="13"/>
      <c r="P55" s="12" t="s">
        <v>38</v>
      </c>
    </row>
    <row r="56" spans="1:17" s="11" customFormat="1" ht="28.5" customHeight="1" x14ac:dyDescent="0.15">
      <c r="A56" s="17">
        <v>20170106</v>
      </c>
      <c r="B56" s="19" t="s">
        <v>37</v>
      </c>
      <c r="C56" s="36" t="s">
        <v>31</v>
      </c>
      <c r="D56" s="17"/>
      <c r="E56" s="17"/>
      <c r="F56" s="17"/>
      <c r="G56" s="17"/>
      <c r="H56" s="18"/>
      <c r="I56" s="18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28.5" customHeight="1" x14ac:dyDescent="0.15">
      <c r="A57" s="17">
        <v>20170106</v>
      </c>
      <c r="B57" s="19" t="s">
        <v>36</v>
      </c>
      <c r="C57" s="36" t="s">
        <v>31</v>
      </c>
      <c r="D57" s="17"/>
      <c r="E57" s="17"/>
      <c r="F57" s="17"/>
      <c r="G57" s="17"/>
      <c r="H57" s="18"/>
      <c r="I57" s="17"/>
      <c r="J57" s="17"/>
      <c r="K57" s="15"/>
      <c r="L57" s="16"/>
      <c r="M57" s="15">
        <v>37000</v>
      </c>
      <c r="N57" s="14"/>
      <c r="O57" s="13"/>
      <c r="P57" s="12"/>
    </row>
    <row r="58" spans="1:17" s="11" customFormat="1" ht="28.5" customHeight="1" x14ac:dyDescent="0.15">
      <c r="A58" s="17">
        <v>20170106</v>
      </c>
      <c r="B58" s="19" t="s">
        <v>35</v>
      </c>
      <c r="C58" s="36" t="s">
        <v>28</v>
      </c>
      <c r="D58" s="17" t="s">
        <v>5</v>
      </c>
      <c r="E58" s="17" t="s">
        <v>34</v>
      </c>
      <c r="F58" s="17" t="s">
        <v>48</v>
      </c>
      <c r="G58" s="17" t="s">
        <v>22</v>
      </c>
      <c r="H58" s="18">
        <f>[5]副本!G109</f>
        <v>6957.8649999999998</v>
      </c>
      <c r="I58" s="18">
        <f>H58-6957.865</f>
        <v>0</v>
      </c>
      <c r="J58" s="17"/>
      <c r="K58" s="16"/>
      <c r="L58" s="16">
        <f>H58-I58</f>
        <v>6957.8649999999998</v>
      </c>
      <c r="M58" s="15">
        <v>10000</v>
      </c>
      <c r="N58" s="14"/>
      <c r="O58" s="13"/>
      <c r="P58" s="12"/>
      <c r="Q58" s="20"/>
    </row>
    <row r="59" spans="1:17" s="11" customFormat="1" ht="28.5" customHeight="1" x14ac:dyDescent="0.15">
      <c r="A59" s="17">
        <v>20170106</v>
      </c>
      <c r="B59" s="19" t="s">
        <v>32</v>
      </c>
      <c r="C59" s="36" t="s">
        <v>31</v>
      </c>
      <c r="D59" s="17" t="s">
        <v>5</v>
      </c>
      <c r="E59" s="17"/>
      <c r="F59" s="17"/>
      <c r="G59" s="17"/>
      <c r="H59" s="18"/>
      <c r="I59" s="18"/>
      <c r="J59" s="17"/>
      <c r="K59" s="21"/>
      <c r="L59" s="16"/>
      <c r="M59" s="15">
        <v>15000</v>
      </c>
      <c r="N59" s="14"/>
      <c r="O59" s="13"/>
      <c r="P59" s="12"/>
      <c r="Q59" s="20"/>
    </row>
    <row r="60" spans="1:17" s="11" customFormat="1" ht="28.5" customHeight="1" x14ac:dyDescent="0.15">
      <c r="A60" s="17">
        <v>20170106</v>
      </c>
      <c r="B60" s="19" t="s">
        <v>30</v>
      </c>
      <c r="C60" s="19" t="s">
        <v>28</v>
      </c>
      <c r="D60" s="17" t="s">
        <v>5</v>
      </c>
      <c r="E60" s="17" t="s">
        <v>4</v>
      </c>
      <c r="F60" s="17" t="s">
        <v>3</v>
      </c>
      <c r="G60" s="17" t="s">
        <v>22</v>
      </c>
      <c r="H60" s="18">
        <f>[5]副本!G113</f>
        <v>24941.454000000002</v>
      </c>
      <c r="I60" s="18">
        <f>H60</f>
        <v>24941.454000000002</v>
      </c>
      <c r="J60" s="17"/>
      <c r="K60" s="15"/>
      <c r="L60" s="16"/>
      <c r="M60" s="15">
        <v>43000</v>
      </c>
      <c r="N60" s="14"/>
      <c r="O60" s="13"/>
      <c r="P60" s="12" t="s">
        <v>220</v>
      </c>
      <c r="Q60" s="20"/>
    </row>
    <row r="61" spans="1:17" s="11" customFormat="1" ht="28.5" customHeight="1" x14ac:dyDescent="0.15">
      <c r="A61" s="17">
        <v>20170106</v>
      </c>
      <c r="B61" s="19" t="s">
        <v>30</v>
      </c>
      <c r="C61" s="19" t="s">
        <v>28</v>
      </c>
      <c r="D61" s="17" t="s">
        <v>5</v>
      </c>
      <c r="E61" s="17" t="s">
        <v>4</v>
      </c>
      <c r="F61" s="17" t="s">
        <v>251</v>
      </c>
      <c r="G61" s="17"/>
      <c r="H61" s="18">
        <f>[5]副本!G114</f>
        <v>46.440000000000055</v>
      </c>
      <c r="I61" s="18">
        <f>H61</f>
        <v>46.440000000000055</v>
      </c>
      <c r="J61" s="17"/>
      <c r="K61" s="15"/>
      <c r="L61" s="16"/>
      <c r="M61" s="15">
        <v>43000</v>
      </c>
      <c r="N61" s="14"/>
      <c r="O61" s="13"/>
      <c r="P61" s="12" t="s">
        <v>220</v>
      </c>
      <c r="Q61" s="20"/>
    </row>
    <row r="62" spans="1:17" s="11" customFormat="1" ht="28.5" customHeight="1" x14ac:dyDescent="0.15">
      <c r="A62" s="17">
        <v>20170106</v>
      </c>
      <c r="B62" s="19" t="s">
        <v>29</v>
      </c>
      <c r="C62" s="19" t="s">
        <v>28</v>
      </c>
      <c r="D62" s="17" t="s">
        <v>5</v>
      </c>
      <c r="E62" s="17"/>
      <c r="F62" s="17"/>
      <c r="G62" s="17"/>
      <c r="H62" s="18"/>
      <c r="I62" s="18"/>
      <c r="J62" s="17"/>
      <c r="K62" s="15"/>
      <c r="L62" s="16"/>
      <c r="M62" s="15">
        <v>43000</v>
      </c>
      <c r="N62" s="14"/>
      <c r="O62" s="13"/>
      <c r="P62" s="12"/>
      <c r="Q62" s="20"/>
    </row>
    <row r="63" spans="1:17" s="11" customFormat="1" ht="28.5" customHeight="1" x14ac:dyDescent="0.15">
      <c r="A63" s="17">
        <v>20170106</v>
      </c>
      <c r="B63" s="19" t="s">
        <v>24</v>
      </c>
      <c r="C63" s="36" t="s">
        <v>0</v>
      </c>
      <c r="D63" s="17"/>
      <c r="E63" s="17" t="s">
        <v>4</v>
      </c>
      <c r="F63" s="17" t="s">
        <v>23</v>
      </c>
      <c r="G63" s="17" t="s">
        <v>22</v>
      </c>
      <c r="H63" s="18">
        <f>[5]副本!G118</f>
        <v>1709.8869999999961</v>
      </c>
      <c r="I63" s="18">
        <f>H63-15652.787+4092.929+8666.148+2893.71</f>
        <v>1709.8869999999943</v>
      </c>
      <c r="J63" s="17"/>
      <c r="K63" s="15">
        <v>200</v>
      </c>
      <c r="L63" s="16">
        <f>H63-I63</f>
        <v>1.8189894035458565E-12</v>
      </c>
      <c r="M63" s="15">
        <v>20000</v>
      </c>
      <c r="N63" s="14"/>
      <c r="O63" s="13"/>
      <c r="P63" s="12" t="s">
        <v>21</v>
      </c>
    </row>
    <row r="64" spans="1:17" s="11" customFormat="1" ht="28.5" customHeight="1" x14ac:dyDescent="0.15">
      <c r="A64" s="17">
        <v>20170106</v>
      </c>
      <c r="B64" s="19" t="s">
        <v>20</v>
      </c>
      <c r="C64" s="36" t="s">
        <v>0</v>
      </c>
      <c r="D64" s="17"/>
      <c r="E64" s="17" t="s">
        <v>12</v>
      </c>
      <c r="F64" s="17" t="s">
        <v>11</v>
      </c>
      <c r="G64" s="17" t="s">
        <v>2</v>
      </c>
      <c r="H64" s="18">
        <f>[5]副本!G120</f>
        <v>15139.446999999996</v>
      </c>
      <c r="I64" s="18">
        <f>H64</f>
        <v>15139.446999999996</v>
      </c>
      <c r="J64" s="17"/>
      <c r="K64" s="15"/>
      <c r="L64" s="16">
        <f>H64-I64</f>
        <v>0</v>
      </c>
      <c r="M64" s="15">
        <v>30000</v>
      </c>
      <c r="N64" s="14"/>
      <c r="O64" s="13"/>
      <c r="P64" s="12" t="s">
        <v>236</v>
      </c>
    </row>
    <row r="65" spans="1:16" s="11" customFormat="1" ht="28.5" customHeight="1" x14ac:dyDescent="0.15">
      <c r="A65" s="17">
        <v>20170106</v>
      </c>
      <c r="B65" s="19" t="s">
        <v>18</v>
      </c>
      <c r="C65" s="36" t="s">
        <v>0</v>
      </c>
      <c r="D65" s="17" t="s">
        <v>5</v>
      </c>
      <c r="E65" s="17" t="s">
        <v>4</v>
      </c>
      <c r="F65" s="17" t="s">
        <v>17</v>
      </c>
      <c r="G65" s="17" t="s">
        <v>2</v>
      </c>
      <c r="H65" s="18">
        <f>[5]副本!G122</f>
        <v>14976.093999999999</v>
      </c>
      <c r="I65" s="18">
        <f>H65-14976.094</f>
        <v>0</v>
      </c>
      <c r="J65" s="17"/>
      <c r="K65" s="15">
        <v>350</v>
      </c>
      <c r="L65" s="16">
        <f>H65-I65</f>
        <v>14976.093999999999</v>
      </c>
      <c r="M65" s="15">
        <v>20000</v>
      </c>
      <c r="N65" s="14" t="s">
        <v>16</v>
      </c>
      <c r="O65" s="13" t="s">
        <v>15</v>
      </c>
      <c r="P65" s="12" t="s">
        <v>14</v>
      </c>
    </row>
    <row r="66" spans="1:16" s="11" customFormat="1" ht="28.5" customHeight="1" x14ac:dyDescent="0.15">
      <c r="A66" s="17">
        <v>20170106</v>
      </c>
      <c r="B66" s="19" t="s">
        <v>13</v>
      </c>
      <c r="C66" s="36" t="s">
        <v>0</v>
      </c>
      <c r="D66" s="17"/>
      <c r="E66" s="17" t="s">
        <v>12</v>
      </c>
      <c r="F66" s="17" t="s">
        <v>11</v>
      </c>
      <c r="G66" s="17" t="s">
        <v>2</v>
      </c>
      <c r="H66" s="18">
        <f>[5]副本!G124</f>
        <v>16265.741999999973</v>
      </c>
      <c r="I66" s="18">
        <f>H66</f>
        <v>16265.741999999973</v>
      </c>
      <c r="J66" s="17"/>
      <c r="K66" s="15"/>
      <c r="L66" s="16">
        <v>0</v>
      </c>
      <c r="M66" s="15">
        <v>30000</v>
      </c>
      <c r="N66" s="14"/>
      <c r="O66" s="13"/>
      <c r="P66" s="12"/>
    </row>
    <row r="67" spans="1:16" s="11" customFormat="1" ht="28.5" customHeight="1" x14ac:dyDescent="0.15">
      <c r="A67" s="17">
        <v>20170106</v>
      </c>
      <c r="B67" s="19" t="s">
        <v>10</v>
      </c>
      <c r="C67" s="36" t="s">
        <v>0</v>
      </c>
      <c r="D67" s="17"/>
      <c r="E67" s="17" t="s">
        <v>9</v>
      </c>
      <c r="F67" s="12" t="s">
        <v>8</v>
      </c>
      <c r="G67" s="17" t="s">
        <v>2</v>
      </c>
      <c r="H67" s="18">
        <f>[5]副本!G126</f>
        <v>11979.215</v>
      </c>
      <c r="I67" s="18">
        <v>0</v>
      </c>
      <c r="J67" s="17"/>
      <c r="K67" s="15"/>
      <c r="L67" s="16">
        <f>H67-I67</f>
        <v>11979.215</v>
      </c>
      <c r="M67" s="15">
        <v>20000</v>
      </c>
      <c r="N67" s="14"/>
      <c r="O67" s="13"/>
      <c r="P67" s="12"/>
    </row>
    <row r="68" spans="1:16" s="11" customFormat="1" ht="28.5" customHeight="1" x14ac:dyDescent="0.15">
      <c r="A68" s="17">
        <v>20170106</v>
      </c>
      <c r="B68" s="19" t="s">
        <v>7</v>
      </c>
      <c r="C68" s="36" t="s">
        <v>0</v>
      </c>
      <c r="D68" s="17"/>
      <c r="E68" s="17"/>
      <c r="F68" s="17"/>
      <c r="G68" s="17"/>
      <c r="H68" s="18"/>
      <c r="I68" s="18"/>
      <c r="J68" s="17"/>
      <c r="K68" s="15"/>
      <c r="L68" s="16"/>
      <c r="M68" s="15">
        <v>15000</v>
      </c>
      <c r="N68" s="14"/>
      <c r="O68" s="13"/>
      <c r="P68" s="12"/>
    </row>
    <row r="69" spans="1:16" s="11" customFormat="1" ht="28.5" customHeight="1" x14ac:dyDescent="0.15">
      <c r="A69" s="17">
        <v>20170106</v>
      </c>
      <c r="B69" s="19" t="s">
        <v>6</v>
      </c>
      <c r="C69" s="36" t="s">
        <v>0</v>
      </c>
      <c r="D69" s="17" t="s">
        <v>5</v>
      </c>
      <c r="E69" s="17" t="s">
        <v>4</v>
      </c>
      <c r="F69" s="17" t="s">
        <v>3</v>
      </c>
      <c r="G69" s="17" t="s">
        <v>2</v>
      </c>
      <c r="H69" s="18">
        <f>[5]副本!G130</f>
        <v>12005.106</v>
      </c>
      <c r="I69" s="18">
        <f>H69-12005.106</f>
        <v>0</v>
      </c>
      <c r="J69" s="17"/>
      <c r="K69" s="15"/>
      <c r="L69" s="16">
        <f>H69-I69</f>
        <v>12005.106</v>
      </c>
      <c r="M69" s="15">
        <v>15000</v>
      </c>
      <c r="N69" s="14"/>
      <c r="O69" s="13"/>
      <c r="P69" s="12"/>
    </row>
    <row r="70" spans="1:16" s="11" customFormat="1" ht="28.5" customHeight="1" x14ac:dyDescent="0.15">
      <c r="A70" s="17">
        <v>20170106</v>
      </c>
      <c r="B70" s="19" t="s">
        <v>1</v>
      </c>
      <c r="C70" s="36" t="s">
        <v>0</v>
      </c>
      <c r="D70" s="17"/>
      <c r="E70" s="17"/>
      <c r="F70" s="17"/>
      <c r="G70" s="17"/>
      <c r="H70" s="18"/>
      <c r="I70" s="18"/>
      <c r="J70" s="17"/>
      <c r="K70" s="15"/>
      <c r="L70" s="16"/>
      <c r="M70" s="15"/>
      <c r="N70" s="14"/>
      <c r="O70" s="13"/>
      <c r="P70" s="12"/>
    </row>
    <row r="76" spans="1:16" x14ac:dyDescent="0.15">
      <c r="L76" s="10"/>
    </row>
    <row r="228" spans="7:8" x14ac:dyDescent="0.15">
      <c r="G228" s="2"/>
      <c r="H228" s="2"/>
    </row>
  </sheetData>
  <autoFilter ref="B1:I70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1"/>
  <sheetViews>
    <sheetView workbookViewId="0">
      <pane xSplit="3" ySplit="1" topLeftCell="D65" activePane="bottomRight" state="frozen"/>
      <selection activeCell="G5" sqref="G5"/>
      <selection pane="topRight" activeCell="G5" sqref="G5"/>
      <selection pane="bottomLeft" activeCell="G5" sqref="G5"/>
      <selection pane="bottomRight" activeCell="F21" sqref="F21:F22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4.7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6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25" customFormat="1" ht="22.5" x14ac:dyDescent="0.15">
      <c r="A1" s="38" t="s">
        <v>254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27.75" customHeight="1" x14ac:dyDescent="0.15">
      <c r="A2" s="17">
        <v>20170107</v>
      </c>
      <c r="B2" s="19" t="s">
        <v>158</v>
      </c>
      <c r="C2" s="17" t="s">
        <v>63</v>
      </c>
      <c r="D2" s="19"/>
      <c r="E2" s="17" t="s">
        <v>141</v>
      </c>
      <c r="F2" s="17" t="s">
        <v>144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143</v>
      </c>
      <c r="O2" s="13" t="s">
        <v>124</v>
      </c>
      <c r="P2" s="12"/>
    </row>
    <row r="3" spans="1:17" s="11" customFormat="1" ht="27.75" customHeight="1" x14ac:dyDescent="0.15">
      <c r="A3" s="17">
        <v>20170107</v>
      </c>
      <c r="B3" s="19" t="s">
        <v>157</v>
      </c>
      <c r="C3" s="17" t="s">
        <v>63</v>
      </c>
      <c r="D3" s="19"/>
      <c r="E3" s="17" t="s">
        <v>156</v>
      </c>
      <c r="F3" s="17" t="s">
        <v>155</v>
      </c>
      <c r="G3" s="12" t="s">
        <v>54</v>
      </c>
      <c r="H3" s="18">
        <f>[6]副本!G5</f>
        <v>245.55599999999993</v>
      </c>
      <c r="I3" s="18">
        <f>H3-995.136+995.136</f>
        <v>245.55599999999993</v>
      </c>
      <c r="J3" s="17"/>
      <c r="K3" s="15"/>
      <c r="L3" s="16">
        <f>H3-I3</f>
        <v>0</v>
      </c>
      <c r="M3" s="15">
        <v>1500</v>
      </c>
      <c r="N3" s="14"/>
      <c r="O3" s="13"/>
      <c r="P3" s="12" t="s">
        <v>154</v>
      </c>
    </row>
    <row r="4" spans="1:17" s="11" customFormat="1" ht="27.75" customHeight="1" x14ac:dyDescent="0.15">
      <c r="A4" s="17">
        <v>20170107</v>
      </c>
      <c r="B4" s="19" t="s">
        <v>153</v>
      </c>
      <c r="C4" s="17" t="s">
        <v>63</v>
      </c>
      <c r="D4" s="19"/>
      <c r="E4" s="17" t="s">
        <v>56</v>
      </c>
      <c r="F4" s="17" t="s">
        <v>61</v>
      </c>
      <c r="G4" s="12" t="s">
        <v>54</v>
      </c>
      <c r="H4" s="18">
        <f>[6]副本!G7</f>
        <v>1865.2429999999958</v>
      </c>
      <c r="I4" s="18">
        <f>H4</f>
        <v>1865.2429999999958</v>
      </c>
      <c r="J4" s="17"/>
      <c r="K4" s="16"/>
      <c r="L4" s="16"/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27.75" customHeight="1" x14ac:dyDescent="0.15">
      <c r="A5" s="17">
        <v>20170107</v>
      </c>
      <c r="B5" s="19" t="s">
        <v>149</v>
      </c>
      <c r="C5" s="17" t="s">
        <v>63</v>
      </c>
      <c r="D5" s="17"/>
      <c r="E5" s="17" t="s">
        <v>148</v>
      </c>
      <c r="F5" s="17" t="s">
        <v>140</v>
      </c>
      <c r="G5" s="12" t="s">
        <v>54</v>
      </c>
      <c r="H5" s="18"/>
      <c r="I5" s="18"/>
      <c r="J5" s="17"/>
      <c r="K5" s="15"/>
      <c r="L5" s="16">
        <f>H5-I5</f>
        <v>0</v>
      </c>
      <c r="M5" s="15">
        <v>2000</v>
      </c>
      <c r="N5" s="14" t="s">
        <v>147</v>
      </c>
      <c r="O5" s="13" t="s">
        <v>124</v>
      </c>
      <c r="P5" s="12"/>
    </row>
    <row r="6" spans="1:17" s="11" customFormat="1" ht="27.75" customHeight="1" x14ac:dyDescent="0.15">
      <c r="A6" s="17">
        <v>20170107</v>
      </c>
      <c r="B6" s="19" t="s">
        <v>145</v>
      </c>
      <c r="C6" s="17" t="s">
        <v>63</v>
      </c>
      <c r="D6" s="17"/>
      <c r="E6" s="17" t="s">
        <v>141</v>
      </c>
      <c r="F6" s="17" t="s">
        <v>144</v>
      </c>
      <c r="G6" s="12" t="s">
        <v>54</v>
      </c>
      <c r="H6" s="18"/>
      <c r="I6" s="18"/>
      <c r="J6" s="17"/>
      <c r="K6" s="15"/>
      <c r="L6" s="16"/>
      <c r="M6" s="15">
        <v>3000</v>
      </c>
      <c r="N6" s="14" t="s">
        <v>143</v>
      </c>
      <c r="O6" s="13" t="s">
        <v>124</v>
      </c>
      <c r="P6" s="12"/>
      <c r="Q6" s="20"/>
    </row>
    <row r="7" spans="1:17" s="11" customFormat="1" ht="27.75" customHeight="1" x14ac:dyDescent="0.15">
      <c r="A7" s="17">
        <v>20170107</v>
      </c>
      <c r="B7" s="19" t="s">
        <v>142</v>
      </c>
      <c r="C7" s="17" t="s">
        <v>63</v>
      </c>
      <c r="D7" s="17"/>
      <c r="E7" s="17" t="s">
        <v>141</v>
      </c>
      <c r="F7" s="17" t="s">
        <v>140</v>
      </c>
      <c r="G7" s="17" t="s">
        <v>54</v>
      </c>
      <c r="H7" s="18"/>
      <c r="I7" s="18"/>
      <c r="J7" s="17"/>
      <c r="K7" s="15"/>
      <c r="L7" s="16"/>
      <c r="M7" s="15">
        <v>3000</v>
      </c>
      <c r="N7" s="14"/>
      <c r="O7" s="13"/>
      <c r="P7" s="12"/>
      <c r="Q7" s="20"/>
    </row>
    <row r="8" spans="1:17" s="11" customFormat="1" ht="27.75" customHeight="1" x14ac:dyDescent="0.15">
      <c r="A8" s="17">
        <v>20170107</v>
      </c>
      <c r="B8" s="19" t="s">
        <v>139</v>
      </c>
      <c r="C8" s="17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27.75" customHeight="1" x14ac:dyDescent="0.15">
      <c r="A9" s="17">
        <v>20170107</v>
      </c>
      <c r="B9" s="19" t="s">
        <v>138</v>
      </c>
      <c r="C9" s="17" t="s">
        <v>31</v>
      </c>
      <c r="D9" s="17"/>
      <c r="E9" s="17" t="s">
        <v>9</v>
      </c>
      <c r="F9" s="17" t="s">
        <v>104</v>
      </c>
      <c r="G9" s="17" t="s">
        <v>54</v>
      </c>
      <c r="H9" s="17">
        <f>[6]副本!G17</f>
        <v>1322.4749999999999</v>
      </c>
      <c r="I9" s="18">
        <f>H9</f>
        <v>1322.4749999999999</v>
      </c>
      <c r="J9" s="17"/>
      <c r="K9" s="15">
        <v>70</v>
      </c>
      <c r="L9" s="16">
        <f>H9-I9</f>
        <v>0</v>
      </c>
      <c r="M9" s="15">
        <v>5000</v>
      </c>
      <c r="N9" s="14" t="s">
        <v>137</v>
      </c>
      <c r="O9" s="13" t="s">
        <v>136</v>
      </c>
      <c r="P9" s="12" t="s">
        <v>101</v>
      </c>
    </row>
    <row r="10" spans="1:17" s="11" customFormat="1" ht="27.75" customHeight="1" x14ac:dyDescent="0.15">
      <c r="A10" s="17">
        <v>20170107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[6]副本!G19</f>
        <v>32.761999999999944</v>
      </c>
      <c r="I10" s="18">
        <f>H10</f>
        <v>32.761999999999944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229</v>
      </c>
    </row>
    <row r="11" spans="1:17" s="11" customFormat="1" ht="27.75" customHeight="1" x14ac:dyDescent="0.15">
      <c r="A11" s="17">
        <v>20170107</v>
      </c>
      <c r="B11" s="19" t="s">
        <v>135</v>
      </c>
      <c r="C11" s="17" t="s">
        <v>63</v>
      </c>
      <c r="D11" s="17"/>
      <c r="E11" s="17" t="s">
        <v>92</v>
      </c>
      <c r="F11" s="17" t="s">
        <v>261</v>
      </c>
      <c r="G11" s="17"/>
      <c r="H11" s="18">
        <f>[6]副本!G20</f>
        <v>270.04000000000002</v>
      </c>
      <c r="I11" s="18">
        <f>H11</f>
        <v>270.04000000000002</v>
      </c>
      <c r="J11" s="17"/>
      <c r="K11" s="15"/>
      <c r="L11" s="16"/>
      <c r="M11" s="15">
        <v>1500</v>
      </c>
      <c r="N11" s="14"/>
      <c r="O11" s="13"/>
      <c r="P11" s="12" t="s">
        <v>253</v>
      </c>
    </row>
    <row r="12" spans="1:17" s="11" customFormat="1" ht="27.75" customHeight="1" x14ac:dyDescent="0.15">
      <c r="A12" s="17">
        <v>20170107</v>
      </c>
      <c r="B12" s="19" t="s">
        <v>135</v>
      </c>
      <c r="C12" s="17" t="s">
        <v>63</v>
      </c>
      <c r="D12" s="17"/>
      <c r="E12" s="17" t="s">
        <v>92</v>
      </c>
      <c r="F12" s="17" t="s">
        <v>91</v>
      </c>
      <c r="G12" s="17"/>
      <c r="H12" s="18">
        <f>[6]副本!G21</f>
        <v>1000</v>
      </c>
      <c r="I12" s="18">
        <f>H12</f>
        <v>1000</v>
      </c>
      <c r="J12" s="17"/>
      <c r="K12" s="15"/>
      <c r="L12" s="16"/>
      <c r="M12" s="15">
        <v>1500</v>
      </c>
      <c r="N12" s="14"/>
      <c r="O12" s="13"/>
      <c r="P12" s="12" t="s">
        <v>253</v>
      </c>
    </row>
    <row r="13" spans="1:17" s="11" customFormat="1" ht="27.75" customHeight="1" x14ac:dyDescent="0.15">
      <c r="A13" s="17">
        <v>20170107</v>
      </c>
      <c r="B13" s="19" t="s">
        <v>134</v>
      </c>
      <c r="C13" s="17" t="s">
        <v>63</v>
      </c>
      <c r="D13" s="17"/>
      <c r="E13" s="17" t="s">
        <v>116</v>
      </c>
      <c r="F13" s="17" t="s">
        <v>256</v>
      </c>
      <c r="G13" s="17" t="s">
        <v>54</v>
      </c>
      <c r="H13" s="18">
        <f>[6]副本!G23</f>
        <v>1502.1479999999999</v>
      </c>
      <c r="I13" s="18">
        <f>H13</f>
        <v>1502.1479999999999</v>
      </c>
      <c r="J13" s="17"/>
      <c r="K13" s="15"/>
      <c r="L13" s="16"/>
      <c r="M13" s="15">
        <v>1500</v>
      </c>
      <c r="N13" s="14"/>
      <c r="O13" s="13"/>
      <c r="P13" s="12"/>
    </row>
    <row r="14" spans="1:17" s="11" customFormat="1" ht="27.75" customHeight="1" x14ac:dyDescent="0.15">
      <c r="A14" s="17">
        <v>20170107</v>
      </c>
      <c r="B14" s="19" t="s">
        <v>133</v>
      </c>
      <c r="C14" s="17" t="s">
        <v>28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  <c r="Q14" s="20"/>
    </row>
    <row r="15" spans="1:17" s="11" customFormat="1" ht="27.75" customHeight="1" x14ac:dyDescent="0.15">
      <c r="A15" s="17">
        <v>20170107</v>
      </c>
      <c r="B15" s="19" t="s">
        <v>132</v>
      </c>
      <c r="C15" s="17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27.75" customHeight="1" x14ac:dyDescent="0.15">
      <c r="A16" s="17">
        <v>20170107</v>
      </c>
      <c r="B16" s="19" t="s">
        <v>131</v>
      </c>
      <c r="C16" s="17" t="s">
        <v>63</v>
      </c>
      <c r="D16" s="17"/>
      <c r="E16" s="17" t="s">
        <v>92</v>
      </c>
      <c r="F16" s="17" t="s">
        <v>232</v>
      </c>
      <c r="G16" s="17" t="s">
        <v>54</v>
      </c>
      <c r="H16" s="18">
        <f>[6]副本!G29</f>
        <v>1348.537</v>
      </c>
      <c r="I16" s="18">
        <f>H16</f>
        <v>1348.537</v>
      </c>
      <c r="J16" s="17"/>
      <c r="K16" s="15">
        <v>50</v>
      </c>
      <c r="L16" s="16"/>
      <c r="M16" s="15"/>
      <c r="N16" s="14"/>
      <c r="O16" s="13"/>
      <c r="P16" s="12" t="s">
        <v>228</v>
      </c>
    </row>
    <row r="17" spans="1:17" s="11" customFormat="1" ht="27.75" customHeight="1" x14ac:dyDescent="0.15">
      <c r="A17" s="17">
        <v>20170107</v>
      </c>
      <c r="B17" s="19" t="s">
        <v>129</v>
      </c>
      <c r="C17" s="17" t="s">
        <v>121</v>
      </c>
      <c r="D17" s="17"/>
      <c r="E17" s="17" t="s">
        <v>12</v>
      </c>
      <c r="F17" s="17" t="s">
        <v>11</v>
      </c>
      <c r="G17" s="17" t="s">
        <v>2</v>
      </c>
      <c r="H17" s="18">
        <f>[6]副本!G31-H18</f>
        <v>5571.2470000000176</v>
      </c>
      <c r="I17" s="18">
        <f>H17</f>
        <v>5571.2470000000176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124</v>
      </c>
      <c r="P17" s="12" t="s">
        <v>130</v>
      </c>
    </row>
    <row r="18" spans="1:17" s="11" customFormat="1" ht="27.75" customHeight="1" x14ac:dyDescent="0.15">
      <c r="A18" s="17">
        <v>20170107</v>
      </c>
      <c r="B18" s="19" t="s">
        <v>129</v>
      </c>
      <c r="C18" s="17" t="s">
        <v>121</v>
      </c>
      <c r="D18" s="17"/>
      <c r="E18" s="17" t="s">
        <v>12</v>
      </c>
      <c r="F18" s="17" t="s">
        <v>11</v>
      </c>
      <c r="G18" s="17"/>
      <c r="H18" s="18">
        <f>[6]副本!G33</f>
        <v>9324.7529999999824</v>
      </c>
      <c r="I18" s="18">
        <f>H18</f>
        <v>9324.7529999999824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244</v>
      </c>
    </row>
    <row r="19" spans="1:17" s="11" customFormat="1" ht="27.75" customHeight="1" x14ac:dyDescent="0.15">
      <c r="A19" s="17">
        <v>20170107</v>
      </c>
      <c r="B19" s="19" t="s">
        <v>127</v>
      </c>
      <c r="C19" s="17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27.75" customHeight="1" x14ac:dyDescent="0.15">
      <c r="A20" s="17">
        <v>20170107</v>
      </c>
      <c r="B20" s="19" t="s">
        <v>126</v>
      </c>
      <c r="C20" s="17" t="s">
        <v>63</v>
      </c>
      <c r="D20" s="17"/>
      <c r="E20" s="17"/>
      <c r="F20" s="17"/>
      <c r="G20" s="17"/>
      <c r="H20" s="18"/>
      <c r="I20" s="18"/>
      <c r="J20" s="17"/>
      <c r="K20" s="15"/>
      <c r="L20" s="16"/>
      <c r="M20" s="15">
        <v>3000</v>
      </c>
      <c r="N20" s="14"/>
      <c r="O20" s="13"/>
      <c r="P20" s="12"/>
    </row>
    <row r="21" spans="1:17" s="11" customFormat="1" ht="27.75" customHeight="1" x14ac:dyDescent="0.15">
      <c r="A21" s="17">
        <v>20170107</v>
      </c>
      <c r="B21" s="19" t="s">
        <v>122</v>
      </c>
      <c r="C21" s="17" t="s">
        <v>121</v>
      </c>
      <c r="D21" s="17"/>
      <c r="E21" s="17" t="s">
        <v>12</v>
      </c>
      <c r="F21" s="17" t="s">
        <v>11</v>
      </c>
      <c r="G21" s="17" t="s">
        <v>2</v>
      </c>
      <c r="H21" s="18">
        <f>[6]副本!G39-'20170107'!H22</f>
        <v>15816.537428000036</v>
      </c>
      <c r="I21" s="18">
        <f>H21</f>
        <v>15816.537428000036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124</v>
      </c>
      <c r="P21" s="12" t="s">
        <v>123</v>
      </c>
    </row>
    <row r="22" spans="1:17" s="11" customFormat="1" ht="27.75" customHeight="1" x14ac:dyDescent="0.15">
      <c r="A22" s="17">
        <v>20170107</v>
      </c>
      <c r="B22" s="19" t="s">
        <v>122</v>
      </c>
      <c r="C22" s="17" t="s">
        <v>121</v>
      </c>
      <c r="D22" s="17"/>
      <c r="E22" s="17" t="s">
        <v>12</v>
      </c>
      <c r="F22" s="17" t="s">
        <v>11</v>
      </c>
      <c r="G22" s="17"/>
      <c r="H22" s="18">
        <f>[6]副本!G41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243</v>
      </c>
    </row>
    <row r="23" spans="1:17" s="11" customFormat="1" ht="27.75" customHeight="1" x14ac:dyDescent="0.15">
      <c r="A23" s="17">
        <v>20170107</v>
      </c>
      <c r="B23" s="19" t="s">
        <v>117</v>
      </c>
      <c r="C23" s="17" t="s">
        <v>63</v>
      </c>
      <c r="D23" s="17"/>
      <c r="E23" s="17" t="s">
        <v>116</v>
      </c>
      <c r="F23" s="17" t="s">
        <v>115</v>
      </c>
      <c r="G23" s="17" t="s">
        <v>2</v>
      </c>
      <c r="H23" s="18">
        <f>[6]副本!G43</f>
        <v>2835.7159999999999</v>
      </c>
      <c r="I23" s="18">
        <f>H23</f>
        <v>2835.7159999999999</v>
      </c>
      <c r="J23" s="17"/>
      <c r="K23" s="15">
        <v>200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27.75" customHeight="1" x14ac:dyDescent="0.15">
      <c r="A24" s="17">
        <v>20170107</v>
      </c>
      <c r="B24" s="19" t="s">
        <v>113</v>
      </c>
      <c r="C24" s="17" t="s">
        <v>0</v>
      </c>
      <c r="D24" s="17"/>
      <c r="E24" s="12"/>
      <c r="F24" s="17"/>
      <c r="G24" s="17"/>
      <c r="H24" s="18"/>
      <c r="I24" s="18"/>
      <c r="J24" s="17"/>
      <c r="K24" s="15"/>
      <c r="L24" s="16"/>
      <c r="M24" s="15">
        <v>5000</v>
      </c>
      <c r="N24" s="14"/>
      <c r="O24" s="13"/>
      <c r="P24" s="27"/>
    </row>
    <row r="25" spans="1:17" s="11" customFormat="1" ht="27.75" customHeight="1" x14ac:dyDescent="0.15">
      <c r="A25" s="17">
        <v>20170107</v>
      </c>
      <c r="B25" s="19" t="s">
        <v>226</v>
      </c>
      <c r="C25" s="17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27.75" customHeight="1" x14ac:dyDescent="0.15">
      <c r="A26" s="17">
        <v>20170107</v>
      </c>
      <c r="B26" s="19" t="s">
        <v>109</v>
      </c>
      <c r="C26" s="17" t="s">
        <v>63</v>
      </c>
      <c r="D26" s="17"/>
      <c r="E26" s="17" t="s">
        <v>108</v>
      </c>
      <c r="F26" s="17" t="s">
        <v>248</v>
      </c>
      <c r="G26" s="17" t="s">
        <v>2</v>
      </c>
      <c r="H26" s="18">
        <f>[6]副本!G49</f>
        <v>468.64100000004282</v>
      </c>
      <c r="I26" s="18">
        <f>H26</f>
        <v>468.64100000004282</v>
      </c>
      <c r="J26" s="17"/>
      <c r="K26" s="15"/>
      <c r="L26" s="16">
        <f>H26-I26</f>
        <v>0</v>
      </c>
      <c r="M26" s="15">
        <v>4000</v>
      </c>
      <c r="N26" s="14" t="s">
        <v>47</v>
      </c>
      <c r="O26" s="13" t="s">
        <v>46</v>
      </c>
      <c r="P26" s="12"/>
    </row>
    <row r="27" spans="1:17" s="11" customFormat="1" ht="27.75" customHeight="1" x14ac:dyDescent="0.15">
      <c r="A27" s="17">
        <v>20170107</v>
      </c>
      <c r="B27" s="19" t="s">
        <v>106</v>
      </c>
      <c r="C27" s="17" t="s">
        <v>105</v>
      </c>
      <c r="D27" s="17"/>
      <c r="E27" s="17" t="s">
        <v>9</v>
      </c>
      <c r="F27" s="17" t="s">
        <v>104</v>
      </c>
      <c r="G27" s="17" t="s">
        <v>2</v>
      </c>
      <c r="H27" s="18">
        <f>[6]副本!G51</f>
        <v>272.52499999999998</v>
      </c>
      <c r="I27" s="18">
        <f>H27</f>
        <v>272.52499999999998</v>
      </c>
      <c r="J27" s="17"/>
      <c r="K27" s="15"/>
      <c r="L27" s="16">
        <f>H27-I27</f>
        <v>0</v>
      </c>
      <c r="M27" s="15">
        <v>5000</v>
      </c>
      <c r="N27" s="14" t="s">
        <v>225</v>
      </c>
      <c r="O27" s="13" t="s">
        <v>102</v>
      </c>
      <c r="P27" s="12" t="s">
        <v>101</v>
      </c>
    </row>
    <row r="28" spans="1:17" s="11" customFormat="1" ht="27.75" customHeight="1" x14ac:dyDescent="0.15">
      <c r="A28" s="17">
        <v>20170107</v>
      </c>
      <c r="B28" s="19" t="s">
        <v>100</v>
      </c>
      <c r="C28" s="17" t="s">
        <v>96</v>
      </c>
      <c r="D28" s="17"/>
      <c r="E28" s="17"/>
      <c r="F28" s="17"/>
      <c r="G28" s="17"/>
      <c r="H28" s="18"/>
      <c r="I28" s="18"/>
      <c r="J28" s="17"/>
      <c r="K28" s="15"/>
      <c r="L28" s="16"/>
      <c r="M28" s="15">
        <v>2000</v>
      </c>
      <c r="N28" s="14"/>
      <c r="O28" s="13"/>
      <c r="P28" s="12"/>
    </row>
    <row r="29" spans="1:17" s="11" customFormat="1" ht="27.75" customHeight="1" x14ac:dyDescent="0.15">
      <c r="A29" s="17">
        <v>20170107</v>
      </c>
      <c r="B29" s="19" t="s">
        <v>224</v>
      </c>
      <c r="C29" s="17" t="s">
        <v>96</v>
      </c>
      <c r="D29" s="17"/>
      <c r="E29" s="17" t="s">
        <v>67</v>
      </c>
      <c r="F29" s="17" t="s">
        <v>66</v>
      </c>
      <c r="G29" s="17" t="s">
        <v>2</v>
      </c>
      <c r="H29" s="18">
        <f>[6]副本!G55</f>
        <v>1099.9159999999999</v>
      </c>
      <c r="I29" s="18">
        <f>H29</f>
        <v>1099.9159999999999</v>
      </c>
      <c r="J29" s="17"/>
      <c r="K29" s="15"/>
      <c r="L29" s="16">
        <f>H29-I29</f>
        <v>0</v>
      </c>
      <c r="M29" s="15">
        <v>1500</v>
      </c>
      <c r="N29" s="14"/>
      <c r="O29" s="13"/>
      <c r="P29" s="12" t="s">
        <v>240</v>
      </c>
    </row>
    <row r="30" spans="1:17" s="11" customFormat="1" ht="27.75" customHeight="1" x14ac:dyDescent="0.15">
      <c r="A30" s="17">
        <v>20170107</v>
      </c>
      <c r="B30" s="19" t="s">
        <v>98</v>
      </c>
      <c r="C30" s="17" t="s">
        <v>96</v>
      </c>
      <c r="D30" s="17"/>
      <c r="E30" s="17"/>
      <c r="F30" s="17"/>
      <c r="G30" s="17"/>
      <c r="H30" s="18"/>
      <c r="I30" s="18"/>
      <c r="J30" s="17"/>
      <c r="K30" s="15"/>
      <c r="L30" s="16">
        <f>H30-I30</f>
        <v>0</v>
      </c>
      <c r="M30" s="15">
        <v>1500</v>
      </c>
      <c r="N30" s="14"/>
      <c r="O30" s="13"/>
      <c r="P30" s="12"/>
      <c r="Q30" s="20"/>
    </row>
    <row r="31" spans="1:17" s="11" customFormat="1" ht="27.75" customHeight="1" x14ac:dyDescent="0.15">
      <c r="A31" s="17">
        <v>20170107</v>
      </c>
      <c r="B31" s="19" t="s">
        <v>97</v>
      </c>
      <c r="C31" s="17" t="s">
        <v>96</v>
      </c>
      <c r="D31" s="17"/>
      <c r="E31" s="17" t="s">
        <v>67</v>
      </c>
      <c r="F31" s="17" t="s">
        <v>66</v>
      </c>
      <c r="G31" s="17" t="s">
        <v>2</v>
      </c>
      <c r="H31" s="18">
        <f>[6]副本!G59</f>
        <v>1098.2449999999999</v>
      </c>
      <c r="I31" s="18">
        <f>H31</f>
        <v>1098.2449999999999</v>
      </c>
      <c r="J31" s="17"/>
      <c r="K31" s="15"/>
      <c r="L31" s="16">
        <f>H31-I31</f>
        <v>0</v>
      </c>
      <c r="M31" s="15">
        <v>1500</v>
      </c>
      <c r="N31" s="14"/>
      <c r="O31" s="13"/>
      <c r="P31" s="12" t="s">
        <v>240</v>
      </c>
    </row>
    <row r="32" spans="1:17" s="11" customFormat="1" ht="27.75" customHeight="1" x14ac:dyDescent="0.15">
      <c r="A32" s="17">
        <v>20170107</v>
      </c>
      <c r="B32" s="19" t="s">
        <v>95</v>
      </c>
      <c r="C32" s="17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27.75" customHeight="1" x14ac:dyDescent="0.15">
      <c r="A33" s="17">
        <v>20170107</v>
      </c>
      <c r="B33" s="19" t="s">
        <v>93</v>
      </c>
      <c r="C33" s="17" t="s">
        <v>57</v>
      </c>
      <c r="D33" s="17"/>
      <c r="E33" s="17" t="s">
        <v>92</v>
      </c>
      <c r="F33" s="17" t="s">
        <v>91</v>
      </c>
      <c r="G33" s="17"/>
      <c r="H33" s="17">
        <f>[6]副本!G63</f>
        <v>204.15900000000028</v>
      </c>
      <c r="I33" s="18">
        <f>H33-1035.099+1035.099</f>
        <v>204.15900000000033</v>
      </c>
      <c r="J33" s="17"/>
      <c r="K33" s="15">
        <v>20</v>
      </c>
      <c r="L33" s="16">
        <f>H33-I33</f>
        <v>0</v>
      </c>
      <c r="M33" s="15">
        <v>2000</v>
      </c>
      <c r="N33" s="14"/>
      <c r="O33" s="13"/>
      <c r="P33" s="12" t="s">
        <v>223</v>
      </c>
    </row>
    <row r="34" spans="1:16" s="11" customFormat="1" ht="27.75" customHeight="1" x14ac:dyDescent="0.15">
      <c r="A34" s="17">
        <v>20170107</v>
      </c>
      <c r="B34" s="19" t="s">
        <v>89</v>
      </c>
      <c r="C34" s="17" t="s">
        <v>63</v>
      </c>
      <c r="D34" s="17" t="s">
        <v>88</v>
      </c>
      <c r="E34" s="17" t="s">
        <v>87</v>
      </c>
      <c r="F34" s="17" t="s">
        <v>233</v>
      </c>
      <c r="G34" s="17" t="s">
        <v>54</v>
      </c>
      <c r="H34" s="18">
        <f>[6]副本!G65</f>
        <v>755.06299999999987</v>
      </c>
      <c r="I34" s="18">
        <f>H34-1037.023+500+537.023</f>
        <v>755.06299999999999</v>
      </c>
      <c r="J34" s="17"/>
      <c r="K34" s="15">
        <v>70</v>
      </c>
      <c r="L34" s="16">
        <f>H34-I34</f>
        <v>0</v>
      </c>
      <c r="M34" s="15">
        <v>3000</v>
      </c>
      <c r="N34" s="14"/>
      <c r="O34" s="13"/>
      <c r="P34" s="24" t="s">
        <v>255</v>
      </c>
    </row>
    <row r="35" spans="1:16" s="11" customFormat="1" ht="27.75" customHeight="1" x14ac:dyDescent="0.15">
      <c r="A35" s="17">
        <v>20170107</v>
      </c>
      <c r="B35" s="19" t="s">
        <v>85</v>
      </c>
      <c r="C35" s="17" t="s">
        <v>63</v>
      </c>
      <c r="D35" s="17" t="s">
        <v>5</v>
      </c>
      <c r="E35" s="17" t="s">
        <v>84</v>
      </c>
      <c r="F35" s="17" t="s">
        <v>81</v>
      </c>
      <c r="G35" s="17" t="s">
        <v>54</v>
      </c>
      <c r="H35" s="18">
        <f>[6]副本!G67</f>
        <v>524.06799999999998</v>
      </c>
      <c r="I35" s="18">
        <f>H35</f>
        <v>524.06799999999998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242</v>
      </c>
    </row>
    <row r="36" spans="1:16" s="11" customFormat="1" ht="27.75" customHeight="1" x14ac:dyDescent="0.15">
      <c r="A36" s="17">
        <v>20170107</v>
      </c>
      <c r="B36" s="19" t="s">
        <v>82</v>
      </c>
      <c r="C36" s="17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27.75" customHeight="1" x14ac:dyDescent="0.15">
      <c r="A37" s="17">
        <v>20170107</v>
      </c>
      <c r="B37" s="19" t="s">
        <v>79</v>
      </c>
      <c r="C37" s="17" t="s">
        <v>57</v>
      </c>
      <c r="D37" s="17" t="s">
        <v>5</v>
      </c>
      <c r="E37" s="17" t="s">
        <v>78</v>
      </c>
      <c r="F37" s="17" t="s">
        <v>81</v>
      </c>
      <c r="G37" s="17" t="s">
        <v>2</v>
      </c>
      <c r="H37" s="18">
        <f>[6]副本!G71</f>
        <v>1701.8010000000522</v>
      </c>
      <c r="I37" s="18">
        <f>H37-955.747+477.874+477.873-1042.865-2628.137+500+542.865+2102.57+525.567-499.112-3147.566+2100+525+525+496.678-2617.899+1574.891</f>
        <v>658.79300000005242</v>
      </c>
      <c r="J37" s="17"/>
      <c r="K37" s="15"/>
      <c r="L37" s="16">
        <f>H37-I37</f>
        <v>1043.0079999999998</v>
      </c>
      <c r="M37" s="15">
        <v>5000</v>
      </c>
      <c r="N37" s="14"/>
      <c r="O37" s="13"/>
      <c r="P37" s="12" t="s">
        <v>241</v>
      </c>
    </row>
    <row r="38" spans="1:16" s="11" customFormat="1" ht="27.75" customHeight="1" x14ac:dyDescent="0.15">
      <c r="A38" s="17">
        <v>20170107</v>
      </c>
      <c r="B38" s="19" t="s">
        <v>79</v>
      </c>
      <c r="C38" s="17" t="s">
        <v>57</v>
      </c>
      <c r="D38" s="17"/>
      <c r="E38" s="17" t="s">
        <v>78</v>
      </c>
      <c r="F38" s="17" t="s">
        <v>77</v>
      </c>
      <c r="G38" s="17"/>
      <c r="H38" s="18">
        <f>[6]副本!G72</f>
        <v>2.6340000000004693</v>
      </c>
      <c r="I38" s="18">
        <f>H38</f>
        <v>2.6340000000004693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76</v>
      </c>
    </row>
    <row r="39" spans="1:16" s="11" customFormat="1" ht="27.75" customHeight="1" x14ac:dyDescent="0.15">
      <c r="A39" s="17">
        <v>20170107</v>
      </c>
      <c r="B39" s="19" t="s">
        <v>74</v>
      </c>
      <c r="C39" s="17" t="s">
        <v>28</v>
      </c>
      <c r="D39" s="17"/>
      <c r="E39" s="17" t="s">
        <v>67</v>
      </c>
      <c r="F39" s="17" t="s">
        <v>262</v>
      </c>
      <c r="G39" s="17" t="s">
        <v>2</v>
      </c>
      <c r="H39" s="18">
        <f>[6]副本!G74</f>
        <v>1001.9439999999975</v>
      </c>
      <c r="I39" s="18">
        <f>H39</f>
        <v>1001.9439999999975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75</v>
      </c>
    </row>
    <row r="40" spans="1:16" s="11" customFormat="1" ht="27.75" customHeight="1" x14ac:dyDescent="0.15">
      <c r="A40" s="17">
        <v>20170107</v>
      </c>
      <c r="B40" s="19" t="s">
        <v>74</v>
      </c>
      <c r="C40" s="17" t="s">
        <v>28</v>
      </c>
      <c r="D40" s="17"/>
      <c r="E40" s="17" t="s">
        <v>67</v>
      </c>
      <c r="F40" s="17" t="s">
        <v>71</v>
      </c>
      <c r="G40" s="17" t="s">
        <v>2</v>
      </c>
      <c r="H40" s="18">
        <f>[6]副本!G75</f>
        <v>416.66300000000012</v>
      </c>
      <c r="I40" s="18">
        <f>H40</f>
        <v>416.66300000000012</v>
      </c>
      <c r="J40" s="17"/>
      <c r="K40" s="15"/>
      <c r="L40" s="16"/>
      <c r="M40" s="15">
        <v>4000</v>
      </c>
      <c r="N40" s="14"/>
      <c r="O40" s="13"/>
      <c r="P40" s="12" t="s">
        <v>69</v>
      </c>
    </row>
    <row r="41" spans="1:16" s="11" customFormat="1" ht="27.75" customHeight="1" x14ac:dyDescent="0.15">
      <c r="A41" s="17">
        <v>20170107</v>
      </c>
      <c r="B41" s="19" t="s">
        <v>74</v>
      </c>
      <c r="C41" s="17" t="s">
        <v>28</v>
      </c>
      <c r="D41" s="17"/>
      <c r="E41" s="17" t="s">
        <v>67</v>
      </c>
      <c r="F41" s="17" t="s">
        <v>66</v>
      </c>
      <c r="G41" s="17" t="s">
        <v>2</v>
      </c>
      <c r="H41" s="18">
        <f>[6]副本!G76</f>
        <v>0</v>
      </c>
      <c r="I41" s="18">
        <f>H41</f>
        <v>0</v>
      </c>
      <c r="J41" s="17"/>
      <c r="K41" s="15"/>
      <c r="L41" s="16">
        <f>H41-I41</f>
        <v>0</v>
      </c>
      <c r="M41" s="15">
        <v>4000</v>
      </c>
      <c r="N41" s="14"/>
      <c r="O41" s="13"/>
      <c r="P41" s="12" t="s">
        <v>240</v>
      </c>
    </row>
    <row r="42" spans="1:16" s="11" customFormat="1" ht="27.75" customHeight="1" x14ac:dyDescent="0.15">
      <c r="A42" s="17">
        <v>20170107</v>
      </c>
      <c r="B42" s="19" t="s">
        <v>73</v>
      </c>
      <c r="C42" s="17" t="s">
        <v>28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2000</v>
      </c>
      <c r="N42" s="14"/>
      <c r="O42" s="13"/>
      <c r="P42" s="12"/>
    </row>
    <row r="43" spans="1:16" s="11" customFormat="1" ht="27.75" customHeight="1" x14ac:dyDescent="0.15">
      <c r="A43" s="17">
        <v>20170107</v>
      </c>
      <c r="B43" s="19" t="s">
        <v>72</v>
      </c>
      <c r="C43" s="17" t="s">
        <v>43</v>
      </c>
      <c r="D43" s="17"/>
      <c r="E43" s="17"/>
      <c r="F43" s="17"/>
      <c r="G43" s="17"/>
      <c r="H43" s="18"/>
      <c r="I43" s="18"/>
      <c r="J43" s="17"/>
      <c r="K43" s="15"/>
      <c r="L43" s="16"/>
      <c r="M43" s="15">
        <v>3000</v>
      </c>
      <c r="N43" s="14"/>
      <c r="O43" s="13"/>
      <c r="P43" s="12"/>
    </row>
    <row r="44" spans="1:16" s="11" customFormat="1" ht="27.75" customHeight="1" x14ac:dyDescent="0.15">
      <c r="A44" s="17">
        <v>20170107</v>
      </c>
      <c r="B44" s="19" t="s">
        <v>68</v>
      </c>
      <c r="C44" s="17" t="s">
        <v>43</v>
      </c>
      <c r="D44" s="17"/>
      <c r="E44" s="17" t="s">
        <v>67</v>
      </c>
      <c r="F44" s="17" t="s">
        <v>39</v>
      </c>
      <c r="G44" s="17" t="s">
        <v>2</v>
      </c>
      <c r="H44" s="18">
        <f>[6]副本!G82</f>
        <v>2815.9709999999995</v>
      </c>
      <c r="I44" s="18">
        <f>H44</f>
        <v>2815.9709999999995</v>
      </c>
      <c r="J44" s="17"/>
      <c r="K44" s="15"/>
      <c r="L44" s="16">
        <f>H44-I44</f>
        <v>0</v>
      </c>
      <c r="M44" s="15">
        <v>5000</v>
      </c>
      <c r="N44" s="14"/>
      <c r="O44" s="13"/>
      <c r="P44" s="12" t="s">
        <v>69</v>
      </c>
    </row>
    <row r="45" spans="1:16" s="11" customFormat="1" ht="27.75" customHeight="1" x14ac:dyDescent="0.15">
      <c r="A45" s="17">
        <v>20170107</v>
      </c>
      <c r="B45" s="19" t="s">
        <v>68</v>
      </c>
      <c r="C45" s="17" t="s">
        <v>43</v>
      </c>
      <c r="D45" s="17"/>
      <c r="E45" s="17" t="s">
        <v>67</v>
      </c>
      <c r="F45" s="17" t="s">
        <v>66</v>
      </c>
      <c r="G45" s="17" t="s">
        <v>2</v>
      </c>
      <c r="H45" s="18">
        <f>[6]副本!G83</f>
        <v>0</v>
      </c>
      <c r="I45" s="18">
        <f>H45</f>
        <v>0</v>
      </c>
      <c r="J45" s="17"/>
      <c r="K45" s="15"/>
      <c r="L45" s="16">
        <f>H45-I45</f>
        <v>0</v>
      </c>
      <c r="M45" s="15">
        <v>5000</v>
      </c>
      <c r="N45" s="14"/>
      <c r="O45" s="13"/>
      <c r="P45" s="12" t="s">
        <v>240</v>
      </c>
    </row>
    <row r="46" spans="1:16" s="11" customFormat="1" ht="27.75" customHeight="1" x14ac:dyDescent="0.15">
      <c r="A46" s="17">
        <v>20170107</v>
      </c>
      <c r="B46" s="19" t="s">
        <v>68</v>
      </c>
      <c r="C46" s="17" t="s">
        <v>43</v>
      </c>
      <c r="D46" s="17"/>
      <c r="E46" s="17" t="s">
        <v>67</v>
      </c>
      <c r="F46" s="17" t="s">
        <v>70</v>
      </c>
      <c r="G46" s="17" t="s">
        <v>2</v>
      </c>
      <c r="H46" s="18">
        <f>[6]副本!G84</f>
        <v>0</v>
      </c>
      <c r="I46" s="18">
        <f>H46</f>
        <v>0</v>
      </c>
      <c r="J46" s="17"/>
      <c r="K46" s="15"/>
      <c r="L46" s="16">
        <f>H46-I46</f>
        <v>0</v>
      </c>
      <c r="M46" s="15">
        <v>5000</v>
      </c>
      <c r="N46" s="14"/>
      <c r="O46" s="13"/>
      <c r="P46" s="12" t="s">
        <v>69</v>
      </c>
    </row>
    <row r="47" spans="1:16" s="11" customFormat="1" ht="27.75" customHeight="1" x14ac:dyDescent="0.15">
      <c r="A47" s="17">
        <v>20170107</v>
      </c>
      <c r="B47" s="19" t="s">
        <v>65</v>
      </c>
      <c r="C47" s="17" t="s">
        <v>63</v>
      </c>
      <c r="D47" s="17"/>
      <c r="E47" s="17" t="s">
        <v>148</v>
      </c>
      <c r="F47" s="17" t="s">
        <v>144</v>
      </c>
      <c r="G47" s="17" t="s">
        <v>2</v>
      </c>
      <c r="H47" s="18">
        <f>[6]副本!G86</f>
        <v>1988.8340000000001</v>
      </c>
      <c r="I47" s="18">
        <f>H47</f>
        <v>1988.8340000000001</v>
      </c>
      <c r="J47" s="17"/>
      <c r="K47" s="15"/>
      <c r="L47" s="16">
        <f>H47-I47</f>
        <v>0</v>
      </c>
      <c r="M47" s="15">
        <v>5000</v>
      </c>
      <c r="N47" s="14"/>
      <c r="O47" s="13"/>
      <c r="P47" s="12" t="s">
        <v>239</v>
      </c>
    </row>
    <row r="48" spans="1:16" s="11" customFormat="1" ht="27.75" customHeight="1" x14ac:dyDescent="0.15">
      <c r="A48" s="17">
        <v>20170107</v>
      </c>
      <c r="B48" s="19" t="s">
        <v>64</v>
      </c>
      <c r="C48" s="17" t="s">
        <v>63</v>
      </c>
      <c r="D48" s="17"/>
      <c r="E48" s="17"/>
      <c r="F48" s="17"/>
      <c r="G48" s="17"/>
      <c r="H48" s="18"/>
      <c r="I48" s="18"/>
      <c r="J48" s="17"/>
      <c r="K48" s="15"/>
      <c r="L48" s="16"/>
      <c r="M48" s="15">
        <v>5000</v>
      </c>
      <c r="N48" s="14"/>
      <c r="O48" s="13"/>
      <c r="P48" s="12"/>
    </row>
    <row r="49" spans="1:17" s="11" customFormat="1" ht="27.75" customHeight="1" x14ac:dyDescent="0.15">
      <c r="A49" s="17">
        <v>20170107</v>
      </c>
      <c r="B49" s="19" t="s">
        <v>62</v>
      </c>
      <c r="C49" s="17" t="s">
        <v>57</v>
      </c>
      <c r="D49" s="17"/>
      <c r="E49" s="17" t="s">
        <v>56</v>
      </c>
      <c r="F49" s="17" t="s">
        <v>61</v>
      </c>
      <c r="G49" s="17" t="s">
        <v>2</v>
      </c>
      <c r="H49" s="18">
        <f>[6]副本!G90</f>
        <v>1672.8439999999941</v>
      </c>
      <c r="I49" s="18">
        <f>H49</f>
        <v>1672.8439999999941</v>
      </c>
      <c r="J49" s="17"/>
      <c r="K49" s="16"/>
      <c r="L49" s="16">
        <f>H49-I49</f>
        <v>0</v>
      </c>
      <c r="M49" s="15">
        <v>2000</v>
      </c>
      <c r="N49" s="14"/>
      <c r="O49" s="13"/>
      <c r="P49" s="12"/>
    </row>
    <row r="50" spans="1:17" s="11" customFormat="1" ht="27.75" customHeight="1" x14ac:dyDescent="0.15">
      <c r="A50" s="17">
        <v>20170107</v>
      </c>
      <c r="B50" s="19" t="s">
        <v>60</v>
      </c>
      <c r="C50" s="17" t="s">
        <v>43</v>
      </c>
      <c r="D50" s="17" t="s">
        <v>5</v>
      </c>
      <c r="E50" s="17" t="s">
        <v>34</v>
      </c>
      <c r="F50" s="17" t="s">
        <v>48</v>
      </c>
      <c r="G50" s="17" t="s">
        <v>2</v>
      </c>
      <c r="H50" s="18">
        <f>[6]副本!G92</f>
        <v>4800.8420000000006</v>
      </c>
      <c r="I50" s="18">
        <v>0</v>
      </c>
      <c r="J50" s="17"/>
      <c r="K50" s="15"/>
      <c r="L50" s="16">
        <f>H50-I50</f>
        <v>4800.8420000000006</v>
      </c>
      <c r="M50" s="15">
        <v>10000</v>
      </c>
      <c r="N50" s="14"/>
      <c r="O50" s="13"/>
      <c r="P50" s="12"/>
    </row>
    <row r="51" spans="1:17" s="11" customFormat="1" ht="27.75" customHeight="1" x14ac:dyDescent="0.15">
      <c r="A51" s="17">
        <v>20170107</v>
      </c>
      <c r="B51" s="19" t="s">
        <v>59</v>
      </c>
      <c r="C51" s="17" t="s">
        <v>28</v>
      </c>
      <c r="D51" s="17" t="s">
        <v>5</v>
      </c>
      <c r="E51" s="17" t="s">
        <v>34</v>
      </c>
      <c r="F51" s="17" t="s">
        <v>48</v>
      </c>
      <c r="G51" s="17" t="s">
        <v>2</v>
      </c>
      <c r="H51" s="18">
        <f>[6]副本!G94</f>
        <v>7409.1850000000004</v>
      </c>
      <c r="I51" s="18">
        <f>H51-7409.185</f>
        <v>0</v>
      </c>
      <c r="J51" s="17"/>
      <c r="K51" s="15"/>
      <c r="L51" s="16">
        <v>0</v>
      </c>
      <c r="M51" s="15">
        <v>10000</v>
      </c>
      <c r="N51" s="14"/>
      <c r="O51" s="13"/>
      <c r="P51" s="12"/>
    </row>
    <row r="52" spans="1:17" s="11" customFormat="1" ht="27.75" customHeight="1" x14ac:dyDescent="0.15">
      <c r="A52" s="17">
        <v>20170107</v>
      </c>
      <c r="B52" s="19" t="s">
        <v>58</v>
      </c>
      <c r="C52" s="17" t="s">
        <v>57</v>
      </c>
      <c r="D52" s="17"/>
      <c r="E52" s="17" t="s">
        <v>56</v>
      </c>
      <c r="F52" s="17" t="s">
        <v>55</v>
      </c>
      <c r="G52" s="17" t="s">
        <v>54</v>
      </c>
      <c r="H52" s="18">
        <f>[6]副本!G96</f>
        <v>1301.6640000000082</v>
      </c>
      <c r="I52" s="18">
        <f>H52</f>
        <v>1301.6640000000082</v>
      </c>
      <c r="J52" s="17"/>
      <c r="K52" s="16"/>
      <c r="L52" s="16">
        <v>0</v>
      </c>
      <c r="M52" s="15">
        <v>5000</v>
      </c>
      <c r="N52" s="23" t="s">
        <v>53</v>
      </c>
      <c r="O52" s="22" t="s">
        <v>52</v>
      </c>
      <c r="P52" s="12" t="s">
        <v>51</v>
      </c>
    </row>
    <row r="53" spans="1:17" s="11" customFormat="1" ht="27.75" customHeight="1" x14ac:dyDescent="0.15">
      <c r="A53" s="17">
        <v>20170107</v>
      </c>
      <c r="B53" s="19" t="s">
        <v>50</v>
      </c>
      <c r="C53" s="17" t="s">
        <v>28</v>
      </c>
      <c r="D53" s="17"/>
      <c r="E53" s="17" t="s">
        <v>238</v>
      </c>
      <c r="F53" s="17" t="s">
        <v>250</v>
      </c>
      <c r="G53" s="17" t="s">
        <v>2</v>
      </c>
      <c r="H53" s="18">
        <f>[6]副本!G98</f>
        <v>1820.1190000000001</v>
      </c>
      <c r="I53" s="18">
        <f>H53</f>
        <v>1820.1190000000001</v>
      </c>
      <c r="J53" s="17"/>
      <c r="K53" s="15"/>
      <c r="L53" s="16">
        <f>H53-I53</f>
        <v>0</v>
      </c>
      <c r="M53" s="15">
        <v>3000</v>
      </c>
      <c r="N53" s="14"/>
      <c r="O53" s="13"/>
      <c r="P53" s="12" t="s">
        <v>237</v>
      </c>
    </row>
    <row r="54" spans="1:17" s="11" customFormat="1" ht="27.75" customHeight="1" x14ac:dyDescent="0.15">
      <c r="A54" s="17">
        <v>20170107</v>
      </c>
      <c r="B54" s="19" t="s">
        <v>49</v>
      </c>
      <c r="C54" s="17" t="s">
        <v>28</v>
      </c>
      <c r="D54" s="17" t="s">
        <v>5</v>
      </c>
      <c r="E54" s="17" t="s">
        <v>34</v>
      </c>
      <c r="F54" s="17" t="s">
        <v>48</v>
      </c>
      <c r="G54" s="17" t="s">
        <v>22</v>
      </c>
      <c r="H54" s="18">
        <f>[6]副本!G100</f>
        <v>17900.637999999999</v>
      </c>
      <c r="I54" s="18">
        <v>0</v>
      </c>
      <c r="J54" s="17"/>
      <c r="K54" s="15"/>
      <c r="L54" s="16">
        <f>H54-I54</f>
        <v>17900.637999999999</v>
      </c>
      <c r="M54" s="15">
        <v>25000</v>
      </c>
      <c r="N54" s="14" t="s">
        <v>47</v>
      </c>
      <c r="O54" s="13" t="s">
        <v>46</v>
      </c>
      <c r="P54" s="12" t="s">
        <v>45</v>
      </c>
    </row>
    <row r="55" spans="1:17" s="11" customFormat="1" ht="27.75" customHeight="1" x14ac:dyDescent="0.15">
      <c r="A55" s="17">
        <v>20170107</v>
      </c>
      <c r="B55" s="19" t="s">
        <v>44</v>
      </c>
      <c r="C55" s="17" t="s">
        <v>43</v>
      </c>
      <c r="D55" s="17" t="s">
        <v>5</v>
      </c>
      <c r="E55" s="17" t="s">
        <v>34</v>
      </c>
      <c r="F55" s="17" t="s">
        <v>235</v>
      </c>
      <c r="G55" s="17" t="s">
        <v>22</v>
      </c>
      <c r="H55" s="18">
        <f>[6]副本!G102</f>
        <v>15386.827000000081</v>
      </c>
      <c r="I55" s="18">
        <v>0</v>
      </c>
      <c r="J55" s="17"/>
      <c r="K55" s="15"/>
      <c r="L55" s="16">
        <f>H55-I55</f>
        <v>15386.827000000081</v>
      </c>
      <c r="M55" s="15">
        <v>50000</v>
      </c>
      <c r="N55" s="14"/>
      <c r="O55" s="13"/>
      <c r="P55" s="12"/>
    </row>
    <row r="56" spans="1:17" s="11" customFormat="1" ht="27.75" customHeight="1" x14ac:dyDescent="0.15">
      <c r="A56" s="17">
        <v>20170107</v>
      </c>
      <c r="B56" s="19" t="s">
        <v>41</v>
      </c>
      <c r="C56" s="17" t="s">
        <v>28</v>
      </c>
      <c r="D56" s="17"/>
      <c r="E56" s="17" t="s">
        <v>40</v>
      </c>
      <c r="F56" s="17" t="s">
        <v>39</v>
      </c>
      <c r="G56" s="17" t="s">
        <v>22</v>
      </c>
      <c r="H56" s="18">
        <f>[6]副本!G104</f>
        <v>52.420000000017126</v>
      </c>
      <c r="I56" s="18">
        <f>H56</f>
        <v>52.420000000017126</v>
      </c>
      <c r="J56" s="17"/>
      <c r="K56" s="15"/>
      <c r="L56" s="16">
        <f>H56-I56</f>
        <v>0</v>
      </c>
      <c r="M56" s="15">
        <v>4000</v>
      </c>
      <c r="N56" s="14"/>
      <c r="O56" s="13"/>
      <c r="P56" s="12" t="s">
        <v>38</v>
      </c>
    </row>
    <row r="57" spans="1:17" s="11" customFormat="1" ht="27.75" customHeight="1" x14ac:dyDescent="0.15">
      <c r="A57" s="17">
        <v>20170107</v>
      </c>
      <c r="B57" s="19" t="s">
        <v>41</v>
      </c>
      <c r="C57" s="17" t="s">
        <v>28</v>
      </c>
      <c r="D57" s="17"/>
      <c r="E57" s="17" t="s">
        <v>40</v>
      </c>
      <c r="F57" s="17" t="s">
        <v>71</v>
      </c>
      <c r="G57" s="17" t="s">
        <v>22</v>
      </c>
      <c r="H57" s="18">
        <f>[6]副本!G105</f>
        <v>0.23699999999999832</v>
      </c>
      <c r="I57" s="18">
        <f>H57</f>
        <v>0.23699999999999832</v>
      </c>
      <c r="J57" s="17"/>
      <c r="K57" s="15"/>
      <c r="L57" s="16"/>
      <c r="M57" s="15">
        <v>4000</v>
      </c>
      <c r="N57" s="14"/>
      <c r="O57" s="13"/>
      <c r="P57" s="12" t="s">
        <v>38</v>
      </c>
    </row>
    <row r="58" spans="1:17" s="11" customFormat="1" ht="27.75" customHeight="1" x14ac:dyDescent="0.15">
      <c r="A58" s="17">
        <v>20170107</v>
      </c>
      <c r="B58" s="19" t="s">
        <v>37</v>
      </c>
      <c r="C58" s="17" t="s">
        <v>31</v>
      </c>
      <c r="D58" s="17"/>
      <c r="E58" s="17"/>
      <c r="F58" s="17"/>
      <c r="G58" s="17"/>
      <c r="H58" s="18"/>
      <c r="I58" s="18"/>
      <c r="J58" s="17"/>
      <c r="K58" s="15"/>
      <c r="L58" s="16"/>
      <c r="M58" s="15">
        <v>37000</v>
      </c>
      <c r="N58" s="14"/>
      <c r="O58" s="13"/>
      <c r="P58" s="12"/>
    </row>
    <row r="59" spans="1:17" s="11" customFormat="1" ht="27.75" customHeight="1" x14ac:dyDescent="0.15">
      <c r="A59" s="17">
        <v>20170107</v>
      </c>
      <c r="B59" s="19" t="s">
        <v>36</v>
      </c>
      <c r="C59" s="17" t="s">
        <v>31</v>
      </c>
      <c r="D59" s="17"/>
      <c r="E59" s="17"/>
      <c r="F59" s="17"/>
      <c r="G59" s="17"/>
      <c r="H59" s="18"/>
      <c r="I59" s="17"/>
      <c r="J59" s="17"/>
      <c r="K59" s="15"/>
      <c r="L59" s="16"/>
      <c r="M59" s="15">
        <v>37000</v>
      </c>
      <c r="N59" s="14"/>
      <c r="O59" s="13"/>
      <c r="P59" s="12"/>
    </row>
    <row r="60" spans="1:17" s="11" customFormat="1" ht="27.75" customHeight="1" x14ac:dyDescent="0.15">
      <c r="A60" s="17">
        <v>20170107</v>
      </c>
      <c r="B60" s="19" t="s">
        <v>35</v>
      </c>
      <c r="C60" s="17" t="s">
        <v>28</v>
      </c>
      <c r="D60" s="17" t="s">
        <v>5</v>
      </c>
      <c r="E60" s="17" t="s">
        <v>34</v>
      </c>
      <c r="F60" s="17" t="s">
        <v>48</v>
      </c>
      <c r="G60" s="17" t="s">
        <v>22</v>
      </c>
      <c r="H60" s="18">
        <f>[6]副本!G111</f>
        <v>6957.8649999999998</v>
      </c>
      <c r="I60" s="18">
        <f>H60-6957.865</f>
        <v>0</v>
      </c>
      <c r="J60" s="17"/>
      <c r="K60" s="16"/>
      <c r="L60" s="16">
        <f>H60-I60</f>
        <v>6957.8649999999998</v>
      </c>
      <c r="M60" s="15">
        <v>10000</v>
      </c>
      <c r="N60" s="14"/>
      <c r="O60" s="13"/>
      <c r="P60" s="12"/>
      <c r="Q60" s="20"/>
    </row>
    <row r="61" spans="1:17" s="11" customFormat="1" ht="27.75" customHeight="1" x14ac:dyDescent="0.15">
      <c r="A61" s="17">
        <v>20170107</v>
      </c>
      <c r="B61" s="19" t="s">
        <v>32</v>
      </c>
      <c r="C61" s="17" t="s">
        <v>31</v>
      </c>
      <c r="D61" s="17" t="s">
        <v>5</v>
      </c>
      <c r="E61" s="17"/>
      <c r="F61" s="17"/>
      <c r="G61" s="17"/>
      <c r="H61" s="18"/>
      <c r="I61" s="18"/>
      <c r="J61" s="17"/>
      <c r="K61" s="21"/>
      <c r="L61" s="16"/>
      <c r="M61" s="15">
        <v>15000</v>
      </c>
      <c r="N61" s="14"/>
      <c r="O61" s="13"/>
      <c r="P61" s="12"/>
      <c r="Q61" s="20"/>
    </row>
    <row r="62" spans="1:17" s="11" customFormat="1" ht="27.75" customHeight="1" x14ac:dyDescent="0.15">
      <c r="A62" s="17">
        <v>20170107</v>
      </c>
      <c r="B62" s="19" t="s">
        <v>30</v>
      </c>
      <c r="C62" s="19" t="s">
        <v>28</v>
      </c>
      <c r="D62" s="17" t="s">
        <v>5</v>
      </c>
      <c r="E62" s="17" t="s">
        <v>4</v>
      </c>
      <c r="F62" s="17" t="s">
        <v>3</v>
      </c>
      <c r="G62" s="17" t="s">
        <v>22</v>
      </c>
      <c r="H62" s="18">
        <f>[6]副本!G115</f>
        <v>22552.294000000002</v>
      </c>
      <c r="I62" s="18">
        <f>H62</f>
        <v>22552.294000000002</v>
      </c>
      <c r="J62" s="17"/>
      <c r="K62" s="15"/>
      <c r="L62" s="16"/>
      <c r="M62" s="15">
        <v>40000</v>
      </c>
      <c r="N62" s="14"/>
      <c r="O62" s="13"/>
      <c r="P62" s="12" t="s">
        <v>220</v>
      </c>
      <c r="Q62" s="20"/>
    </row>
    <row r="63" spans="1:17" s="11" customFormat="1" ht="27.75" customHeight="1" x14ac:dyDescent="0.15">
      <c r="A63" s="17">
        <v>20170107</v>
      </c>
      <c r="B63" s="19" t="s">
        <v>30</v>
      </c>
      <c r="C63" s="19" t="s">
        <v>28</v>
      </c>
      <c r="D63" s="17" t="s">
        <v>5</v>
      </c>
      <c r="E63" s="17" t="s">
        <v>4</v>
      </c>
      <c r="F63" s="17" t="s">
        <v>251</v>
      </c>
      <c r="G63" s="17" t="s">
        <v>22</v>
      </c>
      <c r="H63" s="18">
        <f>[6]副本!G116</f>
        <v>838.86000000000013</v>
      </c>
      <c r="I63" s="18">
        <f>H63</f>
        <v>838.86000000000013</v>
      </c>
      <c r="J63" s="17"/>
      <c r="K63" s="15">
        <v>450</v>
      </c>
      <c r="L63" s="16"/>
      <c r="M63" s="15">
        <v>40000</v>
      </c>
      <c r="N63" s="14"/>
      <c r="O63" s="13"/>
      <c r="P63" s="12" t="s">
        <v>220</v>
      </c>
      <c r="Q63" s="20"/>
    </row>
    <row r="64" spans="1:17" s="11" customFormat="1" ht="27.75" customHeight="1" x14ac:dyDescent="0.15">
      <c r="A64" s="17">
        <v>20170107</v>
      </c>
      <c r="B64" s="19" t="s">
        <v>29</v>
      </c>
      <c r="C64" s="19" t="s">
        <v>28</v>
      </c>
      <c r="D64" s="17" t="s">
        <v>5</v>
      </c>
      <c r="E64" s="17"/>
      <c r="F64" s="17"/>
      <c r="G64" s="17"/>
      <c r="H64" s="18"/>
      <c r="I64" s="18"/>
      <c r="J64" s="17"/>
      <c r="K64" s="15"/>
      <c r="L64" s="16"/>
      <c r="M64" s="15">
        <v>40000</v>
      </c>
      <c r="N64" s="14"/>
      <c r="O64" s="13"/>
      <c r="P64" s="12"/>
      <c r="Q64" s="20"/>
    </row>
    <row r="65" spans="1:16" s="11" customFormat="1" ht="27.75" customHeight="1" x14ac:dyDescent="0.15">
      <c r="A65" s="17">
        <v>20170107</v>
      </c>
      <c r="B65" s="19" t="s">
        <v>24</v>
      </c>
      <c r="C65" s="17" t="s">
        <v>0</v>
      </c>
      <c r="D65" s="17"/>
      <c r="E65" s="17" t="s">
        <v>4</v>
      </c>
      <c r="F65" s="17" t="s">
        <v>23</v>
      </c>
      <c r="G65" s="17" t="s">
        <v>22</v>
      </c>
      <c r="H65" s="18">
        <f>[6]副本!G120</f>
        <v>1461.8069999999962</v>
      </c>
      <c r="I65" s="18">
        <f>H65-15652.787+4092.929+8666.148+2893.71</f>
        <v>1461.8069999999962</v>
      </c>
      <c r="J65" s="17"/>
      <c r="K65" s="15">
        <v>150</v>
      </c>
      <c r="L65" s="16">
        <f>H65-I65</f>
        <v>0</v>
      </c>
      <c r="M65" s="15">
        <v>20000</v>
      </c>
      <c r="N65" s="14"/>
      <c r="O65" s="13"/>
      <c r="P65" s="12" t="s">
        <v>21</v>
      </c>
    </row>
    <row r="66" spans="1:16" s="11" customFormat="1" ht="27.75" customHeight="1" x14ac:dyDescent="0.15">
      <c r="A66" s="17">
        <v>20170107</v>
      </c>
      <c r="B66" s="19" t="s">
        <v>20</v>
      </c>
      <c r="C66" s="17" t="s">
        <v>0</v>
      </c>
      <c r="D66" s="17"/>
      <c r="E66" s="17" t="s">
        <v>12</v>
      </c>
      <c r="F66" s="17" t="s">
        <v>11</v>
      </c>
      <c r="G66" s="17" t="s">
        <v>2</v>
      </c>
      <c r="H66" s="18">
        <f>[6]副本!G122</f>
        <v>20133.837999999996</v>
      </c>
      <c r="I66" s="18">
        <f>H66-4994.391</f>
        <v>15139.446999999996</v>
      </c>
      <c r="J66" s="17"/>
      <c r="K66" s="15"/>
      <c r="L66" s="16">
        <f>H66-I66</f>
        <v>4994.3909999999996</v>
      </c>
      <c r="M66" s="15">
        <v>30000</v>
      </c>
      <c r="N66" s="14"/>
      <c r="O66" s="13"/>
      <c r="P66" s="12" t="s">
        <v>236</v>
      </c>
    </row>
    <row r="67" spans="1:16" s="11" customFormat="1" ht="27.75" customHeight="1" x14ac:dyDescent="0.15">
      <c r="A67" s="17">
        <v>20170107</v>
      </c>
      <c r="B67" s="19" t="s">
        <v>18</v>
      </c>
      <c r="C67" s="17" t="s">
        <v>0</v>
      </c>
      <c r="D67" s="17" t="s">
        <v>5</v>
      </c>
      <c r="E67" s="17" t="s">
        <v>4</v>
      </c>
      <c r="F67" s="17" t="s">
        <v>17</v>
      </c>
      <c r="G67" s="17" t="s">
        <v>2</v>
      </c>
      <c r="H67" s="18">
        <f>[6]副本!G124</f>
        <v>14976.093999999999</v>
      </c>
      <c r="I67" s="18">
        <f>H67-14976.094</f>
        <v>0</v>
      </c>
      <c r="J67" s="17"/>
      <c r="K67" s="15">
        <v>200</v>
      </c>
      <c r="L67" s="16">
        <f>H67-I67</f>
        <v>14976.093999999999</v>
      </c>
      <c r="M67" s="15">
        <v>20000</v>
      </c>
      <c r="N67" s="14" t="s">
        <v>16</v>
      </c>
      <c r="O67" s="13" t="s">
        <v>15</v>
      </c>
      <c r="P67" s="12" t="s">
        <v>14</v>
      </c>
    </row>
    <row r="68" spans="1:16" s="11" customFormat="1" ht="27.75" customHeight="1" x14ac:dyDescent="0.15">
      <c r="A68" s="17">
        <v>20170107</v>
      </c>
      <c r="B68" s="19" t="s">
        <v>13</v>
      </c>
      <c r="C68" s="17" t="s">
        <v>0</v>
      </c>
      <c r="D68" s="17"/>
      <c r="E68" s="17" t="s">
        <v>12</v>
      </c>
      <c r="F68" s="17" t="s">
        <v>11</v>
      </c>
      <c r="G68" s="17" t="s">
        <v>2</v>
      </c>
      <c r="H68" s="18">
        <f>[6]副本!G126</f>
        <v>16265.741999999973</v>
      </c>
      <c r="I68" s="18">
        <f>H68</f>
        <v>16265.741999999973</v>
      </c>
      <c r="J68" s="17"/>
      <c r="K68" s="15"/>
      <c r="L68" s="16">
        <v>0</v>
      </c>
      <c r="M68" s="15">
        <v>30000</v>
      </c>
      <c r="N68" s="14"/>
      <c r="O68" s="13"/>
      <c r="P68" s="12"/>
    </row>
    <row r="69" spans="1:16" s="11" customFormat="1" ht="27.75" customHeight="1" x14ac:dyDescent="0.15">
      <c r="A69" s="17">
        <v>20170107</v>
      </c>
      <c r="B69" s="19" t="s">
        <v>10</v>
      </c>
      <c r="C69" s="17" t="s">
        <v>0</v>
      </c>
      <c r="D69" s="17"/>
      <c r="E69" s="17" t="s">
        <v>9</v>
      </c>
      <c r="F69" s="12" t="s">
        <v>8</v>
      </c>
      <c r="G69" s="17" t="s">
        <v>2</v>
      </c>
      <c r="H69" s="18">
        <f>[6]副本!G128</f>
        <v>5979.2150000000001</v>
      </c>
      <c r="I69" s="18">
        <v>0</v>
      </c>
      <c r="J69" s="17"/>
      <c r="K69" s="15"/>
      <c r="L69" s="16">
        <f>H69-I69</f>
        <v>5979.2150000000001</v>
      </c>
      <c r="M69" s="15">
        <v>20000</v>
      </c>
      <c r="N69" s="14"/>
      <c r="O69" s="13"/>
      <c r="P69" s="17"/>
    </row>
    <row r="70" spans="1:16" s="11" customFormat="1" ht="27.75" customHeight="1" x14ac:dyDescent="0.15">
      <c r="A70" s="17">
        <v>20170107</v>
      </c>
      <c r="B70" s="19" t="s">
        <v>10</v>
      </c>
      <c r="C70" s="17" t="s">
        <v>0</v>
      </c>
      <c r="D70" s="17"/>
      <c r="E70" s="17" t="s">
        <v>9</v>
      </c>
      <c r="F70" s="17" t="s">
        <v>257</v>
      </c>
      <c r="G70" s="17" t="s">
        <v>2</v>
      </c>
      <c r="H70" s="18">
        <f>[6]副本!G129</f>
        <v>6000</v>
      </c>
      <c r="I70" s="18">
        <f>H70</f>
        <v>6000</v>
      </c>
      <c r="J70" s="17"/>
      <c r="K70" s="15">
        <v>200</v>
      </c>
      <c r="L70" s="16">
        <v>0</v>
      </c>
      <c r="M70" s="15">
        <v>20000</v>
      </c>
      <c r="N70" s="14"/>
      <c r="O70" s="13"/>
      <c r="P70" s="12" t="s">
        <v>252</v>
      </c>
    </row>
    <row r="71" spans="1:16" s="11" customFormat="1" ht="27.75" customHeight="1" x14ac:dyDescent="0.15">
      <c r="A71" s="17">
        <v>20170107</v>
      </c>
      <c r="B71" s="19" t="s">
        <v>7</v>
      </c>
      <c r="C71" s="17" t="s">
        <v>0</v>
      </c>
      <c r="D71" s="17"/>
      <c r="E71" s="17"/>
      <c r="F71" s="17"/>
      <c r="G71" s="17"/>
      <c r="H71" s="18"/>
      <c r="I71" s="18"/>
      <c r="J71" s="17"/>
      <c r="K71" s="15"/>
      <c r="L71" s="16"/>
      <c r="M71" s="15">
        <v>15000</v>
      </c>
      <c r="N71" s="14"/>
      <c r="O71" s="13"/>
      <c r="P71" s="12"/>
    </row>
    <row r="72" spans="1:16" s="11" customFormat="1" ht="27.75" customHeight="1" x14ac:dyDescent="0.15">
      <c r="A72" s="17">
        <v>20170107</v>
      </c>
      <c r="B72" s="19" t="s">
        <v>6</v>
      </c>
      <c r="C72" s="17" t="s">
        <v>0</v>
      </c>
      <c r="D72" s="17" t="s">
        <v>5</v>
      </c>
      <c r="E72" s="17" t="s">
        <v>4</v>
      </c>
      <c r="F72" s="17" t="s">
        <v>3</v>
      </c>
      <c r="G72" s="17" t="s">
        <v>2</v>
      </c>
      <c r="H72" s="18">
        <f>[6]副本!G133</f>
        <v>12005.106</v>
      </c>
      <c r="I72" s="18">
        <f>H72-12005.106</f>
        <v>0</v>
      </c>
      <c r="J72" s="17"/>
      <c r="K72" s="15"/>
      <c r="L72" s="16">
        <f>H72-I72</f>
        <v>12005.106</v>
      </c>
      <c r="M72" s="15">
        <v>15000</v>
      </c>
      <c r="N72" s="14"/>
      <c r="O72" s="13"/>
      <c r="P72" s="12"/>
    </row>
    <row r="73" spans="1:16" s="11" customFormat="1" ht="27.75" customHeight="1" x14ac:dyDescent="0.15">
      <c r="A73" s="17">
        <v>20170107</v>
      </c>
      <c r="B73" s="19" t="s">
        <v>1</v>
      </c>
      <c r="C73" s="17" t="s">
        <v>0</v>
      </c>
      <c r="D73" s="17"/>
      <c r="E73" s="17"/>
      <c r="F73" s="17"/>
      <c r="G73" s="17"/>
      <c r="H73" s="18"/>
      <c r="I73" s="18"/>
      <c r="J73" s="17"/>
      <c r="K73" s="15"/>
      <c r="L73" s="16"/>
      <c r="M73" s="15">
        <v>15000</v>
      </c>
      <c r="N73" s="14"/>
      <c r="O73" s="13"/>
      <c r="P73" s="12"/>
    </row>
    <row r="79" spans="1:16" x14ac:dyDescent="0.15">
      <c r="L79" s="10"/>
    </row>
    <row r="231" spans="7:8" x14ac:dyDescent="0.15">
      <c r="G231" s="2"/>
      <c r="H231" s="2"/>
    </row>
  </sheetData>
  <autoFilter ref="B1:I73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62" activePane="bottomRight" state="frozen"/>
      <selection activeCell="G5" sqref="G5"/>
      <selection pane="topRight" activeCell="G5" sqref="G5"/>
      <selection pane="bottomLeft" activeCell="G5" sqref="G5"/>
      <selection pane="bottomRight" activeCell="F21" sqref="F21:F22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8.2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6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11" customFormat="1" ht="22.5" x14ac:dyDescent="0.15">
      <c r="A1" s="38" t="s">
        <v>254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26.25" customHeight="1" x14ac:dyDescent="0.15">
      <c r="A2" s="17">
        <v>20170108</v>
      </c>
      <c r="B2" s="19" t="s">
        <v>158</v>
      </c>
      <c r="C2" s="36" t="s">
        <v>63</v>
      </c>
      <c r="D2" s="19"/>
      <c r="E2" s="17" t="s">
        <v>141</v>
      </c>
      <c r="F2" s="17" t="s">
        <v>144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143</v>
      </c>
      <c r="O2" s="13" t="s">
        <v>124</v>
      </c>
      <c r="P2" s="12"/>
    </row>
    <row r="3" spans="1:17" s="11" customFormat="1" ht="26.25" customHeight="1" x14ac:dyDescent="0.15">
      <c r="A3" s="17">
        <v>20170108</v>
      </c>
      <c r="B3" s="19" t="s">
        <v>157</v>
      </c>
      <c r="C3" s="36" t="s">
        <v>63</v>
      </c>
      <c r="D3" s="19"/>
      <c r="E3" s="17" t="s">
        <v>156</v>
      </c>
      <c r="F3" s="17" t="s">
        <v>155</v>
      </c>
      <c r="G3" s="12" t="s">
        <v>54</v>
      </c>
      <c r="H3" s="18">
        <f>[7]副本!G5</f>
        <v>245.55599999999993</v>
      </c>
      <c r="I3" s="18">
        <f>H3-995.136+995.136</f>
        <v>245.55599999999993</v>
      </c>
      <c r="J3" s="17"/>
      <c r="K3" s="15"/>
      <c r="L3" s="16">
        <f>H3-I3</f>
        <v>0</v>
      </c>
      <c r="M3" s="15">
        <v>1500</v>
      </c>
      <c r="N3" s="14"/>
      <c r="O3" s="13"/>
      <c r="P3" s="12" t="s">
        <v>154</v>
      </c>
    </row>
    <row r="4" spans="1:17" s="11" customFormat="1" ht="26.25" customHeight="1" x14ac:dyDescent="0.15">
      <c r="A4" s="17">
        <v>20170108</v>
      </c>
      <c r="B4" s="19" t="s">
        <v>153</v>
      </c>
      <c r="C4" s="36" t="s">
        <v>63</v>
      </c>
      <c r="D4" s="19"/>
      <c r="E4" s="17" t="s">
        <v>56</v>
      </c>
      <c r="F4" s="17" t="s">
        <v>61</v>
      </c>
      <c r="G4" s="12" t="s">
        <v>54</v>
      </c>
      <c r="H4" s="18">
        <f>[7]副本!G7</f>
        <v>1865.2429999999958</v>
      </c>
      <c r="I4" s="18">
        <f>H4</f>
        <v>1865.2429999999958</v>
      </c>
      <c r="J4" s="17"/>
      <c r="K4" s="16"/>
      <c r="L4" s="16"/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26.25" customHeight="1" x14ac:dyDescent="0.15">
      <c r="A5" s="17">
        <v>20170108</v>
      </c>
      <c r="B5" s="19" t="s">
        <v>149</v>
      </c>
      <c r="C5" s="36" t="s">
        <v>63</v>
      </c>
      <c r="D5" s="17"/>
      <c r="E5" s="17" t="s">
        <v>148</v>
      </c>
      <c r="F5" s="17" t="s">
        <v>140</v>
      </c>
      <c r="G5" s="12" t="s">
        <v>54</v>
      </c>
      <c r="H5" s="18">
        <f>[7]副本!G9</f>
        <v>1801.452000000028</v>
      </c>
      <c r="I5" s="18">
        <f>H5</f>
        <v>1801.452000000028</v>
      </c>
      <c r="J5" s="17"/>
      <c r="K5" s="15"/>
      <c r="L5" s="16">
        <f>H5-I5</f>
        <v>0</v>
      </c>
      <c r="M5" s="15">
        <v>2000</v>
      </c>
      <c r="N5" s="14" t="s">
        <v>147</v>
      </c>
      <c r="O5" s="13" t="s">
        <v>124</v>
      </c>
      <c r="P5" s="12" t="s">
        <v>260</v>
      </c>
    </row>
    <row r="6" spans="1:17" s="11" customFormat="1" ht="26.25" customHeight="1" x14ac:dyDescent="0.15">
      <c r="A6" s="17">
        <v>20170108</v>
      </c>
      <c r="B6" s="19" t="s">
        <v>145</v>
      </c>
      <c r="C6" s="36" t="s">
        <v>63</v>
      </c>
      <c r="D6" s="17"/>
      <c r="E6" s="17" t="s">
        <v>141</v>
      </c>
      <c r="F6" s="17" t="s">
        <v>144</v>
      </c>
      <c r="G6" s="12" t="s">
        <v>54</v>
      </c>
      <c r="H6" s="18"/>
      <c r="I6" s="18"/>
      <c r="J6" s="17"/>
      <c r="K6" s="15"/>
      <c r="L6" s="16"/>
      <c r="M6" s="15">
        <v>3000</v>
      </c>
      <c r="N6" s="14" t="s">
        <v>143</v>
      </c>
      <c r="O6" s="13" t="s">
        <v>124</v>
      </c>
      <c r="P6" s="12"/>
      <c r="Q6" s="20"/>
    </row>
    <row r="7" spans="1:17" s="11" customFormat="1" ht="26.25" customHeight="1" x14ac:dyDescent="0.15">
      <c r="A7" s="17">
        <v>20170108</v>
      </c>
      <c r="B7" s="19" t="s">
        <v>142</v>
      </c>
      <c r="C7" s="36" t="s">
        <v>63</v>
      </c>
      <c r="D7" s="17"/>
      <c r="E7" s="17" t="s">
        <v>141</v>
      </c>
      <c r="F7" s="17" t="s">
        <v>140</v>
      </c>
      <c r="G7" s="17" t="s">
        <v>54</v>
      </c>
      <c r="H7" s="18">
        <f>[7]副本!G13</f>
        <v>2964.8449999999998</v>
      </c>
      <c r="I7" s="18">
        <f>H7</f>
        <v>2964.8449999999998</v>
      </c>
      <c r="J7" s="17"/>
      <c r="K7" s="15"/>
      <c r="L7" s="16"/>
      <c r="M7" s="15">
        <v>3000</v>
      </c>
      <c r="N7" s="14"/>
      <c r="O7" s="13"/>
      <c r="P7" s="12" t="s">
        <v>260</v>
      </c>
      <c r="Q7" s="20"/>
    </row>
    <row r="8" spans="1:17" s="11" customFormat="1" ht="26.25" customHeight="1" x14ac:dyDescent="0.15">
      <c r="A8" s="17">
        <v>20170108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26.25" customHeight="1" x14ac:dyDescent="0.15">
      <c r="A9" s="17">
        <v>20170108</v>
      </c>
      <c r="B9" s="19" t="s">
        <v>138</v>
      </c>
      <c r="C9" s="36" t="s">
        <v>31</v>
      </c>
      <c r="D9" s="17"/>
      <c r="E9" s="17" t="s">
        <v>9</v>
      </c>
      <c r="F9" s="17" t="s">
        <v>104</v>
      </c>
      <c r="G9" s="17" t="s">
        <v>54</v>
      </c>
      <c r="H9" s="17">
        <f>[7]副本!G17</f>
        <v>1322.4749999999999</v>
      </c>
      <c r="I9" s="18">
        <f>H9</f>
        <v>1322.4749999999999</v>
      </c>
      <c r="J9" s="17"/>
      <c r="K9" s="15">
        <v>70</v>
      </c>
      <c r="L9" s="16">
        <f>H9-I9</f>
        <v>0</v>
      </c>
      <c r="M9" s="15">
        <v>5000</v>
      </c>
      <c r="N9" s="14" t="s">
        <v>137</v>
      </c>
      <c r="O9" s="13" t="s">
        <v>136</v>
      </c>
      <c r="P9" s="12" t="s">
        <v>101</v>
      </c>
    </row>
    <row r="10" spans="1:17" s="11" customFormat="1" ht="26.25" customHeight="1" x14ac:dyDescent="0.15">
      <c r="A10" s="17">
        <v>20170108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[7]副本!G19</f>
        <v>1.5219999999999345</v>
      </c>
      <c r="I10" s="18">
        <f>H10</f>
        <v>1.5219999999999345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229</v>
      </c>
    </row>
    <row r="11" spans="1:17" s="11" customFormat="1" ht="26.25" customHeight="1" x14ac:dyDescent="0.15">
      <c r="A11" s="17">
        <v>20170108</v>
      </c>
      <c r="B11" s="19" t="s">
        <v>135</v>
      </c>
      <c r="C11" s="17" t="s">
        <v>63</v>
      </c>
      <c r="D11" s="17"/>
      <c r="E11" s="17" t="s">
        <v>92</v>
      </c>
      <c r="F11" s="17" t="s">
        <v>261</v>
      </c>
      <c r="G11" s="17" t="s">
        <v>54</v>
      </c>
      <c r="H11" s="18">
        <f>[7]副本!G20</f>
        <v>240.36</v>
      </c>
      <c r="I11" s="18">
        <f>H11</f>
        <v>240.36</v>
      </c>
      <c r="J11" s="17"/>
      <c r="K11" s="15"/>
      <c r="L11" s="16"/>
      <c r="M11" s="15">
        <v>1500</v>
      </c>
      <c r="N11" s="14"/>
      <c r="O11" s="13"/>
      <c r="P11" s="12" t="s">
        <v>253</v>
      </c>
    </row>
    <row r="12" spans="1:17" s="11" customFormat="1" ht="26.25" customHeight="1" x14ac:dyDescent="0.15">
      <c r="A12" s="17">
        <v>20170108</v>
      </c>
      <c r="B12" s="19" t="s">
        <v>135</v>
      </c>
      <c r="C12" s="17" t="s">
        <v>63</v>
      </c>
      <c r="D12" s="17"/>
      <c r="E12" s="17" t="s">
        <v>92</v>
      </c>
      <c r="F12" s="17" t="s">
        <v>91</v>
      </c>
      <c r="G12" s="17" t="s">
        <v>54</v>
      </c>
      <c r="H12" s="18">
        <f>[7]副本!G21</f>
        <v>1000</v>
      </c>
      <c r="I12" s="18">
        <f>H12</f>
        <v>1000</v>
      </c>
      <c r="J12" s="17"/>
      <c r="K12" s="15"/>
      <c r="L12" s="16"/>
      <c r="M12" s="15">
        <v>1500</v>
      </c>
      <c r="N12" s="14"/>
      <c r="O12" s="13"/>
      <c r="P12" s="12" t="s">
        <v>253</v>
      </c>
    </row>
    <row r="13" spans="1:17" s="11" customFormat="1" ht="26.25" customHeight="1" x14ac:dyDescent="0.15">
      <c r="A13" s="17">
        <v>20170108</v>
      </c>
      <c r="B13" s="19" t="s">
        <v>134</v>
      </c>
      <c r="C13" s="17" t="s">
        <v>63</v>
      </c>
      <c r="D13" s="17"/>
      <c r="E13" s="17" t="s">
        <v>116</v>
      </c>
      <c r="F13" s="17" t="s">
        <v>256</v>
      </c>
      <c r="G13" s="17" t="s">
        <v>54</v>
      </c>
      <c r="H13" s="18">
        <f>[7]副本!G23</f>
        <v>1502.1479999999999</v>
      </c>
      <c r="I13" s="18">
        <f>H13</f>
        <v>1502.1479999999999</v>
      </c>
      <c r="J13" s="17"/>
      <c r="K13" s="15"/>
      <c r="L13" s="16"/>
      <c r="M13" s="15">
        <v>1500</v>
      </c>
      <c r="N13" s="14"/>
      <c r="O13" s="13"/>
      <c r="P13" s="12"/>
    </row>
    <row r="14" spans="1:17" s="11" customFormat="1" ht="26.25" customHeight="1" x14ac:dyDescent="0.15">
      <c r="A14" s="17">
        <v>20170108</v>
      </c>
      <c r="B14" s="19" t="s">
        <v>133</v>
      </c>
      <c r="C14" s="36" t="s">
        <v>28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  <c r="Q14" s="20"/>
    </row>
    <row r="15" spans="1:17" s="11" customFormat="1" ht="26.25" customHeight="1" x14ac:dyDescent="0.15">
      <c r="A15" s="17">
        <v>20170108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26.25" customHeight="1" x14ac:dyDescent="0.15">
      <c r="A16" s="17">
        <v>20170108</v>
      </c>
      <c r="B16" s="19" t="s">
        <v>131</v>
      </c>
      <c r="C16" s="36" t="s">
        <v>63</v>
      </c>
      <c r="D16" s="17"/>
      <c r="E16" s="17" t="s">
        <v>92</v>
      </c>
      <c r="F16" s="17" t="s">
        <v>232</v>
      </c>
      <c r="G16" s="17" t="s">
        <v>54</v>
      </c>
      <c r="H16" s="18">
        <f>[7]副本!G29</f>
        <v>1348.537</v>
      </c>
      <c r="I16" s="18">
        <f>H16</f>
        <v>1348.537</v>
      </c>
      <c r="J16" s="17"/>
      <c r="K16" s="15">
        <v>50</v>
      </c>
      <c r="L16" s="16"/>
      <c r="M16" s="15">
        <v>1500</v>
      </c>
      <c r="N16" s="14"/>
      <c r="O16" s="13"/>
      <c r="P16" s="12" t="s">
        <v>228</v>
      </c>
    </row>
    <row r="17" spans="1:17" s="11" customFormat="1" ht="26.25" customHeight="1" x14ac:dyDescent="0.15">
      <c r="A17" s="17">
        <v>20170108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</v>
      </c>
      <c r="H17" s="18">
        <f>[7]副本!G31-H18</f>
        <v>9402.2470000000176</v>
      </c>
      <c r="I17" s="18">
        <f>H17</f>
        <v>9402.2470000000176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124</v>
      </c>
      <c r="P17" s="12" t="s">
        <v>130</v>
      </c>
    </row>
    <row r="18" spans="1:17" s="11" customFormat="1" ht="26.25" customHeight="1" x14ac:dyDescent="0.15">
      <c r="A18" s="17">
        <v>20170108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 t="s">
        <v>2</v>
      </c>
      <c r="H18" s="18">
        <f>[7]副本!G33</f>
        <v>6995.7529999999824</v>
      </c>
      <c r="I18" s="18">
        <f>H18</f>
        <v>6995.7529999999824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244</v>
      </c>
    </row>
    <row r="19" spans="1:17" s="11" customFormat="1" ht="26.25" customHeight="1" x14ac:dyDescent="0.15">
      <c r="A19" s="17">
        <v>20170108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26.25" customHeight="1" x14ac:dyDescent="0.15">
      <c r="A20" s="17">
        <v>20170108</v>
      </c>
      <c r="B20" s="19" t="s">
        <v>126</v>
      </c>
      <c r="C20" s="36" t="s">
        <v>63</v>
      </c>
      <c r="D20" s="17"/>
      <c r="E20" s="17"/>
      <c r="F20" s="17"/>
      <c r="G20" s="17"/>
      <c r="H20" s="18"/>
      <c r="I20" s="18"/>
      <c r="J20" s="17"/>
      <c r="K20" s="15"/>
      <c r="L20" s="16"/>
      <c r="M20" s="15">
        <v>3000</v>
      </c>
      <c r="N20" s="14"/>
      <c r="O20" s="13"/>
      <c r="P20" s="12"/>
    </row>
    <row r="21" spans="1:17" s="11" customFormat="1" ht="26.25" customHeight="1" x14ac:dyDescent="0.15">
      <c r="A21" s="17">
        <v>20170108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</v>
      </c>
      <c r="H21" s="18">
        <f>[7]副本!G39-'20170108'!H22</f>
        <v>15813.537428000036</v>
      </c>
      <c r="I21" s="18">
        <f>H21</f>
        <v>15813.537428000036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124</v>
      </c>
      <c r="P21" s="12" t="s">
        <v>123</v>
      </c>
    </row>
    <row r="22" spans="1:17" s="11" customFormat="1" ht="26.25" customHeight="1" x14ac:dyDescent="0.15">
      <c r="A22" s="17">
        <v>20170108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 t="s">
        <v>2</v>
      </c>
      <c r="H22" s="18">
        <f>[7]副本!G41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243</v>
      </c>
    </row>
    <row r="23" spans="1:17" s="11" customFormat="1" ht="26.25" customHeight="1" x14ac:dyDescent="0.15">
      <c r="A23" s="17">
        <v>20170108</v>
      </c>
      <c r="B23" s="19" t="s">
        <v>117</v>
      </c>
      <c r="C23" s="36" t="s">
        <v>63</v>
      </c>
      <c r="D23" s="17"/>
      <c r="E23" s="17" t="s">
        <v>116</v>
      </c>
      <c r="F23" s="17" t="s">
        <v>115</v>
      </c>
      <c r="G23" s="17" t="s">
        <v>2</v>
      </c>
      <c r="H23" s="18">
        <f>[7]副本!G43</f>
        <v>2811.9959999999996</v>
      </c>
      <c r="I23" s="18">
        <f>H23</f>
        <v>2811.9959999999996</v>
      </c>
      <c r="J23" s="17"/>
      <c r="K23" s="15">
        <v>200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26.25" customHeight="1" x14ac:dyDescent="0.15">
      <c r="A24" s="17">
        <v>20170108</v>
      </c>
      <c r="B24" s="19" t="s">
        <v>113</v>
      </c>
      <c r="C24" s="36" t="s">
        <v>0</v>
      </c>
      <c r="D24" s="17"/>
      <c r="E24" s="12"/>
      <c r="F24" s="17"/>
      <c r="G24" s="17"/>
      <c r="H24" s="18"/>
      <c r="I24" s="18"/>
      <c r="J24" s="17"/>
      <c r="K24" s="15"/>
      <c r="L24" s="16"/>
      <c r="M24" s="15">
        <v>5000</v>
      </c>
      <c r="N24" s="14"/>
      <c r="O24" s="13"/>
      <c r="P24" s="37"/>
    </row>
    <row r="25" spans="1:17" s="11" customFormat="1" ht="26.25" customHeight="1" x14ac:dyDescent="0.15">
      <c r="A25" s="17">
        <v>20170108</v>
      </c>
      <c r="B25" s="19" t="s">
        <v>226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26.25" customHeight="1" x14ac:dyDescent="0.15">
      <c r="A26" s="17">
        <v>20170108</v>
      </c>
      <c r="B26" s="19" t="s">
        <v>109</v>
      </c>
      <c r="C26" s="36" t="s">
        <v>63</v>
      </c>
      <c r="D26" s="17"/>
      <c r="E26" s="17" t="s">
        <v>108</v>
      </c>
      <c r="F26" s="17" t="s">
        <v>264</v>
      </c>
      <c r="G26" s="17" t="s">
        <v>2</v>
      </c>
      <c r="H26" s="18">
        <f>[7]副本!G49</f>
        <v>379.40100000004281</v>
      </c>
      <c r="I26" s="18">
        <f>H26</f>
        <v>379.40100000004281</v>
      </c>
      <c r="J26" s="17"/>
      <c r="K26" s="15"/>
      <c r="L26" s="16">
        <f>H26-I26</f>
        <v>0</v>
      </c>
      <c r="M26" s="15">
        <v>4000</v>
      </c>
      <c r="N26" s="14" t="s">
        <v>47</v>
      </c>
      <c r="O26" s="13" t="s">
        <v>46</v>
      </c>
      <c r="P26" s="12"/>
    </row>
    <row r="27" spans="1:17" s="11" customFormat="1" ht="26.25" customHeight="1" x14ac:dyDescent="0.15">
      <c r="A27" s="17">
        <v>20170108</v>
      </c>
      <c r="B27" s="19" t="s">
        <v>106</v>
      </c>
      <c r="C27" s="36" t="s">
        <v>105</v>
      </c>
      <c r="D27" s="17"/>
      <c r="E27" s="17" t="s">
        <v>9</v>
      </c>
      <c r="F27" s="17" t="s">
        <v>104</v>
      </c>
      <c r="G27" s="17" t="s">
        <v>2</v>
      </c>
      <c r="H27" s="18">
        <f>[7]副本!G51</f>
        <v>272.52499999999998</v>
      </c>
      <c r="I27" s="18">
        <f>H27</f>
        <v>272.52499999999998</v>
      </c>
      <c r="J27" s="17"/>
      <c r="K27" s="15"/>
      <c r="L27" s="16">
        <f>H27-I27</f>
        <v>0</v>
      </c>
      <c r="M27" s="15">
        <v>5000</v>
      </c>
      <c r="N27" s="14" t="s">
        <v>225</v>
      </c>
      <c r="O27" s="13" t="s">
        <v>102</v>
      </c>
      <c r="P27" s="12" t="s">
        <v>101</v>
      </c>
    </row>
    <row r="28" spans="1:17" s="11" customFormat="1" ht="26.25" customHeight="1" x14ac:dyDescent="0.15">
      <c r="A28" s="17">
        <v>20170108</v>
      </c>
      <c r="B28" s="19" t="s">
        <v>100</v>
      </c>
      <c r="C28" s="36" t="s">
        <v>96</v>
      </c>
      <c r="D28" s="17"/>
      <c r="E28" s="17"/>
      <c r="F28" s="17"/>
      <c r="G28" s="17"/>
      <c r="H28" s="18"/>
      <c r="I28" s="18"/>
      <c r="J28" s="17"/>
      <c r="K28" s="15"/>
      <c r="L28" s="16"/>
      <c r="M28" s="15">
        <v>2000</v>
      </c>
      <c r="N28" s="14"/>
      <c r="O28" s="13"/>
      <c r="P28" s="12"/>
    </row>
    <row r="29" spans="1:17" s="11" customFormat="1" ht="26.25" customHeight="1" x14ac:dyDescent="0.15">
      <c r="A29" s="17">
        <v>20170108</v>
      </c>
      <c r="B29" s="19" t="s">
        <v>224</v>
      </c>
      <c r="C29" s="36" t="s">
        <v>96</v>
      </c>
      <c r="D29" s="17"/>
      <c r="E29" s="17" t="s">
        <v>67</v>
      </c>
      <c r="F29" s="17" t="s">
        <v>39</v>
      </c>
      <c r="G29" s="17" t="s">
        <v>2</v>
      </c>
      <c r="H29" s="18">
        <f>[7]副本!G55</f>
        <v>1099.9159999999999</v>
      </c>
      <c r="I29" s="18">
        <f>H29</f>
        <v>1099.9159999999999</v>
      </c>
      <c r="J29" s="17"/>
      <c r="K29" s="15"/>
      <c r="L29" s="16">
        <f>H29-I29</f>
        <v>0</v>
      </c>
      <c r="M29" s="15">
        <v>1500</v>
      </c>
      <c r="N29" s="14"/>
      <c r="O29" s="13"/>
      <c r="P29" s="12" t="s">
        <v>240</v>
      </c>
    </row>
    <row r="30" spans="1:17" s="11" customFormat="1" ht="26.25" customHeight="1" x14ac:dyDescent="0.15">
      <c r="A30" s="17">
        <v>20170108</v>
      </c>
      <c r="B30" s="19" t="s">
        <v>98</v>
      </c>
      <c r="C30" s="36" t="s">
        <v>96</v>
      </c>
      <c r="D30" s="17"/>
      <c r="E30" s="17"/>
      <c r="F30" s="17"/>
      <c r="G30" s="17"/>
      <c r="H30" s="18"/>
      <c r="I30" s="18"/>
      <c r="J30" s="17"/>
      <c r="K30" s="15"/>
      <c r="L30" s="16">
        <f>H30-I30</f>
        <v>0</v>
      </c>
      <c r="M30" s="15">
        <v>1500</v>
      </c>
      <c r="N30" s="14"/>
      <c r="O30" s="13"/>
      <c r="P30" s="12"/>
      <c r="Q30" s="20"/>
    </row>
    <row r="31" spans="1:17" s="11" customFormat="1" ht="26.25" customHeight="1" x14ac:dyDescent="0.15">
      <c r="A31" s="17">
        <v>20170108</v>
      </c>
      <c r="B31" s="19" t="s">
        <v>97</v>
      </c>
      <c r="C31" s="36" t="s">
        <v>96</v>
      </c>
      <c r="D31" s="17"/>
      <c r="E31" s="17" t="s">
        <v>67</v>
      </c>
      <c r="F31" s="17" t="s">
        <v>39</v>
      </c>
      <c r="G31" s="17" t="s">
        <v>2</v>
      </c>
      <c r="H31" s="18">
        <f>[7]副本!G59</f>
        <v>1098.2449999999999</v>
      </c>
      <c r="I31" s="18">
        <f>H31</f>
        <v>1098.2449999999999</v>
      </c>
      <c r="J31" s="17"/>
      <c r="K31" s="15"/>
      <c r="L31" s="16">
        <f>H31-I31</f>
        <v>0</v>
      </c>
      <c r="M31" s="15">
        <v>1500</v>
      </c>
      <c r="N31" s="14"/>
      <c r="O31" s="13"/>
      <c r="P31" s="12" t="s">
        <v>240</v>
      </c>
    </row>
    <row r="32" spans="1:17" s="11" customFormat="1" ht="26.25" customHeight="1" x14ac:dyDescent="0.15">
      <c r="A32" s="17">
        <v>20170108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26.25" customHeight="1" x14ac:dyDescent="0.15">
      <c r="A33" s="17">
        <v>20170108</v>
      </c>
      <c r="B33" s="19" t="s">
        <v>93</v>
      </c>
      <c r="C33" s="36" t="s">
        <v>57</v>
      </c>
      <c r="D33" s="17"/>
      <c r="E33" s="17" t="s">
        <v>92</v>
      </c>
      <c r="F33" s="17" t="s">
        <v>91</v>
      </c>
      <c r="G33" s="17"/>
      <c r="H33" s="17">
        <f>[7]副本!G63</f>
        <v>704.5160000000003</v>
      </c>
      <c r="I33" s="18">
        <f>H33-1035.099+1035.099</f>
        <v>704.5160000000003</v>
      </c>
      <c r="J33" s="17"/>
      <c r="K33" s="15">
        <v>20</v>
      </c>
      <c r="L33" s="16">
        <f>H33-I33</f>
        <v>0</v>
      </c>
      <c r="M33" s="15">
        <v>2000</v>
      </c>
      <c r="N33" s="14"/>
      <c r="O33" s="13"/>
      <c r="P33" s="12" t="s">
        <v>259</v>
      </c>
    </row>
    <row r="34" spans="1:16" s="11" customFormat="1" ht="26.25" customHeight="1" x14ac:dyDescent="0.15">
      <c r="A34" s="17">
        <v>20170108</v>
      </c>
      <c r="B34" s="19" t="s">
        <v>89</v>
      </c>
      <c r="C34" s="36" t="s">
        <v>63</v>
      </c>
      <c r="D34" s="17" t="s">
        <v>88</v>
      </c>
      <c r="E34" s="17" t="s">
        <v>87</v>
      </c>
      <c r="F34" s="17" t="s">
        <v>233</v>
      </c>
      <c r="G34" s="17" t="s">
        <v>54</v>
      </c>
      <c r="H34" s="18">
        <f>[7]副本!G65</f>
        <v>755.06299999999987</v>
      </c>
      <c r="I34" s="18">
        <f>H34-1037.023+500+537.023</f>
        <v>755.06299999999999</v>
      </c>
      <c r="J34" s="17"/>
      <c r="K34" s="15">
        <v>70</v>
      </c>
      <c r="L34" s="16">
        <f>H34-I34</f>
        <v>0</v>
      </c>
      <c r="M34" s="15">
        <v>3000</v>
      </c>
      <c r="N34" s="14"/>
      <c r="O34" s="13"/>
      <c r="P34" s="24" t="s">
        <v>222</v>
      </c>
    </row>
    <row r="35" spans="1:16" s="11" customFormat="1" ht="26.25" customHeight="1" x14ac:dyDescent="0.15">
      <c r="A35" s="17">
        <v>20170108</v>
      </c>
      <c r="B35" s="19" t="s">
        <v>85</v>
      </c>
      <c r="C35" s="36" t="s">
        <v>63</v>
      </c>
      <c r="D35" s="17" t="s">
        <v>5</v>
      </c>
      <c r="E35" s="17" t="s">
        <v>84</v>
      </c>
      <c r="F35" s="17" t="s">
        <v>81</v>
      </c>
      <c r="G35" s="17" t="s">
        <v>54</v>
      </c>
      <c r="H35" s="18">
        <f>[7]副本!G67</f>
        <v>524.06799999999998</v>
      </c>
      <c r="I35" s="18">
        <f>H35</f>
        <v>524.06799999999998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242</v>
      </c>
    </row>
    <row r="36" spans="1:16" s="11" customFormat="1" ht="26.25" customHeight="1" x14ac:dyDescent="0.15">
      <c r="A36" s="17">
        <v>20170108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26.25" customHeight="1" x14ac:dyDescent="0.15">
      <c r="A37" s="17">
        <v>20170108</v>
      </c>
      <c r="B37" s="19" t="s">
        <v>79</v>
      </c>
      <c r="C37" s="36" t="s">
        <v>57</v>
      </c>
      <c r="D37" s="17" t="s">
        <v>5</v>
      </c>
      <c r="E37" s="17" t="s">
        <v>78</v>
      </c>
      <c r="F37" s="17" t="s">
        <v>81</v>
      </c>
      <c r="G37" s="17" t="s">
        <v>2</v>
      </c>
      <c r="H37" s="18">
        <f>[7]副本!G71</f>
        <v>1701.8010000000522</v>
      </c>
      <c r="I37" s="18">
        <f>H37-955.747+477.874+477.873-1042.865-2628.137+500+542.865+2102.57+525.567-499.112-3147.566+2100+525+525+496.678-2617.899+1574.891</f>
        <v>658.79300000005242</v>
      </c>
      <c r="J37" s="17"/>
      <c r="K37" s="15"/>
      <c r="L37" s="16">
        <f>H37-I37</f>
        <v>1043.0079999999998</v>
      </c>
      <c r="M37" s="15">
        <v>5000</v>
      </c>
      <c r="N37" s="14"/>
      <c r="O37" s="13"/>
      <c r="P37" s="12" t="s">
        <v>241</v>
      </c>
    </row>
    <row r="38" spans="1:16" s="11" customFormat="1" ht="26.25" customHeight="1" x14ac:dyDescent="0.15">
      <c r="A38" s="17">
        <v>20170108</v>
      </c>
      <c r="B38" s="19" t="s">
        <v>79</v>
      </c>
      <c r="C38" s="36" t="s">
        <v>57</v>
      </c>
      <c r="D38" s="17" t="s">
        <v>5</v>
      </c>
      <c r="E38" s="17" t="s">
        <v>78</v>
      </c>
      <c r="F38" s="17" t="s">
        <v>77</v>
      </c>
      <c r="G38" s="17"/>
      <c r="H38" s="18">
        <f>[7]副本!G72</f>
        <v>2.6340000000004693</v>
      </c>
      <c r="I38" s="18">
        <f>H38</f>
        <v>2.6340000000004693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76</v>
      </c>
    </row>
    <row r="39" spans="1:16" s="11" customFormat="1" ht="26.25" customHeight="1" x14ac:dyDescent="0.15">
      <c r="A39" s="17">
        <v>20170108</v>
      </c>
      <c r="B39" s="19" t="s">
        <v>74</v>
      </c>
      <c r="C39" s="36" t="s">
        <v>28</v>
      </c>
      <c r="D39" s="17"/>
      <c r="E39" s="17" t="s">
        <v>67</v>
      </c>
      <c r="F39" s="17" t="s">
        <v>39</v>
      </c>
      <c r="G39" s="17" t="s">
        <v>2</v>
      </c>
      <c r="H39" s="18">
        <f>[7]副本!G74</f>
        <v>1001.9439999999975</v>
      </c>
      <c r="I39" s="18">
        <f>H39</f>
        <v>1001.9439999999975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75</v>
      </c>
    </row>
    <row r="40" spans="1:16" s="11" customFormat="1" ht="26.25" customHeight="1" x14ac:dyDescent="0.15">
      <c r="A40" s="17">
        <v>20170108</v>
      </c>
      <c r="B40" s="19" t="s">
        <v>74</v>
      </c>
      <c r="C40" s="36" t="s">
        <v>28</v>
      </c>
      <c r="D40" s="17"/>
      <c r="E40" s="17" t="s">
        <v>67</v>
      </c>
      <c r="F40" s="17" t="s">
        <v>71</v>
      </c>
      <c r="G40" s="17"/>
      <c r="H40" s="18">
        <f>[7]副本!G75</f>
        <v>301.88300000000015</v>
      </c>
      <c r="I40" s="18">
        <f>H40</f>
        <v>301.88300000000015</v>
      </c>
      <c r="J40" s="17"/>
      <c r="K40" s="15"/>
      <c r="L40" s="16"/>
      <c r="M40" s="15">
        <v>4000</v>
      </c>
      <c r="N40" s="14"/>
      <c r="O40" s="13"/>
      <c r="P40" s="12" t="s">
        <v>240</v>
      </c>
    </row>
    <row r="41" spans="1:16" s="11" customFormat="1" ht="26.25" customHeight="1" x14ac:dyDescent="0.15">
      <c r="A41" s="17">
        <v>20170108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26.25" customHeight="1" x14ac:dyDescent="0.15">
      <c r="A42" s="17">
        <v>20170108</v>
      </c>
      <c r="B42" s="19" t="s">
        <v>72</v>
      </c>
      <c r="C42" s="36" t="s">
        <v>43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26.25" customHeight="1" x14ac:dyDescent="0.15">
      <c r="A43" s="17">
        <v>20170108</v>
      </c>
      <c r="B43" s="19" t="s">
        <v>68</v>
      </c>
      <c r="C43" s="36" t="s">
        <v>43</v>
      </c>
      <c r="D43" s="17"/>
      <c r="E43" s="17" t="s">
        <v>67</v>
      </c>
      <c r="F43" s="17" t="s">
        <v>39</v>
      </c>
      <c r="G43" s="17" t="s">
        <v>2</v>
      </c>
      <c r="H43" s="18">
        <f>[7]副本!G82</f>
        <v>2692.5909999999994</v>
      </c>
      <c r="I43" s="18">
        <f>H43</f>
        <v>2692.5909999999994</v>
      </c>
      <c r="J43" s="17"/>
      <c r="K43" s="15"/>
      <c r="L43" s="16">
        <f>H43-I43</f>
        <v>0</v>
      </c>
      <c r="M43" s="15">
        <v>5000</v>
      </c>
      <c r="N43" s="14"/>
      <c r="O43" s="13"/>
      <c r="P43" s="12" t="s">
        <v>258</v>
      </c>
    </row>
    <row r="44" spans="1:16" s="11" customFormat="1" ht="26.25" customHeight="1" x14ac:dyDescent="0.15">
      <c r="A44" s="17">
        <v>20170108</v>
      </c>
      <c r="B44" s="19" t="s">
        <v>65</v>
      </c>
      <c r="C44" s="36" t="s">
        <v>63</v>
      </c>
      <c r="D44" s="17"/>
      <c r="E44" s="17" t="s">
        <v>148</v>
      </c>
      <c r="F44" s="17" t="s">
        <v>144</v>
      </c>
      <c r="G44" s="17" t="s">
        <v>2</v>
      </c>
      <c r="H44" s="18">
        <f>[7]副本!G86</f>
        <v>1988.8340000000001</v>
      </c>
      <c r="I44" s="18">
        <f>H44</f>
        <v>1988.8340000000001</v>
      </c>
      <c r="J44" s="17"/>
      <c r="K44" s="15"/>
      <c r="L44" s="16">
        <f>H44-I44</f>
        <v>0</v>
      </c>
      <c r="M44" s="15">
        <v>5000</v>
      </c>
      <c r="N44" s="14"/>
      <c r="O44" s="13"/>
      <c r="P44" s="12" t="s">
        <v>239</v>
      </c>
    </row>
    <row r="45" spans="1:16" s="11" customFormat="1" ht="26.25" customHeight="1" x14ac:dyDescent="0.15">
      <c r="A45" s="17">
        <v>20170108</v>
      </c>
      <c r="B45" s="19" t="s">
        <v>64</v>
      </c>
      <c r="C45" s="36" t="s">
        <v>63</v>
      </c>
      <c r="D45" s="17"/>
      <c r="E45" s="17"/>
      <c r="F45" s="17"/>
      <c r="G45" s="17"/>
      <c r="H45" s="18"/>
      <c r="I45" s="18"/>
      <c r="J45" s="17"/>
      <c r="K45" s="15"/>
      <c r="L45" s="16"/>
      <c r="M45" s="15">
        <v>5000</v>
      </c>
      <c r="N45" s="14"/>
      <c r="O45" s="13"/>
      <c r="P45" s="12"/>
    </row>
    <row r="46" spans="1:16" s="11" customFormat="1" ht="26.25" customHeight="1" x14ac:dyDescent="0.15">
      <c r="A46" s="17">
        <v>20170108</v>
      </c>
      <c r="B46" s="19" t="s">
        <v>62</v>
      </c>
      <c r="C46" s="36" t="s">
        <v>57</v>
      </c>
      <c r="D46" s="17"/>
      <c r="E46" s="17" t="s">
        <v>56</v>
      </c>
      <c r="F46" s="17" t="s">
        <v>61</v>
      </c>
      <c r="G46" s="17" t="s">
        <v>2</v>
      </c>
      <c r="H46" s="18">
        <f>[7]副本!G90</f>
        <v>1672.8439999999941</v>
      </c>
      <c r="I46" s="18">
        <f>H46</f>
        <v>1672.8439999999941</v>
      </c>
      <c r="J46" s="17"/>
      <c r="K46" s="16"/>
      <c r="L46" s="16">
        <f>H46-I46</f>
        <v>0</v>
      </c>
      <c r="M46" s="15">
        <v>2000</v>
      </c>
      <c r="N46" s="14"/>
      <c r="O46" s="13"/>
      <c r="P46" s="12"/>
    </row>
    <row r="47" spans="1:16" s="11" customFormat="1" ht="26.25" customHeight="1" x14ac:dyDescent="0.15">
      <c r="A47" s="17">
        <v>20170108</v>
      </c>
      <c r="B47" s="19" t="s">
        <v>60</v>
      </c>
      <c r="C47" s="36" t="s">
        <v>43</v>
      </c>
      <c r="D47" s="17" t="s">
        <v>5</v>
      </c>
      <c r="E47" s="17" t="s">
        <v>34</v>
      </c>
      <c r="F47" s="17" t="s">
        <v>48</v>
      </c>
      <c r="G47" s="17" t="s">
        <v>2</v>
      </c>
      <c r="H47" s="18">
        <f>[7]副本!G92</f>
        <v>4800.8420000000006</v>
      </c>
      <c r="I47" s="18">
        <v>0</v>
      </c>
      <c r="J47" s="17"/>
      <c r="K47" s="15"/>
      <c r="L47" s="16">
        <f>H47-I47</f>
        <v>4800.8420000000006</v>
      </c>
      <c r="M47" s="15">
        <v>10000</v>
      </c>
      <c r="N47" s="14"/>
      <c r="O47" s="13"/>
      <c r="P47" s="12"/>
    </row>
    <row r="48" spans="1:16" s="11" customFormat="1" ht="26.25" customHeight="1" x14ac:dyDescent="0.15">
      <c r="A48" s="17">
        <v>20170108</v>
      </c>
      <c r="B48" s="19" t="s">
        <v>59</v>
      </c>
      <c r="C48" s="36" t="s">
        <v>28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[7]副本!G94</f>
        <v>7409.1850000000004</v>
      </c>
      <c r="I48" s="18">
        <f>H48-7409.185</f>
        <v>0</v>
      </c>
      <c r="J48" s="17"/>
      <c r="K48" s="15"/>
      <c r="L48" s="16">
        <v>0</v>
      </c>
      <c r="M48" s="15">
        <v>10000</v>
      </c>
      <c r="N48" s="14"/>
      <c r="O48" s="13"/>
      <c r="P48" s="12"/>
    </row>
    <row r="49" spans="1:17" s="11" customFormat="1" ht="26.25" customHeight="1" x14ac:dyDescent="0.15">
      <c r="A49" s="17">
        <v>20170108</v>
      </c>
      <c r="B49" s="19" t="s">
        <v>58</v>
      </c>
      <c r="C49" s="36" t="s">
        <v>57</v>
      </c>
      <c r="D49" s="17"/>
      <c r="E49" s="17" t="s">
        <v>56</v>
      </c>
      <c r="F49" s="17" t="s">
        <v>55</v>
      </c>
      <c r="G49" s="17" t="s">
        <v>54</v>
      </c>
      <c r="H49" s="18">
        <f>[7]副本!G96</f>
        <v>1163.9040000000082</v>
      </c>
      <c r="I49" s="18">
        <f>H49</f>
        <v>1163.9040000000082</v>
      </c>
      <c r="J49" s="17"/>
      <c r="K49" s="16"/>
      <c r="L49" s="16">
        <v>0</v>
      </c>
      <c r="M49" s="15">
        <v>5000</v>
      </c>
      <c r="N49" s="23" t="s">
        <v>53</v>
      </c>
      <c r="O49" s="22" t="s">
        <v>52</v>
      </c>
      <c r="P49" s="12" t="s">
        <v>51</v>
      </c>
    </row>
    <row r="50" spans="1:17" s="11" customFormat="1" ht="26.25" customHeight="1" x14ac:dyDescent="0.15">
      <c r="A50" s="17">
        <v>20170108</v>
      </c>
      <c r="B50" s="19" t="s">
        <v>50</v>
      </c>
      <c r="C50" s="36" t="s">
        <v>28</v>
      </c>
      <c r="D50" s="17"/>
      <c r="E50" s="17" t="s">
        <v>238</v>
      </c>
      <c r="F50" s="17" t="s">
        <v>250</v>
      </c>
      <c r="G50" s="17" t="s">
        <v>2</v>
      </c>
      <c r="H50" s="18">
        <f>[7]副本!G98</f>
        <v>1392.3589999999999</v>
      </c>
      <c r="I50" s="18">
        <f>H50</f>
        <v>1392.3589999999999</v>
      </c>
      <c r="J50" s="17"/>
      <c r="K50" s="15"/>
      <c r="L50" s="16">
        <f>H50-I50</f>
        <v>0</v>
      </c>
      <c r="M50" s="15">
        <v>3000</v>
      </c>
      <c r="N50" s="14"/>
      <c r="O50" s="13"/>
      <c r="P50" s="12" t="s">
        <v>237</v>
      </c>
    </row>
    <row r="51" spans="1:17" s="11" customFormat="1" ht="26.25" customHeight="1" x14ac:dyDescent="0.15">
      <c r="A51" s="17">
        <v>20170108</v>
      </c>
      <c r="B51" s="19" t="s">
        <v>49</v>
      </c>
      <c r="C51" s="36" t="s">
        <v>28</v>
      </c>
      <c r="D51" s="17" t="s">
        <v>5</v>
      </c>
      <c r="E51" s="17" t="s">
        <v>34</v>
      </c>
      <c r="F51" s="17" t="s">
        <v>48</v>
      </c>
      <c r="G51" s="17" t="s">
        <v>22</v>
      </c>
      <c r="H51" s="18">
        <f>[7]副本!G100</f>
        <v>17900.637999999999</v>
      </c>
      <c r="I51" s="18">
        <v>0</v>
      </c>
      <c r="J51" s="17"/>
      <c r="K51" s="15"/>
      <c r="L51" s="16">
        <f>H51-I51</f>
        <v>17900.637999999999</v>
      </c>
      <c r="M51" s="15">
        <v>25000</v>
      </c>
      <c r="N51" s="14" t="s">
        <v>47</v>
      </c>
      <c r="O51" s="13" t="s">
        <v>46</v>
      </c>
      <c r="P51" s="12" t="s">
        <v>45</v>
      </c>
    </row>
    <row r="52" spans="1:17" s="11" customFormat="1" ht="26.25" customHeight="1" x14ac:dyDescent="0.15">
      <c r="A52" s="17">
        <v>20170108</v>
      </c>
      <c r="B52" s="19" t="s">
        <v>44</v>
      </c>
      <c r="C52" s="36" t="s">
        <v>43</v>
      </c>
      <c r="D52" s="17" t="s">
        <v>5</v>
      </c>
      <c r="E52" s="17" t="s">
        <v>34</v>
      </c>
      <c r="F52" s="17" t="s">
        <v>235</v>
      </c>
      <c r="G52" s="17" t="s">
        <v>22</v>
      </c>
      <c r="H52" s="18">
        <f>[7]副本!G102</f>
        <v>15386.827000000081</v>
      </c>
      <c r="I52" s="18">
        <v>0</v>
      </c>
      <c r="J52" s="17"/>
      <c r="K52" s="15"/>
      <c r="L52" s="16">
        <f>H52-I52</f>
        <v>15386.827000000081</v>
      </c>
      <c r="M52" s="15">
        <v>50000</v>
      </c>
      <c r="N52" s="14"/>
      <c r="O52" s="13"/>
      <c r="P52" s="12"/>
    </row>
    <row r="53" spans="1:17" s="11" customFormat="1" ht="26.25" customHeight="1" x14ac:dyDescent="0.15">
      <c r="A53" s="17">
        <v>20170108</v>
      </c>
      <c r="B53" s="19" t="s">
        <v>41</v>
      </c>
      <c r="C53" s="36" t="s">
        <v>28</v>
      </c>
      <c r="D53" s="17"/>
      <c r="E53" s="17" t="s">
        <v>40</v>
      </c>
      <c r="F53" s="17" t="s">
        <v>39</v>
      </c>
      <c r="G53" s="17" t="s">
        <v>22</v>
      </c>
      <c r="H53" s="18">
        <f>[7]副本!G104</f>
        <v>52.420000000017126</v>
      </c>
      <c r="I53" s="18">
        <f>H53</f>
        <v>52.420000000017126</v>
      </c>
      <c r="J53" s="17"/>
      <c r="K53" s="15"/>
      <c r="L53" s="16">
        <f>H53-I53</f>
        <v>0</v>
      </c>
      <c r="M53" s="15">
        <v>4000</v>
      </c>
      <c r="N53" s="14"/>
      <c r="O53" s="13"/>
      <c r="P53" s="12" t="s">
        <v>38</v>
      </c>
    </row>
    <row r="54" spans="1:17" s="11" customFormat="1" ht="26.25" customHeight="1" x14ac:dyDescent="0.15">
      <c r="A54" s="17">
        <v>20170108</v>
      </c>
      <c r="B54" s="19" t="s">
        <v>41</v>
      </c>
      <c r="C54" s="36" t="s">
        <v>28</v>
      </c>
      <c r="D54" s="17"/>
      <c r="E54" s="17" t="s">
        <v>40</v>
      </c>
      <c r="F54" s="17" t="s">
        <v>71</v>
      </c>
      <c r="G54" s="17" t="s">
        <v>22</v>
      </c>
      <c r="H54" s="18">
        <f>[7]副本!G105</f>
        <v>0.23699999999999832</v>
      </c>
      <c r="I54" s="18">
        <f>H54</f>
        <v>0.23699999999999832</v>
      </c>
      <c r="J54" s="17"/>
      <c r="K54" s="15"/>
      <c r="L54" s="16"/>
      <c r="M54" s="15">
        <v>4000</v>
      </c>
      <c r="N54" s="14"/>
      <c r="O54" s="13"/>
      <c r="P54" s="12" t="s">
        <v>38</v>
      </c>
    </row>
    <row r="55" spans="1:17" s="11" customFormat="1" ht="26.25" customHeight="1" x14ac:dyDescent="0.15">
      <c r="A55" s="17">
        <v>20170108</v>
      </c>
      <c r="B55" s="19" t="s">
        <v>37</v>
      </c>
      <c r="C55" s="36" t="s">
        <v>31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26.25" customHeight="1" x14ac:dyDescent="0.15">
      <c r="A56" s="17">
        <v>20170108</v>
      </c>
      <c r="B56" s="19" t="s">
        <v>36</v>
      </c>
      <c r="C56" s="36" t="s">
        <v>31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26.25" customHeight="1" x14ac:dyDescent="0.15">
      <c r="A57" s="17">
        <v>20170108</v>
      </c>
      <c r="B57" s="19" t="s">
        <v>35</v>
      </c>
      <c r="C57" s="36" t="s">
        <v>28</v>
      </c>
      <c r="D57" s="17" t="s">
        <v>5</v>
      </c>
      <c r="E57" s="17" t="s">
        <v>34</v>
      </c>
      <c r="F57" s="17" t="s">
        <v>48</v>
      </c>
      <c r="G57" s="17" t="s">
        <v>22</v>
      </c>
      <c r="H57" s="18">
        <f>[7]副本!G111</f>
        <v>6957.8649999999998</v>
      </c>
      <c r="I57" s="18">
        <f>H57-6957.865</f>
        <v>0</v>
      </c>
      <c r="J57" s="17"/>
      <c r="K57" s="16"/>
      <c r="L57" s="16">
        <f>H57-I57</f>
        <v>6957.8649999999998</v>
      </c>
      <c r="M57" s="15">
        <v>10000</v>
      </c>
      <c r="N57" s="14"/>
      <c r="O57" s="13"/>
      <c r="P57" s="12"/>
      <c r="Q57" s="20"/>
    </row>
    <row r="58" spans="1:17" s="11" customFormat="1" ht="26.25" customHeight="1" x14ac:dyDescent="0.15">
      <c r="A58" s="17">
        <v>20170108</v>
      </c>
      <c r="B58" s="19" t="s">
        <v>32</v>
      </c>
      <c r="C58" s="36" t="s">
        <v>31</v>
      </c>
      <c r="D58" s="17" t="s">
        <v>5</v>
      </c>
      <c r="E58" s="17"/>
      <c r="F58" s="17"/>
      <c r="G58" s="17"/>
      <c r="H58" s="18"/>
      <c r="I58" s="18"/>
      <c r="J58" s="17"/>
      <c r="K58" s="21"/>
      <c r="L58" s="16"/>
      <c r="M58" s="15">
        <v>15000</v>
      </c>
      <c r="N58" s="14"/>
      <c r="O58" s="13"/>
      <c r="P58" s="12"/>
      <c r="Q58" s="20"/>
    </row>
    <row r="59" spans="1:17" s="11" customFormat="1" ht="26.25" customHeight="1" x14ac:dyDescent="0.15">
      <c r="A59" s="17">
        <v>20170108</v>
      </c>
      <c r="B59" s="19" t="s">
        <v>30</v>
      </c>
      <c r="C59" s="19" t="s">
        <v>28</v>
      </c>
      <c r="D59" s="17" t="s">
        <v>5</v>
      </c>
      <c r="E59" s="17" t="s">
        <v>4</v>
      </c>
      <c r="F59" s="17" t="s">
        <v>3</v>
      </c>
      <c r="G59" s="17" t="s">
        <v>22</v>
      </c>
      <c r="H59" s="18">
        <f>[7]副本!G115</f>
        <v>20862.254000000001</v>
      </c>
      <c r="I59" s="18">
        <f>H59</f>
        <v>20862.254000000001</v>
      </c>
      <c r="J59" s="17"/>
      <c r="K59" s="15"/>
      <c r="L59" s="16"/>
      <c r="M59" s="15">
        <v>43000</v>
      </c>
      <c r="N59" s="14"/>
      <c r="O59" s="13"/>
      <c r="P59" s="12" t="s">
        <v>220</v>
      </c>
      <c r="Q59" s="20"/>
    </row>
    <row r="60" spans="1:17" s="11" customFormat="1" ht="26.25" customHeight="1" x14ac:dyDescent="0.15">
      <c r="A60" s="17">
        <v>20170108</v>
      </c>
      <c r="B60" s="19" t="s">
        <v>30</v>
      </c>
      <c r="C60" s="19" t="s">
        <v>28</v>
      </c>
      <c r="D60" s="17" t="s">
        <v>5</v>
      </c>
      <c r="E60" s="17" t="s">
        <v>4</v>
      </c>
      <c r="F60" s="17" t="s">
        <v>251</v>
      </c>
      <c r="G60" s="17" t="s">
        <v>22</v>
      </c>
      <c r="H60" s="18">
        <f>[7]副本!G116</f>
        <v>620.92000000000007</v>
      </c>
      <c r="I60" s="18">
        <f>H60</f>
        <v>620.92000000000007</v>
      </c>
      <c r="J60" s="17"/>
      <c r="K60" s="15">
        <v>450</v>
      </c>
      <c r="L60" s="16"/>
      <c r="M60" s="15">
        <v>43000</v>
      </c>
      <c r="N60" s="14"/>
      <c r="O60" s="13"/>
      <c r="P60" s="12" t="s">
        <v>220</v>
      </c>
      <c r="Q60" s="20"/>
    </row>
    <row r="61" spans="1:17" s="11" customFormat="1" ht="26.25" customHeight="1" x14ac:dyDescent="0.15">
      <c r="A61" s="17">
        <v>20170108</v>
      </c>
      <c r="B61" s="19" t="s">
        <v>29</v>
      </c>
      <c r="C61" s="19" t="s">
        <v>28</v>
      </c>
      <c r="D61" s="17" t="s">
        <v>5</v>
      </c>
      <c r="E61" s="17"/>
      <c r="F61" s="17"/>
      <c r="G61" s="17"/>
      <c r="H61" s="18"/>
      <c r="I61" s="18"/>
      <c r="J61" s="17"/>
      <c r="K61" s="15"/>
      <c r="L61" s="16"/>
      <c r="M61" s="15"/>
      <c r="N61" s="14"/>
      <c r="O61" s="13"/>
      <c r="P61" s="12"/>
      <c r="Q61" s="20"/>
    </row>
    <row r="62" spans="1:17" s="11" customFormat="1" ht="26.25" customHeight="1" x14ac:dyDescent="0.15">
      <c r="A62" s="17">
        <v>20170108</v>
      </c>
      <c r="B62" s="19" t="s">
        <v>24</v>
      </c>
      <c r="C62" s="36" t="s">
        <v>0</v>
      </c>
      <c r="D62" s="17"/>
      <c r="E62" s="17" t="s">
        <v>4</v>
      </c>
      <c r="F62" s="17" t="s">
        <v>23</v>
      </c>
      <c r="G62" s="17" t="s">
        <v>22</v>
      </c>
      <c r="H62" s="18">
        <f>[7]副本!G120</f>
        <v>1341.5869999999964</v>
      </c>
      <c r="I62" s="18">
        <f>H62-15652.787+4092.929+8666.148+2893.71</f>
        <v>1341.586999999995</v>
      </c>
      <c r="J62" s="17"/>
      <c r="K62" s="15">
        <v>150</v>
      </c>
      <c r="L62" s="16">
        <f>H62-I62</f>
        <v>0</v>
      </c>
      <c r="M62" s="15">
        <v>20000</v>
      </c>
      <c r="N62" s="14"/>
      <c r="O62" s="13"/>
      <c r="P62" s="12" t="s">
        <v>21</v>
      </c>
    </row>
    <row r="63" spans="1:17" s="11" customFormat="1" ht="26.25" customHeight="1" x14ac:dyDescent="0.15">
      <c r="A63" s="17">
        <v>20170108</v>
      </c>
      <c r="B63" s="19" t="s">
        <v>20</v>
      </c>
      <c r="C63" s="36" t="s">
        <v>0</v>
      </c>
      <c r="D63" s="17"/>
      <c r="E63" s="17" t="s">
        <v>12</v>
      </c>
      <c r="F63" s="17" t="s">
        <v>11</v>
      </c>
      <c r="G63" s="17" t="s">
        <v>2</v>
      </c>
      <c r="H63" s="18">
        <f>[7]副本!G122</f>
        <v>11225.962999999996</v>
      </c>
      <c r="I63" s="18">
        <f>H63-4994.391</f>
        <v>6231.5719999999965</v>
      </c>
      <c r="J63" s="17"/>
      <c r="K63" s="15"/>
      <c r="L63" s="16">
        <f>H63-I63</f>
        <v>4994.3909999999996</v>
      </c>
      <c r="M63" s="15">
        <v>30000</v>
      </c>
      <c r="N63" s="14"/>
      <c r="O63" s="13"/>
      <c r="P63" s="12" t="s">
        <v>236</v>
      </c>
    </row>
    <row r="64" spans="1:17" s="11" customFormat="1" ht="26.25" customHeight="1" x14ac:dyDescent="0.15">
      <c r="A64" s="17">
        <v>20170108</v>
      </c>
      <c r="B64" s="19" t="s">
        <v>18</v>
      </c>
      <c r="C64" s="36" t="s">
        <v>0</v>
      </c>
      <c r="D64" s="17" t="s">
        <v>5</v>
      </c>
      <c r="E64" s="17" t="s">
        <v>4</v>
      </c>
      <c r="F64" s="17" t="s">
        <v>17</v>
      </c>
      <c r="G64" s="17" t="s">
        <v>2</v>
      </c>
      <c r="H64" s="18">
        <f>[7]副本!G124</f>
        <v>14976.093999999999</v>
      </c>
      <c r="I64" s="18">
        <f>H64-14976.094</f>
        <v>0</v>
      </c>
      <c r="J64" s="17"/>
      <c r="K64" s="15">
        <v>200</v>
      </c>
      <c r="L64" s="16">
        <f>H64-I64</f>
        <v>14976.093999999999</v>
      </c>
      <c r="M64" s="15">
        <v>20000</v>
      </c>
      <c r="N64" s="14" t="s">
        <v>16</v>
      </c>
      <c r="O64" s="13" t="s">
        <v>15</v>
      </c>
      <c r="P64" s="12" t="s">
        <v>14</v>
      </c>
    </row>
    <row r="65" spans="1:16" s="11" customFormat="1" ht="26.25" customHeight="1" x14ac:dyDescent="0.15">
      <c r="A65" s="17">
        <v>20170108</v>
      </c>
      <c r="B65" s="19" t="s">
        <v>13</v>
      </c>
      <c r="C65" s="36" t="s">
        <v>0</v>
      </c>
      <c r="D65" s="17"/>
      <c r="E65" s="17" t="s">
        <v>12</v>
      </c>
      <c r="F65" s="17" t="s">
        <v>11</v>
      </c>
      <c r="G65" s="17" t="s">
        <v>2</v>
      </c>
      <c r="H65" s="18">
        <f>[7]副本!G126</f>
        <v>25173.616999999973</v>
      </c>
      <c r="I65" s="18">
        <f>H65</f>
        <v>25173.616999999973</v>
      </c>
      <c r="J65" s="17"/>
      <c r="K65" s="15"/>
      <c r="L65" s="16">
        <v>0</v>
      </c>
      <c r="M65" s="15">
        <v>30000</v>
      </c>
      <c r="N65" s="14"/>
      <c r="O65" s="13"/>
      <c r="P65" s="12"/>
    </row>
    <row r="66" spans="1:16" s="11" customFormat="1" ht="26.25" customHeight="1" x14ac:dyDescent="0.15">
      <c r="A66" s="17">
        <v>20170108</v>
      </c>
      <c r="B66" s="19" t="s">
        <v>10</v>
      </c>
      <c r="C66" s="36" t="s">
        <v>0</v>
      </c>
      <c r="D66" s="17"/>
      <c r="E66" s="17" t="s">
        <v>9</v>
      </c>
      <c r="F66" s="12" t="s">
        <v>8</v>
      </c>
      <c r="G66" s="17" t="s">
        <v>2</v>
      </c>
      <c r="H66" s="18">
        <f>[7]副本!G128</f>
        <v>5979.2150000000001</v>
      </c>
      <c r="I66" s="18">
        <v>0</v>
      </c>
      <c r="J66" s="17"/>
      <c r="K66" s="15"/>
      <c r="L66" s="16">
        <f>H66-I66</f>
        <v>5979.2150000000001</v>
      </c>
      <c r="M66" s="15">
        <v>20000</v>
      </c>
      <c r="N66" s="14"/>
      <c r="O66" s="13"/>
      <c r="P66" s="17"/>
    </row>
    <row r="67" spans="1:16" s="11" customFormat="1" ht="26.25" customHeight="1" x14ac:dyDescent="0.15">
      <c r="A67" s="17">
        <v>20170108</v>
      </c>
      <c r="B67" s="19" t="s">
        <v>10</v>
      </c>
      <c r="C67" s="36" t="s">
        <v>0</v>
      </c>
      <c r="D67" s="17"/>
      <c r="E67" s="17" t="s">
        <v>9</v>
      </c>
      <c r="F67" s="17" t="s">
        <v>257</v>
      </c>
      <c r="G67" s="17" t="s">
        <v>2</v>
      </c>
      <c r="H67" s="18">
        <f>[7]副本!G129</f>
        <v>6000</v>
      </c>
      <c r="I67" s="18">
        <f>H67</f>
        <v>6000</v>
      </c>
      <c r="J67" s="17"/>
      <c r="K67" s="15">
        <v>200</v>
      </c>
      <c r="L67" s="16">
        <v>0</v>
      </c>
      <c r="M67" s="15">
        <v>20000</v>
      </c>
      <c r="N67" s="14"/>
      <c r="O67" s="13"/>
      <c r="P67" s="12" t="s">
        <v>252</v>
      </c>
    </row>
    <row r="68" spans="1:16" s="11" customFormat="1" ht="26.25" customHeight="1" x14ac:dyDescent="0.15">
      <c r="A68" s="17">
        <v>20170108</v>
      </c>
      <c r="B68" s="19" t="s">
        <v>7</v>
      </c>
      <c r="C68" s="36" t="s">
        <v>0</v>
      </c>
      <c r="D68" s="17"/>
      <c r="E68" s="17"/>
      <c r="F68" s="17"/>
      <c r="G68" s="17"/>
      <c r="H68" s="18"/>
      <c r="I68" s="18"/>
      <c r="J68" s="17"/>
      <c r="K68" s="15"/>
      <c r="L68" s="16"/>
      <c r="M68" s="15">
        <v>15000</v>
      </c>
      <c r="N68" s="14"/>
      <c r="O68" s="13"/>
      <c r="P68" s="12"/>
    </row>
    <row r="69" spans="1:16" s="11" customFormat="1" ht="26.25" customHeight="1" x14ac:dyDescent="0.15">
      <c r="A69" s="17">
        <v>20170108</v>
      </c>
      <c r="B69" s="19" t="s">
        <v>6</v>
      </c>
      <c r="C69" s="36" t="s">
        <v>0</v>
      </c>
      <c r="D69" s="17" t="s">
        <v>5</v>
      </c>
      <c r="E69" s="17" t="s">
        <v>4</v>
      </c>
      <c r="F69" s="17" t="s">
        <v>3</v>
      </c>
      <c r="G69" s="17" t="s">
        <v>2</v>
      </c>
      <c r="H69" s="18">
        <f>[7]副本!G133</f>
        <v>12005.106</v>
      </c>
      <c r="I69" s="18">
        <f>H69-12005.106</f>
        <v>0</v>
      </c>
      <c r="J69" s="17"/>
      <c r="K69" s="15"/>
      <c r="L69" s="16">
        <f>H69-I69</f>
        <v>12005.106</v>
      </c>
      <c r="M69" s="15">
        <v>15000</v>
      </c>
      <c r="N69" s="14"/>
      <c r="O69" s="13"/>
      <c r="P69" s="12"/>
    </row>
    <row r="70" spans="1:16" s="11" customFormat="1" ht="26.25" customHeight="1" x14ac:dyDescent="0.15">
      <c r="A70" s="17">
        <v>20170108</v>
      </c>
      <c r="B70" s="19" t="s">
        <v>1</v>
      </c>
      <c r="C70" s="36" t="s">
        <v>0</v>
      </c>
      <c r="D70" s="17"/>
      <c r="E70" s="17"/>
      <c r="F70" s="17"/>
      <c r="G70" s="17"/>
      <c r="H70" s="18"/>
      <c r="I70" s="18"/>
      <c r="J70" s="17"/>
      <c r="K70" s="15"/>
      <c r="L70" s="16"/>
      <c r="M70" s="15">
        <v>15000</v>
      </c>
      <c r="N70" s="14"/>
      <c r="O70" s="13"/>
      <c r="P70" s="12"/>
    </row>
    <row r="76" spans="1:16" x14ac:dyDescent="0.15">
      <c r="L76" s="10"/>
    </row>
    <row r="228" spans="7:8" x14ac:dyDescent="0.15">
      <c r="G228" s="2"/>
      <c r="H228" s="2"/>
    </row>
  </sheetData>
  <autoFilter ref="B1:I70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62" activePane="bottomRight" state="frozen"/>
      <selection activeCell="G5" sqref="G5"/>
      <selection pane="topRight" activeCell="G5" sqref="G5"/>
      <selection pane="bottomLeft" activeCell="G5" sqref="G5"/>
      <selection pane="bottomRight" activeCell="F21" sqref="F21:F22"/>
    </sheetView>
  </sheetViews>
  <sheetFormatPr defaultColWidth="8.875" defaultRowHeight="11.25" x14ac:dyDescent="0.15"/>
  <cols>
    <col min="1" max="1" width="8.875" style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2.37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6" customWidth="1"/>
    <col min="12" max="12" width="8.375" style="5" customWidth="1"/>
    <col min="13" max="13" width="6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25" customFormat="1" ht="22.5" x14ac:dyDescent="0.15">
      <c r="A1" s="38" t="s">
        <v>245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28.5" customHeight="1" x14ac:dyDescent="0.15">
      <c r="A2" s="17">
        <v>20170109</v>
      </c>
      <c r="B2" s="19" t="s">
        <v>158</v>
      </c>
      <c r="C2" s="36" t="s">
        <v>63</v>
      </c>
      <c r="D2" s="19"/>
      <c r="E2" s="17" t="s">
        <v>141</v>
      </c>
      <c r="F2" s="17" t="s">
        <v>144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143</v>
      </c>
      <c r="O2" s="13" t="s">
        <v>124</v>
      </c>
      <c r="P2" s="12"/>
    </row>
    <row r="3" spans="1:17" s="11" customFormat="1" ht="28.5" customHeight="1" x14ac:dyDescent="0.15">
      <c r="A3" s="17">
        <v>20170109</v>
      </c>
      <c r="B3" s="19" t="s">
        <v>157</v>
      </c>
      <c r="C3" s="36" t="s">
        <v>63</v>
      </c>
      <c r="D3" s="19"/>
      <c r="E3" s="17" t="s">
        <v>156</v>
      </c>
      <c r="F3" s="17" t="s">
        <v>155</v>
      </c>
      <c r="G3" s="12" t="s">
        <v>54</v>
      </c>
      <c r="H3" s="18">
        <f>[8]副本!G5</f>
        <v>245.55599999999993</v>
      </c>
      <c r="I3" s="18">
        <f>H3-995.136+995.136</f>
        <v>245.55599999999993</v>
      </c>
      <c r="J3" s="17"/>
      <c r="K3" s="15"/>
      <c r="L3" s="16">
        <f>H3-I3</f>
        <v>0</v>
      </c>
      <c r="M3" s="15">
        <v>1500</v>
      </c>
      <c r="N3" s="14"/>
      <c r="O3" s="13"/>
      <c r="P3" s="12" t="s">
        <v>154</v>
      </c>
    </row>
    <row r="4" spans="1:17" s="11" customFormat="1" ht="28.5" customHeight="1" x14ac:dyDescent="0.15">
      <c r="A4" s="17">
        <v>20170109</v>
      </c>
      <c r="B4" s="19" t="s">
        <v>153</v>
      </c>
      <c r="C4" s="36" t="s">
        <v>63</v>
      </c>
      <c r="D4" s="19"/>
      <c r="E4" s="17" t="s">
        <v>56</v>
      </c>
      <c r="F4" s="17" t="s">
        <v>61</v>
      </c>
      <c r="G4" s="12" t="s">
        <v>54</v>
      </c>
      <c r="H4" s="18">
        <f>[8]副本!G7</f>
        <v>1865.2429999999958</v>
      </c>
      <c r="I4" s="18">
        <f>H4</f>
        <v>1865.2429999999958</v>
      </c>
      <c r="J4" s="17"/>
      <c r="K4" s="16"/>
      <c r="L4" s="16"/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28.5" customHeight="1" x14ac:dyDescent="0.15">
      <c r="A5" s="17">
        <v>20170109</v>
      </c>
      <c r="B5" s="19" t="s">
        <v>149</v>
      </c>
      <c r="C5" s="36" t="s">
        <v>63</v>
      </c>
      <c r="D5" s="17"/>
      <c r="E5" s="17" t="s">
        <v>148</v>
      </c>
      <c r="F5" s="17" t="s">
        <v>140</v>
      </c>
      <c r="G5" s="12" t="s">
        <v>54</v>
      </c>
      <c r="H5" s="18">
        <f>[8]副本!G9</f>
        <v>588.6320000000278</v>
      </c>
      <c r="I5" s="18">
        <f>H5</f>
        <v>588.6320000000278</v>
      </c>
      <c r="J5" s="17"/>
      <c r="K5" s="15"/>
      <c r="L5" s="16">
        <f>H5-I5</f>
        <v>0</v>
      </c>
      <c r="M5" s="15">
        <v>2000</v>
      </c>
      <c r="N5" s="14" t="s">
        <v>147</v>
      </c>
      <c r="O5" s="13" t="s">
        <v>124</v>
      </c>
      <c r="P5" s="12" t="s">
        <v>260</v>
      </c>
    </row>
    <row r="6" spans="1:17" s="11" customFormat="1" ht="28.5" customHeight="1" x14ac:dyDescent="0.15">
      <c r="A6" s="17">
        <v>20170109</v>
      </c>
      <c r="B6" s="19" t="s">
        <v>145</v>
      </c>
      <c r="C6" s="36" t="s">
        <v>63</v>
      </c>
      <c r="D6" s="17"/>
      <c r="E6" s="17" t="s">
        <v>141</v>
      </c>
      <c r="F6" s="17" t="s">
        <v>144</v>
      </c>
      <c r="G6" s="12" t="s">
        <v>54</v>
      </c>
      <c r="H6" s="18"/>
      <c r="I6" s="18"/>
      <c r="J6" s="17"/>
      <c r="K6" s="15"/>
      <c r="L6" s="16"/>
      <c r="M6" s="15">
        <v>3000</v>
      </c>
      <c r="N6" s="14" t="s">
        <v>143</v>
      </c>
      <c r="O6" s="13" t="s">
        <v>124</v>
      </c>
      <c r="P6" s="12"/>
      <c r="Q6" s="20"/>
    </row>
    <row r="7" spans="1:17" s="11" customFormat="1" ht="28.5" customHeight="1" x14ac:dyDescent="0.15">
      <c r="A7" s="17">
        <v>20170109</v>
      </c>
      <c r="B7" s="19" t="s">
        <v>142</v>
      </c>
      <c r="C7" s="36" t="s">
        <v>63</v>
      </c>
      <c r="D7" s="17"/>
      <c r="E7" s="17" t="s">
        <v>141</v>
      </c>
      <c r="F7" s="17" t="s">
        <v>140</v>
      </c>
      <c r="G7" s="17" t="s">
        <v>54</v>
      </c>
      <c r="H7" s="18">
        <f>[8]副本!G13</f>
        <v>2964.8449999999998</v>
      </c>
      <c r="I7" s="18">
        <f>H7</f>
        <v>2964.8449999999998</v>
      </c>
      <c r="J7" s="17"/>
      <c r="K7" s="15"/>
      <c r="L7" s="16"/>
      <c r="M7" s="15">
        <v>3000</v>
      </c>
      <c r="N7" s="14"/>
      <c r="O7" s="13"/>
      <c r="P7" s="12" t="s">
        <v>260</v>
      </c>
      <c r="Q7" s="20"/>
    </row>
    <row r="8" spans="1:17" s="11" customFormat="1" ht="28.5" customHeight="1" x14ac:dyDescent="0.15">
      <c r="A8" s="17">
        <v>20170109</v>
      </c>
      <c r="B8" s="19" t="s">
        <v>139</v>
      </c>
      <c r="C8" s="36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28.5" customHeight="1" x14ac:dyDescent="0.15">
      <c r="A9" s="17">
        <v>20170109</v>
      </c>
      <c r="B9" s="19" t="s">
        <v>138</v>
      </c>
      <c r="C9" s="36" t="s">
        <v>31</v>
      </c>
      <c r="D9" s="17"/>
      <c r="E9" s="17" t="s">
        <v>9</v>
      </c>
      <c r="F9" s="17" t="s">
        <v>104</v>
      </c>
      <c r="G9" s="17" t="s">
        <v>54</v>
      </c>
      <c r="H9" s="17">
        <f>[8]副本!G17</f>
        <v>1322.4749999999999</v>
      </c>
      <c r="I9" s="18">
        <f>H9</f>
        <v>1322.4749999999999</v>
      </c>
      <c r="J9" s="17"/>
      <c r="K9" s="15">
        <v>70</v>
      </c>
      <c r="L9" s="16">
        <f>H9-I9</f>
        <v>0</v>
      </c>
      <c r="M9" s="15">
        <v>5000</v>
      </c>
      <c r="N9" s="14" t="s">
        <v>137</v>
      </c>
      <c r="O9" s="13" t="s">
        <v>136</v>
      </c>
      <c r="P9" s="35" t="s">
        <v>101</v>
      </c>
    </row>
    <row r="10" spans="1:17" s="11" customFormat="1" ht="28.5" customHeight="1" x14ac:dyDescent="0.15">
      <c r="A10" s="17">
        <v>20170109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[8]副本!G19</f>
        <v>1.5219999999999345</v>
      </c>
      <c r="I10" s="18">
        <f>H10</f>
        <v>1.5219999999999345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229</v>
      </c>
    </row>
    <row r="11" spans="1:17" s="11" customFormat="1" ht="28.5" customHeight="1" x14ac:dyDescent="0.15">
      <c r="A11" s="17">
        <v>20170109</v>
      </c>
      <c r="B11" s="19" t="s">
        <v>135</v>
      </c>
      <c r="C11" s="17" t="s">
        <v>63</v>
      </c>
      <c r="D11" s="17"/>
      <c r="E11" s="17" t="s">
        <v>92</v>
      </c>
      <c r="F11" s="17" t="s">
        <v>261</v>
      </c>
      <c r="G11" s="17"/>
      <c r="H11" s="18">
        <f>[8]副本!G20</f>
        <v>211.28</v>
      </c>
      <c r="I11" s="18">
        <f>H11</f>
        <v>211.28</v>
      </c>
      <c r="J11" s="17"/>
      <c r="K11" s="15"/>
      <c r="L11" s="16"/>
      <c r="M11" s="15">
        <v>1500</v>
      </c>
      <c r="N11" s="14"/>
      <c r="O11" s="13"/>
      <c r="P11" s="12" t="s">
        <v>253</v>
      </c>
    </row>
    <row r="12" spans="1:17" s="11" customFormat="1" ht="28.5" customHeight="1" x14ac:dyDescent="0.15">
      <c r="A12" s="17">
        <v>20170109</v>
      </c>
      <c r="B12" s="19" t="s">
        <v>135</v>
      </c>
      <c r="C12" s="17" t="s">
        <v>63</v>
      </c>
      <c r="D12" s="17"/>
      <c r="E12" s="17" t="s">
        <v>92</v>
      </c>
      <c r="F12" s="17" t="s">
        <v>91</v>
      </c>
      <c r="G12" s="17"/>
      <c r="H12" s="18">
        <f>[8]副本!G21</f>
        <v>1000</v>
      </c>
      <c r="I12" s="18">
        <f>H12</f>
        <v>1000</v>
      </c>
      <c r="J12" s="17"/>
      <c r="K12" s="15"/>
      <c r="L12" s="16"/>
      <c r="M12" s="15">
        <v>1500</v>
      </c>
      <c r="N12" s="14"/>
      <c r="O12" s="13"/>
      <c r="P12" s="12" t="s">
        <v>253</v>
      </c>
    </row>
    <row r="13" spans="1:17" s="11" customFormat="1" ht="28.5" customHeight="1" x14ac:dyDescent="0.15">
      <c r="A13" s="17">
        <v>20170109</v>
      </c>
      <c r="B13" s="19" t="s">
        <v>134</v>
      </c>
      <c r="C13" s="17" t="s">
        <v>63</v>
      </c>
      <c r="D13" s="17"/>
      <c r="E13" s="17" t="s">
        <v>116</v>
      </c>
      <c r="F13" s="17" t="s">
        <v>256</v>
      </c>
      <c r="G13" s="17" t="s">
        <v>54</v>
      </c>
      <c r="H13" s="18">
        <f>[8]副本!G23</f>
        <v>1502.1479999999999</v>
      </c>
      <c r="I13" s="18">
        <f>H13</f>
        <v>1502.1479999999999</v>
      </c>
      <c r="J13" s="17"/>
      <c r="K13" s="15"/>
      <c r="L13" s="16"/>
      <c r="M13" s="15">
        <v>1500</v>
      </c>
      <c r="N13" s="14"/>
      <c r="O13" s="13"/>
      <c r="P13" s="12"/>
    </row>
    <row r="14" spans="1:17" s="11" customFormat="1" ht="28.5" customHeight="1" x14ac:dyDescent="0.15">
      <c r="A14" s="17">
        <v>20170109</v>
      </c>
      <c r="B14" s="19" t="s">
        <v>133</v>
      </c>
      <c r="C14" s="36" t="s">
        <v>28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  <c r="Q14" s="20"/>
    </row>
    <row r="15" spans="1:17" s="11" customFormat="1" ht="28.5" customHeight="1" x14ac:dyDescent="0.15">
      <c r="A15" s="17">
        <v>20170109</v>
      </c>
      <c r="B15" s="19" t="s">
        <v>132</v>
      </c>
      <c r="C15" s="36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28.5" customHeight="1" x14ac:dyDescent="0.15">
      <c r="A16" s="17">
        <v>20170109</v>
      </c>
      <c r="B16" s="19" t="s">
        <v>131</v>
      </c>
      <c r="C16" s="36" t="s">
        <v>63</v>
      </c>
      <c r="D16" s="17"/>
      <c r="E16" s="17" t="s">
        <v>92</v>
      </c>
      <c r="F16" s="17" t="s">
        <v>232</v>
      </c>
      <c r="G16" s="17" t="s">
        <v>54</v>
      </c>
      <c r="H16" s="18">
        <f>[8]副本!G29</f>
        <v>1200.277</v>
      </c>
      <c r="I16" s="18">
        <f>H16</f>
        <v>1200.277</v>
      </c>
      <c r="J16" s="17"/>
      <c r="K16" s="15">
        <v>50</v>
      </c>
      <c r="L16" s="16"/>
      <c r="M16" s="15"/>
      <c r="N16" s="14"/>
      <c r="O16" s="13"/>
      <c r="P16" s="12" t="s">
        <v>228</v>
      </c>
    </row>
    <row r="17" spans="1:17" s="11" customFormat="1" ht="28.5" customHeight="1" x14ac:dyDescent="0.15">
      <c r="A17" s="17">
        <v>20170109</v>
      </c>
      <c r="B17" s="19" t="s">
        <v>129</v>
      </c>
      <c r="C17" s="36" t="s">
        <v>121</v>
      </c>
      <c r="D17" s="17"/>
      <c r="E17" s="17" t="s">
        <v>12</v>
      </c>
      <c r="F17" s="17" t="s">
        <v>11</v>
      </c>
      <c r="G17" s="17" t="s">
        <v>2</v>
      </c>
      <c r="H17" s="18">
        <f>[8]副本!G31-H18</f>
        <v>6178.2470000000176</v>
      </c>
      <c r="I17" s="18">
        <f>H17</f>
        <v>6178.2470000000176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124</v>
      </c>
      <c r="P17" s="12" t="s">
        <v>130</v>
      </c>
    </row>
    <row r="18" spans="1:17" s="11" customFormat="1" ht="28.5" customHeight="1" x14ac:dyDescent="0.15">
      <c r="A18" s="17">
        <v>20170109</v>
      </c>
      <c r="B18" s="19" t="s">
        <v>129</v>
      </c>
      <c r="C18" s="36" t="s">
        <v>121</v>
      </c>
      <c r="D18" s="17"/>
      <c r="E18" s="17" t="s">
        <v>12</v>
      </c>
      <c r="F18" s="17" t="s">
        <v>11</v>
      </c>
      <c r="G18" s="17"/>
      <c r="H18" s="18">
        <f>[8]副本!G33</f>
        <v>6995.7529999999824</v>
      </c>
      <c r="I18" s="18">
        <f>H18</f>
        <v>6995.7529999999824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244</v>
      </c>
    </row>
    <row r="19" spans="1:17" s="11" customFormat="1" ht="28.5" customHeight="1" x14ac:dyDescent="0.15">
      <c r="A19" s="17">
        <v>20170109</v>
      </c>
      <c r="B19" s="19" t="s">
        <v>127</v>
      </c>
      <c r="C19" s="36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28.5" customHeight="1" x14ac:dyDescent="0.15">
      <c r="A20" s="17">
        <v>20170109</v>
      </c>
      <c r="B20" s="19" t="s">
        <v>126</v>
      </c>
      <c r="C20" s="36" t="s">
        <v>63</v>
      </c>
      <c r="D20" s="17"/>
      <c r="E20" s="17"/>
      <c r="F20" s="17"/>
      <c r="G20" s="17"/>
      <c r="H20" s="18"/>
      <c r="I20" s="18"/>
      <c r="J20" s="17"/>
      <c r="K20" s="15"/>
      <c r="L20" s="16"/>
      <c r="M20" s="15">
        <v>3000</v>
      </c>
      <c r="N20" s="14"/>
      <c r="O20" s="13"/>
      <c r="P20" s="12"/>
    </row>
    <row r="21" spans="1:17" s="11" customFormat="1" ht="28.5" customHeight="1" x14ac:dyDescent="0.15">
      <c r="A21" s="17">
        <v>20170109</v>
      </c>
      <c r="B21" s="19" t="s">
        <v>122</v>
      </c>
      <c r="C21" s="36" t="s">
        <v>121</v>
      </c>
      <c r="D21" s="17"/>
      <c r="E21" s="17" t="s">
        <v>12</v>
      </c>
      <c r="F21" s="17" t="s">
        <v>11</v>
      </c>
      <c r="G21" s="17" t="s">
        <v>2</v>
      </c>
      <c r="H21" s="18">
        <f>[8]副本!G39-'20170109'!H22</f>
        <v>15813.537428000036</v>
      </c>
      <c r="I21" s="18">
        <f>H21</f>
        <v>15813.537428000036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124</v>
      </c>
      <c r="P21" s="12" t="s">
        <v>123</v>
      </c>
    </row>
    <row r="22" spans="1:17" s="11" customFormat="1" ht="28.5" customHeight="1" x14ac:dyDescent="0.15">
      <c r="A22" s="17">
        <v>20170109</v>
      </c>
      <c r="B22" s="19" t="s">
        <v>122</v>
      </c>
      <c r="C22" s="36" t="s">
        <v>121</v>
      </c>
      <c r="D22" s="17"/>
      <c r="E22" s="17" t="s">
        <v>12</v>
      </c>
      <c r="F22" s="17" t="s">
        <v>11</v>
      </c>
      <c r="G22" s="17"/>
      <c r="H22" s="18">
        <f>[8]副本!G41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243</v>
      </c>
    </row>
    <row r="23" spans="1:17" s="11" customFormat="1" ht="28.5" customHeight="1" x14ac:dyDescent="0.15">
      <c r="A23" s="17">
        <v>20170109</v>
      </c>
      <c r="B23" s="19" t="s">
        <v>117</v>
      </c>
      <c r="C23" s="36" t="s">
        <v>63</v>
      </c>
      <c r="D23" s="17"/>
      <c r="E23" s="17" t="s">
        <v>116</v>
      </c>
      <c r="F23" s="17" t="s">
        <v>115</v>
      </c>
      <c r="G23" s="17" t="s">
        <v>2</v>
      </c>
      <c r="H23" s="18">
        <f>[8]副本!G43</f>
        <v>2788.2959999999998</v>
      </c>
      <c r="I23" s="18">
        <f>H23</f>
        <v>2788.2959999999998</v>
      </c>
      <c r="J23" s="17"/>
      <c r="K23" s="15">
        <v>200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28.5" customHeight="1" x14ac:dyDescent="0.15">
      <c r="A24" s="17">
        <v>20170109</v>
      </c>
      <c r="B24" s="19" t="s">
        <v>113</v>
      </c>
      <c r="C24" s="36" t="s">
        <v>0</v>
      </c>
      <c r="D24" s="17"/>
      <c r="E24" s="12"/>
      <c r="F24" s="17"/>
      <c r="G24" s="17"/>
      <c r="H24" s="18"/>
      <c r="I24" s="18"/>
      <c r="J24" s="17"/>
      <c r="K24" s="15"/>
      <c r="L24" s="16"/>
      <c r="M24" s="15">
        <v>5000</v>
      </c>
      <c r="N24" s="14"/>
      <c r="O24" s="13"/>
      <c r="P24" s="37"/>
    </row>
    <row r="25" spans="1:17" s="11" customFormat="1" ht="28.5" customHeight="1" x14ac:dyDescent="0.15">
      <c r="A25" s="17">
        <v>20170109</v>
      </c>
      <c r="B25" s="19" t="s">
        <v>226</v>
      </c>
      <c r="C25" s="36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28.5" customHeight="1" x14ac:dyDescent="0.15">
      <c r="A26" s="17">
        <v>20170109</v>
      </c>
      <c r="B26" s="19" t="s">
        <v>109</v>
      </c>
      <c r="C26" s="36" t="s">
        <v>63</v>
      </c>
      <c r="D26" s="17"/>
      <c r="E26" s="17" t="s">
        <v>108</v>
      </c>
      <c r="F26" s="17" t="s">
        <v>264</v>
      </c>
      <c r="G26" s="17" t="s">
        <v>2</v>
      </c>
      <c r="H26" s="18">
        <f>[8]副本!G49</f>
        <v>169.10100000004286</v>
      </c>
      <c r="I26" s="18">
        <f>H26</f>
        <v>169.10100000004286</v>
      </c>
      <c r="J26" s="17"/>
      <c r="K26" s="15"/>
      <c r="L26" s="16">
        <f>H26-I26</f>
        <v>0</v>
      </c>
      <c r="M26" s="15">
        <v>4000</v>
      </c>
      <c r="N26" s="14" t="s">
        <v>47</v>
      </c>
      <c r="O26" s="13" t="s">
        <v>46</v>
      </c>
      <c r="P26" s="12"/>
    </row>
    <row r="27" spans="1:17" s="11" customFormat="1" ht="28.5" customHeight="1" x14ac:dyDescent="0.15">
      <c r="A27" s="17">
        <v>20170109</v>
      </c>
      <c r="B27" s="19" t="s">
        <v>106</v>
      </c>
      <c r="C27" s="36" t="s">
        <v>105</v>
      </c>
      <c r="D27" s="17"/>
      <c r="E27" s="17" t="s">
        <v>9</v>
      </c>
      <c r="F27" s="17" t="s">
        <v>104</v>
      </c>
      <c r="G27" s="17" t="s">
        <v>2</v>
      </c>
      <c r="H27" s="18">
        <f>[8]副本!G51</f>
        <v>272.52499999999998</v>
      </c>
      <c r="I27" s="18">
        <f>H27</f>
        <v>272.52499999999998</v>
      </c>
      <c r="J27" s="17"/>
      <c r="K27" s="15"/>
      <c r="L27" s="16">
        <f>H27-I27</f>
        <v>0</v>
      </c>
      <c r="M27" s="15">
        <v>5000</v>
      </c>
      <c r="N27" s="14" t="s">
        <v>225</v>
      </c>
      <c r="O27" s="13" t="s">
        <v>102</v>
      </c>
      <c r="P27" s="12" t="s">
        <v>101</v>
      </c>
    </row>
    <row r="28" spans="1:17" s="11" customFormat="1" ht="28.5" customHeight="1" x14ac:dyDescent="0.15">
      <c r="A28" s="17">
        <v>20170109</v>
      </c>
      <c r="B28" s="19" t="s">
        <v>100</v>
      </c>
      <c r="C28" s="36" t="s">
        <v>96</v>
      </c>
      <c r="D28" s="17"/>
      <c r="E28" s="17"/>
      <c r="F28" s="17"/>
      <c r="G28" s="17"/>
      <c r="H28" s="18"/>
      <c r="I28" s="18"/>
      <c r="J28" s="17"/>
      <c r="K28" s="15"/>
      <c r="L28" s="16"/>
      <c r="M28" s="15">
        <v>2000</v>
      </c>
      <c r="N28" s="14"/>
      <c r="O28" s="13"/>
      <c r="P28" s="12"/>
    </row>
    <row r="29" spans="1:17" s="11" customFormat="1" ht="28.5" customHeight="1" x14ac:dyDescent="0.15">
      <c r="A29" s="17">
        <v>20170109</v>
      </c>
      <c r="B29" s="19" t="s">
        <v>224</v>
      </c>
      <c r="C29" s="36" t="s">
        <v>96</v>
      </c>
      <c r="D29" s="17"/>
      <c r="E29" s="17" t="s">
        <v>67</v>
      </c>
      <c r="F29" s="17" t="s">
        <v>39</v>
      </c>
      <c r="G29" s="17" t="s">
        <v>2</v>
      </c>
      <c r="H29" s="18">
        <f>[8]副本!G55</f>
        <v>1099.9159999999999</v>
      </c>
      <c r="I29" s="18">
        <f>H29</f>
        <v>1099.9159999999999</v>
      </c>
      <c r="J29" s="17"/>
      <c r="K29" s="15"/>
      <c r="L29" s="16">
        <f>H29-I29</f>
        <v>0</v>
      </c>
      <c r="M29" s="15">
        <v>1500</v>
      </c>
      <c r="N29" s="14"/>
      <c r="O29" s="13"/>
      <c r="P29" s="12" t="s">
        <v>240</v>
      </c>
    </row>
    <row r="30" spans="1:17" s="11" customFormat="1" ht="28.5" customHeight="1" x14ac:dyDescent="0.15">
      <c r="A30" s="17">
        <v>20170109</v>
      </c>
      <c r="B30" s="19" t="s">
        <v>98</v>
      </c>
      <c r="C30" s="36" t="s">
        <v>96</v>
      </c>
      <c r="D30" s="17"/>
      <c r="E30" s="17"/>
      <c r="F30" s="17"/>
      <c r="G30" s="17"/>
      <c r="H30" s="18"/>
      <c r="I30" s="18"/>
      <c r="J30" s="17"/>
      <c r="K30" s="15"/>
      <c r="L30" s="16">
        <f>H30-I30</f>
        <v>0</v>
      </c>
      <c r="M30" s="15">
        <v>1500</v>
      </c>
      <c r="N30" s="14"/>
      <c r="O30" s="13"/>
      <c r="P30" s="12"/>
      <c r="Q30" s="20"/>
    </row>
    <row r="31" spans="1:17" s="11" customFormat="1" ht="28.5" customHeight="1" x14ac:dyDescent="0.15">
      <c r="A31" s="17">
        <v>20170109</v>
      </c>
      <c r="B31" s="19" t="s">
        <v>97</v>
      </c>
      <c r="C31" s="36" t="s">
        <v>96</v>
      </c>
      <c r="D31" s="17"/>
      <c r="E31" s="17" t="s">
        <v>67</v>
      </c>
      <c r="F31" s="17" t="s">
        <v>39</v>
      </c>
      <c r="G31" s="17" t="s">
        <v>2</v>
      </c>
      <c r="H31" s="18">
        <f>[8]副本!G59</f>
        <v>1098.2449999999999</v>
      </c>
      <c r="I31" s="18">
        <f>H31</f>
        <v>1098.2449999999999</v>
      </c>
      <c r="J31" s="17"/>
      <c r="K31" s="15"/>
      <c r="L31" s="16">
        <f>H31-I31</f>
        <v>0</v>
      </c>
      <c r="M31" s="15">
        <v>1500</v>
      </c>
      <c r="N31" s="14"/>
      <c r="O31" s="13"/>
      <c r="P31" s="12" t="s">
        <v>240</v>
      </c>
    </row>
    <row r="32" spans="1:17" s="11" customFormat="1" ht="28.5" customHeight="1" x14ac:dyDescent="0.15">
      <c r="A32" s="17">
        <v>20170109</v>
      </c>
      <c r="B32" s="19" t="s">
        <v>95</v>
      </c>
      <c r="C32" s="36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28.5" customHeight="1" x14ac:dyDescent="0.15">
      <c r="A33" s="17">
        <v>20170109</v>
      </c>
      <c r="B33" s="19" t="s">
        <v>93</v>
      </c>
      <c r="C33" s="36" t="s">
        <v>57</v>
      </c>
      <c r="D33" s="17"/>
      <c r="E33" s="17" t="s">
        <v>92</v>
      </c>
      <c r="F33" s="17" t="s">
        <v>91</v>
      </c>
      <c r="G33" s="17"/>
      <c r="H33" s="17">
        <f>[8]副本!G63</f>
        <v>704.5160000000003</v>
      </c>
      <c r="I33" s="18">
        <f>H33-1035.099+1035.099</f>
        <v>704.5160000000003</v>
      </c>
      <c r="J33" s="17"/>
      <c r="K33" s="15">
        <v>20</v>
      </c>
      <c r="L33" s="16">
        <f>H33-I33</f>
        <v>0</v>
      </c>
      <c r="M33" s="15">
        <v>2000</v>
      </c>
      <c r="N33" s="14"/>
      <c r="O33" s="13"/>
      <c r="P33" s="12" t="s">
        <v>259</v>
      </c>
    </row>
    <row r="34" spans="1:16" s="11" customFormat="1" ht="28.5" customHeight="1" x14ac:dyDescent="0.15">
      <c r="A34" s="17">
        <v>20170109</v>
      </c>
      <c r="B34" s="19" t="s">
        <v>89</v>
      </c>
      <c r="C34" s="36" t="s">
        <v>63</v>
      </c>
      <c r="D34" s="17" t="s">
        <v>88</v>
      </c>
      <c r="E34" s="17" t="s">
        <v>87</v>
      </c>
      <c r="F34" s="17" t="s">
        <v>233</v>
      </c>
      <c r="G34" s="17" t="s">
        <v>54</v>
      </c>
      <c r="H34" s="18">
        <f>[8]副本!G65</f>
        <v>755.06299999999987</v>
      </c>
      <c r="I34" s="18">
        <f>H34-1037.023+500+537.023</f>
        <v>755.06299999999999</v>
      </c>
      <c r="J34" s="17"/>
      <c r="K34" s="15">
        <v>70</v>
      </c>
      <c r="L34" s="16">
        <f>H34-I34</f>
        <v>0</v>
      </c>
      <c r="M34" s="15">
        <v>3000</v>
      </c>
      <c r="N34" s="14"/>
      <c r="O34" s="13"/>
      <c r="P34" s="24" t="s">
        <v>246</v>
      </c>
    </row>
    <row r="35" spans="1:16" s="11" customFormat="1" ht="28.5" customHeight="1" x14ac:dyDescent="0.15">
      <c r="A35" s="17">
        <v>20170109</v>
      </c>
      <c r="B35" s="19" t="s">
        <v>85</v>
      </c>
      <c r="C35" s="36" t="s">
        <v>63</v>
      </c>
      <c r="D35" s="17" t="s">
        <v>5</v>
      </c>
      <c r="E35" s="17" t="s">
        <v>84</v>
      </c>
      <c r="F35" s="17" t="s">
        <v>81</v>
      </c>
      <c r="G35" s="17" t="s">
        <v>54</v>
      </c>
      <c r="H35" s="18">
        <f>[8]副本!G67</f>
        <v>0.19100000000003092</v>
      </c>
      <c r="I35" s="18">
        <f>H35</f>
        <v>0.19100000000003092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242</v>
      </c>
    </row>
    <row r="36" spans="1:16" s="11" customFormat="1" ht="28.5" customHeight="1" x14ac:dyDescent="0.15">
      <c r="A36" s="17">
        <v>20170109</v>
      </c>
      <c r="B36" s="19" t="s">
        <v>82</v>
      </c>
      <c r="C36" s="36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28.5" customHeight="1" x14ac:dyDescent="0.15">
      <c r="A37" s="17">
        <v>20170109</v>
      </c>
      <c r="B37" s="19" t="s">
        <v>79</v>
      </c>
      <c r="C37" s="36" t="s">
        <v>57</v>
      </c>
      <c r="D37" s="17" t="s">
        <v>5</v>
      </c>
      <c r="E37" s="17" t="s">
        <v>78</v>
      </c>
      <c r="F37" s="17" t="s">
        <v>81</v>
      </c>
      <c r="G37" s="17" t="s">
        <v>2</v>
      </c>
      <c r="H37" s="18">
        <f>[8]副本!G71</f>
        <v>1117.4600000000523</v>
      </c>
      <c r="I37" s="18">
        <f>H37-955.747+477.874+477.873-1042.865-2628.137+500+542.865+2102.57+525.567-499.112-3147.566+2100+525+525+496.678-2617.899+1574.891</f>
        <v>74.452000000052976</v>
      </c>
      <c r="J37" s="17"/>
      <c r="K37" s="15"/>
      <c r="L37" s="16">
        <f>H37-I37</f>
        <v>1043.0079999999994</v>
      </c>
      <c r="M37" s="15">
        <v>5000</v>
      </c>
      <c r="N37" s="14"/>
      <c r="O37" s="13"/>
      <c r="P37" s="12" t="s">
        <v>241</v>
      </c>
    </row>
    <row r="38" spans="1:16" s="11" customFormat="1" ht="28.5" customHeight="1" x14ac:dyDescent="0.15">
      <c r="A38" s="17">
        <v>20170109</v>
      </c>
      <c r="B38" s="19" t="s">
        <v>79</v>
      </c>
      <c r="C38" s="36" t="s">
        <v>57</v>
      </c>
      <c r="D38" s="17"/>
      <c r="E38" s="17" t="s">
        <v>78</v>
      </c>
      <c r="F38" s="17" t="s">
        <v>77</v>
      </c>
      <c r="G38" s="17" t="s">
        <v>2</v>
      </c>
      <c r="H38" s="18">
        <f>[8]副本!G72</f>
        <v>2.6340000000004693</v>
      </c>
      <c r="I38" s="18">
        <f>H38</f>
        <v>2.6340000000004693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76</v>
      </c>
    </row>
    <row r="39" spans="1:16" s="11" customFormat="1" ht="28.5" customHeight="1" x14ac:dyDescent="0.15">
      <c r="A39" s="17">
        <v>20170109</v>
      </c>
      <c r="B39" s="19" t="s">
        <v>74</v>
      </c>
      <c r="C39" s="36" t="s">
        <v>28</v>
      </c>
      <c r="D39" s="17"/>
      <c r="E39" s="17" t="s">
        <v>67</v>
      </c>
      <c r="F39" s="17" t="s">
        <v>39</v>
      </c>
      <c r="G39" s="17" t="s">
        <v>2</v>
      </c>
      <c r="H39" s="18">
        <f>[8]副本!G74</f>
        <v>1001.9439999999975</v>
      </c>
      <c r="I39" s="18">
        <f>H39</f>
        <v>1001.9439999999975</v>
      </c>
      <c r="J39" s="17"/>
      <c r="K39" s="15"/>
      <c r="L39" s="16">
        <f>H39-I39</f>
        <v>0</v>
      </c>
      <c r="M39" s="15">
        <v>4000</v>
      </c>
      <c r="N39" s="14"/>
      <c r="O39" s="13"/>
      <c r="P39" s="35" t="s">
        <v>75</v>
      </c>
    </row>
    <row r="40" spans="1:16" s="11" customFormat="1" ht="28.5" customHeight="1" x14ac:dyDescent="0.15">
      <c r="A40" s="17">
        <v>20170109</v>
      </c>
      <c r="B40" s="19" t="s">
        <v>74</v>
      </c>
      <c r="C40" s="36" t="s">
        <v>28</v>
      </c>
      <c r="D40" s="17"/>
      <c r="E40" s="17" t="s">
        <v>67</v>
      </c>
      <c r="F40" s="17" t="s">
        <v>71</v>
      </c>
      <c r="G40" s="17" t="s">
        <v>2</v>
      </c>
      <c r="H40" s="18">
        <f>[8]副本!G75</f>
        <v>216.78300000000013</v>
      </c>
      <c r="I40" s="18">
        <f>H40</f>
        <v>216.78300000000013</v>
      </c>
      <c r="J40" s="17"/>
      <c r="K40" s="15"/>
      <c r="L40" s="16"/>
      <c r="M40" s="15">
        <v>4000</v>
      </c>
      <c r="N40" s="14"/>
      <c r="O40" s="13"/>
      <c r="P40" s="35" t="s">
        <v>240</v>
      </c>
    </row>
    <row r="41" spans="1:16" s="11" customFormat="1" ht="28.5" customHeight="1" x14ac:dyDescent="0.15">
      <c r="A41" s="17">
        <v>20170109</v>
      </c>
      <c r="B41" s="19" t="s">
        <v>73</v>
      </c>
      <c r="C41" s="36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28.5" customHeight="1" x14ac:dyDescent="0.15">
      <c r="A42" s="17">
        <v>20170109</v>
      </c>
      <c r="B42" s="19" t="s">
        <v>72</v>
      </c>
      <c r="C42" s="36" t="s">
        <v>43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28.5" customHeight="1" x14ac:dyDescent="0.15">
      <c r="A43" s="17">
        <v>20170109</v>
      </c>
      <c r="B43" s="19" t="s">
        <v>68</v>
      </c>
      <c r="C43" s="36" t="s">
        <v>43</v>
      </c>
      <c r="D43" s="17"/>
      <c r="E43" s="17" t="s">
        <v>67</v>
      </c>
      <c r="F43" s="17" t="s">
        <v>39</v>
      </c>
      <c r="G43" s="17" t="s">
        <v>2</v>
      </c>
      <c r="H43" s="18">
        <f>[8]副本!G82</f>
        <v>2523.1109999999994</v>
      </c>
      <c r="I43" s="18">
        <f>H43</f>
        <v>2523.1109999999994</v>
      </c>
      <c r="J43" s="17"/>
      <c r="K43" s="15"/>
      <c r="L43" s="16">
        <f>H43-I43</f>
        <v>0</v>
      </c>
      <c r="M43" s="15"/>
      <c r="N43" s="14"/>
      <c r="O43" s="13"/>
      <c r="P43" s="35" t="s">
        <v>258</v>
      </c>
    </row>
    <row r="44" spans="1:16" s="11" customFormat="1" ht="28.5" customHeight="1" x14ac:dyDescent="0.15">
      <c r="A44" s="17">
        <v>20170109</v>
      </c>
      <c r="B44" s="19" t="s">
        <v>65</v>
      </c>
      <c r="C44" s="36" t="s">
        <v>63</v>
      </c>
      <c r="D44" s="17"/>
      <c r="E44" s="17" t="s">
        <v>148</v>
      </c>
      <c r="F44" s="17" t="s">
        <v>144</v>
      </c>
      <c r="G44" s="17" t="s">
        <v>2</v>
      </c>
      <c r="H44" s="18">
        <f>[8]副本!G86</f>
        <v>590.77800000000002</v>
      </c>
      <c r="I44" s="18">
        <f>H44</f>
        <v>590.77800000000002</v>
      </c>
      <c r="J44" s="17"/>
      <c r="K44" s="15"/>
      <c r="L44" s="16">
        <f>H44-I44</f>
        <v>0</v>
      </c>
      <c r="M44" s="15">
        <v>5000</v>
      </c>
      <c r="N44" s="14"/>
      <c r="O44" s="13"/>
      <c r="P44" s="12" t="s">
        <v>239</v>
      </c>
    </row>
    <row r="45" spans="1:16" s="11" customFormat="1" ht="28.5" customHeight="1" x14ac:dyDescent="0.15">
      <c r="A45" s="17">
        <v>20170109</v>
      </c>
      <c r="B45" s="19" t="s">
        <v>64</v>
      </c>
      <c r="C45" s="36" t="s">
        <v>63</v>
      </c>
      <c r="D45" s="17"/>
      <c r="E45" s="17"/>
      <c r="F45" s="17"/>
      <c r="G45" s="17"/>
      <c r="H45" s="18"/>
      <c r="I45" s="18"/>
      <c r="J45" s="17"/>
      <c r="K45" s="15"/>
      <c r="L45" s="16"/>
      <c r="M45" s="15">
        <v>5000</v>
      </c>
      <c r="N45" s="14"/>
      <c r="O45" s="13"/>
      <c r="P45" s="35"/>
    </row>
    <row r="46" spans="1:16" s="11" customFormat="1" ht="28.5" customHeight="1" x14ac:dyDescent="0.15">
      <c r="A46" s="17">
        <v>20170109</v>
      </c>
      <c r="B46" s="19" t="s">
        <v>62</v>
      </c>
      <c r="C46" s="36" t="s">
        <v>57</v>
      </c>
      <c r="D46" s="17"/>
      <c r="E46" s="17" t="s">
        <v>56</v>
      </c>
      <c r="F46" s="17" t="s">
        <v>61</v>
      </c>
      <c r="G46" s="17" t="s">
        <v>2</v>
      </c>
      <c r="H46" s="18">
        <f>[8]副本!G90</f>
        <v>1672.8439999999941</v>
      </c>
      <c r="I46" s="18">
        <f>H46</f>
        <v>1672.8439999999941</v>
      </c>
      <c r="J46" s="17"/>
      <c r="K46" s="16"/>
      <c r="L46" s="16">
        <f>H46-I46</f>
        <v>0</v>
      </c>
      <c r="M46" s="15">
        <v>2000</v>
      </c>
      <c r="N46" s="14"/>
      <c r="O46" s="13"/>
      <c r="P46" s="12"/>
    </row>
    <row r="47" spans="1:16" s="11" customFormat="1" ht="28.5" customHeight="1" x14ac:dyDescent="0.15">
      <c r="A47" s="17">
        <v>20170109</v>
      </c>
      <c r="B47" s="19" t="s">
        <v>60</v>
      </c>
      <c r="C47" s="36" t="s">
        <v>43</v>
      </c>
      <c r="D47" s="17" t="s">
        <v>5</v>
      </c>
      <c r="E47" s="17" t="s">
        <v>34</v>
      </c>
      <c r="F47" s="17" t="s">
        <v>48</v>
      </c>
      <c r="G47" s="17" t="s">
        <v>2</v>
      </c>
      <c r="H47" s="18">
        <f>[8]副本!G92</f>
        <v>2409.6100000000006</v>
      </c>
      <c r="I47" s="18">
        <v>0</v>
      </c>
      <c r="J47" s="17"/>
      <c r="K47" s="15"/>
      <c r="L47" s="16">
        <f>H47-I47</f>
        <v>2409.6100000000006</v>
      </c>
      <c r="M47" s="15">
        <v>10000</v>
      </c>
      <c r="N47" s="14"/>
      <c r="O47" s="13"/>
      <c r="P47" s="12"/>
    </row>
    <row r="48" spans="1:16" s="11" customFormat="1" ht="28.5" customHeight="1" x14ac:dyDescent="0.15">
      <c r="A48" s="17">
        <v>20170109</v>
      </c>
      <c r="B48" s="19" t="s">
        <v>59</v>
      </c>
      <c r="C48" s="36" t="s">
        <v>28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[8]副本!G94</f>
        <v>7409.1850000000004</v>
      </c>
      <c r="I48" s="18">
        <f>H48-7409.185</f>
        <v>0</v>
      </c>
      <c r="J48" s="17"/>
      <c r="K48" s="15"/>
      <c r="L48" s="16">
        <v>0</v>
      </c>
      <c r="M48" s="15">
        <v>10000</v>
      </c>
      <c r="N48" s="14"/>
      <c r="O48" s="13"/>
      <c r="P48" s="12"/>
    </row>
    <row r="49" spans="1:17" s="11" customFormat="1" ht="28.5" customHeight="1" x14ac:dyDescent="0.15">
      <c r="A49" s="17">
        <v>20170109</v>
      </c>
      <c r="B49" s="19" t="s">
        <v>58</v>
      </c>
      <c r="C49" s="36" t="s">
        <v>57</v>
      </c>
      <c r="D49" s="17"/>
      <c r="E49" s="17" t="s">
        <v>56</v>
      </c>
      <c r="F49" s="17" t="s">
        <v>55</v>
      </c>
      <c r="G49" s="17" t="s">
        <v>54</v>
      </c>
      <c r="H49" s="18">
        <f>[8]副本!G96</f>
        <v>946.32400000000825</v>
      </c>
      <c r="I49" s="18">
        <f>H49</f>
        <v>946.32400000000825</v>
      </c>
      <c r="J49" s="17"/>
      <c r="K49" s="16"/>
      <c r="L49" s="16">
        <v>0</v>
      </c>
      <c r="M49" s="15">
        <v>5000</v>
      </c>
      <c r="N49" s="23" t="s">
        <v>53</v>
      </c>
      <c r="O49" s="22" t="s">
        <v>52</v>
      </c>
      <c r="P49" s="12" t="s">
        <v>247</v>
      </c>
    </row>
    <row r="50" spans="1:17" s="11" customFormat="1" ht="28.5" customHeight="1" x14ac:dyDescent="0.15">
      <c r="A50" s="17">
        <v>20170109</v>
      </c>
      <c r="B50" s="19" t="s">
        <v>50</v>
      </c>
      <c r="C50" s="36" t="s">
        <v>28</v>
      </c>
      <c r="D50" s="17"/>
      <c r="E50" s="17" t="s">
        <v>238</v>
      </c>
      <c r="F50" s="17" t="s">
        <v>250</v>
      </c>
      <c r="G50" s="17" t="s">
        <v>2</v>
      </c>
      <c r="H50" s="18">
        <f>[8]副本!G98</f>
        <v>1237.539</v>
      </c>
      <c r="I50" s="18">
        <f>H50</f>
        <v>1237.539</v>
      </c>
      <c r="J50" s="17"/>
      <c r="K50" s="15"/>
      <c r="L50" s="16">
        <f>H50-I50</f>
        <v>0</v>
      </c>
      <c r="M50" s="15">
        <v>3000</v>
      </c>
      <c r="N50" s="14"/>
      <c r="O50" s="13"/>
      <c r="P50" s="12" t="s">
        <v>237</v>
      </c>
    </row>
    <row r="51" spans="1:17" s="11" customFormat="1" ht="28.5" customHeight="1" x14ac:dyDescent="0.15">
      <c r="A51" s="17">
        <v>20170109</v>
      </c>
      <c r="B51" s="19" t="s">
        <v>49</v>
      </c>
      <c r="C51" s="36" t="s">
        <v>28</v>
      </c>
      <c r="D51" s="17" t="s">
        <v>5</v>
      </c>
      <c r="E51" s="17" t="s">
        <v>34</v>
      </c>
      <c r="F51" s="17" t="s">
        <v>48</v>
      </c>
      <c r="G51" s="17" t="s">
        <v>22</v>
      </c>
      <c r="H51" s="18">
        <f>[8]副本!G100</f>
        <v>17900.637999999999</v>
      </c>
      <c r="I51" s="18">
        <v>0</v>
      </c>
      <c r="J51" s="17"/>
      <c r="K51" s="15"/>
      <c r="L51" s="16">
        <f>H51-I51</f>
        <v>17900.637999999999</v>
      </c>
      <c r="M51" s="15">
        <v>25000</v>
      </c>
      <c r="N51" s="14" t="s">
        <v>47</v>
      </c>
      <c r="O51" s="13" t="s">
        <v>46</v>
      </c>
      <c r="P51" s="12" t="s">
        <v>45</v>
      </c>
    </row>
    <row r="52" spans="1:17" s="11" customFormat="1" ht="28.5" customHeight="1" x14ac:dyDescent="0.15">
      <c r="A52" s="17">
        <v>20170109</v>
      </c>
      <c r="B52" s="19" t="s">
        <v>44</v>
      </c>
      <c r="C52" s="36" t="s">
        <v>43</v>
      </c>
      <c r="D52" s="17" t="s">
        <v>5</v>
      </c>
      <c r="E52" s="17" t="s">
        <v>34</v>
      </c>
      <c r="F52" s="17" t="s">
        <v>235</v>
      </c>
      <c r="G52" s="17" t="s">
        <v>22</v>
      </c>
      <c r="H52" s="18">
        <f>[8]副本!G102</f>
        <v>15386.827000000081</v>
      </c>
      <c r="I52" s="18">
        <v>0</v>
      </c>
      <c r="J52" s="17"/>
      <c r="K52" s="15"/>
      <c r="L52" s="16">
        <f>H52-I52</f>
        <v>15386.827000000081</v>
      </c>
      <c r="M52" s="15">
        <v>50000</v>
      </c>
      <c r="N52" s="14"/>
      <c r="O52" s="13"/>
      <c r="P52" s="12"/>
    </row>
    <row r="53" spans="1:17" s="11" customFormat="1" ht="28.5" customHeight="1" x14ac:dyDescent="0.15">
      <c r="A53" s="17">
        <v>20170109</v>
      </c>
      <c r="B53" s="19" t="s">
        <v>41</v>
      </c>
      <c r="C53" s="36" t="s">
        <v>28</v>
      </c>
      <c r="D53" s="17"/>
      <c r="E53" s="17" t="s">
        <v>40</v>
      </c>
      <c r="F53" s="17" t="s">
        <v>39</v>
      </c>
      <c r="G53" s="17" t="s">
        <v>22</v>
      </c>
      <c r="H53" s="18">
        <f>[8]副本!G104</f>
        <v>8.9600000000170894</v>
      </c>
      <c r="I53" s="18">
        <f>H53</f>
        <v>8.9600000000170894</v>
      </c>
      <c r="J53" s="17"/>
      <c r="K53" s="15"/>
      <c r="L53" s="16">
        <f>H53-I53</f>
        <v>0</v>
      </c>
      <c r="M53" s="15">
        <v>4000</v>
      </c>
      <c r="N53" s="14"/>
      <c r="O53" s="13"/>
      <c r="P53" s="12" t="s">
        <v>38</v>
      </c>
    </row>
    <row r="54" spans="1:17" s="11" customFormat="1" ht="28.5" customHeight="1" x14ac:dyDescent="0.15">
      <c r="A54" s="17">
        <v>20170109</v>
      </c>
      <c r="B54" s="19" t="s">
        <v>41</v>
      </c>
      <c r="C54" s="36" t="s">
        <v>28</v>
      </c>
      <c r="D54" s="17"/>
      <c r="E54" s="17" t="s">
        <v>40</v>
      </c>
      <c r="F54" s="17" t="s">
        <v>71</v>
      </c>
      <c r="G54" s="17" t="s">
        <v>22</v>
      </c>
      <c r="H54" s="18">
        <f>[8]副本!G105</f>
        <v>0.23699999999999832</v>
      </c>
      <c r="I54" s="18">
        <f>H54</f>
        <v>0.23699999999999832</v>
      </c>
      <c r="J54" s="17"/>
      <c r="K54" s="15"/>
      <c r="L54" s="16"/>
      <c r="M54" s="15">
        <v>4000</v>
      </c>
      <c r="N54" s="14"/>
      <c r="O54" s="13"/>
      <c r="P54" s="12" t="s">
        <v>38</v>
      </c>
    </row>
    <row r="55" spans="1:17" s="11" customFormat="1" ht="28.5" customHeight="1" x14ac:dyDescent="0.15">
      <c r="A55" s="17">
        <v>20170109</v>
      </c>
      <c r="B55" s="19" t="s">
        <v>37</v>
      </c>
      <c r="C55" s="36" t="s">
        <v>31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28.5" customHeight="1" x14ac:dyDescent="0.15">
      <c r="A56" s="17">
        <v>20170109</v>
      </c>
      <c r="B56" s="19" t="s">
        <v>36</v>
      </c>
      <c r="C56" s="36" t="s">
        <v>31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28.5" customHeight="1" x14ac:dyDescent="0.15">
      <c r="A57" s="17">
        <v>20170109</v>
      </c>
      <c r="B57" s="19" t="s">
        <v>35</v>
      </c>
      <c r="C57" s="36" t="s">
        <v>28</v>
      </c>
      <c r="D57" s="17" t="s">
        <v>5</v>
      </c>
      <c r="E57" s="17" t="s">
        <v>34</v>
      </c>
      <c r="F57" s="17" t="s">
        <v>48</v>
      </c>
      <c r="G57" s="17" t="s">
        <v>22</v>
      </c>
      <c r="H57" s="18">
        <f>[8]副本!G111</f>
        <v>6957.8649999999998</v>
      </c>
      <c r="I57" s="18">
        <f>H57-6957.865</f>
        <v>0</v>
      </c>
      <c r="J57" s="17"/>
      <c r="K57" s="16"/>
      <c r="L57" s="16">
        <f>H57-I57</f>
        <v>6957.8649999999998</v>
      </c>
      <c r="M57" s="15">
        <v>10000</v>
      </c>
      <c r="N57" s="14"/>
      <c r="O57" s="13"/>
      <c r="P57" s="12"/>
      <c r="Q57" s="20"/>
    </row>
    <row r="58" spans="1:17" s="11" customFormat="1" ht="28.5" customHeight="1" x14ac:dyDescent="0.15">
      <c r="A58" s="17">
        <v>20170109</v>
      </c>
      <c r="B58" s="19" t="s">
        <v>32</v>
      </c>
      <c r="C58" s="36" t="s">
        <v>31</v>
      </c>
      <c r="D58" s="17" t="s">
        <v>5</v>
      </c>
      <c r="E58" s="17"/>
      <c r="F58" s="17"/>
      <c r="G58" s="17"/>
      <c r="H58" s="18"/>
      <c r="I58" s="18"/>
      <c r="J58" s="17"/>
      <c r="K58" s="21"/>
      <c r="L58" s="16"/>
      <c r="M58" s="15">
        <v>15000</v>
      </c>
      <c r="N58" s="14"/>
      <c r="O58" s="13"/>
      <c r="P58" s="12"/>
      <c r="Q58" s="20"/>
    </row>
    <row r="59" spans="1:17" s="11" customFormat="1" ht="28.5" customHeight="1" x14ac:dyDescent="0.15">
      <c r="A59" s="17">
        <v>20170109</v>
      </c>
      <c r="B59" s="19" t="s">
        <v>30</v>
      </c>
      <c r="C59" s="19" t="s">
        <v>28</v>
      </c>
      <c r="D59" s="17" t="s">
        <v>5</v>
      </c>
      <c r="E59" s="17" t="s">
        <v>4</v>
      </c>
      <c r="F59" s="17" t="s">
        <v>3</v>
      </c>
      <c r="G59" s="17" t="s">
        <v>22</v>
      </c>
      <c r="H59" s="18">
        <f>[8]副本!G115</f>
        <v>20832.194</v>
      </c>
      <c r="I59" s="18">
        <f>H59</f>
        <v>20832.194</v>
      </c>
      <c r="J59" s="17"/>
      <c r="K59" s="15"/>
      <c r="L59" s="16"/>
      <c r="M59" s="15">
        <v>43000</v>
      </c>
      <c r="N59" s="14"/>
      <c r="O59" s="13"/>
      <c r="P59" s="12" t="s">
        <v>220</v>
      </c>
      <c r="Q59" s="20"/>
    </row>
    <row r="60" spans="1:17" s="11" customFormat="1" ht="28.5" customHeight="1" x14ac:dyDescent="0.15">
      <c r="A60" s="17">
        <v>20170109</v>
      </c>
      <c r="B60" s="19" t="s">
        <v>30</v>
      </c>
      <c r="C60" s="19" t="s">
        <v>28</v>
      </c>
      <c r="D60" s="17" t="s">
        <v>5</v>
      </c>
      <c r="E60" s="17" t="s">
        <v>4</v>
      </c>
      <c r="F60" s="17" t="s">
        <v>251</v>
      </c>
      <c r="G60" s="17" t="s">
        <v>22</v>
      </c>
      <c r="H60" s="18">
        <f>[8]副本!G116</f>
        <v>620.92000000000007</v>
      </c>
      <c r="I60" s="18">
        <f>H60</f>
        <v>620.92000000000007</v>
      </c>
      <c r="J60" s="17"/>
      <c r="K60" s="15">
        <v>450</v>
      </c>
      <c r="L60" s="16"/>
      <c r="M60" s="15">
        <v>43000</v>
      </c>
      <c r="N60" s="14"/>
      <c r="O60" s="13"/>
      <c r="P60" s="12" t="s">
        <v>220</v>
      </c>
      <c r="Q60" s="20"/>
    </row>
    <row r="61" spans="1:17" s="11" customFormat="1" ht="28.5" customHeight="1" x14ac:dyDescent="0.15">
      <c r="A61" s="17">
        <v>20170109</v>
      </c>
      <c r="B61" s="19" t="s">
        <v>29</v>
      </c>
      <c r="C61" s="19" t="s">
        <v>28</v>
      </c>
      <c r="D61" s="17" t="s">
        <v>5</v>
      </c>
      <c r="E61" s="17"/>
      <c r="F61" s="17"/>
      <c r="G61" s="17"/>
      <c r="H61" s="18"/>
      <c r="I61" s="18"/>
      <c r="J61" s="17"/>
      <c r="K61" s="15"/>
      <c r="L61" s="16"/>
      <c r="M61" s="15"/>
      <c r="N61" s="14"/>
      <c r="O61" s="13"/>
      <c r="P61" s="12"/>
      <c r="Q61" s="20"/>
    </row>
    <row r="62" spans="1:17" s="11" customFormat="1" ht="28.5" customHeight="1" x14ac:dyDescent="0.15">
      <c r="A62" s="17">
        <v>20170109</v>
      </c>
      <c r="B62" s="19" t="s">
        <v>24</v>
      </c>
      <c r="C62" s="36" t="s">
        <v>0</v>
      </c>
      <c r="D62" s="17"/>
      <c r="E62" s="17" t="s">
        <v>4</v>
      </c>
      <c r="F62" s="17" t="s">
        <v>23</v>
      </c>
      <c r="G62" s="17" t="s">
        <v>22</v>
      </c>
      <c r="H62" s="18">
        <f>[8]副本!G120</f>
        <v>1159.4269999999965</v>
      </c>
      <c r="I62" s="18">
        <f>H62-15652.787+4092.929+8666.148+2893.71</f>
        <v>1159.4269999999951</v>
      </c>
      <c r="J62" s="17"/>
      <c r="K62" s="15">
        <v>150</v>
      </c>
      <c r="L62" s="16">
        <f>H62-I62</f>
        <v>0</v>
      </c>
      <c r="M62" s="15">
        <v>20000</v>
      </c>
      <c r="N62" s="14"/>
      <c r="O62" s="13"/>
      <c r="P62" s="12" t="s">
        <v>21</v>
      </c>
    </row>
    <row r="63" spans="1:17" s="11" customFormat="1" ht="28.5" customHeight="1" x14ac:dyDescent="0.15">
      <c r="A63" s="17">
        <v>20170109</v>
      </c>
      <c r="B63" s="19" t="s">
        <v>20</v>
      </c>
      <c r="C63" s="36" t="s">
        <v>0</v>
      </c>
      <c r="D63" s="17"/>
      <c r="E63" s="17" t="s">
        <v>12</v>
      </c>
      <c r="F63" s="17" t="s">
        <v>11</v>
      </c>
      <c r="G63" s="17" t="s">
        <v>2</v>
      </c>
      <c r="H63" s="18">
        <f>[8]副本!G122</f>
        <v>11225.962999999996</v>
      </c>
      <c r="I63" s="18">
        <f>H63-4994.391</f>
        <v>6231.5719999999965</v>
      </c>
      <c r="J63" s="17"/>
      <c r="K63" s="15"/>
      <c r="L63" s="16">
        <f>H63-I63</f>
        <v>4994.3909999999996</v>
      </c>
      <c r="M63" s="15">
        <v>30000</v>
      </c>
      <c r="N63" s="14"/>
      <c r="O63" s="13"/>
      <c r="P63" s="12" t="s">
        <v>236</v>
      </c>
    </row>
    <row r="64" spans="1:17" s="11" customFormat="1" ht="28.5" customHeight="1" x14ac:dyDescent="0.15">
      <c r="A64" s="17">
        <v>20170109</v>
      </c>
      <c r="B64" s="19" t="s">
        <v>18</v>
      </c>
      <c r="C64" s="36" t="s">
        <v>0</v>
      </c>
      <c r="D64" s="17" t="s">
        <v>5</v>
      </c>
      <c r="E64" s="17" t="s">
        <v>4</v>
      </c>
      <c r="F64" s="17" t="s">
        <v>17</v>
      </c>
      <c r="G64" s="17" t="s">
        <v>2</v>
      </c>
      <c r="H64" s="18">
        <f>[8]副本!G124</f>
        <v>14976.093999999999</v>
      </c>
      <c r="I64" s="18">
        <f>H64-14976.094</f>
        <v>0</v>
      </c>
      <c r="J64" s="17"/>
      <c r="K64" s="15">
        <v>200</v>
      </c>
      <c r="L64" s="16">
        <f>H64-I64</f>
        <v>14976.093999999999</v>
      </c>
      <c r="M64" s="15">
        <v>20000</v>
      </c>
      <c r="N64" s="14" t="s">
        <v>16</v>
      </c>
      <c r="O64" s="13" t="s">
        <v>15</v>
      </c>
      <c r="P64" s="12" t="s">
        <v>14</v>
      </c>
    </row>
    <row r="65" spans="1:16" s="11" customFormat="1" ht="28.5" customHeight="1" x14ac:dyDescent="0.15">
      <c r="A65" s="17">
        <v>20170109</v>
      </c>
      <c r="B65" s="19" t="s">
        <v>13</v>
      </c>
      <c r="C65" s="36" t="s">
        <v>0</v>
      </c>
      <c r="D65" s="17"/>
      <c r="E65" s="17" t="s">
        <v>12</v>
      </c>
      <c r="F65" s="17" t="s">
        <v>11</v>
      </c>
      <c r="G65" s="17" t="s">
        <v>2</v>
      </c>
      <c r="H65" s="18">
        <f>[8]副本!G126</f>
        <v>25173.616999999973</v>
      </c>
      <c r="I65" s="18">
        <f>H65</f>
        <v>25173.616999999973</v>
      </c>
      <c r="J65" s="17"/>
      <c r="K65" s="15"/>
      <c r="L65" s="16">
        <v>0</v>
      </c>
      <c r="M65" s="15">
        <v>30000</v>
      </c>
      <c r="N65" s="14"/>
      <c r="O65" s="13"/>
      <c r="P65" s="12"/>
    </row>
    <row r="66" spans="1:16" s="11" customFormat="1" ht="28.5" customHeight="1" x14ac:dyDescent="0.15">
      <c r="A66" s="17">
        <v>20170109</v>
      </c>
      <c r="B66" s="19" t="s">
        <v>10</v>
      </c>
      <c r="C66" s="36" t="s">
        <v>0</v>
      </c>
      <c r="D66" s="17"/>
      <c r="E66" s="17" t="s">
        <v>9</v>
      </c>
      <c r="F66" s="12" t="s">
        <v>8</v>
      </c>
      <c r="G66" s="17" t="s">
        <v>2</v>
      </c>
      <c r="H66" s="18">
        <f>[8]副本!G128</f>
        <v>5979.2150000000001</v>
      </c>
      <c r="I66" s="18">
        <v>0</v>
      </c>
      <c r="J66" s="17"/>
      <c r="K66" s="15"/>
      <c r="L66" s="16">
        <f>H66-I66</f>
        <v>5979.2150000000001</v>
      </c>
      <c r="M66" s="15">
        <v>20000</v>
      </c>
      <c r="N66" s="14"/>
      <c r="O66" s="13"/>
      <c r="P66" s="17"/>
    </row>
    <row r="67" spans="1:16" s="11" customFormat="1" ht="28.5" customHeight="1" x14ac:dyDescent="0.15">
      <c r="A67" s="17">
        <v>20170109</v>
      </c>
      <c r="B67" s="19" t="s">
        <v>10</v>
      </c>
      <c r="C67" s="36" t="s">
        <v>0</v>
      </c>
      <c r="D67" s="17"/>
      <c r="E67" s="17" t="s">
        <v>9</v>
      </c>
      <c r="F67" s="17" t="s">
        <v>257</v>
      </c>
      <c r="G67" s="17" t="s">
        <v>2</v>
      </c>
      <c r="H67" s="18">
        <f>[8]副本!G129</f>
        <v>6000</v>
      </c>
      <c r="I67" s="18">
        <f>H67</f>
        <v>6000</v>
      </c>
      <c r="J67" s="17"/>
      <c r="K67" s="15">
        <v>200</v>
      </c>
      <c r="L67" s="16">
        <v>0</v>
      </c>
      <c r="M67" s="15">
        <v>20000</v>
      </c>
      <c r="N67" s="14"/>
      <c r="O67" s="13"/>
      <c r="P67" s="12" t="s">
        <v>252</v>
      </c>
    </row>
    <row r="68" spans="1:16" s="11" customFormat="1" ht="28.5" customHeight="1" x14ac:dyDescent="0.15">
      <c r="A68" s="17">
        <v>20170109</v>
      </c>
      <c r="B68" s="19" t="s">
        <v>7</v>
      </c>
      <c r="C68" s="36" t="s">
        <v>0</v>
      </c>
      <c r="D68" s="17"/>
      <c r="E68" s="17"/>
      <c r="F68" s="17"/>
      <c r="G68" s="17"/>
      <c r="H68" s="18"/>
      <c r="I68" s="18"/>
      <c r="J68" s="17"/>
      <c r="K68" s="15"/>
      <c r="L68" s="16"/>
      <c r="M68" s="15">
        <v>15000</v>
      </c>
      <c r="N68" s="14"/>
      <c r="O68" s="13"/>
      <c r="P68" s="12"/>
    </row>
    <row r="69" spans="1:16" s="11" customFormat="1" ht="28.5" customHeight="1" x14ac:dyDescent="0.15">
      <c r="A69" s="17">
        <v>20170109</v>
      </c>
      <c r="B69" s="19" t="s">
        <v>6</v>
      </c>
      <c r="C69" s="36" t="s">
        <v>0</v>
      </c>
      <c r="D69" s="17" t="s">
        <v>5</v>
      </c>
      <c r="E69" s="17" t="s">
        <v>4</v>
      </c>
      <c r="F69" s="17" t="s">
        <v>3</v>
      </c>
      <c r="G69" s="17" t="s">
        <v>2</v>
      </c>
      <c r="H69" s="18">
        <f>[8]副本!G133</f>
        <v>12005.106</v>
      </c>
      <c r="I69" s="18">
        <f>H69-12005.106</f>
        <v>0</v>
      </c>
      <c r="J69" s="17"/>
      <c r="K69" s="15"/>
      <c r="L69" s="16">
        <f>H69-I69</f>
        <v>12005.106</v>
      </c>
      <c r="M69" s="15">
        <v>15000</v>
      </c>
      <c r="N69" s="14"/>
      <c r="O69" s="13"/>
      <c r="P69" s="12"/>
    </row>
    <row r="70" spans="1:16" s="11" customFormat="1" ht="28.5" customHeight="1" x14ac:dyDescent="0.15">
      <c r="A70" s="17">
        <v>20170109</v>
      </c>
      <c r="B70" s="19" t="s">
        <v>1</v>
      </c>
      <c r="C70" s="36" t="s">
        <v>0</v>
      </c>
      <c r="D70" s="17"/>
      <c r="E70" s="17"/>
      <c r="F70" s="17"/>
      <c r="G70" s="17"/>
      <c r="H70" s="18"/>
      <c r="I70" s="18"/>
      <c r="J70" s="17"/>
      <c r="K70" s="15"/>
      <c r="L70" s="16"/>
      <c r="M70" s="15">
        <v>15000</v>
      </c>
      <c r="N70" s="14"/>
      <c r="O70" s="13"/>
      <c r="P70" s="12"/>
    </row>
    <row r="76" spans="1:16" x14ac:dyDescent="0.15">
      <c r="L76" s="10"/>
    </row>
    <row r="228" spans="7:8" x14ac:dyDescent="0.15">
      <c r="G228" s="2"/>
      <c r="H228" s="2"/>
    </row>
  </sheetData>
  <autoFilter ref="B1:I70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8"/>
  <sheetViews>
    <sheetView workbookViewId="0">
      <pane xSplit="3" ySplit="1" topLeftCell="D14" activePane="bottomRight" state="frozen"/>
      <selection activeCell="G5" sqref="G5"/>
      <selection pane="topRight" activeCell="G5" sqref="G5"/>
      <selection pane="bottomLeft" activeCell="G5" sqref="G5"/>
      <selection pane="bottomRight" activeCell="F17" sqref="F17:F18"/>
    </sheetView>
  </sheetViews>
  <sheetFormatPr defaultColWidth="8.875" defaultRowHeight="11.25" x14ac:dyDescent="0.15"/>
  <cols>
    <col min="1" max="1" width="9" style="1" bestFit="1" customWidth="1"/>
    <col min="2" max="2" width="5.875" style="2" customWidth="1"/>
    <col min="3" max="3" width="8.25" style="9" customWidth="1"/>
    <col min="4" max="4" width="4.625" style="8" customWidth="1"/>
    <col min="5" max="5" width="9.375" style="2" customWidth="1"/>
    <col min="6" max="6" width="24.875" style="2" customWidth="1"/>
    <col min="7" max="7" width="5.25" style="8" customWidth="1"/>
    <col min="8" max="8" width="10.125" style="7" customWidth="1"/>
    <col min="9" max="9" width="9.625" style="7" customWidth="1"/>
    <col min="10" max="10" width="8.25" style="1" hidden="1" customWidth="1"/>
    <col min="11" max="11" width="7" style="6" customWidth="1"/>
    <col min="12" max="12" width="8.375" style="5" customWidth="1"/>
    <col min="13" max="13" width="6.75" style="4" bestFit="1" customWidth="1"/>
    <col min="14" max="14" width="8.75" style="3" customWidth="1"/>
    <col min="15" max="15" width="8.25" style="3" customWidth="1"/>
    <col min="16" max="16" width="28.5" style="2" customWidth="1"/>
    <col min="17" max="16384" width="8.875" style="1"/>
  </cols>
  <sheetData>
    <row r="1" spans="1:17" s="25" customFormat="1" ht="22.5" x14ac:dyDescent="0.15">
      <c r="A1" s="38" t="s">
        <v>254</v>
      </c>
      <c r="B1" s="38" t="s">
        <v>172</v>
      </c>
      <c r="C1" s="29" t="s">
        <v>171</v>
      </c>
      <c r="D1" s="29" t="s">
        <v>170</v>
      </c>
      <c r="E1" s="29" t="s">
        <v>169</v>
      </c>
      <c r="F1" s="29" t="s">
        <v>210</v>
      </c>
      <c r="G1" s="35" t="s">
        <v>167</v>
      </c>
      <c r="H1" s="34" t="s">
        <v>166</v>
      </c>
      <c r="I1" s="33" t="s">
        <v>165</v>
      </c>
      <c r="J1" s="29"/>
      <c r="K1" s="31" t="s">
        <v>164</v>
      </c>
      <c r="L1" s="32" t="s">
        <v>163</v>
      </c>
      <c r="M1" s="31" t="s">
        <v>162</v>
      </c>
      <c r="N1" s="30" t="s">
        <v>161</v>
      </c>
      <c r="O1" s="30" t="s">
        <v>160</v>
      </c>
      <c r="P1" s="29" t="s">
        <v>159</v>
      </c>
    </row>
    <row r="2" spans="1:17" s="11" customFormat="1" ht="28.5" customHeight="1" x14ac:dyDescent="0.15">
      <c r="A2" s="17">
        <v>20170110</v>
      </c>
      <c r="B2" s="19" t="s">
        <v>158</v>
      </c>
      <c r="C2" s="17" t="s">
        <v>63</v>
      </c>
      <c r="D2" s="19"/>
      <c r="E2" s="17" t="s">
        <v>141</v>
      </c>
      <c r="F2" s="17" t="s">
        <v>144</v>
      </c>
      <c r="G2" s="12" t="s">
        <v>54</v>
      </c>
      <c r="H2" s="18"/>
      <c r="I2" s="18"/>
      <c r="J2" s="17"/>
      <c r="K2" s="15"/>
      <c r="L2" s="16"/>
      <c r="M2" s="15">
        <v>2000</v>
      </c>
      <c r="N2" s="14" t="s">
        <v>143</v>
      </c>
      <c r="O2" s="13" t="s">
        <v>124</v>
      </c>
      <c r="P2" s="12"/>
    </row>
    <row r="3" spans="1:17" s="11" customFormat="1" ht="28.5" customHeight="1" x14ac:dyDescent="0.15">
      <c r="A3" s="17">
        <v>20170110</v>
      </c>
      <c r="B3" s="19" t="s">
        <v>157</v>
      </c>
      <c r="C3" s="17" t="s">
        <v>63</v>
      </c>
      <c r="D3" s="19"/>
      <c r="E3" s="17" t="s">
        <v>156</v>
      </c>
      <c r="F3" s="17" t="s">
        <v>155</v>
      </c>
      <c r="G3" s="12" t="s">
        <v>54</v>
      </c>
      <c r="H3" s="18">
        <f>[9]副本!G5</f>
        <v>213.43599999999992</v>
      </c>
      <c r="I3" s="18">
        <f>H3-995.136+995.136</f>
        <v>213.43599999999992</v>
      </c>
      <c r="J3" s="17"/>
      <c r="K3" s="15"/>
      <c r="L3" s="16">
        <f>H3-I3</f>
        <v>0</v>
      </c>
      <c r="M3" s="15">
        <v>1500</v>
      </c>
      <c r="N3" s="14"/>
      <c r="O3" s="13"/>
      <c r="P3" s="12" t="s">
        <v>154</v>
      </c>
    </row>
    <row r="4" spans="1:17" s="11" customFormat="1" ht="28.5" customHeight="1" x14ac:dyDescent="0.15">
      <c r="A4" s="17">
        <v>20170110</v>
      </c>
      <c r="B4" s="19" t="s">
        <v>153</v>
      </c>
      <c r="C4" s="17" t="s">
        <v>63</v>
      </c>
      <c r="D4" s="19"/>
      <c r="E4" s="17" t="s">
        <v>56</v>
      </c>
      <c r="F4" s="17" t="s">
        <v>61</v>
      </c>
      <c r="G4" s="12" t="s">
        <v>54</v>
      </c>
      <c r="H4" s="18">
        <f>[9]副本!G7</f>
        <v>1865.2429999999958</v>
      </c>
      <c r="I4" s="18">
        <f>H4</f>
        <v>1865.2429999999958</v>
      </c>
      <c r="J4" s="17"/>
      <c r="K4" s="16"/>
      <c r="L4" s="16">
        <v>0</v>
      </c>
      <c r="M4" s="15">
        <v>2000</v>
      </c>
      <c r="N4" s="14" t="s">
        <v>152</v>
      </c>
      <c r="O4" s="13" t="s">
        <v>151</v>
      </c>
      <c r="P4" s="12" t="s">
        <v>150</v>
      </c>
    </row>
    <row r="5" spans="1:17" s="11" customFormat="1" ht="28.5" customHeight="1" x14ac:dyDescent="0.15">
      <c r="A5" s="17">
        <v>20170110</v>
      </c>
      <c r="B5" s="19" t="s">
        <v>149</v>
      </c>
      <c r="C5" s="17" t="s">
        <v>63</v>
      </c>
      <c r="D5" s="17"/>
      <c r="E5" s="17" t="s">
        <v>148</v>
      </c>
      <c r="F5" s="17" t="s">
        <v>140</v>
      </c>
      <c r="G5" s="12" t="s">
        <v>54</v>
      </c>
      <c r="H5" s="18">
        <f>[9]副本!G9</f>
        <v>68.23200000002771</v>
      </c>
      <c r="I5" s="18">
        <f>H5</f>
        <v>68.23200000002771</v>
      </c>
      <c r="J5" s="17"/>
      <c r="K5" s="15"/>
      <c r="L5" s="16">
        <f>H5-I5</f>
        <v>0</v>
      </c>
      <c r="M5" s="15">
        <v>2000</v>
      </c>
      <c r="N5" s="14" t="s">
        <v>147</v>
      </c>
      <c r="O5" s="13" t="s">
        <v>124</v>
      </c>
      <c r="P5" s="12" t="s">
        <v>260</v>
      </c>
    </row>
    <row r="6" spans="1:17" s="11" customFormat="1" ht="28.5" customHeight="1" x14ac:dyDescent="0.15">
      <c r="A6" s="17">
        <v>20170110</v>
      </c>
      <c r="B6" s="19" t="s">
        <v>145</v>
      </c>
      <c r="C6" s="17" t="s">
        <v>63</v>
      </c>
      <c r="D6" s="17"/>
      <c r="E6" s="17" t="s">
        <v>141</v>
      </c>
      <c r="F6" s="17" t="s">
        <v>144</v>
      </c>
      <c r="G6" s="12" t="s">
        <v>54</v>
      </c>
      <c r="H6" s="18">
        <f>[9]副本!G11</f>
        <v>2940.4540000000002</v>
      </c>
      <c r="I6" s="18">
        <f>H6</f>
        <v>2940.4540000000002</v>
      </c>
      <c r="J6" s="17"/>
      <c r="K6" s="15"/>
      <c r="L6" s="16">
        <v>0</v>
      </c>
      <c r="M6" s="15">
        <v>3000</v>
      </c>
      <c r="N6" s="14" t="s">
        <v>143</v>
      </c>
      <c r="O6" s="13" t="s">
        <v>124</v>
      </c>
      <c r="P6" s="12" t="s">
        <v>267</v>
      </c>
      <c r="Q6" s="20"/>
    </row>
    <row r="7" spans="1:17" s="11" customFormat="1" ht="28.5" customHeight="1" x14ac:dyDescent="0.15">
      <c r="A7" s="17">
        <v>20170110</v>
      </c>
      <c r="B7" s="19" t="s">
        <v>142</v>
      </c>
      <c r="C7" s="17" t="s">
        <v>63</v>
      </c>
      <c r="D7" s="17"/>
      <c r="E7" s="17" t="s">
        <v>141</v>
      </c>
      <c r="F7" s="17" t="s">
        <v>140</v>
      </c>
      <c r="G7" s="17" t="s">
        <v>54</v>
      </c>
      <c r="H7" s="18">
        <f>[9]副本!G13</f>
        <v>2845.2649999999999</v>
      </c>
      <c r="I7" s="18">
        <f>H7</f>
        <v>2845.2649999999999</v>
      </c>
      <c r="J7" s="17"/>
      <c r="K7" s="15"/>
      <c r="L7" s="16">
        <v>0</v>
      </c>
      <c r="M7" s="15">
        <v>3000</v>
      </c>
      <c r="N7" s="14"/>
      <c r="O7" s="13"/>
      <c r="P7" s="12" t="s">
        <v>260</v>
      </c>
      <c r="Q7" s="20"/>
    </row>
    <row r="8" spans="1:17" s="11" customFormat="1" ht="28.5" customHeight="1" x14ac:dyDescent="0.15">
      <c r="A8" s="17">
        <v>20170110</v>
      </c>
      <c r="B8" s="19" t="s">
        <v>139</v>
      </c>
      <c r="C8" s="17" t="s">
        <v>63</v>
      </c>
      <c r="D8" s="17"/>
      <c r="E8" s="17"/>
      <c r="F8" s="17"/>
      <c r="G8" s="17"/>
      <c r="H8" s="18"/>
      <c r="I8" s="18"/>
      <c r="J8" s="17"/>
      <c r="K8" s="15"/>
      <c r="L8" s="16"/>
      <c r="M8" s="15">
        <v>3000</v>
      </c>
      <c r="N8" s="14"/>
      <c r="O8" s="13"/>
      <c r="P8" s="12"/>
    </row>
    <row r="9" spans="1:17" s="11" customFormat="1" ht="28.5" customHeight="1" x14ac:dyDescent="0.15">
      <c r="A9" s="17">
        <v>20170110</v>
      </c>
      <c r="B9" s="19" t="s">
        <v>138</v>
      </c>
      <c r="C9" s="17" t="s">
        <v>31</v>
      </c>
      <c r="D9" s="17"/>
      <c r="E9" s="17" t="s">
        <v>9</v>
      </c>
      <c r="F9" s="17" t="s">
        <v>104</v>
      </c>
      <c r="G9" s="17" t="s">
        <v>54</v>
      </c>
      <c r="H9" s="17">
        <f>[9]副本!G17</f>
        <v>1322.4749999999999</v>
      </c>
      <c r="I9" s="18">
        <f>H9</f>
        <v>1322.4749999999999</v>
      </c>
      <c r="J9" s="17"/>
      <c r="K9" s="15">
        <v>70</v>
      </c>
      <c r="L9" s="16">
        <f>H9-I9</f>
        <v>0</v>
      </c>
      <c r="M9" s="15">
        <v>5000</v>
      </c>
      <c r="N9" s="14" t="s">
        <v>137</v>
      </c>
      <c r="O9" s="13" t="s">
        <v>136</v>
      </c>
      <c r="P9" s="12" t="s">
        <v>101</v>
      </c>
    </row>
    <row r="10" spans="1:17" s="11" customFormat="1" ht="28.5" customHeight="1" x14ac:dyDescent="0.15">
      <c r="A10" s="17">
        <v>20170110</v>
      </c>
      <c r="B10" s="19" t="s">
        <v>135</v>
      </c>
      <c r="C10" s="17" t="s">
        <v>63</v>
      </c>
      <c r="D10" s="17"/>
      <c r="E10" s="17" t="s">
        <v>92</v>
      </c>
      <c r="F10" s="17" t="s">
        <v>232</v>
      </c>
      <c r="G10" s="17" t="s">
        <v>54</v>
      </c>
      <c r="H10" s="18">
        <f>[9]副本!G19</f>
        <v>1.5219999999999345</v>
      </c>
      <c r="I10" s="18">
        <f>H10</f>
        <v>1.5219999999999345</v>
      </c>
      <c r="J10" s="17"/>
      <c r="K10" s="15"/>
      <c r="L10" s="16">
        <f>H10-I10</f>
        <v>0</v>
      </c>
      <c r="M10" s="15">
        <v>1500</v>
      </c>
      <c r="N10" s="14"/>
      <c r="O10" s="13"/>
      <c r="P10" s="12" t="s">
        <v>229</v>
      </c>
    </row>
    <row r="11" spans="1:17" s="11" customFormat="1" ht="28.5" customHeight="1" x14ac:dyDescent="0.15">
      <c r="A11" s="17">
        <v>20170110</v>
      </c>
      <c r="B11" s="19" t="s">
        <v>135</v>
      </c>
      <c r="C11" s="17" t="s">
        <v>63</v>
      </c>
      <c r="D11" s="17"/>
      <c r="E11" s="17" t="s">
        <v>92</v>
      </c>
      <c r="F11" s="17" t="s">
        <v>261</v>
      </c>
      <c r="G11" s="17"/>
      <c r="H11" s="18">
        <f>[9]副本!G20</f>
        <v>211.28</v>
      </c>
      <c r="I11" s="18">
        <f>H11</f>
        <v>211.28</v>
      </c>
      <c r="J11" s="17"/>
      <c r="K11" s="15"/>
      <c r="L11" s="16">
        <f>H11-I11</f>
        <v>0</v>
      </c>
      <c r="M11" s="15">
        <v>1500</v>
      </c>
      <c r="N11" s="14"/>
      <c r="O11" s="13"/>
      <c r="P11" s="12" t="s">
        <v>253</v>
      </c>
    </row>
    <row r="12" spans="1:17" s="11" customFormat="1" ht="28.5" customHeight="1" x14ac:dyDescent="0.15">
      <c r="A12" s="17">
        <v>20170110</v>
      </c>
      <c r="B12" s="19" t="s">
        <v>135</v>
      </c>
      <c r="C12" s="17" t="s">
        <v>63</v>
      </c>
      <c r="D12" s="17"/>
      <c r="E12" s="17" t="s">
        <v>92</v>
      </c>
      <c r="F12" s="17" t="s">
        <v>91</v>
      </c>
      <c r="G12" s="17"/>
      <c r="H12" s="18">
        <f>[9]副本!G21</f>
        <v>1000</v>
      </c>
      <c r="I12" s="18">
        <f>H12</f>
        <v>1000</v>
      </c>
      <c r="J12" s="17"/>
      <c r="K12" s="15"/>
      <c r="L12" s="16">
        <f>H12-I12</f>
        <v>0</v>
      </c>
      <c r="M12" s="15">
        <v>1500</v>
      </c>
      <c r="N12" s="14"/>
      <c r="O12" s="13"/>
      <c r="P12" s="12" t="s">
        <v>253</v>
      </c>
    </row>
    <row r="13" spans="1:17" s="11" customFormat="1" ht="28.5" customHeight="1" x14ac:dyDescent="0.15">
      <c r="A13" s="17">
        <v>20170110</v>
      </c>
      <c r="B13" s="19" t="s">
        <v>134</v>
      </c>
      <c r="C13" s="17" t="s">
        <v>63</v>
      </c>
      <c r="D13" s="17"/>
      <c r="E13" s="17" t="s">
        <v>116</v>
      </c>
      <c r="F13" s="17" t="s">
        <v>256</v>
      </c>
      <c r="G13" s="17" t="s">
        <v>54</v>
      </c>
      <c r="H13" s="18">
        <f>[9]副本!G23</f>
        <v>1502.1479999999999</v>
      </c>
      <c r="I13" s="18">
        <f>H13</f>
        <v>1502.1479999999999</v>
      </c>
      <c r="J13" s="17"/>
      <c r="K13" s="15"/>
      <c r="L13" s="16">
        <f>H13-I13</f>
        <v>0</v>
      </c>
      <c r="M13" s="15">
        <v>1500</v>
      </c>
      <c r="N13" s="14"/>
      <c r="O13" s="13"/>
      <c r="P13" s="12"/>
    </row>
    <row r="14" spans="1:17" s="11" customFormat="1" ht="28.5" customHeight="1" x14ac:dyDescent="0.15">
      <c r="A14" s="17">
        <v>20170110</v>
      </c>
      <c r="B14" s="19" t="s">
        <v>133</v>
      </c>
      <c r="C14" s="17" t="s">
        <v>28</v>
      </c>
      <c r="D14" s="17"/>
      <c r="E14" s="17"/>
      <c r="F14" s="17"/>
      <c r="G14" s="17"/>
      <c r="H14" s="18"/>
      <c r="I14" s="18"/>
      <c r="J14" s="17"/>
      <c r="K14" s="15"/>
      <c r="L14" s="16"/>
      <c r="M14" s="15">
        <v>1500</v>
      </c>
      <c r="N14" s="14"/>
      <c r="O14" s="13"/>
      <c r="P14" s="12"/>
      <c r="Q14" s="20"/>
    </row>
    <row r="15" spans="1:17" s="11" customFormat="1" ht="28.5" customHeight="1" x14ac:dyDescent="0.15">
      <c r="A15" s="17">
        <v>20170110</v>
      </c>
      <c r="B15" s="19" t="s">
        <v>132</v>
      </c>
      <c r="C15" s="17" t="s">
        <v>28</v>
      </c>
      <c r="D15" s="17"/>
      <c r="E15" s="17"/>
      <c r="F15" s="17"/>
      <c r="G15" s="17"/>
      <c r="H15" s="18"/>
      <c r="I15" s="18"/>
      <c r="J15" s="17"/>
      <c r="K15" s="16"/>
      <c r="L15" s="16"/>
      <c r="M15" s="15">
        <v>1500</v>
      </c>
      <c r="N15" s="14"/>
      <c r="O15" s="13"/>
      <c r="P15" s="12"/>
    </row>
    <row r="16" spans="1:17" s="11" customFormat="1" ht="28.5" customHeight="1" x14ac:dyDescent="0.15">
      <c r="A16" s="17">
        <v>20170110</v>
      </c>
      <c r="B16" s="19" t="s">
        <v>131</v>
      </c>
      <c r="C16" s="17" t="s">
        <v>63</v>
      </c>
      <c r="D16" s="17"/>
      <c r="E16" s="17" t="s">
        <v>92</v>
      </c>
      <c r="F16" s="17" t="s">
        <v>232</v>
      </c>
      <c r="G16" s="17" t="s">
        <v>54</v>
      </c>
      <c r="H16" s="18">
        <f>[9]副本!G29</f>
        <v>1170.597</v>
      </c>
      <c r="I16" s="18">
        <f>H16</f>
        <v>1170.597</v>
      </c>
      <c r="J16" s="17"/>
      <c r="K16" s="15">
        <v>50</v>
      </c>
      <c r="L16" s="16"/>
      <c r="M16" s="15">
        <v>1500</v>
      </c>
      <c r="N16" s="14"/>
      <c r="O16" s="13"/>
      <c r="P16" s="12" t="s">
        <v>228</v>
      </c>
    </row>
    <row r="17" spans="1:17" s="11" customFormat="1" ht="28.5" customHeight="1" x14ac:dyDescent="0.15">
      <c r="A17" s="17">
        <v>20170110</v>
      </c>
      <c r="B17" s="19" t="s">
        <v>129</v>
      </c>
      <c r="C17" s="17" t="s">
        <v>121</v>
      </c>
      <c r="D17" s="17"/>
      <c r="E17" s="17" t="s">
        <v>12</v>
      </c>
      <c r="F17" s="17" t="s">
        <v>11</v>
      </c>
      <c r="G17" s="17" t="s">
        <v>2</v>
      </c>
      <c r="H17" s="18">
        <f>[9]副本!G31-H18</f>
        <v>10476.247000000018</v>
      </c>
      <c r="I17" s="18">
        <f>H17</f>
        <v>10476.247000000018</v>
      </c>
      <c r="J17" s="17"/>
      <c r="K17" s="15"/>
      <c r="L17" s="16">
        <f>H17-I17</f>
        <v>0</v>
      </c>
      <c r="M17" s="15">
        <v>21000</v>
      </c>
      <c r="N17" s="14" t="s">
        <v>120</v>
      </c>
      <c r="O17" s="13" t="s">
        <v>124</v>
      </c>
      <c r="P17" s="12" t="s">
        <v>130</v>
      </c>
    </row>
    <row r="18" spans="1:17" s="11" customFormat="1" ht="28.5" customHeight="1" x14ac:dyDescent="0.15">
      <c r="A18" s="17">
        <v>20170110</v>
      </c>
      <c r="B18" s="19" t="s">
        <v>129</v>
      </c>
      <c r="C18" s="17" t="s">
        <v>121</v>
      </c>
      <c r="D18" s="17"/>
      <c r="E18" s="17" t="s">
        <v>12</v>
      </c>
      <c r="F18" s="17" t="s">
        <v>11</v>
      </c>
      <c r="G18" s="17" t="s">
        <v>2</v>
      </c>
      <c r="H18" s="18">
        <f>[9]副本!G33</f>
        <v>6995.7529999999824</v>
      </c>
      <c r="I18" s="18">
        <f>H18</f>
        <v>6995.7529999999824</v>
      </c>
      <c r="J18" s="17"/>
      <c r="K18" s="15"/>
      <c r="L18" s="16">
        <f>H18-I18</f>
        <v>0</v>
      </c>
      <c r="M18" s="15">
        <v>21000</v>
      </c>
      <c r="N18" s="14" t="s">
        <v>120</v>
      </c>
      <c r="O18" s="13" t="s">
        <v>119</v>
      </c>
      <c r="P18" s="12" t="s">
        <v>244</v>
      </c>
    </row>
    <row r="19" spans="1:17" s="11" customFormat="1" ht="28.5" customHeight="1" x14ac:dyDescent="0.15">
      <c r="A19" s="17">
        <v>20170110</v>
      </c>
      <c r="B19" s="19" t="s">
        <v>127</v>
      </c>
      <c r="C19" s="17" t="s">
        <v>63</v>
      </c>
      <c r="D19" s="17"/>
      <c r="E19" s="17"/>
      <c r="F19" s="17"/>
      <c r="G19" s="17"/>
      <c r="H19" s="18"/>
      <c r="I19" s="18"/>
      <c r="J19" s="17"/>
      <c r="K19" s="15"/>
      <c r="L19" s="16"/>
      <c r="M19" s="15">
        <v>5000</v>
      </c>
      <c r="N19" s="14"/>
      <c r="O19" s="13"/>
      <c r="P19" s="12"/>
    </row>
    <row r="20" spans="1:17" s="11" customFormat="1" ht="28.5" customHeight="1" x14ac:dyDescent="0.15">
      <c r="A20" s="17">
        <v>20170110</v>
      </c>
      <c r="B20" s="19" t="s">
        <v>126</v>
      </c>
      <c r="C20" s="17" t="s">
        <v>63</v>
      </c>
      <c r="D20" s="17"/>
      <c r="E20" s="17"/>
      <c r="F20" s="17"/>
      <c r="G20" s="17"/>
      <c r="H20" s="18"/>
      <c r="I20" s="18"/>
      <c r="J20" s="17"/>
      <c r="K20" s="15"/>
      <c r="L20" s="16"/>
      <c r="M20" s="15">
        <v>3000</v>
      </c>
      <c r="N20" s="14"/>
      <c r="O20" s="13"/>
      <c r="P20" s="12"/>
    </row>
    <row r="21" spans="1:17" s="11" customFormat="1" ht="28.5" customHeight="1" x14ac:dyDescent="0.15">
      <c r="A21" s="17">
        <v>20170110</v>
      </c>
      <c r="B21" s="19" t="s">
        <v>122</v>
      </c>
      <c r="C21" s="17" t="s">
        <v>121</v>
      </c>
      <c r="D21" s="17"/>
      <c r="E21" s="17" t="s">
        <v>12</v>
      </c>
      <c r="F21" s="17" t="s">
        <v>11</v>
      </c>
      <c r="G21" s="17" t="s">
        <v>2</v>
      </c>
      <c r="H21" s="18">
        <f>[9]副本!G39-'20170110'!H22</f>
        <v>11997.537428000036</v>
      </c>
      <c r="I21" s="18">
        <f>H21</f>
        <v>11997.537428000036</v>
      </c>
      <c r="J21" s="17"/>
      <c r="K21" s="15"/>
      <c r="L21" s="16">
        <f>H21-I21</f>
        <v>0</v>
      </c>
      <c r="M21" s="15">
        <v>21000</v>
      </c>
      <c r="N21" s="14" t="s">
        <v>125</v>
      </c>
      <c r="O21" s="13" t="s">
        <v>124</v>
      </c>
      <c r="P21" s="12" t="s">
        <v>123</v>
      </c>
    </row>
    <row r="22" spans="1:17" s="11" customFormat="1" ht="28.5" customHeight="1" x14ac:dyDescent="0.15">
      <c r="A22" s="17">
        <v>20170110</v>
      </c>
      <c r="B22" s="19" t="s">
        <v>122</v>
      </c>
      <c r="C22" s="17" t="s">
        <v>121</v>
      </c>
      <c r="D22" s="17"/>
      <c r="E22" s="17" t="s">
        <v>12</v>
      </c>
      <c r="F22" s="17" t="s">
        <v>11</v>
      </c>
      <c r="G22" s="17" t="s">
        <v>2</v>
      </c>
      <c r="H22" s="18">
        <f>[9]副本!G41</f>
        <v>3384.4625719999631</v>
      </c>
      <c r="I22" s="18">
        <f>H22</f>
        <v>3384.4625719999631</v>
      </c>
      <c r="J22" s="17"/>
      <c r="K22" s="28"/>
      <c r="L22" s="16">
        <f>H22-I22</f>
        <v>0</v>
      </c>
      <c r="M22" s="15">
        <v>21000</v>
      </c>
      <c r="N22" s="14" t="s">
        <v>120</v>
      </c>
      <c r="O22" s="13" t="s">
        <v>119</v>
      </c>
      <c r="P22" s="12" t="s">
        <v>243</v>
      </c>
    </row>
    <row r="23" spans="1:17" s="11" customFormat="1" ht="28.5" customHeight="1" x14ac:dyDescent="0.15">
      <c r="A23" s="17">
        <v>20170110</v>
      </c>
      <c r="B23" s="19" t="s">
        <v>117</v>
      </c>
      <c r="C23" s="17" t="s">
        <v>63</v>
      </c>
      <c r="D23" s="17"/>
      <c r="E23" s="17" t="s">
        <v>116</v>
      </c>
      <c r="F23" s="17" t="s">
        <v>115</v>
      </c>
      <c r="G23" s="17" t="s">
        <v>2</v>
      </c>
      <c r="H23" s="18">
        <f>[9]副本!G43</f>
        <v>2740.9359999999997</v>
      </c>
      <c r="I23" s="18">
        <f>H23</f>
        <v>2740.9359999999997</v>
      </c>
      <c r="J23" s="17"/>
      <c r="K23" s="15">
        <v>200</v>
      </c>
      <c r="L23" s="16">
        <f>H23-I23</f>
        <v>0</v>
      </c>
      <c r="M23" s="15">
        <v>5000</v>
      </c>
      <c r="N23" s="14"/>
      <c r="O23" s="13"/>
      <c r="P23" s="12" t="s">
        <v>114</v>
      </c>
    </row>
    <row r="24" spans="1:17" s="11" customFormat="1" ht="28.5" customHeight="1" x14ac:dyDescent="0.15">
      <c r="A24" s="17">
        <v>20170110</v>
      </c>
      <c r="B24" s="19" t="s">
        <v>113</v>
      </c>
      <c r="C24" s="17" t="s">
        <v>0</v>
      </c>
      <c r="D24" s="17"/>
      <c r="E24" s="12"/>
      <c r="F24" s="17"/>
      <c r="G24" s="17"/>
      <c r="H24" s="18"/>
      <c r="I24" s="18"/>
      <c r="J24" s="17"/>
      <c r="K24" s="15"/>
      <c r="L24" s="16"/>
      <c r="M24" s="15">
        <v>5000</v>
      </c>
      <c r="N24" s="14"/>
      <c r="O24" s="13"/>
      <c r="P24" s="27"/>
    </row>
    <row r="25" spans="1:17" s="11" customFormat="1" ht="28.5" customHeight="1" x14ac:dyDescent="0.15">
      <c r="A25" s="17">
        <v>20170110</v>
      </c>
      <c r="B25" s="19" t="s">
        <v>226</v>
      </c>
      <c r="C25" s="17" t="s">
        <v>63</v>
      </c>
      <c r="D25" s="17"/>
      <c r="E25" s="17"/>
      <c r="F25" s="17"/>
      <c r="G25" s="17"/>
      <c r="H25" s="18"/>
      <c r="I25" s="18"/>
      <c r="J25" s="17"/>
      <c r="K25" s="15"/>
      <c r="L25" s="16"/>
      <c r="M25" s="15">
        <v>5000</v>
      </c>
      <c r="N25" s="14"/>
      <c r="O25" s="13"/>
      <c r="P25" s="12"/>
    </row>
    <row r="26" spans="1:17" s="11" customFormat="1" ht="28.5" customHeight="1" x14ac:dyDescent="0.15">
      <c r="A26" s="17">
        <v>20170110</v>
      </c>
      <c r="B26" s="19" t="s">
        <v>109</v>
      </c>
      <c r="C26" s="17" t="s">
        <v>63</v>
      </c>
      <c r="D26" s="17"/>
      <c r="E26" s="17" t="s">
        <v>108</v>
      </c>
      <c r="F26" s="17" t="s">
        <v>264</v>
      </c>
      <c r="G26" s="17" t="s">
        <v>2</v>
      </c>
      <c r="H26" s="18">
        <f>[9]副本!G49</f>
        <v>80.561000000042895</v>
      </c>
      <c r="I26" s="18">
        <f>H26</f>
        <v>80.561000000042895</v>
      </c>
      <c r="J26" s="17"/>
      <c r="K26" s="15"/>
      <c r="L26" s="16">
        <f>H26-I26</f>
        <v>0</v>
      </c>
      <c r="M26" s="15">
        <v>4000</v>
      </c>
      <c r="N26" s="14" t="s">
        <v>47</v>
      </c>
      <c r="O26" s="13" t="s">
        <v>46</v>
      </c>
      <c r="P26" s="12"/>
    </row>
    <row r="27" spans="1:17" s="11" customFormat="1" ht="28.5" customHeight="1" x14ac:dyDescent="0.15">
      <c r="A27" s="17">
        <v>20170110</v>
      </c>
      <c r="B27" s="19" t="s">
        <v>106</v>
      </c>
      <c r="C27" s="17" t="s">
        <v>105</v>
      </c>
      <c r="D27" s="17"/>
      <c r="E27" s="17" t="s">
        <v>9</v>
      </c>
      <c r="F27" s="17" t="s">
        <v>104</v>
      </c>
      <c r="G27" s="17" t="s">
        <v>2</v>
      </c>
      <c r="H27" s="18">
        <f>[9]副本!G51</f>
        <v>272.52499999999998</v>
      </c>
      <c r="I27" s="18">
        <f>H27</f>
        <v>272.52499999999998</v>
      </c>
      <c r="J27" s="17"/>
      <c r="K27" s="15"/>
      <c r="L27" s="16">
        <f>H27-I27</f>
        <v>0</v>
      </c>
      <c r="M27" s="15">
        <v>5000</v>
      </c>
      <c r="N27" s="14" t="s">
        <v>225</v>
      </c>
      <c r="O27" s="13" t="s">
        <v>102</v>
      </c>
      <c r="P27" s="12" t="s">
        <v>101</v>
      </c>
    </row>
    <row r="28" spans="1:17" s="11" customFormat="1" ht="28.5" customHeight="1" x14ac:dyDescent="0.15">
      <c r="A28" s="17">
        <v>20170110</v>
      </c>
      <c r="B28" s="19" t="s">
        <v>100</v>
      </c>
      <c r="C28" s="17" t="s">
        <v>96</v>
      </c>
      <c r="D28" s="17"/>
      <c r="E28" s="17"/>
      <c r="F28" s="17"/>
      <c r="G28" s="17"/>
      <c r="H28" s="18"/>
      <c r="I28" s="18"/>
      <c r="J28" s="17"/>
      <c r="K28" s="15"/>
      <c r="L28" s="16"/>
      <c r="M28" s="15">
        <v>2000</v>
      </c>
      <c r="N28" s="14"/>
      <c r="O28" s="13"/>
      <c r="P28" s="12"/>
    </row>
    <row r="29" spans="1:17" s="11" customFormat="1" ht="28.5" customHeight="1" x14ac:dyDescent="0.15">
      <c r="A29" s="17">
        <v>20170110</v>
      </c>
      <c r="B29" s="19" t="s">
        <v>224</v>
      </c>
      <c r="C29" s="17" t="s">
        <v>96</v>
      </c>
      <c r="D29" s="17"/>
      <c r="E29" s="17" t="s">
        <v>67</v>
      </c>
      <c r="F29" s="17" t="s">
        <v>39</v>
      </c>
      <c r="G29" s="17" t="s">
        <v>2</v>
      </c>
      <c r="H29" s="18">
        <f>[9]副本!G55</f>
        <v>856.07599999999991</v>
      </c>
      <c r="I29" s="18">
        <f>H29</f>
        <v>856.07599999999991</v>
      </c>
      <c r="J29" s="17"/>
      <c r="K29" s="15"/>
      <c r="L29" s="16">
        <f>H29-I29</f>
        <v>0</v>
      </c>
      <c r="M29" s="15">
        <v>1500</v>
      </c>
      <c r="N29" s="14"/>
      <c r="O29" s="13"/>
      <c r="P29" s="12" t="s">
        <v>240</v>
      </c>
    </row>
    <row r="30" spans="1:17" s="11" customFormat="1" ht="28.5" customHeight="1" x14ac:dyDescent="0.15">
      <c r="A30" s="17">
        <v>20170110</v>
      </c>
      <c r="B30" s="19" t="s">
        <v>98</v>
      </c>
      <c r="C30" s="17" t="s">
        <v>96</v>
      </c>
      <c r="D30" s="17"/>
      <c r="E30" s="17"/>
      <c r="F30" s="17"/>
      <c r="G30" s="17"/>
      <c r="H30" s="18"/>
      <c r="I30" s="18"/>
      <c r="J30" s="17"/>
      <c r="K30" s="15"/>
      <c r="L30" s="16">
        <f>H30-I30</f>
        <v>0</v>
      </c>
      <c r="M30" s="15">
        <v>1500</v>
      </c>
      <c r="N30" s="14"/>
      <c r="O30" s="13"/>
      <c r="P30" s="12"/>
      <c r="Q30" s="20"/>
    </row>
    <row r="31" spans="1:17" s="11" customFormat="1" ht="28.5" customHeight="1" x14ac:dyDescent="0.15">
      <c r="A31" s="17">
        <v>20170110</v>
      </c>
      <c r="B31" s="19" t="s">
        <v>97</v>
      </c>
      <c r="C31" s="17" t="s">
        <v>96</v>
      </c>
      <c r="D31" s="17"/>
      <c r="E31" s="17" t="s">
        <v>67</v>
      </c>
      <c r="F31" s="17" t="s">
        <v>39</v>
      </c>
      <c r="G31" s="17" t="s">
        <v>2</v>
      </c>
      <c r="H31" s="18">
        <f>[9]副本!G59</f>
        <v>1098.2449999999999</v>
      </c>
      <c r="I31" s="18">
        <f>H31</f>
        <v>1098.2449999999999</v>
      </c>
      <c r="J31" s="17"/>
      <c r="K31" s="15"/>
      <c r="L31" s="16">
        <f>H31-I31</f>
        <v>0</v>
      </c>
      <c r="M31" s="15">
        <v>1500</v>
      </c>
      <c r="N31" s="14"/>
      <c r="O31" s="13"/>
      <c r="P31" s="12" t="s">
        <v>240</v>
      </c>
    </row>
    <row r="32" spans="1:17" s="11" customFormat="1" ht="28.5" customHeight="1" x14ac:dyDescent="0.15">
      <c r="A32" s="17">
        <v>20170110</v>
      </c>
      <c r="B32" s="19" t="s">
        <v>95</v>
      </c>
      <c r="C32" s="17" t="s">
        <v>63</v>
      </c>
      <c r="D32" s="17"/>
      <c r="E32" s="17"/>
      <c r="F32" s="17"/>
      <c r="G32" s="17"/>
      <c r="H32" s="18"/>
      <c r="I32" s="18"/>
      <c r="J32" s="17"/>
      <c r="K32" s="15"/>
      <c r="L32" s="16"/>
      <c r="M32" s="15">
        <v>1500</v>
      </c>
      <c r="N32" s="14"/>
      <c r="O32" s="13"/>
      <c r="P32" s="12"/>
    </row>
    <row r="33" spans="1:16" s="11" customFormat="1" ht="28.5" customHeight="1" x14ac:dyDescent="0.15">
      <c r="A33" s="17">
        <v>20170110</v>
      </c>
      <c r="B33" s="19" t="s">
        <v>93</v>
      </c>
      <c r="C33" s="17" t="s">
        <v>57</v>
      </c>
      <c r="D33" s="17"/>
      <c r="E33" s="17" t="s">
        <v>92</v>
      </c>
      <c r="F33" s="17" t="s">
        <v>91</v>
      </c>
      <c r="G33" s="17"/>
      <c r="H33" s="17">
        <f>[9]副本!G63</f>
        <v>645.89600000000019</v>
      </c>
      <c r="I33" s="18">
        <f>H33-1035.099+1035.099-500.357</f>
        <v>145.53900000000016</v>
      </c>
      <c r="J33" s="17"/>
      <c r="K33" s="15">
        <v>20</v>
      </c>
      <c r="L33" s="16">
        <f>H33-I33</f>
        <v>500.35700000000003</v>
      </c>
      <c r="M33" s="15">
        <v>2000</v>
      </c>
      <c r="N33" s="14"/>
      <c r="O33" s="13"/>
      <c r="P33" s="12" t="s">
        <v>259</v>
      </c>
    </row>
    <row r="34" spans="1:16" s="11" customFormat="1" ht="28.5" customHeight="1" x14ac:dyDescent="0.15">
      <c r="A34" s="17">
        <v>20170110</v>
      </c>
      <c r="B34" s="19" t="s">
        <v>89</v>
      </c>
      <c r="C34" s="17" t="s">
        <v>63</v>
      </c>
      <c r="D34" s="17" t="s">
        <v>88</v>
      </c>
      <c r="E34" s="17" t="s">
        <v>87</v>
      </c>
      <c r="F34" s="17" t="s">
        <v>233</v>
      </c>
      <c r="G34" s="17" t="s">
        <v>54</v>
      </c>
      <c r="H34" s="18">
        <f>[9]副本!G65</f>
        <v>755.06299999999987</v>
      </c>
      <c r="I34" s="18">
        <f>H34-1037.023+500+537.023</f>
        <v>755.06299999999999</v>
      </c>
      <c r="J34" s="17"/>
      <c r="K34" s="15">
        <v>70</v>
      </c>
      <c r="L34" s="16">
        <f>H34-I34</f>
        <v>0</v>
      </c>
      <c r="M34" s="15">
        <v>3000</v>
      </c>
      <c r="N34" s="14"/>
      <c r="O34" s="13"/>
      <c r="P34" s="24" t="s">
        <v>222</v>
      </c>
    </row>
    <row r="35" spans="1:16" s="11" customFormat="1" ht="28.5" customHeight="1" x14ac:dyDescent="0.15">
      <c r="A35" s="17">
        <v>20170110</v>
      </c>
      <c r="B35" s="19" t="s">
        <v>85</v>
      </c>
      <c r="C35" s="17" t="s">
        <v>63</v>
      </c>
      <c r="D35" s="17" t="s">
        <v>5</v>
      </c>
      <c r="E35" s="17" t="s">
        <v>84</v>
      </c>
      <c r="F35" s="17" t="s">
        <v>81</v>
      </c>
      <c r="G35" s="17" t="s">
        <v>54</v>
      </c>
      <c r="H35" s="18">
        <f>[9]副本!G67</f>
        <v>0.19100000000003092</v>
      </c>
      <c r="I35" s="18">
        <f>H35</f>
        <v>0.19100000000003092</v>
      </c>
      <c r="J35" s="17"/>
      <c r="K35" s="15"/>
      <c r="L35" s="16">
        <f>H35-I35</f>
        <v>0</v>
      </c>
      <c r="M35" s="15">
        <v>4000</v>
      </c>
      <c r="N35" s="14"/>
      <c r="O35" s="13"/>
      <c r="P35" s="12" t="s">
        <v>242</v>
      </c>
    </row>
    <row r="36" spans="1:16" s="11" customFormat="1" ht="28.5" customHeight="1" x14ac:dyDescent="0.15">
      <c r="A36" s="17">
        <v>20170110</v>
      </c>
      <c r="B36" s="19" t="s">
        <v>82</v>
      </c>
      <c r="C36" s="17" t="s">
        <v>0</v>
      </c>
      <c r="D36" s="17"/>
      <c r="E36" s="17"/>
      <c r="F36" s="17"/>
      <c r="G36" s="17"/>
      <c r="H36" s="18"/>
      <c r="I36" s="18"/>
      <c r="J36" s="17"/>
      <c r="K36" s="15"/>
      <c r="L36" s="16"/>
      <c r="M36" s="15">
        <v>5000</v>
      </c>
      <c r="N36" s="14"/>
      <c r="O36" s="13"/>
      <c r="P36" s="12"/>
    </row>
    <row r="37" spans="1:16" s="11" customFormat="1" ht="28.5" customHeight="1" x14ac:dyDescent="0.15">
      <c r="A37" s="17">
        <v>20170110</v>
      </c>
      <c r="B37" s="19" t="s">
        <v>79</v>
      </c>
      <c r="C37" s="17" t="s">
        <v>57</v>
      </c>
      <c r="D37" s="17" t="s">
        <v>5</v>
      </c>
      <c r="E37" s="17" t="s">
        <v>78</v>
      </c>
      <c r="F37" s="17" t="s">
        <v>81</v>
      </c>
      <c r="G37" s="17" t="s">
        <v>2</v>
      </c>
      <c r="H37" s="18">
        <f>[9]副本!G71</f>
        <v>1061.6200000000524</v>
      </c>
      <c r="I37" s="18">
        <f>H37-955.747+477.874+477.873-1042.865-2628.137+500+542.865+2102.57+525.567-499.112-3147.566+2100+525+525+496.678-2617.899+1574.891</f>
        <v>18.612000000052831</v>
      </c>
      <c r="J37" s="17"/>
      <c r="K37" s="15"/>
      <c r="L37" s="16">
        <f>H37-I37</f>
        <v>1043.0079999999996</v>
      </c>
      <c r="M37" s="15">
        <v>5000</v>
      </c>
      <c r="N37" s="14"/>
      <c r="O37" s="13"/>
      <c r="P37" s="12" t="s">
        <v>241</v>
      </c>
    </row>
    <row r="38" spans="1:16" s="11" customFormat="1" ht="28.5" customHeight="1" x14ac:dyDescent="0.15">
      <c r="A38" s="17">
        <v>20170110</v>
      </c>
      <c r="B38" s="19" t="s">
        <v>79</v>
      </c>
      <c r="C38" s="17" t="s">
        <v>57</v>
      </c>
      <c r="D38" s="17" t="s">
        <v>5</v>
      </c>
      <c r="E38" s="17" t="s">
        <v>78</v>
      </c>
      <c r="F38" s="17" t="s">
        <v>77</v>
      </c>
      <c r="G38" s="17" t="s">
        <v>2</v>
      </c>
      <c r="H38" s="18">
        <f>[9]副本!G72</f>
        <v>2.6340000000004693</v>
      </c>
      <c r="I38" s="18">
        <f>H38</f>
        <v>2.6340000000004693</v>
      </c>
      <c r="J38" s="17"/>
      <c r="K38" s="15"/>
      <c r="L38" s="16">
        <f>H38-I38</f>
        <v>0</v>
      </c>
      <c r="M38" s="15">
        <v>5000</v>
      </c>
      <c r="N38" s="14"/>
      <c r="O38" s="13"/>
      <c r="P38" s="12" t="s">
        <v>76</v>
      </c>
    </row>
    <row r="39" spans="1:16" s="11" customFormat="1" ht="28.5" customHeight="1" x14ac:dyDescent="0.15">
      <c r="A39" s="17">
        <v>20170110</v>
      </c>
      <c r="B39" s="19" t="s">
        <v>74</v>
      </c>
      <c r="C39" s="17" t="s">
        <v>28</v>
      </c>
      <c r="D39" s="17"/>
      <c r="E39" s="17" t="s">
        <v>67</v>
      </c>
      <c r="F39" s="17" t="s">
        <v>39</v>
      </c>
      <c r="G39" s="17" t="s">
        <v>2</v>
      </c>
      <c r="H39" s="18">
        <f>[9]副本!G74</f>
        <v>1001.9439999999975</v>
      </c>
      <c r="I39" s="18">
        <f>H39</f>
        <v>1001.9439999999975</v>
      </c>
      <c r="J39" s="17"/>
      <c r="K39" s="15"/>
      <c r="L39" s="16">
        <f>H39-I39</f>
        <v>0</v>
      </c>
      <c r="M39" s="15">
        <v>4000</v>
      </c>
      <c r="N39" s="14"/>
      <c r="O39" s="13"/>
      <c r="P39" s="12" t="s">
        <v>75</v>
      </c>
    </row>
    <row r="40" spans="1:16" s="11" customFormat="1" ht="28.5" customHeight="1" x14ac:dyDescent="0.15">
      <c r="A40" s="17">
        <v>20170110</v>
      </c>
      <c r="B40" s="19" t="s">
        <v>74</v>
      </c>
      <c r="C40" s="17" t="s">
        <v>28</v>
      </c>
      <c r="D40" s="17"/>
      <c r="E40" s="17" t="s">
        <v>67</v>
      </c>
      <c r="F40" s="17" t="s">
        <v>71</v>
      </c>
      <c r="G40" s="17" t="s">
        <v>2</v>
      </c>
      <c r="H40" s="18">
        <f>[9]副本!G75</f>
        <v>130.84300000000007</v>
      </c>
      <c r="I40" s="18">
        <f>H40</f>
        <v>130.84300000000007</v>
      </c>
      <c r="J40" s="17"/>
      <c r="K40" s="15"/>
      <c r="L40" s="16"/>
      <c r="M40" s="15">
        <v>4000</v>
      </c>
      <c r="N40" s="14"/>
      <c r="O40" s="13"/>
      <c r="P40" s="12" t="s">
        <v>240</v>
      </c>
    </row>
    <row r="41" spans="1:16" s="11" customFormat="1" ht="28.5" customHeight="1" x14ac:dyDescent="0.15">
      <c r="A41" s="17">
        <v>20170110</v>
      </c>
      <c r="B41" s="19" t="s">
        <v>73</v>
      </c>
      <c r="C41" s="17" t="s">
        <v>28</v>
      </c>
      <c r="D41" s="17"/>
      <c r="E41" s="17"/>
      <c r="F41" s="17"/>
      <c r="G41" s="17"/>
      <c r="H41" s="18"/>
      <c r="I41" s="18"/>
      <c r="J41" s="17"/>
      <c r="K41" s="15"/>
      <c r="L41" s="16"/>
      <c r="M41" s="15">
        <v>2000</v>
      </c>
      <c r="N41" s="14"/>
      <c r="O41" s="13"/>
      <c r="P41" s="12"/>
    </row>
    <row r="42" spans="1:16" s="11" customFormat="1" ht="28.5" customHeight="1" x14ac:dyDescent="0.15">
      <c r="A42" s="17">
        <v>20170110</v>
      </c>
      <c r="B42" s="19" t="s">
        <v>72</v>
      </c>
      <c r="C42" s="17" t="s">
        <v>43</v>
      </c>
      <c r="D42" s="17"/>
      <c r="E42" s="17"/>
      <c r="F42" s="17"/>
      <c r="G42" s="17"/>
      <c r="H42" s="18"/>
      <c r="I42" s="18"/>
      <c r="J42" s="17"/>
      <c r="K42" s="15"/>
      <c r="L42" s="16"/>
      <c r="M42" s="15">
        <v>3000</v>
      </c>
      <c r="N42" s="14"/>
      <c r="O42" s="13"/>
      <c r="P42" s="12"/>
    </row>
    <row r="43" spans="1:16" s="11" customFormat="1" ht="28.5" customHeight="1" x14ac:dyDescent="0.15">
      <c r="A43" s="17">
        <v>20170110</v>
      </c>
      <c r="B43" s="19" t="s">
        <v>68</v>
      </c>
      <c r="C43" s="17" t="s">
        <v>43</v>
      </c>
      <c r="D43" s="17"/>
      <c r="E43" s="17" t="s">
        <v>67</v>
      </c>
      <c r="F43" s="17" t="s">
        <v>39</v>
      </c>
      <c r="G43" s="17" t="s">
        <v>2</v>
      </c>
      <c r="H43" s="18">
        <f>[9]副本!G82</f>
        <v>2118.0909999999994</v>
      </c>
      <c r="I43" s="18">
        <f>H43</f>
        <v>2118.0909999999994</v>
      </c>
      <c r="J43" s="17"/>
      <c r="K43" s="15"/>
      <c r="L43" s="16">
        <f>H43-I43</f>
        <v>0</v>
      </c>
      <c r="M43" s="15">
        <v>5000</v>
      </c>
      <c r="N43" s="14"/>
      <c r="O43" s="13"/>
      <c r="P43" s="12" t="s">
        <v>258</v>
      </c>
    </row>
    <row r="44" spans="1:16" s="11" customFormat="1" ht="28.5" customHeight="1" x14ac:dyDescent="0.15">
      <c r="A44" s="17">
        <v>20170110</v>
      </c>
      <c r="B44" s="19" t="s">
        <v>65</v>
      </c>
      <c r="C44" s="17" t="s">
        <v>63</v>
      </c>
      <c r="D44" s="17"/>
      <c r="E44" s="17" t="s">
        <v>148</v>
      </c>
      <c r="F44" s="17" t="s">
        <v>144</v>
      </c>
      <c r="G44" s="17" t="s">
        <v>2</v>
      </c>
      <c r="H44" s="18">
        <f>[9]副本!G86</f>
        <v>590.77800000000002</v>
      </c>
      <c r="I44" s="18">
        <f>H44</f>
        <v>590.77800000000002</v>
      </c>
      <c r="J44" s="17"/>
      <c r="K44" s="15"/>
      <c r="L44" s="16">
        <f>H44-I44</f>
        <v>0</v>
      </c>
      <c r="M44" s="15">
        <v>5000</v>
      </c>
      <c r="N44" s="14"/>
      <c r="O44" s="13"/>
      <c r="P44" s="12" t="s">
        <v>239</v>
      </c>
    </row>
    <row r="45" spans="1:16" s="11" customFormat="1" ht="28.5" customHeight="1" x14ac:dyDescent="0.15">
      <c r="A45" s="17">
        <v>20170110</v>
      </c>
      <c r="B45" s="19" t="s">
        <v>64</v>
      </c>
      <c r="C45" s="17" t="s">
        <v>63</v>
      </c>
      <c r="D45" s="17"/>
      <c r="E45" s="17" t="s">
        <v>92</v>
      </c>
      <c r="F45" s="17" t="s">
        <v>232</v>
      </c>
      <c r="G45" s="17" t="s">
        <v>2</v>
      </c>
      <c r="H45" s="18">
        <f>[9]副本!G88</f>
        <v>1984.8579999999999</v>
      </c>
      <c r="I45" s="18">
        <v>0</v>
      </c>
      <c r="J45" s="17"/>
      <c r="K45" s="15"/>
      <c r="L45" s="16">
        <f>H45-I45</f>
        <v>1984.8579999999999</v>
      </c>
      <c r="M45" s="15">
        <v>5000</v>
      </c>
      <c r="N45" s="14"/>
      <c r="O45" s="13"/>
      <c r="P45" s="12" t="s">
        <v>266</v>
      </c>
    </row>
    <row r="46" spans="1:16" s="11" customFormat="1" ht="28.5" customHeight="1" x14ac:dyDescent="0.15">
      <c r="A46" s="17">
        <v>20170110</v>
      </c>
      <c r="B46" s="19" t="s">
        <v>62</v>
      </c>
      <c r="C46" s="17" t="s">
        <v>57</v>
      </c>
      <c r="D46" s="17"/>
      <c r="E46" s="17" t="s">
        <v>56</v>
      </c>
      <c r="F46" s="17" t="s">
        <v>61</v>
      </c>
      <c r="G46" s="17" t="s">
        <v>2</v>
      </c>
      <c r="H46" s="18">
        <f>[9]副本!G90</f>
        <v>1672.8439999999941</v>
      </c>
      <c r="I46" s="18">
        <f>H46</f>
        <v>1672.8439999999941</v>
      </c>
      <c r="J46" s="17"/>
      <c r="K46" s="16"/>
      <c r="L46" s="16">
        <f>H46-I46</f>
        <v>0</v>
      </c>
      <c r="M46" s="15">
        <v>2000</v>
      </c>
      <c r="N46" s="14"/>
      <c r="O46" s="13"/>
      <c r="P46" s="12"/>
    </row>
    <row r="47" spans="1:16" s="11" customFormat="1" ht="28.5" customHeight="1" x14ac:dyDescent="0.15">
      <c r="A47" s="17">
        <v>20170110</v>
      </c>
      <c r="B47" s="19" t="s">
        <v>60</v>
      </c>
      <c r="C47" s="17" t="s">
        <v>43</v>
      </c>
      <c r="D47" s="17" t="s">
        <v>5</v>
      </c>
      <c r="E47" s="17" t="s">
        <v>34</v>
      </c>
      <c r="F47" s="17" t="s">
        <v>48</v>
      </c>
      <c r="G47" s="17" t="s">
        <v>2</v>
      </c>
      <c r="H47" s="18">
        <f>[9]副本!G92</f>
        <v>2409.6100000000006</v>
      </c>
      <c r="I47" s="18">
        <v>0</v>
      </c>
      <c r="J47" s="17"/>
      <c r="K47" s="15"/>
      <c r="L47" s="16">
        <f>H47-I47</f>
        <v>2409.6100000000006</v>
      </c>
      <c r="M47" s="15">
        <v>10000</v>
      </c>
      <c r="N47" s="14"/>
      <c r="O47" s="13"/>
      <c r="P47" s="12"/>
    </row>
    <row r="48" spans="1:16" s="11" customFormat="1" ht="28.5" customHeight="1" x14ac:dyDescent="0.15">
      <c r="A48" s="17">
        <v>20170110</v>
      </c>
      <c r="B48" s="19" t="s">
        <v>59</v>
      </c>
      <c r="C48" s="17" t="s">
        <v>28</v>
      </c>
      <c r="D48" s="17" t="s">
        <v>5</v>
      </c>
      <c r="E48" s="17" t="s">
        <v>34</v>
      </c>
      <c r="F48" s="17" t="s">
        <v>48</v>
      </c>
      <c r="G48" s="17" t="s">
        <v>2</v>
      </c>
      <c r="H48" s="18">
        <f>[9]副本!G94</f>
        <v>5018.1350000000002</v>
      </c>
      <c r="I48" s="18">
        <v>0</v>
      </c>
      <c r="J48" s="17"/>
      <c r="K48" s="15"/>
      <c r="L48" s="16">
        <v>0</v>
      </c>
      <c r="M48" s="15">
        <v>10000</v>
      </c>
      <c r="N48" s="14"/>
      <c r="O48" s="13"/>
      <c r="P48" s="12"/>
    </row>
    <row r="49" spans="1:17" s="11" customFormat="1" ht="28.5" customHeight="1" x14ac:dyDescent="0.15">
      <c r="A49" s="17">
        <v>20170110</v>
      </c>
      <c r="B49" s="19" t="s">
        <v>58</v>
      </c>
      <c r="C49" s="17" t="s">
        <v>57</v>
      </c>
      <c r="D49" s="17"/>
      <c r="E49" s="17" t="s">
        <v>56</v>
      </c>
      <c r="F49" s="17" t="s">
        <v>268</v>
      </c>
      <c r="G49" s="17" t="s">
        <v>54</v>
      </c>
      <c r="H49" s="18">
        <f>[9]副本!G96</f>
        <v>583.6640000000084</v>
      </c>
      <c r="I49" s="18">
        <f>H49</f>
        <v>583.6640000000084</v>
      </c>
      <c r="J49" s="17"/>
      <c r="K49" s="16"/>
      <c r="L49" s="16">
        <v>0</v>
      </c>
      <c r="M49" s="15">
        <v>5000</v>
      </c>
      <c r="N49" s="23" t="s">
        <v>53</v>
      </c>
      <c r="O49" s="22" t="s">
        <v>52</v>
      </c>
      <c r="P49" s="12" t="s">
        <v>51</v>
      </c>
    </row>
    <row r="50" spans="1:17" s="11" customFormat="1" ht="28.5" customHeight="1" x14ac:dyDescent="0.15">
      <c r="A50" s="17">
        <v>20170110</v>
      </c>
      <c r="B50" s="19" t="s">
        <v>50</v>
      </c>
      <c r="C50" s="17" t="s">
        <v>28</v>
      </c>
      <c r="D50" s="17"/>
      <c r="E50" s="17" t="s">
        <v>238</v>
      </c>
      <c r="F50" s="17" t="s">
        <v>249</v>
      </c>
      <c r="G50" s="17" t="s">
        <v>2</v>
      </c>
      <c r="H50" s="18">
        <f>[9]副本!G98</f>
        <v>1176.0989999999999</v>
      </c>
      <c r="I50" s="18">
        <f>H50</f>
        <v>1176.0989999999999</v>
      </c>
      <c r="J50" s="17"/>
      <c r="K50" s="15"/>
      <c r="L50" s="16">
        <f>H50-I50</f>
        <v>0</v>
      </c>
      <c r="M50" s="15">
        <v>3000</v>
      </c>
      <c r="N50" s="14"/>
      <c r="O50" s="13"/>
      <c r="P50" s="12" t="s">
        <v>237</v>
      </c>
    </row>
    <row r="51" spans="1:17" s="11" customFormat="1" ht="28.5" customHeight="1" x14ac:dyDescent="0.15">
      <c r="A51" s="17">
        <v>20170110</v>
      </c>
      <c r="B51" s="19" t="s">
        <v>49</v>
      </c>
      <c r="C51" s="17" t="s">
        <v>28</v>
      </c>
      <c r="D51" s="17" t="s">
        <v>5</v>
      </c>
      <c r="E51" s="17" t="s">
        <v>34</v>
      </c>
      <c r="F51" s="17" t="s">
        <v>48</v>
      </c>
      <c r="G51" s="17" t="s">
        <v>22</v>
      </c>
      <c r="H51" s="18">
        <f>[9]副本!G100</f>
        <v>17900.637999999999</v>
      </c>
      <c r="I51" s="18">
        <v>0</v>
      </c>
      <c r="J51" s="17"/>
      <c r="K51" s="15"/>
      <c r="L51" s="16">
        <f>H51-I51</f>
        <v>17900.637999999999</v>
      </c>
      <c r="M51" s="15">
        <v>25000</v>
      </c>
      <c r="N51" s="14" t="s">
        <v>47</v>
      </c>
      <c r="O51" s="13" t="s">
        <v>46</v>
      </c>
      <c r="P51" s="12" t="s">
        <v>45</v>
      </c>
    </row>
    <row r="52" spans="1:17" s="11" customFormat="1" ht="28.5" customHeight="1" x14ac:dyDescent="0.15">
      <c r="A52" s="17">
        <v>20170110</v>
      </c>
      <c r="B52" s="19" t="s">
        <v>44</v>
      </c>
      <c r="C52" s="17" t="s">
        <v>43</v>
      </c>
      <c r="D52" s="17" t="s">
        <v>5</v>
      </c>
      <c r="E52" s="17" t="s">
        <v>34</v>
      </c>
      <c r="F52" s="17" t="s">
        <v>234</v>
      </c>
      <c r="G52" s="17" t="s">
        <v>22</v>
      </c>
      <c r="H52" s="18">
        <f>[9]副本!G102</f>
        <v>15386.827000000081</v>
      </c>
      <c r="I52" s="18">
        <v>0</v>
      </c>
      <c r="J52" s="17"/>
      <c r="K52" s="15"/>
      <c r="L52" s="16">
        <f>H52-I52</f>
        <v>15386.827000000081</v>
      </c>
      <c r="M52" s="15">
        <v>50000</v>
      </c>
      <c r="N52" s="14"/>
      <c r="O52" s="13"/>
      <c r="P52" s="12"/>
    </row>
    <row r="53" spans="1:17" s="11" customFormat="1" ht="28.5" customHeight="1" x14ac:dyDescent="0.15">
      <c r="A53" s="17">
        <v>20170110</v>
      </c>
      <c r="B53" s="19" t="s">
        <v>41</v>
      </c>
      <c r="C53" s="17" t="s">
        <v>28</v>
      </c>
      <c r="D53" s="17"/>
      <c r="E53" s="17" t="s">
        <v>40</v>
      </c>
      <c r="F53" s="17" t="s">
        <v>39</v>
      </c>
      <c r="G53" s="17" t="s">
        <v>22</v>
      </c>
      <c r="H53" s="18">
        <f>[9]副本!G104</f>
        <v>8.9600000000170894</v>
      </c>
      <c r="I53" s="18">
        <f>H53</f>
        <v>8.9600000000170894</v>
      </c>
      <c r="J53" s="17"/>
      <c r="K53" s="15"/>
      <c r="L53" s="16">
        <f>H53-I53</f>
        <v>0</v>
      </c>
      <c r="M53" s="15">
        <v>4000</v>
      </c>
      <c r="N53" s="14"/>
      <c r="O53" s="13"/>
      <c r="P53" s="12" t="s">
        <v>38</v>
      </c>
    </row>
    <row r="54" spans="1:17" s="11" customFormat="1" ht="28.5" customHeight="1" x14ac:dyDescent="0.15">
      <c r="A54" s="17">
        <v>20170110</v>
      </c>
      <c r="B54" s="19" t="s">
        <v>41</v>
      </c>
      <c r="C54" s="17" t="s">
        <v>28</v>
      </c>
      <c r="D54" s="17"/>
      <c r="E54" s="17" t="s">
        <v>40</v>
      </c>
      <c r="F54" s="17" t="s">
        <v>71</v>
      </c>
      <c r="G54" s="17" t="s">
        <v>22</v>
      </c>
      <c r="H54" s="18">
        <f>[9]副本!G105</f>
        <v>0.23699999999999832</v>
      </c>
      <c r="I54" s="18">
        <f>H54</f>
        <v>0.23699999999999832</v>
      </c>
      <c r="J54" s="17"/>
      <c r="K54" s="15"/>
      <c r="L54" s="16"/>
      <c r="M54" s="15">
        <v>4000</v>
      </c>
      <c r="N54" s="14"/>
      <c r="O54" s="13"/>
      <c r="P54" s="12" t="s">
        <v>38</v>
      </c>
    </row>
    <row r="55" spans="1:17" s="11" customFormat="1" ht="28.5" customHeight="1" x14ac:dyDescent="0.15">
      <c r="A55" s="17">
        <v>20170110</v>
      </c>
      <c r="B55" s="19" t="s">
        <v>37</v>
      </c>
      <c r="C55" s="17" t="s">
        <v>31</v>
      </c>
      <c r="D55" s="17"/>
      <c r="E55" s="17"/>
      <c r="F55" s="17"/>
      <c r="G55" s="17"/>
      <c r="H55" s="18"/>
      <c r="I55" s="18"/>
      <c r="J55" s="17"/>
      <c r="K55" s="15"/>
      <c r="L55" s="16"/>
      <c r="M55" s="15">
        <v>37000</v>
      </c>
      <c r="N55" s="14"/>
      <c r="O55" s="13"/>
      <c r="P55" s="12"/>
    </row>
    <row r="56" spans="1:17" s="11" customFormat="1" ht="28.5" customHeight="1" x14ac:dyDescent="0.15">
      <c r="A56" s="17">
        <v>20170110</v>
      </c>
      <c r="B56" s="19" t="s">
        <v>36</v>
      </c>
      <c r="C56" s="17" t="s">
        <v>31</v>
      </c>
      <c r="D56" s="17"/>
      <c r="E56" s="17"/>
      <c r="F56" s="17"/>
      <c r="G56" s="17"/>
      <c r="H56" s="18"/>
      <c r="I56" s="17"/>
      <c r="J56" s="17"/>
      <c r="K56" s="15"/>
      <c r="L56" s="16"/>
      <c r="M56" s="15">
        <v>37000</v>
      </c>
      <c r="N56" s="14"/>
      <c r="O56" s="13"/>
      <c r="P56" s="12"/>
    </row>
    <row r="57" spans="1:17" s="11" customFormat="1" ht="28.5" customHeight="1" x14ac:dyDescent="0.15">
      <c r="A57" s="17">
        <v>20170110</v>
      </c>
      <c r="B57" s="19" t="s">
        <v>35</v>
      </c>
      <c r="C57" s="17" t="s">
        <v>28</v>
      </c>
      <c r="D57" s="17" t="s">
        <v>5</v>
      </c>
      <c r="E57" s="17" t="s">
        <v>34</v>
      </c>
      <c r="F57" s="17" t="s">
        <v>48</v>
      </c>
      <c r="G57" s="17" t="s">
        <v>22</v>
      </c>
      <c r="H57" s="18">
        <f>[9]副本!G111</f>
        <v>6957.8649999999998</v>
      </c>
      <c r="I57" s="18">
        <f>H57-6957.865</f>
        <v>0</v>
      </c>
      <c r="J57" s="17"/>
      <c r="K57" s="16"/>
      <c r="L57" s="16">
        <f>H57-I57</f>
        <v>6957.8649999999998</v>
      </c>
      <c r="M57" s="15">
        <v>10000</v>
      </c>
      <c r="N57" s="14"/>
      <c r="O57" s="13"/>
      <c r="P57" s="12"/>
      <c r="Q57" s="20"/>
    </row>
    <row r="58" spans="1:17" s="11" customFormat="1" ht="28.5" customHeight="1" x14ac:dyDescent="0.15">
      <c r="A58" s="17">
        <v>20170110</v>
      </c>
      <c r="B58" s="19" t="s">
        <v>32</v>
      </c>
      <c r="C58" s="17" t="s">
        <v>31</v>
      </c>
      <c r="D58" s="17" t="s">
        <v>5</v>
      </c>
      <c r="E58" s="17"/>
      <c r="F58" s="17"/>
      <c r="G58" s="17"/>
      <c r="H58" s="18"/>
      <c r="I58" s="18"/>
      <c r="J58" s="17"/>
      <c r="K58" s="21"/>
      <c r="L58" s="16"/>
      <c r="M58" s="15">
        <v>15000</v>
      </c>
      <c r="N58" s="14"/>
      <c r="O58" s="13"/>
      <c r="P58" s="12"/>
      <c r="Q58" s="20"/>
    </row>
    <row r="59" spans="1:17" s="11" customFormat="1" ht="28.5" customHeight="1" x14ac:dyDescent="0.15">
      <c r="A59" s="17">
        <v>20170110</v>
      </c>
      <c r="B59" s="19" t="s">
        <v>30</v>
      </c>
      <c r="C59" s="19" t="s">
        <v>28</v>
      </c>
      <c r="D59" s="17" t="s">
        <v>5</v>
      </c>
      <c r="E59" s="17" t="s">
        <v>4</v>
      </c>
      <c r="F59" s="17" t="s">
        <v>3</v>
      </c>
      <c r="G59" s="17" t="s">
        <v>22</v>
      </c>
      <c r="H59" s="18">
        <f>[9]副本!G115</f>
        <v>19432.194</v>
      </c>
      <c r="I59" s="18">
        <f>H59</f>
        <v>19432.194</v>
      </c>
      <c r="J59" s="17"/>
      <c r="K59" s="15"/>
      <c r="L59" s="16"/>
      <c r="M59" s="15">
        <v>43000</v>
      </c>
      <c r="N59" s="14"/>
      <c r="O59" s="13"/>
      <c r="P59" s="12" t="s">
        <v>220</v>
      </c>
      <c r="Q59" s="20"/>
    </row>
    <row r="60" spans="1:17" s="11" customFormat="1" ht="28.5" customHeight="1" x14ac:dyDescent="0.15">
      <c r="A60" s="17">
        <v>20170110</v>
      </c>
      <c r="B60" s="19" t="s">
        <v>30</v>
      </c>
      <c r="C60" s="19" t="s">
        <v>28</v>
      </c>
      <c r="D60" s="17" t="s">
        <v>5</v>
      </c>
      <c r="E60" s="17" t="s">
        <v>4</v>
      </c>
      <c r="F60" s="17" t="s">
        <v>251</v>
      </c>
      <c r="G60" s="17" t="s">
        <v>22</v>
      </c>
      <c r="H60" s="18">
        <f>[9]副本!G116</f>
        <v>959.90000000000009</v>
      </c>
      <c r="I60" s="18">
        <f>H60</f>
        <v>959.90000000000009</v>
      </c>
      <c r="J60" s="17"/>
      <c r="K60" s="15">
        <v>450</v>
      </c>
      <c r="L60" s="16"/>
      <c r="M60" s="15">
        <v>43000</v>
      </c>
      <c r="N60" s="14"/>
      <c r="O60" s="13"/>
      <c r="P60" s="12" t="s">
        <v>220</v>
      </c>
      <c r="Q60" s="20"/>
    </row>
    <row r="61" spans="1:17" s="11" customFormat="1" ht="28.5" customHeight="1" x14ac:dyDescent="0.15">
      <c r="A61" s="17">
        <v>20170110</v>
      </c>
      <c r="B61" s="19" t="s">
        <v>29</v>
      </c>
      <c r="C61" s="19" t="s">
        <v>28</v>
      </c>
      <c r="D61" s="17" t="s">
        <v>5</v>
      </c>
      <c r="E61" s="17"/>
      <c r="F61" s="17"/>
      <c r="G61" s="17"/>
      <c r="H61" s="18"/>
      <c r="I61" s="18"/>
      <c r="J61" s="17"/>
      <c r="K61" s="15"/>
      <c r="L61" s="16"/>
      <c r="M61" s="15"/>
      <c r="N61" s="14"/>
      <c r="O61" s="13"/>
      <c r="P61" s="12"/>
      <c r="Q61" s="20"/>
    </row>
    <row r="62" spans="1:17" s="11" customFormat="1" ht="28.5" customHeight="1" x14ac:dyDescent="0.15">
      <c r="A62" s="17">
        <v>20170110</v>
      </c>
      <c r="B62" s="19" t="s">
        <v>24</v>
      </c>
      <c r="C62" s="17" t="s">
        <v>0</v>
      </c>
      <c r="D62" s="17"/>
      <c r="E62" s="17" t="s">
        <v>4</v>
      </c>
      <c r="F62" s="17" t="s">
        <v>23</v>
      </c>
      <c r="G62" s="17" t="s">
        <v>22</v>
      </c>
      <c r="H62" s="18">
        <f>[9]副本!G120</f>
        <v>891.10699999999633</v>
      </c>
      <c r="I62" s="18">
        <f>H62-15652.787+4092.929+8666.148+2893.71</f>
        <v>891.10699999999542</v>
      </c>
      <c r="J62" s="17"/>
      <c r="K62" s="15">
        <v>150</v>
      </c>
      <c r="L62" s="16">
        <f>H62-I62</f>
        <v>9.0949470177292824E-13</v>
      </c>
      <c r="M62" s="15">
        <v>20000</v>
      </c>
      <c r="N62" s="14"/>
      <c r="O62" s="13"/>
      <c r="P62" s="12" t="s">
        <v>21</v>
      </c>
    </row>
    <row r="63" spans="1:17" s="11" customFormat="1" ht="28.5" customHeight="1" x14ac:dyDescent="0.15">
      <c r="A63" s="17">
        <v>20170110</v>
      </c>
      <c r="B63" s="19" t="s">
        <v>20</v>
      </c>
      <c r="C63" s="17" t="s">
        <v>0</v>
      </c>
      <c r="D63" s="17"/>
      <c r="E63" s="17" t="s">
        <v>12</v>
      </c>
      <c r="F63" s="17" t="s">
        <v>11</v>
      </c>
      <c r="G63" s="17" t="s">
        <v>2</v>
      </c>
      <c r="H63" s="18">
        <f>[9]副本!G122</f>
        <v>20419.824000000001</v>
      </c>
      <c r="I63" s="18">
        <f>H63-4994.391</f>
        <v>15425.433000000001</v>
      </c>
      <c r="J63" s="17"/>
      <c r="K63" s="15"/>
      <c r="L63" s="16">
        <f>H63-I63</f>
        <v>4994.3909999999996</v>
      </c>
      <c r="M63" s="15">
        <v>30000</v>
      </c>
      <c r="N63" s="14"/>
      <c r="O63" s="13"/>
      <c r="P63" s="12" t="s">
        <v>265</v>
      </c>
    </row>
    <row r="64" spans="1:17" s="11" customFormat="1" ht="28.5" customHeight="1" x14ac:dyDescent="0.15">
      <c r="A64" s="17">
        <v>20170110</v>
      </c>
      <c r="B64" s="19" t="s">
        <v>18</v>
      </c>
      <c r="C64" s="17" t="s">
        <v>0</v>
      </c>
      <c r="D64" s="17" t="s">
        <v>5</v>
      </c>
      <c r="E64" s="17" t="s">
        <v>4</v>
      </c>
      <c r="F64" s="17" t="s">
        <v>17</v>
      </c>
      <c r="G64" s="17" t="s">
        <v>2</v>
      </c>
      <c r="H64" s="18">
        <f>[9]副本!G124</f>
        <v>14976.093999999999</v>
      </c>
      <c r="I64" s="18">
        <f>H64-14976.094</f>
        <v>0</v>
      </c>
      <c r="J64" s="17"/>
      <c r="K64" s="15">
        <v>200</v>
      </c>
      <c r="L64" s="16">
        <f>H64-I64</f>
        <v>14976.093999999999</v>
      </c>
      <c r="M64" s="15">
        <v>20000</v>
      </c>
      <c r="N64" s="14" t="s">
        <v>16</v>
      </c>
      <c r="O64" s="13" t="s">
        <v>15</v>
      </c>
      <c r="P64" s="12" t="s">
        <v>14</v>
      </c>
    </row>
    <row r="65" spans="1:16" s="11" customFormat="1" ht="28.5" customHeight="1" x14ac:dyDescent="0.15">
      <c r="A65" s="17">
        <v>20170110</v>
      </c>
      <c r="B65" s="19" t="s">
        <v>13</v>
      </c>
      <c r="C65" s="17" t="s">
        <v>0</v>
      </c>
      <c r="D65" s="17"/>
      <c r="E65" s="17" t="s">
        <v>12</v>
      </c>
      <c r="F65" s="17" t="s">
        <v>11</v>
      </c>
      <c r="G65" s="17" t="s">
        <v>2</v>
      </c>
      <c r="H65" s="18">
        <f>[9]副本!G126</f>
        <v>25173.616999999973</v>
      </c>
      <c r="I65" s="18">
        <f>H65</f>
        <v>25173.616999999973</v>
      </c>
      <c r="J65" s="17"/>
      <c r="K65" s="15"/>
      <c r="L65" s="16">
        <v>0</v>
      </c>
      <c r="M65" s="15">
        <v>30000</v>
      </c>
      <c r="N65" s="14"/>
      <c r="O65" s="13"/>
      <c r="P65" s="12"/>
    </row>
    <row r="66" spans="1:16" s="11" customFormat="1" ht="28.5" customHeight="1" x14ac:dyDescent="0.15">
      <c r="A66" s="17">
        <v>20170110</v>
      </c>
      <c r="B66" s="19" t="s">
        <v>10</v>
      </c>
      <c r="C66" s="17" t="s">
        <v>0</v>
      </c>
      <c r="D66" s="17"/>
      <c r="E66" s="17" t="s">
        <v>9</v>
      </c>
      <c r="F66" s="12" t="s">
        <v>8</v>
      </c>
      <c r="G66" s="17" t="s">
        <v>2</v>
      </c>
      <c r="H66" s="18">
        <f>[9]副本!G128</f>
        <v>5979.2150000000001</v>
      </c>
      <c r="I66" s="18">
        <v>0</v>
      </c>
      <c r="J66" s="17"/>
      <c r="K66" s="15"/>
      <c r="L66" s="16">
        <f>H66-I66</f>
        <v>5979.2150000000001</v>
      </c>
      <c r="M66" s="15">
        <v>20000</v>
      </c>
      <c r="N66" s="14"/>
      <c r="O66" s="13"/>
      <c r="P66" s="17"/>
    </row>
    <row r="67" spans="1:16" s="11" customFormat="1" ht="28.5" customHeight="1" x14ac:dyDescent="0.15">
      <c r="A67" s="17">
        <v>20170110</v>
      </c>
      <c r="B67" s="19" t="s">
        <v>10</v>
      </c>
      <c r="C67" s="17" t="s">
        <v>0</v>
      </c>
      <c r="D67" s="17"/>
      <c r="E67" s="17" t="s">
        <v>9</v>
      </c>
      <c r="F67" s="17" t="s">
        <v>257</v>
      </c>
      <c r="G67" s="17" t="s">
        <v>2</v>
      </c>
      <c r="H67" s="18">
        <f>[9]副本!G129</f>
        <v>6000</v>
      </c>
      <c r="I67" s="18">
        <f>H67</f>
        <v>6000</v>
      </c>
      <c r="J67" s="17"/>
      <c r="K67" s="15">
        <v>200</v>
      </c>
      <c r="L67" s="16">
        <v>0</v>
      </c>
      <c r="M67" s="15">
        <v>20000</v>
      </c>
      <c r="N67" s="14"/>
      <c r="O67" s="13"/>
      <c r="P67" s="12" t="s">
        <v>252</v>
      </c>
    </row>
    <row r="68" spans="1:16" s="11" customFormat="1" ht="28.5" customHeight="1" x14ac:dyDescent="0.15">
      <c r="A68" s="17">
        <v>20170110</v>
      </c>
      <c r="B68" s="19" t="s">
        <v>7</v>
      </c>
      <c r="C68" s="17" t="s">
        <v>0</v>
      </c>
      <c r="D68" s="17"/>
      <c r="E68" s="17"/>
      <c r="F68" s="17"/>
      <c r="G68" s="17"/>
      <c r="H68" s="18"/>
      <c r="I68" s="18"/>
      <c r="J68" s="17"/>
      <c r="K68" s="15"/>
      <c r="L68" s="16"/>
      <c r="M68" s="15">
        <v>15000</v>
      </c>
      <c r="N68" s="14"/>
      <c r="O68" s="13"/>
      <c r="P68" s="12"/>
    </row>
    <row r="69" spans="1:16" s="11" customFormat="1" ht="28.5" customHeight="1" x14ac:dyDescent="0.15">
      <c r="A69" s="17">
        <v>20170110</v>
      </c>
      <c r="B69" s="19" t="s">
        <v>6</v>
      </c>
      <c r="C69" s="17" t="s">
        <v>0</v>
      </c>
      <c r="D69" s="17" t="s">
        <v>5</v>
      </c>
      <c r="E69" s="17" t="s">
        <v>4</v>
      </c>
      <c r="F69" s="17" t="s">
        <v>3</v>
      </c>
      <c r="G69" s="17" t="s">
        <v>2</v>
      </c>
      <c r="H69" s="18">
        <f>[9]副本!G133</f>
        <v>12005.106</v>
      </c>
      <c r="I69" s="18">
        <f>H69-12005.106</f>
        <v>0</v>
      </c>
      <c r="J69" s="17"/>
      <c r="K69" s="15"/>
      <c r="L69" s="16">
        <f>H69-I69</f>
        <v>12005.106</v>
      </c>
      <c r="M69" s="15">
        <v>15000</v>
      </c>
      <c r="N69" s="14"/>
      <c r="O69" s="13"/>
      <c r="P69" s="12"/>
    </row>
    <row r="70" spans="1:16" s="11" customFormat="1" ht="28.5" customHeight="1" x14ac:dyDescent="0.15">
      <c r="A70" s="17">
        <v>20170110</v>
      </c>
      <c r="B70" s="19" t="s">
        <v>1</v>
      </c>
      <c r="C70" s="17" t="s">
        <v>0</v>
      </c>
      <c r="D70" s="17"/>
      <c r="E70" s="17"/>
      <c r="F70" s="17"/>
      <c r="G70" s="17"/>
      <c r="H70" s="18"/>
      <c r="I70" s="18"/>
      <c r="J70" s="17"/>
      <c r="K70" s="15"/>
      <c r="L70" s="16"/>
      <c r="M70" s="15"/>
      <c r="N70" s="14"/>
      <c r="O70" s="13"/>
      <c r="P70" s="12"/>
    </row>
    <row r="76" spans="1:16" x14ac:dyDescent="0.15">
      <c r="L76" s="10"/>
    </row>
    <row r="228" spans="7:8" x14ac:dyDescent="0.15">
      <c r="G228" s="2"/>
      <c r="H228" s="2"/>
    </row>
  </sheetData>
  <autoFilter ref="B1:I70"/>
  <phoneticPr fontId="3" type="noConversion"/>
  <pageMargins left="0.36" right="7.9166666666666663E-2" top="0.1" bottom="0.12" header="0.15" footer="0.09"/>
  <pageSetup scale="9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20170101</vt:lpstr>
      <vt:lpstr>20170102</vt:lpstr>
      <vt:lpstr>20170103</vt:lpstr>
      <vt:lpstr>20170104</vt:lpstr>
      <vt:lpstr>20170106</vt:lpstr>
      <vt:lpstr>20170107</vt:lpstr>
      <vt:lpstr>20170108</vt:lpstr>
      <vt:lpstr>20170109</vt:lpstr>
      <vt:lpstr>20170110</vt:lpstr>
      <vt:lpstr>20170111</vt:lpstr>
      <vt:lpstr>20170112</vt:lpstr>
      <vt:lpstr>20170113</vt:lpstr>
      <vt:lpstr>20170116</vt:lpstr>
      <vt:lpstr>20170118</vt:lpstr>
      <vt:lpstr>20170119</vt:lpstr>
      <vt:lpstr>20170120</vt:lpstr>
      <vt:lpstr>20170121</vt:lpstr>
      <vt:lpstr>20170122</vt:lpstr>
      <vt:lpstr>20170124</vt:lpstr>
      <vt:lpstr>20170126</vt:lpstr>
      <vt:lpstr>20170129</vt:lpstr>
      <vt:lpstr>20170130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2017-04-14T02:03:11Z</dcterms:modified>
</cp:coreProperties>
</file>